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Babies\Desktop\ACBO Fall 2018\"/>
    </mc:Choice>
  </mc:AlternateContent>
  <xr:revisionPtr revIDLastSave="0" documentId="8_{8EDAAA82-00A3-4C04-88CE-A0A1D0001CC9}" xr6:coauthVersionLast="37" xr6:coauthVersionMax="37" xr10:uidLastSave="{00000000-0000-0000-0000-000000000000}"/>
  <bookViews>
    <workbookView xWindow="0" yWindow="0" windowWidth="20490" windowHeight="7185" xr2:uid="{00000000-000D-0000-FFFF-FFFF00000000}"/>
  </bookViews>
  <sheets>
    <sheet name="Simulation 20-21" sheetId="7" r:id="rId1"/>
    <sheet name="20-21 with COLA" sheetId="9" r:id="rId2"/>
    <sheet name="Simulation 19-20" sheetId="6" r:id="rId3"/>
    <sheet name="19-20 with COLA" sheetId="8" r:id="rId4"/>
    <sheet name="Simulation 18-19" sheetId="5" r:id="rId5"/>
    <sheet name="Summary" sheetId="10" r:id="rId6"/>
    <sheet name="FTES" sheetId="4" r:id="rId7"/>
  </sheets>
  <definedNames>
    <definedName name="_xlnm.Print_Area" localSheetId="3">'19-20 with COLA'!$A$1:$F$62</definedName>
    <definedName name="_xlnm.Print_Area" localSheetId="1">'20-21 with COLA'!$A$1:$F$62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3" i="10" l="1"/>
  <c r="C33" i="10"/>
  <c r="D14" i="10"/>
  <c r="D12" i="10"/>
  <c r="C14" i="10"/>
  <c r="C12" i="10"/>
  <c r="B14" i="10"/>
  <c r="B33" i="10" s="1"/>
  <c r="B12" i="10"/>
  <c r="B31" i="10" s="1"/>
  <c r="F59" i="9" l="1"/>
  <c r="D31" i="10" s="1"/>
  <c r="E54" i="9"/>
  <c r="E53" i="9"/>
  <c r="E52" i="9"/>
  <c r="E51" i="9"/>
  <c r="E50" i="9"/>
  <c r="E49" i="9"/>
  <c r="E48" i="9"/>
  <c r="E39" i="9"/>
  <c r="E40" i="9"/>
  <c r="E41" i="9"/>
  <c r="E42" i="9"/>
  <c r="E43" i="9"/>
  <c r="E44" i="9"/>
  <c r="E38" i="9"/>
  <c r="E29" i="9"/>
  <c r="E30" i="9"/>
  <c r="E31" i="9"/>
  <c r="E32" i="9"/>
  <c r="F32" i="9" s="1"/>
  <c r="E33" i="9"/>
  <c r="E34" i="9"/>
  <c r="E28" i="9"/>
  <c r="E20" i="9"/>
  <c r="E21" i="9"/>
  <c r="E19" i="9"/>
  <c r="F53" i="9"/>
  <c r="F48" i="9"/>
  <c r="F8" i="9"/>
  <c r="D12" i="9"/>
  <c r="D11" i="9"/>
  <c r="F11" i="9" s="1"/>
  <c r="D10" i="9"/>
  <c r="D9" i="9"/>
  <c r="F59" i="8"/>
  <c r="C31" i="10" s="1"/>
  <c r="E54" i="8"/>
  <c r="E53" i="8"/>
  <c r="F53" i="8" s="1"/>
  <c r="E52" i="8"/>
  <c r="E51" i="8"/>
  <c r="E50" i="8"/>
  <c r="E49" i="8"/>
  <c r="F49" i="8" s="1"/>
  <c r="E48" i="8"/>
  <c r="E39" i="8"/>
  <c r="E40" i="8"/>
  <c r="E41" i="8"/>
  <c r="F41" i="8" s="1"/>
  <c r="E42" i="8"/>
  <c r="E43" i="8"/>
  <c r="E44" i="8"/>
  <c r="E38" i="8"/>
  <c r="F38" i="8" s="1"/>
  <c r="E29" i="8"/>
  <c r="E30" i="8"/>
  <c r="E31" i="8"/>
  <c r="E32" i="8"/>
  <c r="E33" i="8"/>
  <c r="E34" i="8"/>
  <c r="E28" i="8"/>
  <c r="E20" i="8"/>
  <c r="E21" i="8"/>
  <c r="E19" i="8"/>
  <c r="F8" i="8"/>
  <c r="D10" i="8"/>
  <c r="D11" i="8"/>
  <c r="D12" i="8"/>
  <c r="D9" i="8"/>
  <c r="D54" i="9"/>
  <c r="F54" i="9" s="1"/>
  <c r="D53" i="9"/>
  <c r="D52" i="9"/>
  <c r="F52" i="9" s="1"/>
  <c r="D51" i="9"/>
  <c r="D50" i="9"/>
  <c r="F50" i="9" s="1"/>
  <c r="D49" i="9"/>
  <c r="F49" i="9" s="1"/>
  <c r="D48" i="9"/>
  <c r="D44" i="9"/>
  <c r="F44" i="9" s="1"/>
  <c r="D43" i="9"/>
  <c r="F43" i="9" s="1"/>
  <c r="D42" i="9"/>
  <c r="D41" i="9"/>
  <c r="F41" i="9" s="1"/>
  <c r="D40" i="9"/>
  <c r="F40" i="9" s="1"/>
  <c r="D39" i="9"/>
  <c r="F39" i="9" s="1"/>
  <c r="D38" i="9"/>
  <c r="F38" i="9" s="1"/>
  <c r="D34" i="9"/>
  <c r="D33" i="9"/>
  <c r="F33" i="9" s="1"/>
  <c r="D32" i="9"/>
  <c r="D31" i="9"/>
  <c r="F31" i="9" s="1"/>
  <c r="D30" i="9"/>
  <c r="D29" i="9"/>
  <c r="F29" i="9" s="1"/>
  <c r="D28" i="9"/>
  <c r="D21" i="9"/>
  <c r="D20" i="9"/>
  <c r="D19" i="9"/>
  <c r="E11" i="9"/>
  <c r="D54" i="8"/>
  <c r="D53" i="8"/>
  <c r="D52" i="8"/>
  <c r="D51" i="8"/>
  <c r="F51" i="8" s="1"/>
  <c r="D50" i="8"/>
  <c r="D49" i="8"/>
  <c r="D48" i="8"/>
  <c r="D44" i="8"/>
  <c r="D43" i="8"/>
  <c r="F43" i="8" s="1"/>
  <c r="D42" i="8"/>
  <c r="D41" i="8"/>
  <c r="D40" i="8"/>
  <c r="D39" i="8"/>
  <c r="F39" i="8" s="1"/>
  <c r="D38" i="8"/>
  <c r="D34" i="8"/>
  <c r="F34" i="8" s="1"/>
  <c r="D33" i="8"/>
  <c r="D32" i="8"/>
  <c r="F32" i="8" s="1"/>
  <c r="D31" i="8"/>
  <c r="D30" i="8"/>
  <c r="F30" i="8" s="1"/>
  <c r="D29" i="8"/>
  <c r="D28" i="8"/>
  <c r="D21" i="8"/>
  <c r="D20" i="8"/>
  <c r="D19" i="8"/>
  <c r="F19" i="8" s="1"/>
  <c r="E11" i="8"/>
  <c r="F33" i="8" l="1"/>
  <c r="F29" i="8"/>
  <c r="F35" i="8" s="1"/>
  <c r="F20" i="9"/>
  <c r="F44" i="8"/>
  <c r="F40" i="8"/>
  <c r="F50" i="8"/>
  <c r="F55" i="8" s="1"/>
  <c r="F54" i="8"/>
  <c r="F28" i="9"/>
  <c r="F11" i="8"/>
  <c r="F28" i="8"/>
  <c r="F31" i="8"/>
  <c r="F34" i="9"/>
  <c r="F30" i="9"/>
  <c r="F51" i="9"/>
  <c r="F42" i="8"/>
  <c r="F45" i="8" s="1"/>
  <c r="F48" i="8"/>
  <c r="F52" i="8"/>
  <c r="F42" i="9"/>
  <c r="F45" i="9" s="1"/>
  <c r="F55" i="9"/>
  <c r="F19" i="9"/>
  <c r="F21" i="8"/>
  <c r="F35" i="9"/>
  <c r="F21" i="9"/>
  <c r="F20" i="8"/>
  <c r="F56" i="8" l="1"/>
  <c r="C27" i="10" s="1"/>
  <c r="F22" i="9"/>
  <c r="D25" i="10" s="1"/>
  <c r="F56" i="9"/>
  <c r="F22" i="8"/>
  <c r="C25" i="10" s="1"/>
  <c r="F52" i="7"/>
  <c r="F48" i="7"/>
  <c r="F41" i="7"/>
  <c r="F34" i="7"/>
  <c r="F30" i="7"/>
  <c r="F53" i="6"/>
  <c r="F53" i="7" s="1"/>
  <c r="F52" i="6"/>
  <c r="F51" i="6"/>
  <c r="F51" i="7" s="1"/>
  <c r="F50" i="6"/>
  <c r="F50" i="7" s="1"/>
  <c r="F49" i="6"/>
  <c r="F49" i="7" s="1"/>
  <c r="F48" i="6"/>
  <c r="F44" i="6"/>
  <c r="F44" i="7" s="1"/>
  <c r="F43" i="6"/>
  <c r="F43" i="7" s="1"/>
  <c r="F42" i="6"/>
  <c r="F42" i="7" s="1"/>
  <c r="F41" i="6"/>
  <c r="F40" i="6"/>
  <c r="F40" i="7" s="1"/>
  <c r="F39" i="6"/>
  <c r="F39" i="7" s="1"/>
  <c r="F38" i="6"/>
  <c r="F38" i="7" s="1"/>
  <c r="F34" i="6"/>
  <c r="F33" i="6"/>
  <c r="F33" i="7" s="1"/>
  <c r="F32" i="6"/>
  <c r="F32" i="7" s="1"/>
  <c r="F31" i="6"/>
  <c r="F31" i="7" s="1"/>
  <c r="F30" i="6"/>
  <c r="F29" i="6"/>
  <c r="F28" i="6"/>
  <c r="F28" i="7" s="1"/>
  <c r="D54" i="7"/>
  <c r="D53" i="7"/>
  <c r="D52" i="7"/>
  <c r="D51" i="7"/>
  <c r="D50" i="7"/>
  <c r="D49" i="7"/>
  <c r="D48" i="7"/>
  <c r="D44" i="7"/>
  <c r="D43" i="7"/>
  <c r="D42" i="7"/>
  <c r="D41" i="7"/>
  <c r="D40" i="7"/>
  <c r="D39" i="7"/>
  <c r="D38" i="7"/>
  <c r="D34" i="7"/>
  <c r="D33" i="7"/>
  <c r="D32" i="7"/>
  <c r="D31" i="7"/>
  <c r="D30" i="7"/>
  <c r="D29" i="7"/>
  <c r="D28" i="7"/>
  <c r="D21" i="7"/>
  <c r="F21" i="7" s="1"/>
  <c r="D20" i="7"/>
  <c r="F20" i="7" s="1"/>
  <c r="D19" i="7"/>
  <c r="F19" i="7" s="1"/>
  <c r="D12" i="7"/>
  <c r="E11" i="7"/>
  <c r="D11" i="7"/>
  <c r="D10" i="7"/>
  <c r="D54" i="6"/>
  <c r="D53" i="6"/>
  <c r="D52" i="6"/>
  <c r="D51" i="6"/>
  <c r="D50" i="6"/>
  <c r="D49" i="6"/>
  <c r="D48" i="6"/>
  <c r="F45" i="6"/>
  <c r="D44" i="6"/>
  <c r="D43" i="6"/>
  <c r="D42" i="6"/>
  <c r="D41" i="6"/>
  <c r="D40" i="6"/>
  <c r="D39" i="6"/>
  <c r="D38" i="6"/>
  <c r="D34" i="6"/>
  <c r="D33" i="6"/>
  <c r="D32" i="6"/>
  <c r="D31" i="6"/>
  <c r="D30" i="6"/>
  <c r="D29" i="6"/>
  <c r="D28" i="6"/>
  <c r="D21" i="6"/>
  <c r="F21" i="6" s="1"/>
  <c r="D20" i="6"/>
  <c r="F20" i="6" s="1"/>
  <c r="D19" i="6"/>
  <c r="F19" i="6" s="1"/>
  <c r="D12" i="6"/>
  <c r="E11" i="6"/>
  <c r="D11" i="6"/>
  <c r="D10" i="6"/>
  <c r="F45" i="7" l="1"/>
  <c r="F35" i="6"/>
  <c r="D27" i="10"/>
  <c r="F22" i="6"/>
  <c r="C6" i="10" s="1"/>
  <c r="F29" i="7"/>
  <c r="F35" i="7" s="1"/>
  <c r="F22" i="7"/>
  <c r="D53" i="5"/>
  <c r="D52" i="5"/>
  <c r="D51" i="5"/>
  <c r="D50" i="5"/>
  <c r="D49" i="5"/>
  <c r="D48" i="5"/>
  <c r="D43" i="5"/>
  <c r="D42" i="5"/>
  <c r="D41" i="5"/>
  <c r="D40" i="5"/>
  <c r="D39" i="5"/>
  <c r="D38" i="5"/>
  <c r="D34" i="5"/>
  <c r="D33" i="5"/>
  <c r="D32" i="5"/>
  <c r="D31" i="5"/>
  <c r="D28" i="5"/>
  <c r="D44" i="5"/>
  <c r="D54" i="5"/>
  <c r="F54" i="5" s="1"/>
  <c r="F54" i="6" s="1"/>
  <c r="F54" i="7" s="1"/>
  <c r="F55" i="7" s="1"/>
  <c r="E11" i="5"/>
  <c r="E5" i="4"/>
  <c r="D4" i="4"/>
  <c r="C4" i="4"/>
  <c r="B4" i="4"/>
  <c r="C9" i="4"/>
  <c r="B9" i="4"/>
  <c r="D30" i="5"/>
  <c r="D29" i="5"/>
  <c r="D21" i="5"/>
  <c r="F21" i="5" s="1"/>
  <c r="D20" i="5"/>
  <c r="F20" i="5" s="1"/>
  <c r="D19" i="5"/>
  <c r="F19" i="5" s="1"/>
  <c r="D12" i="5"/>
  <c r="D11" i="5"/>
  <c r="D10" i="5"/>
  <c r="D9" i="5"/>
  <c r="F9" i="6" s="1"/>
  <c r="F9" i="7" s="1"/>
  <c r="F13" i="7" s="1"/>
  <c r="D4" i="10" s="1"/>
  <c r="E4" i="4"/>
  <c r="D9" i="4"/>
  <c r="F56" i="7" l="1"/>
  <c r="D8" i="10" s="1"/>
  <c r="B13" i="4"/>
  <c r="B11" i="4"/>
  <c r="F13" i="6"/>
  <c r="F55" i="6"/>
  <c r="F56" i="6" s="1"/>
  <c r="C8" i="10" s="1"/>
  <c r="E12" i="5"/>
  <c r="E12" i="9"/>
  <c r="F12" i="9" s="1"/>
  <c r="E12" i="8"/>
  <c r="F12" i="8" s="1"/>
  <c r="E12" i="7"/>
  <c r="E12" i="6"/>
  <c r="E6" i="4"/>
  <c r="C13" i="4"/>
  <c r="C11" i="4"/>
  <c r="F58" i="7"/>
  <c r="D6" i="10"/>
  <c r="E10" i="9"/>
  <c r="F10" i="9" s="1"/>
  <c r="E10" i="8"/>
  <c r="F10" i="8" s="1"/>
  <c r="E10" i="7"/>
  <c r="E10" i="6"/>
  <c r="D11" i="4"/>
  <c r="F13" i="5"/>
  <c r="B4" i="10" s="1"/>
  <c r="B23" i="10" s="1"/>
  <c r="F22" i="5"/>
  <c r="B6" i="10" s="1"/>
  <c r="B25" i="10" s="1"/>
  <c r="F35" i="5"/>
  <c r="F45" i="5"/>
  <c r="F55" i="5"/>
  <c r="E10" i="5"/>
  <c r="F60" i="7" l="1"/>
  <c r="F62" i="7" s="1"/>
  <c r="D9" i="10"/>
  <c r="E9" i="5"/>
  <c r="E9" i="8"/>
  <c r="F9" i="8" s="1"/>
  <c r="F13" i="8" s="1"/>
  <c r="E9" i="9"/>
  <c r="F9" i="9" s="1"/>
  <c r="F13" i="9" s="1"/>
  <c r="E9" i="6"/>
  <c r="E9" i="7"/>
  <c r="C4" i="10"/>
  <c r="F58" i="6"/>
  <c r="F56" i="5"/>
  <c r="B8" i="10" s="1"/>
  <c r="B27" i="10" s="1"/>
  <c r="C23" i="10" l="1"/>
  <c r="F58" i="8"/>
  <c r="F60" i="6"/>
  <c r="F62" i="6" s="1"/>
  <c r="C9" i="10"/>
  <c r="D16" i="10" s="1"/>
  <c r="D23" i="10"/>
  <c r="F58" i="9"/>
  <c r="F58" i="5"/>
  <c r="B9" i="10" s="1"/>
  <c r="B28" i="10" s="1"/>
  <c r="F60" i="9" l="1"/>
  <c r="F62" i="9" s="1"/>
  <c r="D28" i="10"/>
  <c r="F60" i="8"/>
  <c r="F62" i="8" s="1"/>
  <c r="C28" i="10"/>
  <c r="C35" i="10" s="1"/>
  <c r="C16" i="10"/>
  <c r="F60" i="5"/>
  <c r="F62" i="5" s="1"/>
  <c r="D35" i="10" l="1"/>
</calcChain>
</file>

<file path=xl/sharedStrings.xml><?xml version="1.0" encoding="utf-8"?>
<sst xmlns="http://schemas.openxmlformats.org/spreadsheetml/2006/main" count="425" uniqueCount="69">
  <si>
    <t>Credit</t>
  </si>
  <si>
    <t>Non-Credit</t>
  </si>
  <si>
    <t>CDCP</t>
  </si>
  <si>
    <t>Per FTES Amount</t>
  </si>
  <si>
    <t>% Applicable</t>
  </si>
  <si>
    <t>Payment Per FTES</t>
  </si>
  <si>
    <t>A</t>
  </si>
  <si>
    <t>B</t>
  </si>
  <si>
    <t>D</t>
  </si>
  <si>
    <t>C= A*B</t>
  </si>
  <si>
    <t>FTES Funded</t>
  </si>
  <si>
    <t>Amount Paid</t>
  </si>
  <si>
    <t>E=C*D</t>
  </si>
  <si>
    <t>Pell</t>
  </si>
  <si>
    <t>Total Computational Revenue Under New Formula:</t>
  </si>
  <si>
    <t>Increase/&lt;Decrease&gt; in Funding Under New Formula:</t>
  </si>
  <si>
    <t>Basic Allocation</t>
  </si>
  <si>
    <t>Apportionment Calculation Under Proposed New Funding Formula for 2018-19</t>
  </si>
  <si>
    <t>South Orange County CCD</t>
  </si>
  <si>
    <t>AB540</t>
  </si>
  <si>
    <t>Point Amount</t>
  </si>
  <si>
    <t>Total Counts</t>
  </si>
  <si>
    <t>Total Points</t>
  </si>
  <si>
    <t>Rate per Point</t>
  </si>
  <si>
    <t>Associate Degree</t>
  </si>
  <si>
    <t>Associate Degree for Transfer</t>
  </si>
  <si>
    <t>Completion of 9 CTE units</t>
  </si>
  <si>
    <t>Transfer to 4-year institution</t>
  </si>
  <si>
    <t>Completion of transfer level math and English</t>
  </si>
  <si>
    <t>Attainment of regional living wage</t>
  </si>
  <si>
    <t>Total</t>
  </si>
  <si>
    <t>Calculation of Supplemental Allocation</t>
  </si>
  <si>
    <t>Calculation of Student Success Incentive Allocation</t>
  </si>
  <si>
    <t>Calculation of Base Allocation</t>
  </si>
  <si>
    <t>Total Funding From Supplemental Allocation:</t>
  </si>
  <si>
    <t>Total Funding From Student Success Incentive Allocation:</t>
  </si>
  <si>
    <t>Total Funding From Base Allocation:</t>
  </si>
  <si>
    <t>Special Admit</t>
  </si>
  <si>
    <t>Hold Harmless:</t>
  </si>
  <si>
    <t>Difference:</t>
  </si>
  <si>
    <t>2016-17</t>
  </si>
  <si>
    <t>2017-18 P-2</t>
  </si>
  <si>
    <t>Rolling Average over 3 years</t>
  </si>
  <si>
    <t>Cal. Promise Grant (BOG)</t>
  </si>
  <si>
    <t>Equity Bump for CA Promise Fee Waivers</t>
  </si>
  <si>
    <t>Equity Bump for Pell Recipients</t>
  </si>
  <si>
    <t>Credit Certificates (16 or more units)</t>
  </si>
  <si>
    <t>2018-19</t>
  </si>
  <si>
    <t>Funded Rolling Average</t>
  </si>
  <si>
    <t>Total Computational Revenue Under Old Formula + COLA:</t>
  </si>
  <si>
    <t>Apportionment Calculation Under Proposed New Funding Formula for 2020-21</t>
  </si>
  <si>
    <t>Apportionment Calculation Under Proposed New Funding Formula for 2019-20</t>
  </si>
  <si>
    <t>COLA</t>
  </si>
  <si>
    <t>Apportionment Calculation Under Proposed New Funding Formula for 2020-21 w/COLA of 2.67%</t>
  </si>
  <si>
    <t>Apportionment Calculation Under Proposed New Funding Formula for 2019-20 w/COLA of 2.57%</t>
  </si>
  <si>
    <t>Base Allocation (Enrollment)</t>
  </si>
  <si>
    <t>Supplemental Allocation (Low Income)</t>
  </si>
  <si>
    <t>Student Success Incentive Allocation</t>
  </si>
  <si>
    <t>Total Calculated Allocation</t>
  </si>
  <si>
    <t>FY 2017-18 SB361 Plus COLA</t>
  </si>
  <si>
    <t>P2 funding + 2.71%</t>
  </si>
  <si>
    <t>Hold Harmless Amount</t>
  </si>
  <si>
    <t>% Change Related to shift in SCFF</t>
  </si>
  <si>
    <t>Advance</t>
  </si>
  <si>
    <t>2019-20</t>
  </si>
  <si>
    <t>2020-21</t>
  </si>
  <si>
    <t>No COLA</t>
  </si>
  <si>
    <t>COLA = 2.57%</t>
  </si>
  <si>
    <t>COLA = 2.67%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</si>
</sst>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_);_(@_)"/>
    <numFmt numFmtId="166" formatCode="_(* #,##0.00_);_(* \(#,##0.0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2" fillId="0" borderId="0" xfId="1" applyFont="1" applyAlignment="1">
      <alignment horizontal="right"/>
    </xf>
    <xf numFmtId="44" fontId="2" fillId="0" borderId="0" xfId="1" applyFont="1"/>
    <xf numFmtId="9" fontId="0" fillId="0" borderId="0" xfId="3" applyNumberFormat="1" applyFont="1"/>
    <xf numFmtId="164" fontId="0" fillId="0" borderId="0" xfId="1" applyNumberFormat="1" applyFont="1"/>
    <xf numFmtId="44" fontId="2" fillId="0" borderId="10" xfId="1" applyFont="1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2" fillId="0" borderId="11" xfId="1" applyFont="1" applyBorder="1" applyAlignment="1">
      <alignment horizontal="center"/>
    </xf>
    <xf numFmtId="44" fontId="0" fillId="0" borderId="10" xfId="1" applyFont="1" applyBorder="1"/>
    <xf numFmtId="44" fontId="0" fillId="0" borderId="0" xfId="1" applyFont="1" applyBorder="1"/>
    <xf numFmtId="44" fontId="0" fillId="0" borderId="11" xfId="1" applyFont="1" applyBorder="1"/>
    <xf numFmtId="164" fontId="0" fillId="0" borderId="0" xfId="1" applyNumberFormat="1" applyFont="1" applyBorder="1"/>
    <xf numFmtId="43" fontId="0" fillId="0" borderId="0" xfId="2" applyFont="1" applyBorder="1"/>
    <xf numFmtId="44" fontId="0" fillId="0" borderId="4" xfId="1" applyFont="1" applyBorder="1"/>
    <xf numFmtId="164" fontId="0" fillId="0" borderId="5" xfId="1" applyNumberFormat="1" applyFont="1" applyBorder="1"/>
    <xf numFmtId="44" fontId="0" fillId="0" borderId="5" xfId="1" applyFont="1" applyBorder="1"/>
    <xf numFmtId="44" fontId="2" fillId="0" borderId="5" xfId="1" applyFont="1" applyBorder="1" applyAlignment="1">
      <alignment horizontal="right"/>
    </xf>
    <xf numFmtId="44" fontId="2" fillId="0" borderId="6" xfId="1" applyFont="1" applyBorder="1"/>
    <xf numFmtId="44" fontId="2" fillId="0" borderId="1" xfId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44" fontId="2" fillId="0" borderId="2" xfId="1" applyFont="1" applyBorder="1" applyAlignment="1">
      <alignment horizontal="center"/>
    </xf>
    <xf numFmtId="44" fontId="2" fillId="0" borderId="3" xfId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0" fontId="0" fillId="0" borderId="0" xfId="3" applyNumberFormat="1" applyFont="1" applyBorder="1"/>
    <xf numFmtId="9" fontId="0" fillId="0" borderId="5" xfId="3" applyNumberFormat="1" applyFont="1" applyBorder="1"/>
    <xf numFmtId="164" fontId="0" fillId="0" borderId="0" xfId="1" applyNumberFormat="1" applyFont="1" applyFill="1" applyBorder="1"/>
    <xf numFmtId="9" fontId="0" fillId="0" borderId="0" xfId="3" applyFont="1" applyFill="1" applyBorder="1"/>
    <xf numFmtId="44" fontId="0" fillId="0" borderId="0" xfId="1" applyFont="1" applyFill="1" applyBorder="1"/>
    <xf numFmtId="43" fontId="0" fillId="0" borderId="0" xfId="2" applyFont="1" applyFill="1" applyBorder="1"/>
    <xf numFmtId="44" fontId="0" fillId="0" borderId="11" xfId="1" applyFont="1" applyFill="1" applyBorder="1"/>
    <xf numFmtId="10" fontId="0" fillId="0" borderId="0" xfId="3" applyNumberFormat="1" applyFont="1" applyFill="1" applyBorder="1"/>
    <xf numFmtId="41" fontId="0" fillId="0" borderId="0" xfId="1" applyNumberFormat="1" applyFont="1" applyFill="1" applyBorder="1"/>
    <xf numFmtId="41" fontId="0" fillId="0" borderId="0" xfId="3" applyNumberFormat="1" applyFont="1" applyFill="1" applyBorder="1"/>
    <xf numFmtId="41" fontId="0" fillId="0" borderId="0" xfId="2" applyNumberFormat="1" applyFont="1" applyFill="1" applyBorder="1"/>
    <xf numFmtId="165" fontId="0" fillId="0" borderId="0" xfId="1" applyNumberFormat="1" applyFont="1" applyFill="1" applyBorder="1"/>
    <xf numFmtId="44" fontId="0" fillId="0" borderId="10" xfId="1" applyFont="1" applyBorder="1" applyAlignment="1">
      <alignment horizontal="center"/>
    </xf>
    <xf numFmtId="44" fontId="2" fillId="0" borderId="10" xfId="1" applyFont="1" applyBorder="1"/>
    <xf numFmtId="0" fontId="0" fillId="0" borderId="0" xfId="0" applyAlignment="1">
      <alignment horizontal="center"/>
    </xf>
    <xf numFmtId="43" fontId="0" fillId="0" borderId="0" xfId="2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3" fontId="2" fillId="0" borderId="12" xfId="2" applyFont="1" applyBorder="1"/>
    <xf numFmtId="43" fontId="0" fillId="0" borderId="0" xfId="0" applyNumberFormat="1"/>
    <xf numFmtId="166" fontId="0" fillId="0" borderId="0" xfId="1" applyNumberFormat="1" applyFont="1" applyFill="1" applyBorder="1"/>
    <xf numFmtId="43" fontId="2" fillId="0" borderId="0" xfId="0" applyNumberFormat="1" applyFont="1"/>
    <xf numFmtId="43" fontId="0" fillId="0" borderId="13" xfId="0" applyNumberFormat="1" applyBorder="1"/>
    <xf numFmtId="43" fontId="0" fillId="0" borderId="0" xfId="0" applyNumberFormat="1" applyBorder="1"/>
    <xf numFmtId="43" fontId="2" fillId="0" borderId="0" xfId="2" applyFont="1" applyBorder="1"/>
    <xf numFmtId="0" fontId="0" fillId="0" borderId="0" xfId="0" applyBorder="1"/>
    <xf numFmtId="10" fontId="2" fillId="0" borderId="0" xfId="1" applyNumberFormat="1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10" xfId="0" applyFont="1" applyBorder="1"/>
    <xf numFmtId="164" fontId="3" fillId="0" borderId="16" xfId="0" applyNumberFormat="1" applyFont="1" applyBorder="1"/>
    <xf numFmtId="164" fontId="3" fillId="0" borderId="20" xfId="0" applyNumberFormat="1" applyFont="1" applyBorder="1"/>
    <xf numFmtId="0" fontId="4" fillId="6" borderId="21" xfId="0" applyFont="1" applyFill="1" applyBorder="1"/>
    <xf numFmtId="164" fontId="4" fillId="6" borderId="14" xfId="0" applyNumberFormat="1" applyFont="1" applyFill="1" applyBorder="1"/>
    <xf numFmtId="164" fontId="4" fillId="6" borderId="22" xfId="0" applyNumberFormat="1" applyFont="1" applyFill="1" applyBorder="1"/>
    <xf numFmtId="0" fontId="5" fillId="0" borderId="10" xfId="0" applyFont="1" applyBorder="1"/>
    <xf numFmtId="0" fontId="4" fillId="7" borderId="21" xfId="0" applyFont="1" applyFill="1" applyBorder="1"/>
    <xf numFmtId="164" fontId="4" fillId="7" borderId="14" xfId="0" applyNumberFormat="1" applyFont="1" applyFill="1" applyBorder="1"/>
    <xf numFmtId="164" fontId="4" fillId="7" borderId="22" xfId="0" applyNumberFormat="1" applyFont="1" applyFill="1" applyBorder="1"/>
    <xf numFmtId="0" fontId="4" fillId="0" borderId="21" xfId="0" applyFont="1" applyBorder="1"/>
    <xf numFmtId="164" fontId="4" fillId="0" borderId="14" xfId="0" applyNumberFormat="1" applyFont="1" applyBorder="1"/>
    <xf numFmtId="164" fontId="4" fillId="0" borderId="22" xfId="0" applyNumberFormat="1" applyFont="1" applyBorder="1"/>
    <xf numFmtId="0" fontId="3" fillId="0" borderId="16" xfId="0" applyFont="1" applyBorder="1"/>
    <xf numFmtId="0" fontId="3" fillId="0" borderId="20" xfId="0" applyFont="1" applyBorder="1"/>
    <xf numFmtId="0" fontId="4" fillId="0" borderId="23" xfId="0" applyFont="1" applyBorder="1"/>
    <xf numFmtId="0" fontId="4" fillId="0" borderId="24" xfId="0" applyFont="1" applyBorder="1"/>
    <xf numFmtId="10" fontId="4" fillId="0" borderId="24" xfId="3" applyNumberFormat="1" applyFont="1" applyBorder="1"/>
    <xf numFmtId="10" fontId="4" fillId="0" borderId="25" xfId="3" applyNumberFormat="1" applyFont="1" applyBorder="1"/>
    <xf numFmtId="0" fontId="3" fillId="0" borderId="0" xfId="0" applyFont="1"/>
    <xf numFmtId="44" fontId="2" fillId="2" borderId="1" xfId="1" applyFont="1" applyFill="1" applyBorder="1" applyAlignment="1">
      <alignment horizontal="center"/>
    </xf>
    <xf numFmtId="44" fontId="2" fillId="2" borderId="2" xfId="1" applyFont="1" applyFill="1" applyBorder="1" applyAlignment="1">
      <alignment horizontal="center"/>
    </xf>
    <xf numFmtId="44" fontId="2" fillId="2" borderId="3" xfId="1" applyFont="1" applyFill="1" applyBorder="1" applyAlignment="1">
      <alignment horizontal="center"/>
    </xf>
    <xf numFmtId="44" fontId="2" fillId="2" borderId="4" xfId="1" applyFont="1" applyFill="1" applyBorder="1" applyAlignment="1">
      <alignment horizontal="center"/>
    </xf>
    <xf numFmtId="44" fontId="2" fillId="2" borderId="5" xfId="1" applyFont="1" applyFill="1" applyBorder="1" applyAlignment="1">
      <alignment horizontal="center"/>
    </xf>
    <xf numFmtId="44" fontId="2" fillId="2" borderId="6" xfId="1" applyFont="1" applyFill="1" applyBorder="1" applyAlignment="1">
      <alignment horizontal="center"/>
    </xf>
    <xf numFmtId="44" fontId="2" fillId="3" borderId="7" xfId="1" applyFont="1" applyFill="1" applyBorder="1" applyAlignment="1">
      <alignment horizontal="center"/>
    </xf>
    <xf numFmtId="44" fontId="2" fillId="3" borderId="8" xfId="1" applyFont="1" applyFill="1" applyBorder="1" applyAlignment="1">
      <alignment horizontal="center"/>
    </xf>
    <xf numFmtId="44" fontId="2" fillId="3" borderId="9" xfId="1" applyFont="1" applyFill="1" applyBorder="1" applyAlignment="1">
      <alignment horizontal="center"/>
    </xf>
    <xf numFmtId="44" fontId="2" fillId="4" borderId="7" xfId="1" applyFont="1" applyFill="1" applyBorder="1" applyAlignment="1">
      <alignment horizontal="center"/>
    </xf>
    <xf numFmtId="44" fontId="2" fillId="4" borderId="8" xfId="1" applyFont="1" applyFill="1" applyBorder="1" applyAlignment="1">
      <alignment horizontal="center"/>
    </xf>
    <xf numFmtId="44" fontId="2" fillId="4" borderId="9" xfId="1" applyFont="1" applyFill="1" applyBorder="1" applyAlignment="1">
      <alignment horizontal="center"/>
    </xf>
    <xf numFmtId="44" fontId="2" fillId="5" borderId="7" xfId="1" applyFont="1" applyFill="1" applyBorder="1" applyAlignment="1">
      <alignment horizontal="center"/>
    </xf>
    <xf numFmtId="44" fontId="2" fillId="5" borderId="8" xfId="1" applyFont="1" applyFill="1" applyBorder="1" applyAlignment="1">
      <alignment horizontal="center"/>
    </xf>
    <xf numFmtId="44" fontId="2" fillId="5" borderId="9" xfId="1" applyFont="1" applyFill="1" applyBorder="1" applyAlignment="1">
      <alignment horizontal="center"/>
    </xf>
  </cellXfs>
  <cellStyles count="5">
    <cellStyle name="Comma" xfId="2" builtinId="3"/>
    <cellStyle name="Currency" xfId="1" builtinId="4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2" defaultPivotStyle="PivotStyleLight16"/>
  <colors>
    <mruColors>
      <color rgb="FFF8ED5E"/>
      <color rgb="FFFF9F9F"/>
      <color rgb="FFFFB3B3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tabSelected="1" zoomScale="90" zoomScaleNormal="90" workbookViewId="0">
      <selection activeCell="C28" sqref="C28"/>
    </sheetView>
  </sheetViews>
  <sheetFormatPr defaultColWidth="17.7109375" defaultRowHeight="15" x14ac:dyDescent="0.25"/>
  <cols>
    <col min="1" max="1" width="38.28515625" style="1" bestFit="1" customWidth="1"/>
    <col min="2" max="16384" width="17.7109375" style="1"/>
  </cols>
  <sheetData>
    <row r="1" spans="1:6" x14ac:dyDescent="0.25">
      <c r="A1" s="79" t="s">
        <v>18</v>
      </c>
      <c r="B1" s="80"/>
      <c r="C1" s="80"/>
      <c r="D1" s="80"/>
      <c r="E1" s="80"/>
      <c r="F1" s="81"/>
    </row>
    <row r="2" spans="1:6" ht="15.75" thickBot="1" x14ac:dyDescent="0.3">
      <c r="A2" s="82" t="s">
        <v>50</v>
      </c>
      <c r="B2" s="83"/>
      <c r="C2" s="83"/>
      <c r="D2" s="83"/>
      <c r="E2" s="83"/>
      <c r="F2" s="84"/>
    </row>
    <row r="3" spans="1:6" ht="15.75" thickBot="1" x14ac:dyDescent="0.3"/>
    <row r="4" spans="1:6" ht="15.75" thickBot="1" x14ac:dyDescent="0.3">
      <c r="A4" s="85" t="s">
        <v>33</v>
      </c>
      <c r="B4" s="86"/>
      <c r="C4" s="86"/>
      <c r="D4" s="86"/>
      <c r="E4" s="86"/>
      <c r="F4" s="87"/>
    </row>
    <row r="5" spans="1:6" s="2" customFormat="1" x14ac:dyDescent="0.25">
      <c r="A5" s="7"/>
      <c r="B5" s="8" t="s">
        <v>6</v>
      </c>
      <c r="C5" s="8" t="s">
        <v>7</v>
      </c>
      <c r="D5" s="8" t="s">
        <v>9</v>
      </c>
      <c r="E5" s="8" t="s">
        <v>8</v>
      </c>
      <c r="F5" s="9" t="s">
        <v>12</v>
      </c>
    </row>
    <row r="6" spans="1:6" x14ac:dyDescent="0.25">
      <c r="A6" s="10"/>
      <c r="B6" s="11"/>
      <c r="C6" s="11"/>
      <c r="D6" s="11"/>
      <c r="E6" s="11"/>
      <c r="F6" s="12"/>
    </row>
    <row r="7" spans="1:6" s="2" customFormat="1" x14ac:dyDescent="0.25">
      <c r="A7" s="7"/>
      <c r="B7" s="8" t="s">
        <v>3</v>
      </c>
      <c r="C7" s="8" t="s">
        <v>4</v>
      </c>
      <c r="D7" s="8" t="s">
        <v>5</v>
      </c>
      <c r="E7" s="8" t="s">
        <v>10</v>
      </c>
      <c r="F7" s="9" t="s">
        <v>11</v>
      </c>
    </row>
    <row r="8" spans="1:6" x14ac:dyDescent="0.25">
      <c r="A8" s="10" t="s">
        <v>16</v>
      </c>
      <c r="B8" s="27"/>
      <c r="C8" s="28"/>
      <c r="D8" s="29"/>
      <c r="E8" s="30"/>
      <c r="F8" s="31">
        <v>9136691</v>
      </c>
    </row>
    <row r="9" spans="1:6" x14ac:dyDescent="0.25">
      <c r="A9" s="10" t="s">
        <v>0</v>
      </c>
      <c r="B9" s="27">
        <v>3476</v>
      </c>
      <c r="C9" s="32">
        <v>1</v>
      </c>
      <c r="D9" s="29">
        <v>3126</v>
      </c>
      <c r="E9" s="30">
        <f>FTES!E6</f>
        <v>23548.693333333333</v>
      </c>
      <c r="F9" s="31">
        <f>ROUND(('Simulation 19-20'!F9/'Simulation 19-20'!D9)*'Simulation 20-21'!D9,0)</f>
        <v>73613215</v>
      </c>
    </row>
    <row r="10" spans="1:6" x14ac:dyDescent="0.25">
      <c r="A10" s="10" t="s">
        <v>1</v>
      </c>
      <c r="B10" s="27">
        <v>3347.49</v>
      </c>
      <c r="C10" s="32">
        <v>1</v>
      </c>
      <c r="D10" s="29">
        <f>B10*C10</f>
        <v>3347.49</v>
      </c>
      <c r="E10" s="30">
        <f>FTES!C9</f>
        <v>1992.56</v>
      </c>
      <c r="F10" s="31">
        <v>6670080</v>
      </c>
    </row>
    <row r="11" spans="1:6" x14ac:dyDescent="0.25">
      <c r="A11" s="10" t="s">
        <v>2</v>
      </c>
      <c r="B11" s="13">
        <v>5456.67</v>
      </c>
      <c r="C11" s="25">
        <v>1</v>
      </c>
      <c r="D11" s="11">
        <f>B11*C11</f>
        <v>5456.67</v>
      </c>
      <c r="E11" s="14">
        <f>FTES!C10</f>
        <v>895.35</v>
      </c>
      <c r="F11" s="12">
        <v>4885632</v>
      </c>
    </row>
    <row r="12" spans="1:6" x14ac:dyDescent="0.25">
      <c r="A12" s="10" t="s">
        <v>37</v>
      </c>
      <c r="B12" s="13">
        <v>5600.29</v>
      </c>
      <c r="C12" s="25">
        <v>1</v>
      </c>
      <c r="D12" s="11">
        <f>B12*C12</f>
        <v>5600.29</v>
      </c>
      <c r="E12" s="14">
        <f>FTES!E5</f>
        <v>593.07000000000005</v>
      </c>
      <c r="F12" s="12">
        <v>3321365</v>
      </c>
    </row>
    <row r="13" spans="1:6" ht="15.75" thickBot="1" x14ac:dyDescent="0.3">
      <c r="A13" s="15"/>
      <c r="B13" s="16"/>
      <c r="C13" s="17"/>
      <c r="D13" s="17"/>
      <c r="E13" s="18" t="s">
        <v>36</v>
      </c>
      <c r="F13" s="19">
        <f>SUM(F8:F12)</f>
        <v>97626983</v>
      </c>
    </row>
    <row r="14" spans="1:6" ht="15.75" thickBot="1" x14ac:dyDescent="0.3">
      <c r="B14" s="6"/>
      <c r="E14" s="3"/>
      <c r="F14" s="4"/>
    </row>
    <row r="15" spans="1:6" ht="15.75" thickBot="1" x14ac:dyDescent="0.3">
      <c r="A15" s="88" t="s">
        <v>31</v>
      </c>
      <c r="B15" s="89"/>
      <c r="C15" s="89"/>
      <c r="D15" s="89"/>
      <c r="E15" s="89"/>
      <c r="F15" s="90"/>
    </row>
    <row r="16" spans="1:6" s="2" customFormat="1" x14ac:dyDescent="0.25">
      <c r="A16" s="20"/>
      <c r="B16" s="21" t="s">
        <v>6</v>
      </c>
      <c r="C16" s="22" t="s">
        <v>7</v>
      </c>
      <c r="D16" s="22" t="s">
        <v>9</v>
      </c>
      <c r="E16" s="22" t="s">
        <v>8</v>
      </c>
      <c r="F16" s="23" t="s">
        <v>12</v>
      </c>
    </row>
    <row r="17" spans="1:6" x14ac:dyDescent="0.25">
      <c r="A17" s="10"/>
      <c r="B17" s="13"/>
      <c r="C17" s="11"/>
      <c r="D17" s="11"/>
      <c r="E17" s="11"/>
      <c r="F17" s="12"/>
    </row>
    <row r="18" spans="1:6" s="2" customFormat="1" x14ac:dyDescent="0.25">
      <c r="A18" s="7"/>
      <c r="B18" s="24" t="s">
        <v>20</v>
      </c>
      <c r="C18" s="8" t="s">
        <v>21</v>
      </c>
      <c r="D18" s="8" t="s">
        <v>22</v>
      </c>
      <c r="E18" s="8" t="s">
        <v>23</v>
      </c>
      <c r="F18" s="9" t="s">
        <v>11</v>
      </c>
    </row>
    <row r="19" spans="1:6" x14ac:dyDescent="0.25">
      <c r="A19" s="10" t="s">
        <v>43</v>
      </c>
      <c r="B19" s="33">
        <v>1</v>
      </c>
      <c r="C19" s="34">
        <v>16230</v>
      </c>
      <c r="D19" s="33">
        <f>B19*C19</f>
        <v>16230</v>
      </c>
      <c r="E19" s="29">
        <v>919</v>
      </c>
      <c r="F19" s="12">
        <f t="shared" ref="F19:F21" si="0">ROUND(D19*E19,0)</f>
        <v>14915370</v>
      </c>
    </row>
    <row r="20" spans="1:6" x14ac:dyDescent="0.25">
      <c r="A20" s="10" t="s">
        <v>19</v>
      </c>
      <c r="B20" s="33">
        <v>1</v>
      </c>
      <c r="C20" s="34">
        <v>1405</v>
      </c>
      <c r="D20" s="33">
        <f>B20*C20</f>
        <v>1405</v>
      </c>
      <c r="E20" s="29">
        <v>919</v>
      </c>
      <c r="F20" s="12">
        <f t="shared" si="0"/>
        <v>1291195</v>
      </c>
    </row>
    <row r="21" spans="1:6" x14ac:dyDescent="0.25">
      <c r="A21" s="10" t="s">
        <v>13</v>
      </c>
      <c r="B21" s="33">
        <v>1</v>
      </c>
      <c r="C21" s="34">
        <v>6071</v>
      </c>
      <c r="D21" s="33">
        <f>B21*C21</f>
        <v>6071</v>
      </c>
      <c r="E21" s="29">
        <v>919</v>
      </c>
      <c r="F21" s="12">
        <f t="shared" si="0"/>
        <v>5579249</v>
      </c>
    </row>
    <row r="22" spans="1:6" ht="15.75" thickBot="1" x14ac:dyDescent="0.3">
      <c r="A22" s="15"/>
      <c r="B22" s="17"/>
      <c r="C22" s="26"/>
      <c r="D22" s="17"/>
      <c r="E22" s="18" t="s">
        <v>34</v>
      </c>
      <c r="F22" s="19">
        <f>SUM(F19:F21)</f>
        <v>21785814</v>
      </c>
    </row>
    <row r="23" spans="1:6" ht="15.75" thickBot="1" x14ac:dyDescent="0.3">
      <c r="C23" s="5"/>
    </row>
    <row r="24" spans="1:6" ht="15.75" thickBot="1" x14ac:dyDescent="0.3">
      <c r="A24" s="91" t="s">
        <v>32</v>
      </c>
      <c r="B24" s="92"/>
      <c r="C24" s="92"/>
      <c r="D24" s="92"/>
      <c r="E24" s="92"/>
      <c r="F24" s="93"/>
    </row>
    <row r="25" spans="1:6" x14ac:dyDescent="0.25">
      <c r="A25" s="20"/>
      <c r="B25" s="21" t="s">
        <v>6</v>
      </c>
      <c r="C25" s="22" t="s">
        <v>7</v>
      </c>
      <c r="D25" s="22" t="s">
        <v>9</v>
      </c>
      <c r="E25" s="22" t="s">
        <v>8</v>
      </c>
      <c r="F25" s="23" t="s">
        <v>12</v>
      </c>
    </row>
    <row r="26" spans="1:6" x14ac:dyDescent="0.25">
      <c r="A26" s="10"/>
      <c r="B26" s="13"/>
      <c r="C26" s="11"/>
      <c r="D26" s="11"/>
      <c r="E26" s="11"/>
      <c r="F26" s="12"/>
    </row>
    <row r="27" spans="1:6" x14ac:dyDescent="0.25">
      <c r="A27" s="7"/>
      <c r="B27" s="24" t="s">
        <v>20</v>
      </c>
      <c r="C27" s="8" t="s">
        <v>21</v>
      </c>
      <c r="D27" s="8" t="s">
        <v>22</v>
      </c>
      <c r="E27" s="8" t="s">
        <v>23</v>
      </c>
      <c r="F27" s="9" t="s">
        <v>11</v>
      </c>
    </row>
    <row r="28" spans="1:6" x14ac:dyDescent="0.25">
      <c r="A28" s="10" t="s">
        <v>24</v>
      </c>
      <c r="B28" s="36">
        <v>3</v>
      </c>
      <c r="C28" s="34">
        <v>2010</v>
      </c>
      <c r="D28" s="33">
        <f t="shared" ref="D28:D34" si="1">B28*C28</f>
        <v>6030</v>
      </c>
      <c r="E28" s="29">
        <v>880</v>
      </c>
      <c r="F28" s="31">
        <f>('Simulation 19-20'!F28/'Simulation 19-20'!E28)*'Simulation 20-21'!E28</f>
        <v>5303760</v>
      </c>
    </row>
    <row r="29" spans="1:6" x14ac:dyDescent="0.25">
      <c r="A29" s="10" t="s">
        <v>25</v>
      </c>
      <c r="B29" s="36">
        <v>4</v>
      </c>
      <c r="C29" s="34">
        <v>1082</v>
      </c>
      <c r="D29" s="33">
        <f t="shared" si="1"/>
        <v>4328</v>
      </c>
      <c r="E29" s="29">
        <v>880</v>
      </c>
      <c r="F29" s="31">
        <f>('Simulation 19-20'!F29/'Simulation 19-20'!E29)*'Simulation 20-21'!E29</f>
        <v>3808640</v>
      </c>
    </row>
    <row r="30" spans="1:6" x14ac:dyDescent="0.25">
      <c r="A30" s="10" t="s">
        <v>46</v>
      </c>
      <c r="B30" s="36">
        <v>2</v>
      </c>
      <c r="C30" s="34">
        <v>3538</v>
      </c>
      <c r="D30" s="33">
        <f t="shared" si="1"/>
        <v>7076</v>
      </c>
      <c r="E30" s="29">
        <v>880</v>
      </c>
      <c r="F30" s="31">
        <f>('Simulation 19-20'!F30/'Simulation 19-20'!E30)*'Simulation 20-21'!E30</f>
        <v>6226880</v>
      </c>
    </row>
    <row r="31" spans="1:6" x14ac:dyDescent="0.25">
      <c r="A31" s="10" t="s">
        <v>26</v>
      </c>
      <c r="B31" s="36">
        <v>1</v>
      </c>
      <c r="C31" s="34">
        <v>4535</v>
      </c>
      <c r="D31" s="33">
        <f t="shared" si="1"/>
        <v>4535</v>
      </c>
      <c r="E31" s="29">
        <v>880</v>
      </c>
      <c r="F31" s="31">
        <f>('Simulation 19-20'!F31/'Simulation 19-20'!E31)*'Simulation 20-21'!E31</f>
        <v>3952080</v>
      </c>
    </row>
    <row r="32" spans="1:6" x14ac:dyDescent="0.25">
      <c r="A32" s="10" t="s">
        <v>27</v>
      </c>
      <c r="B32" s="36">
        <v>1.5</v>
      </c>
      <c r="C32" s="34">
        <v>4748</v>
      </c>
      <c r="D32" s="33">
        <f t="shared" si="1"/>
        <v>7122</v>
      </c>
      <c r="E32" s="29">
        <v>880</v>
      </c>
      <c r="F32" s="31">
        <f>('Simulation 19-20'!F32/'Simulation 19-20'!E32)*'Simulation 20-21'!E32</f>
        <v>6262080</v>
      </c>
    </row>
    <row r="33" spans="1:6" x14ac:dyDescent="0.25">
      <c r="A33" s="10" t="s">
        <v>28</v>
      </c>
      <c r="B33" s="36">
        <v>2</v>
      </c>
      <c r="C33" s="34">
        <v>759</v>
      </c>
      <c r="D33" s="33">
        <f t="shared" si="1"/>
        <v>1518</v>
      </c>
      <c r="E33" s="29">
        <v>880</v>
      </c>
      <c r="F33" s="31">
        <f>('Simulation 19-20'!F33/'Simulation 19-20'!E33)*'Simulation 20-21'!E33</f>
        <v>1298880</v>
      </c>
    </row>
    <row r="34" spans="1:6" x14ac:dyDescent="0.25">
      <c r="A34" s="10" t="s">
        <v>29</v>
      </c>
      <c r="B34" s="36">
        <v>1</v>
      </c>
      <c r="C34" s="34">
        <v>2981</v>
      </c>
      <c r="D34" s="33">
        <f t="shared" si="1"/>
        <v>2981</v>
      </c>
      <c r="E34" s="29">
        <v>880</v>
      </c>
      <c r="F34" s="31">
        <f>('Simulation 19-20'!F34/'Simulation 19-20'!E34)*'Simulation 20-21'!E34</f>
        <v>2623280</v>
      </c>
    </row>
    <row r="35" spans="1:6" x14ac:dyDescent="0.25">
      <c r="A35" s="37" t="s">
        <v>30</v>
      </c>
      <c r="B35" s="36"/>
      <c r="C35" s="34"/>
      <c r="D35" s="33"/>
      <c r="E35" s="35"/>
      <c r="F35" s="12">
        <f>SUM(F28:F34)</f>
        <v>29475600</v>
      </c>
    </row>
    <row r="36" spans="1:6" x14ac:dyDescent="0.25">
      <c r="A36" s="37"/>
      <c r="B36" s="36"/>
      <c r="C36" s="34"/>
      <c r="D36" s="33"/>
      <c r="E36" s="35"/>
      <c r="F36" s="12"/>
    </row>
    <row r="37" spans="1:6" x14ac:dyDescent="0.25">
      <c r="A37" s="38" t="s">
        <v>44</v>
      </c>
      <c r="B37" s="36"/>
      <c r="C37" s="34"/>
      <c r="D37" s="33"/>
      <c r="E37" s="35"/>
      <c r="F37" s="12"/>
    </row>
    <row r="38" spans="1:6" x14ac:dyDescent="0.25">
      <c r="A38" s="10" t="s">
        <v>24</v>
      </c>
      <c r="B38" s="36">
        <v>3</v>
      </c>
      <c r="C38" s="34">
        <v>1120</v>
      </c>
      <c r="D38" s="33">
        <f t="shared" ref="D38:D44" si="2">B38*C38</f>
        <v>3360</v>
      </c>
      <c r="E38" s="29">
        <v>222</v>
      </c>
      <c r="F38" s="31">
        <f>('Simulation 19-20'!F38/'Simulation 19-20'!E38)*'Simulation 20-21'!E38</f>
        <v>746586</v>
      </c>
    </row>
    <row r="39" spans="1:6" x14ac:dyDescent="0.25">
      <c r="A39" s="10" t="s">
        <v>25</v>
      </c>
      <c r="B39" s="36">
        <v>4</v>
      </c>
      <c r="C39" s="34">
        <v>585</v>
      </c>
      <c r="D39" s="33">
        <f t="shared" si="2"/>
        <v>2340</v>
      </c>
      <c r="E39" s="29">
        <v>222</v>
      </c>
      <c r="F39" s="31">
        <f>('Simulation 19-20'!F39/'Simulation 19-20'!E39)*'Simulation 20-21'!E39</f>
        <v>523032</v>
      </c>
    </row>
    <row r="40" spans="1:6" x14ac:dyDescent="0.25">
      <c r="A40" s="10" t="s">
        <v>46</v>
      </c>
      <c r="B40" s="36">
        <v>2</v>
      </c>
      <c r="C40" s="34">
        <v>1854</v>
      </c>
      <c r="D40" s="33">
        <f t="shared" si="2"/>
        <v>3708</v>
      </c>
      <c r="E40" s="29">
        <v>222</v>
      </c>
      <c r="F40" s="31">
        <f>('Simulation 19-20'!F40/'Simulation 19-20'!E40)*'Simulation 20-21'!E40</f>
        <v>827616</v>
      </c>
    </row>
    <row r="41" spans="1:6" x14ac:dyDescent="0.25">
      <c r="A41" s="10" t="s">
        <v>26</v>
      </c>
      <c r="B41" s="36">
        <v>1</v>
      </c>
      <c r="C41" s="34">
        <v>2068</v>
      </c>
      <c r="D41" s="33">
        <f t="shared" si="2"/>
        <v>2068</v>
      </c>
      <c r="E41" s="29">
        <v>222</v>
      </c>
      <c r="F41" s="31">
        <f>('Simulation 19-20'!F41/'Simulation 19-20'!E41)*'Simulation 20-21'!E41</f>
        <v>500388</v>
      </c>
    </row>
    <row r="42" spans="1:6" x14ac:dyDescent="0.25">
      <c r="A42" s="10" t="s">
        <v>27</v>
      </c>
      <c r="B42" s="36">
        <v>1.5</v>
      </c>
      <c r="C42" s="34">
        <v>2335</v>
      </c>
      <c r="D42" s="33">
        <f t="shared" si="2"/>
        <v>3502.5</v>
      </c>
      <c r="E42" s="29">
        <v>222</v>
      </c>
      <c r="F42" s="31">
        <f>('Simulation 19-20'!F42/'Simulation 19-20'!E42)*'Simulation 20-21'!E42</f>
        <v>721611.99999999988</v>
      </c>
    </row>
    <row r="43" spans="1:6" x14ac:dyDescent="0.25">
      <c r="A43" s="10" t="s">
        <v>28</v>
      </c>
      <c r="B43" s="36">
        <v>2</v>
      </c>
      <c r="C43" s="34">
        <v>276</v>
      </c>
      <c r="D43" s="33">
        <f t="shared" si="2"/>
        <v>552</v>
      </c>
      <c r="E43" s="29">
        <v>222</v>
      </c>
      <c r="F43" s="31">
        <f>('Simulation 19-20'!F43/'Simulation 19-20'!E43)*'Simulation 20-21'!E43</f>
        <v>114996</v>
      </c>
    </row>
    <row r="44" spans="1:6" x14ac:dyDescent="0.25">
      <c r="A44" s="10" t="s">
        <v>29</v>
      </c>
      <c r="B44" s="36">
        <v>1</v>
      </c>
      <c r="C44" s="34">
        <v>841</v>
      </c>
      <c r="D44" s="33">
        <f t="shared" si="2"/>
        <v>841</v>
      </c>
      <c r="E44" s="29">
        <v>222</v>
      </c>
      <c r="F44" s="31">
        <f>('Simulation 19-20'!F44/'Simulation 19-20'!E44)*'Simulation 20-21'!E44</f>
        <v>186702</v>
      </c>
    </row>
    <row r="45" spans="1:6" x14ac:dyDescent="0.25">
      <c r="A45" s="37" t="s">
        <v>30</v>
      </c>
      <c r="B45" s="36"/>
      <c r="C45" s="34"/>
      <c r="D45" s="33"/>
      <c r="E45" s="35"/>
      <c r="F45" s="12">
        <f>SUM(F38:F44)</f>
        <v>3620932</v>
      </c>
    </row>
    <row r="46" spans="1:6" x14ac:dyDescent="0.25">
      <c r="A46" s="37"/>
      <c r="B46" s="36"/>
      <c r="C46" s="34"/>
      <c r="D46" s="33"/>
      <c r="E46" s="35"/>
      <c r="F46" s="12"/>
    </row>
    <row r="47" spans="1:6" x14ac:dyDescent="0.25">
      <c r="A47" s="38" t="s">
        <v>45</v>
      </c>
      <c r="B47" s="36"/>
      <c r="C47" s="34"/>
      <c r="D47" s="33"/>
      <c r="E47" s="35"/>
      <c r="F47" s="12"/>
    </row>
    <row r="48" spans="1:6" x14ac:dyDescent="0.25">
      <c r="A48" s="10" t="s">
        <v>24</v>
      </c>
      <c r="B48" s="36">
        <v>4.5</v>
      </c>
      <c r="C48" s="34">
        <v>722</v>
      </c>
      <c r="D48" s="33">
        <f t="shared" ref="D48:D54" si="3">B48*C48</f>
        <v>3249</v>
      </c>
      <c r="E48" s="29">
        <v>222</v>
      </c>
      <c r="F48" s="31">
        <f>('Simulation 19-20'!F48/'Simulation 19-20'!E48)*'Simulation 20-21'!E48</f>
        <v>737262</v>
      </c>
    </row>
    <row r="49" spans="1:6" x14ac:dyDescent="0.25">
      <c r="A49" s="10" t="s">
        <v>25</v>
      </c>
      <c r="B49" s="36">
        <v>6</v>
      </c>
      <c r="C49" s="34">
        <v>366</v>
      </c>
      <c r="D49" s="33">
        <f t="shared" si="3"/>
        <v>2196</v>
      </c>
      <c r="E49" s="29">
        <v>222</v>
      </c>
      <c r="F49" s="31">
        <f>('Simulation 19-20'!F49/'Simulation 19-20'!E49)*'Simulation 20-21'!E49</f>
        <v>494172</v>
      </c>
    </row>
    <row r="50" spans="1:6" x14ac:dyDescent="0.25">
      <c r="A50" s="10" t="s">
        <v>46</v>
      </c>
      <c r="B50" s="36">
        <v>3</v>
      </c>
      <c r="C50" s="34">
        <v>1167</v>
      </c>
      <c r="D50" s="33">
        <f t="shared" si="3"/>
        <v>3501</v>
      </c>
      <c r="E50" s="29">
        <v>222</v>
      </c>
      <c r="F50" s="31">
        <f>('Simulation 19-20'!F50/'Simulation 19-20'!E50)*'Simulation 20-21'!E50</f>
        <v>788544</v>
      </c>
    </row>
    <row r="51" spans="1:6" x14ac:dyDescent="0.25">
      <c r="A51" s="10" t="s">
        <v>26</v>
      </c>
      <c r="B51" s="36">
        <v>1.5</v>
      </c>
      <c r="C51" s="34">
        <v>1166</v>
      </c>
      <c r="D51" s="33">
        <f t="shared" si="3"/>
        <v>1749</v>
      </c>
      <c r="E51" s="29">
        <v>222</v>
      </c>
      <c r="F51" s="31">
        <f>('Simulation 19-20'!F51/'Simulation 19-20'!E51)*'Simulation 20-21'!E51</f>
        <v>395604</v>
      </c>
    </row>
    <row r="52" spans="1:6" x14ac:dyDescent="0.25">
      <c r="A52" s="10" t="s">
        <v>27</v>
      </c>
      <c r="B52" s="45">
        <v>2.25</v>
      </c>
      <c r="C52" s="34">
        <v>1260</v>
      </c>
      <c r="D52" s="33">
        <f t="shared" si="3"/>
        <v>2835</v>
      </c>
      <c r="E52" s="29">
        <v>222</v>
      </c>
      <c r="F52" s="31">
        <f>('Simulation 19-20'!F52/'Simulation 19-20'!E52)*'Simulation 20-21'!E52</f>
        <v>607892</v>
      </c>
    </row>
    <row r="53" spans="1:6" x14ac:dyDescent="0.25">
      <c r="A53" s="10" t="s">
        <v>28</v>
      </c>
      <c r="B53" s="36">
        <v>3</v>
      </c>
      <c r="C53" s="34">
        <v>162</v>
      </c>
      <c r="D53" s="33">
        <f t="shared" si="3"/>
        <v>486</v>
      </c>
      <c r="E53" s="29">
        <v>222</v>
      </c>
      <c r="F53" s="31">
        <f>('Simulation 19-20'!F53/'Simulation 19-20'!E53)*'Simulation 20-21'!E53</f>
        <v>104562</v>
      </c>
    </row>
    <row r="54" spans="1:6" x14ac:dyDescent="0.25">
      <c r="A54" s="10" t="s">
        <v>29</v>
      </c>
      <c r="B54" s="36">
        <v>1.5</v>
      </c>
      <c r="C54" s="34">
        <v>294</v>
      </c>
      <c r="D54" s="33">
        <f t="shared" si="3"/>
        <v>441</v>
      </c>
      <c r="E54" s="29">
        <v>222</v>
      </c>
      <c r="F54" s="31">
        <f>('Simulation 19-20'!F54/'Simulation 19-20'!E54)*'Simulation 20-21'!E54</f>
        <v>97902</v>
      </c>
    </row>
    <row r="55" spans="1:6" x14ac:dyDescent="0.25">
      <c r="A55" s="37" t="s">
        <v>30</v>
      </c>
      <c r="B55" s="36"/>
      <c r="C55" s="34"/>
      <c r="D55" s="33"/>
      <c r="E55" s="35"/>
      <c r="F55" s="12">
        <f>SUM(F48:F54)</f>
        <v>3225938</v>
      </c>
    </row>
    <row r="56" spans="1:6" ht="15.75" thickBot="1" x14ac:dyDescent="0.3">
      <c r="A56" s="15"/>
      <c r="B56" s="17"/>
      <c r="C56" s="26"/>
      <c r="D56" s="17"/>
      <c r="E56" s="18" t="s">
        <v>35</v>
      </c>
      <c r="F56" s="19">
        <f>F35+F45+F55</f>
        <v>36322470</v>
      </c>
    </row>
    <row r="58" spans="1:6" x14ac:dyDescent="0.25">
      <c r="E58" s="3" t="s">
        <v>14</v>
      </c>
      <c r="F58" s="4">
        <f>F13+F22+F56</f>
        <v>155735267</v>
      </c>
    </row>
    <row r="59" spans="1:6" x14ac:dyDescent="0.25">
      <c r="E59" s="3" t="s">
        <v>49</v>
      </c>
      <c r="F59" s="4">
        <v>156809621</v>
      </c>
    </row>
    <row r="60" spans="1:6" x14ac:dyDescent="0.25">
      <c r="E60" s="3" t="s">
        <v>15</v>
      </c>
      <c r="F60" s="4">
        <f>F58-F59</f>
        <v>-1074354</v>
      </c>
    </row>
    <row r="61" spans="1:6" x14ac:dyDescent="0.25">
      <c r="E61" s="3" t="s">
        <v>38</v>
      </c>
      <c r="F61" s="4">
        <v>1074354</v>
      </c>
    </row>
    <row r="62" spans="1:6" x14ac:dyDescent="0.25">
      <c r="E62" s="3" t="s">
        <v>39</v>
      </c>
      <c r="F62" s="4">
        <f>F60+F61</f>
        <v>0</v>
      </c>
    </row>
  </sheetData>
  <mergeCells count="5">
    <mergeCell ref="A1:F1"/>
    <mergeCell ref="A2:F2"/>
    <mergeCell ref="A4:F4"/>
    <mergeCell ref="A15:F15"/>
    <mergeCell ref="A24:F24"/>
  </mergeCells>
  <printOptions horizontalCentered="1"/>
  <pageMargins left="0.25" right="0.25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2"/>
  <sheetViews>
    <sheetView topLeftCell="A40" workbookViewId="0">
      <selection activeCell="F62" sqref="A1:F62"/>
    </sheetView>
  </sheetViews>
  <sheetFormatPr defaultColWidth="17.7109375" defaultRowHeight="15" x14ac:dyDescent="0.25"/>
  <cols>
    <col min="1" max="1" width="38.28515625" style="1" bestFit="1" customWidth="1"/>
    <col min="2" max="16384" width="17.7109375" style="1"/>
  </cols>
  <sheetData>
    <row r="1" spans="1:7" x14ac:dyDescent="0.25">
      <c r="A1" s="79" t="s">
        <v>18</v>
      </c>
      <c r="B1" s="80"/>
      <c r="C1" s="80"/>
      <c r="D1" s="80"/>
      <c r="E1" s="80"/>
      <c r="F1" s="81"/>
    </row>
    <row r="2" spans="1:7" ht="15.75" thickBot="1" x14ac:dyDescent="0.3">
      <c r="A2" s="82" t="s">
        <v>53</v>
      </c>
      <c r="B2" s="83"/>
      <c r="C2" s="83"/>
      <c r="D2" s="83"/>
      <c r="E2" s="83"/>
      <c r="F2" s="84"/>
    </row>
    <row r="3" spans="1:7" ht="15.75" thickBot="1" x14ac:dyDescent="0.3"/>
    <row r="4" spans="1:7" ht="15.75" thickBot="1" x14ac:dyDescent="0.3">
      <c r="A4" s="85" t="s">
        <v>33</v>
      </c>
      <c r="B4" s="86"/>
      <c r="C4" s="86"/>
      <c r="D4" s="86"/>
      <c r="E4" s="86"/>
      <c r="F4" s="87"/>
      <c r="G4" s="2" t="s">
        <v>52</v>
      </c>
    </row>
    <row r="5" spans="1:7" s="2" customFormat="1" x14ac:dyDescent="0.25">
      <c r="A5" s="7"/>
      <c r="B5" s="8" t="s">
        <v>6</v>
      </c>
      <c r="C5" s="8" t="s">
        <v>7</v>
      </c>
      <c r="D5" s="8" t="s">
        <v>9</v>
      </c>
      <c r="E5" s="8" t="s">
        <v>8</v>
      </c>
      <c r="F5" s="9" t="s">
        <v>12</v>
      </c>
      <c r="G5" s="51">
        <v>2.6700000000000002E-2</v>
      </c>
    </row>
    <row r="6" spans="1:7" x14ac:dyDescent="0.25">
      <c r="A6" s="10"/>
      <c r="B6" s="11"/>
      <c r="C6" s="11"/>
      <c r="D6" s="11"/>
      <c r="E6" s="11"/>
      <c r="F6" s="12"/>
    </row>
    <row r="7" spans="1:7" s="2" customFormat="1" x14ac:dyDescent="0.25">
      <c r="A7" s="7"/>
      <c r="B7" s="8" t="s">
        <v>3</v>
      </c>
      <c r="C7" s="8" t="s">
        <v>4</v>
      </c>
      <c r="D7" s="8" t="s">
        <v>5</v>
      </c>
      <c r="E7" s="8" t="s">
        <v>10</v>
      </c>
      <c r="F7" s="9" t="s">
        <v>11</v>
      </c>
    </row>
    <row r="8" spans="1:7" x14ac:dyDescent="0.25">
      <c r="A8" s="10" t="s">
        <v>16</v>
      </c>
      <c r="B8" s="27"/>
      <c r="C8" s="28"/>
      <c r="D8" s="29"/>
      <c r="E8" s="30"/>
      <c r="F8" s="31">
        <f>(9380640.6497*G5)+9380640.6497</f>
        <v>9631103.7550469916</v>
      </c>
    </row>
    <row r="9" spans="1:7" x14ac:dyDescent="0.25">
      <c r="A9" s="10" t="s">
        <v>0</v>
      </c>
      <c r="B9" s="27">
        <v>3206.34</v>
      </c>
      <c r="C9" s="32">
        <v>1</v>
      </c>
      <c r="D9" s="29">
        <f>(B9*$G$5)+B9</f>
        <v>3291.949278</v>
      </c>
      <c r="E9" s="30">
        <f>FTES!E6</f>
        <v>23548.693333333333</v>
      </c>
      <c r="F9" s="31">
        <f>ROUND(D9*E9,0)</f>
        <v>77521104</v>
      </c>
    </row>
    <row r="10" spans="1:7" x14ac:dyDescent="0.25">
      <c r="A10" s="10" t="s">
        <v>1</v>
      </c>
      <c r="B10" s="27">
        <v>3433.520493</v>
      </c>
      <c r="C10" s="32">
        <v>1</v>
      </c>
      <c r="D10" s="29">
        <f t="shared" ref="D10:D12" si="0">(B10*$G$5)+B10</f>
        <v>3525.1954901631002</v>
      </c>
      <c r="E10" s="30">
        <f>FTES!C9</f>
        <v>1992.56</v>
      </c>
      <c r="F10" s="31">
        <f t="shared" ref="F10:F12" si="1">ROUND(D10*E10,0)</f>
        <v>7024164</v>
      </c>
    </row>
    <row r="11" spans="1:7" x14ac:dyDescent="0.25">
      <c r="A11" s="10" t="s">
        <v>2</v>
      </c>
      <c r="B11" s="27">
        <v>5596.9064189999999</v>
      </c>
      <c r="C11" s="25">
        <v>1</v>
      </c>
      <c r="D11" s="29">
        <f t="shared" si="0"/>
        <v>5746.3438203873002</v>
      </c>
      <c r="E11" s="14">
        <f>FTES!C10</f>
        <v>895.35</v>
      </c>
      <c r="F11" s="31">
        <f t="shared" si="1"/>
        <v>5144989</v>
      </c>
    </row>
    <row r="12" spans="1:7" x14ac:dyDescent="0.25">
      <c r="A12" s="10" t="s">
        <v>37</v>
      </c>
      <c r="B12" s="27">
        <v>5744.2174530000002</v>
      </c>
      <c r="C12" s="25">
        <v>1</v>
      </c>
      <c r="D12" s="29">
        <f t="shared" si="0"/>
        <v>5897.5880589951003</v>
      </c>
      <c r="E12" s="14">
        <f>FTES!E5</f>
        <v>593.07000000000005</v>
      </c>
      <c r="F12" s="31">
        <f t="shared" si="1"/>
        <v>3497683</v>
      </c>
    </row>
    <row r="13" spans="1:7" ht="15.75" thickBot="1" x14ac:dyDescent="0.3">
      <c r="A13" s="15"/>
      <c r="B13" s="16"/>
      <c r="C13" s="17"/>
      <c r="D13" s="17"/>
      <c r="E13" s="18" t="s">
        <v>36</v>
      </c>
      <c r="F13" s="19">
        <f>SUM(F8:F12)</f>
        <v>102819043.75504699</v>
      </c>
    </row>
    <row r="14" spans="1:7" ht="15.75" thickBot="1" x14ac:dyDescent="0.3">
      <c r="B14" s="6"/>
      <c r="E14" s="3"/>
      <c r="F14" s="4"/>
    </row>
    <row r="15" spans="1:7" ht="15.75" thickBot="1" x14ac:dyDescent="0.3">
      <c r="A15" s="88" t="s">
        <v>31</v>
      </c>
      <c r="B15" s="89"/>
      <c r="C15" s="89"/>
      <c r="D15" s="89"/>
      <c r="E15" s="89"/>
      <c r="F15" s="90"/>
    </row>
    <row r="16" spans="1:7" s="2" customFormat="1" x14ac:dyDescent="0.25">
      <c r="A16" s="20"/>
      <c r="B16" s="21" t="s">
        <v>6</v>
      </c>
      <c r="C16" s="22" t="s">
        <v>7</v>
      </c>
      <c r="D16" s="22" t="s">
        <v>9</v>
      </c>
      <c r="E16" s="22" t="s">
        <v>8</v>
      </c>
      <c r="F16" s="23" t="s">
        <v>12</v>
      </c>
    </row>
    <row r="17" spans="1:6" x14ac:dyDescent="0.25">
      <c r="A17" s="10"/>
      <c r="B17" s="13"/>
      <c r="C17" s="11"/>
      <c r="D17" s="11"/>
      <c r="E17" s="11"/>
      <c r="F17" s="12"/>
    </row>
    <row r="18" spans="1:6" s="2" customFormat="1" x14ac:dyDescent="0.25">
      <c r="A18" s="7"/>
      <c r="B18" s="24" t="s">
        <v>20</v>
      </c>
      <c r="C18" s="8" t="s">
        <v>21</v>
      </c>
      <c r="D18" s="8" t="s">
        <v>22</v>
      </c>
      <c r="E18" s="8" t="s">
        <v>23</v>
      </c>
      <c r="F18" s="9" t="s">
        <v>11</v>
      </c>
    </row>
    <row r="19" spans="1:6" x14ac:dyDescent="0.25">
      <c r="A19" s="10" t="s">
        <v>43</v>
      </c>
      <c r="B19" s="33">
        <v>1</v>
      </c>
      <c r="C19" s="34">
        <v>16230</v>
      </c>
      <c r="D19" s="33">
        <f>B19*C19</f>
        <v>16230</v>
      </c>
      <c r="E19" s="29">
        <f>(942.62*$G$5)+942.62</f>
        <v>967.78795400000001</v>
      </c>
      <c r="F19" s="12">
        <f t="shared" ref="F19:F21" si="2">ROUND(D19*E19,0)</f>
        <v>15707198</v>
      </c>
    </row>
    <row r="20" spans="1:6" x14ac:dyDescent="0.25">
      <c r="A20" s="10" t="s">
        <v>19</v>
      </c>
      <c r="B20" s="33">
        <v>1</v>
      </c>
      <c r="C20" s="34">
        <v>1405</v>
      </c>
      <c r="D20" s="33">
        <f>B20*C20</f>
        <v>1405</v>
      </c>
      <c r="E20" s="29">
        <f t="shared" ref="E20:E21" si="3">(942.62*$G$5)+942.62</f>
        <v>967.78795400000001</v>
      </c>
      <c r="F20" s="12">
        <f t="shared" si="2"/>
        <v>1359742</v>
      </c>
    </row>
    <row r="21" spans="1:6" x14ac:dyDescent="0.25">
      <c r="A21" s="10" t="s">
        <v>13</v>
      </c>
      <c r="B21" s="33">
        <v>1</v>
      </c>
      <c r="C21" s="34">
        <v>6071</v>
      </c>
      <c r="D21" s="33">
        <f>B21*C21</f>
        <v>6071</v>
      </c>
      <c r="E21" s="29">
        <f t="shared" si="3"/>
        <v>967.78795400000001</v>
      </c>
      <c r="F21" s="12">
        <f t="shared" si="2"/>
        <v>5875441</v>
      </c>
    </row>
    <row r="22" spans="1:6" ht="15.75" thickBot="1" x14ac:dyDescent="0.3">
      <c r="A22" s="15"/>
      <c r="B22" s="17"/>
      <c r="C22" s="26"/>
      <c r="D22" s="17"/>
      <c r="E22" s="18" t="s">
        <v>34</v>
      </c>
      <c r="F22" s="19">
        <f>SUM(F19:F21)</f>
        <v>22942381</v>
      </c>
    </row>
    <row r="23" spans="1:6" ht="15.75" thickBot="1" x14ac:dyDescent="0.3">
      <c r="C23" s="5"/>
    </row>
    <row r="24" spans="1:6" ht="15.75" thickBot="1" x14ac:dyDescent="0.3">
      <c r="A24" s="91" t="s">
        <v>32</v>
      </c>
      <c r="B24" s="92"/>
      <c r="C24" s="92"/>
      <c r="D24" s="92"/>
      <c r="E24" s="92"/>
      <c r="F24" s="93"/>
    </row>
    <row r="25" spans="1:6" x14ac:dyDescent="0.25">
      <c r="A25" s="20"/>
      <c r="B25" s="21" t="s">
        <v>6</v>
      </c>
      <c r="C25" s="22" t="s">
        <v>7</v>
      </c>
      <c r="D25" s="22" t="s">
        <v>9</v>
      </c>
      <c r="E25" s="22" t="s">
        <v>8</v>
      </c>
      <c r="F25" s="23" t="s">
        <v>12</v>
      </c>
    </row>
    <row r="26" spans="1:6" x14ac:dyDescent="0.25">
      <c r="A26" s="10"/>
      <c r="B26" s="13"/>
      <c r="C26" s="11"/>
      <c r="D26" s="11"/>
      <c r="E26" s="11"/>
      <c r="F26" s="12"/>
    </row>
    <row r="27" spans="1:6" x14ac:dyDescent="0.25">
      <c r="A27" s="7"/>
      <c r="B27" s="24" t="s">
        <v>20</v>
      </c>
      <c r="C27" s="8" t="s">
        <v>21</v>
      </c>
      <c r="D27" s="8" t="s">
        <v>22</v>
      </c>
      <c r="E27" s="8" t="s">
        <v>23</v>
      </c>
      <c r="F27" s="9" t="s">
        <v>11</v>
      </c>
    </row>
    <row r="28" spans="1:6" x14ac:dyDescent="0.25">
      <c r="A28" s="10" t="s">
        <v>24</v>
      </c>
      <c r="B28" s="36">
        <v>3</v>
      </c>
      <c r="C28" s="34">
        <v>2010</v>
      </c>
      <c r="D28" s="33">
        <f t="shared" ref="D28:D34" si="4">B28*C28</f>
        <v>6030</v>
      </c>
      <c r="E28" s="29">
        <f>(((880*0.0257)+880)*$G$5)+((880*0.0257)+880)</f>
        <v>926.71584719999998</v>
      </c>
      <c r="F28" s="31">
        <f>ROUND(D28*E28,0)</f>
        <v>5588097</v>
      </c>
    </row>
    <row r="29" spans="1:6" x14ac:dyDescent="0.25">
      <c r="A29" s="10" t="s">
        <v>25</v>
      </c>
      <c r="B29" s="36">
        <v>4</v>
      </c>
      <c r="C29" s="34">
        <v>1082</v>
      </c>
      <c r="D29" s="33">
        <f t="shared" si="4"/>
        <v>4328</v>
      </c>
      <c r="E29" s="29">
        <f t="shared" ref="E29:E34" si="5">(((880*0.0257)+880)*$G$5)+((880*0.0257)+880)</f>
        <v>926.71584719999998</v>
      </c>
      <c r="F29" s="31">
        <f t="shared" ref="F29:F34" si="6">ROUND(D29*E29,0)</f>
        <v>4010826</v>
      </c>
    </row>
    <row r="30" spans="1:6" x14ac:dyDescent="0.25">
      <c r="A30" s="10" t="s">
        <v>46</v>
      </c>
      <c r="B30" s="36">
        <v>2</v>
      </c>
      <c r="C30" s="34">
        <v>3538</v>
      </c>
      <c r="D30" s="33">
        <f t="shared" si="4"/>
        <v>7076</v>
      </c>
      <c r="E30" s="29">
        <f t="shared" si="5"/>
        <v>926.71584719999998</v>
      </c>
      <c r="F30" s="31">
        <f t="shared" si="6"/>
        <v>6557441</v>
      </c>
    </row>
    <row r="31" spans="1:6" x14ac:dyDescent="0.25">
      <c r="A31" s="10" t="s">
        <v>26</v>
      </c>
      <c r="B31" s="36">
        <v>1</v>
      </c>
      <c r="C31" s="34">
        <v>4535</v>
      </c>
      <c r="D31" s="33">
        <f t="shared" si="4"/>
        <v>4535</v>
      </c>
      <c r="E31" s="29">
        <f t="shared" si="5"/>
        <v>926.71584719999998</v>
      </c>
      <c r="F31" s="31">
        <f t="shared" si="6"/>
        <v>4202656</v>
      </c>
    </row>
    <row r="32" spans="1:6" x14ac:dyDescent="0.25">
      <c r="A32" s="10" t="s">
        <v>27</v>
      </c>
      <c r="B32" s="36">
        <v>1.5</v>
      </c>
      <c r="C32" s="34">
        <v>4748</v>
      </c>
      <c r="D32" s="33">
        <f t="shared" si="4"/>
        <v>7122</v>
      </c>
      <c r="E32" s="29">
        <f t="shared" si="5"/>
        <v>926.71584719999998</v>
      </c>
      <c r="F32" s="31">
        <f t="shared" si="6"/>
        <v>6600070</v>
      </c>
    </row>
    <row r="33" spans="1:6" x14ac:dyDescent="0.25">
      <c r="A33" s="10" t="s">
        <v>28</v>
      </c>
      <c r="B33" s="36">
        <v>2</v>
      </c>
      <c r="C33" s="34">
        <v>759</v>
      </c>
      <c r="D33" s="33">
        <f t="shared" si="4"/>
        <v>1518</v>
      </c>
      <c r="E33" s="29">
        <f t="shared" si="5"/>
        <v>926.71584719999998</v>
      </c>
      <c r="F33" s="31">
        <f t="shared" si="6"/>
        <v>1406755</v>
      </c>
    </row>
    <row r="34" spans="1:6" x14ac:dyDescent="0.25">
      <c r="A34" s="10" t="s">
        <v>29</v>
      </c>
      <c r="B34" s="36">
        <v>1</v>
      </c>
      <c r="C34" s="34">
        <v>2981</v>
      </c>
      <c r="D34" s="33">
        <f t="shared" si="4"/>
        <v>2981</v>
      </c>
      <c r="E34" s="29">
        <f t="shared" si="5"/>
        <v>926.71584719999998</v>
      </c>
      <c r="F34" s="31">
        <f t="shared" si="6"/>
        <v>2762540</v>
      </c>
    </row>
    <row r="35" spans="1:6" x14ac:dyDescent="0.25">
      <c r="A35" s="37" t="s">
        <v>30</v>
      </c>
      <c r="B35" s="36"/>
      <c r="C35" s="34"/>
      <c r="D35" s="33"/>
      <c r="E35" s="35"/>
      <c r="F35" s="12">
        <f>SUM(F28:F34)</f>
        <v>31128385</v>
      </c>
    </row>
    <row r="36" spans="1:6" x14ac:dyDescent="0.25">
      <c r="A36" s="37"/>
      <c r="B36" s="36"/>
      <c r="C36" s="34"/>
      <c r="D36" s="33"/>
      <c r="E36" s="35"/>
      <c r="F36" s="12"/>
    </row>
    <row r="37" spans="1:6" x14ac:dyDescent="0.25">
      <c r="A37" s="38" t="s">
        <v>44</v>
      </c>
      <c r="B37" s="36"/>
      <c r="C37" s="34"/>
      <c r="D37" s="33"/>
      <c r="E37" s="35"/>
      <c r="F37" s="12"/>
    </row>
    <row r="38" spans="1:6" x14ac:dyDescent="0.25">
      <c r="A38" s="10" t="s">
        <v>24</v>
      </c>
      <c r="B38" s="36">
        <v>3</v>
      </c>
      <c r="C38" s="34">
        <v>1120</v>
      </c>
      <c r="D38" s="33">
        <f t="shared" ref="D38:D44" si="7">B38*C38</f>
        <v>3360</v>
      </c>
      <c r="E38" s="29">
        <f>(((222*0.0257)+222)*$G$5)+((222*0.0257)+222)</f>
        <v>233.78513418</v>
      </c>
      <c r="F38" s="31">
        <f>ROUND(D38*E38,0)</f>
        <v>785518</v>
      </c>
    </row>
    <row r="39" spans="1:6" x14ac:dyDescent="0.25">
      <c r="A39" s="10" t="s">
        <v>25</v>
      </c>
      <c r="B39" s="36">
        <v>4</v>
      </c>
      <c r="C39" s="34">
        <v>585</v>
      </c>
      <c r="D39" s="33">
        <f t="shared" si="7"/>
        <v>2340</v>
      </c>
      <c r="E39" s="29">
        <f t="shared" ref="E39:E44" si="8">(((222*0.0257)+222)*$G$5)+((222*0.0257)+222)</f>
        <v>233.78513418</v>
      </c>
      <c r="F39" s="31">
        <f t="shared" ref="F39:F44" si="9">ROUND(D39*E39,0)</f>
        <v>547057</v>
      </c>
    </row>
    <row r="40" spans="1:6" x14ac:dyDescent="0.25">
      <c r="A40" s="10" t="s">
        <v>46</v>
      </c>
      <c r="B40" s="36">
        <v>2</v>
      </c>
      <c r="C40" s="34">
        <v>1854</v>
      </c>
      <c r="D40" s="33">
        <f t="shared" si="7"/>
        <v>3708</v>
      </c>
      <c r="E40" s="29">
        <f t="shared" si="8"/>
        <v>233.78513418</v>
      </c>
      <c r="F40" s="31">
        <f t="shared" si="9"/>
        <v>866875</v>
      </c>
    </row>
    <row r="41" spans="1:6" x14ac:dyDescent="0.25">
      <c r="A41" s="10" t="s">
        <v>26</v>
      </c>
      <c r="B41" s="36">
        <v>1</v>
      </c>
      <c r="C41" s="34">
        <v>2068</v>
      </c>
      <c r="D41" s="33">
        <f t="shared" si="7"/>
        <v>2068</v>
      </c>
      <c r="E41" s="29">
        <f t="shared" si="8"/>
        <v>233.78513418</v>
      </c>
      <c r="F41" s="31">
        <f t="shared" si="9"/>
        <v>483468</v>
      </c>
    </row>
    <row r="42" spans="1:6" x14ac:dyDescent="0.25">
      <c r="A42" s="10" t="s">
        <v>27</v>
      </c>
      <c r="B42" s="36">
        <v>1.5</v>
      </c>
      <c r="C42" s="34">
        <v>2335</v>
      </c>
      <c r="D42" s="33">
        <f t="shared" si="7"/>
        <v>3502.5</v>
      </c>
      <c r="E42" s="29">
        <f t="shared" si="8"/>
        <v>233.78513418</v>
      </c>
      <c r="F42" s="31">
        <f t="shared" si="9"/>
        <v>818832</v>
      </c>
    </row>
    <row r="43" spans="1:6" x14ac:dyDescent="0.25">
      <c r="A43" s="10" t="s">
        <v>28</v>
      </c>
      <c r="B43" s="36">
        <v>2</v>
      </c>
      <c r="C43" s="34">
        <v>276</v>
      </c>
      <c r="D43" s="33">
        <f t="shared" si="7"/>
        <v>552</v>
      </c>
      <c r="E43" s="29">
        <f t="shared" si="8"/>
        <v>233.78513418</v>
      </c>
      <c r="F43" s="31">
        <f t="shared" si="9"/>
        <v>129049</v>
      </c>
    </row>
    <row r="44" spans="1:6" x14ac:dyDescent="0.25">
      <c r="A44" s="10" t="s">
        <v>29</v>
      </c>
      <c r="B44" s="36">
        <v>1</v>
      </c>
      <c r="C44" s="34">
        <v>841</v>
      </c>
      <c r="D44" s="33">
        <f t="shared" si="7"/>
        <v>841</v>
      </c>
      <c r="E44" s="29">
        <f t="shared" si="8"/>
        <v>233.78513418</v>
      </c>
      <c r="F44" s="31">
        <f t="shared" si="9"/>
        <v>196613</v>
      </c>
    </row>
    <row r="45" spans="1:6" x14ac:dyDescent="0.25">
      <c r="A45" s="37" t="s">
        <v>30</v>
      </c>
      <c r="B45" s="36"/>
      <c r="C45" s="34"/>
      <c r="D45" s="33"/>
      <c r="E45" s="35"/>
      <c r="F45" s="12">
        <f>SUM(F38:F44)</f>
        <v>3827412</v>
      </c>
    </row>
    <row r="46" spans="1:6" x14ac:dyDescent="0.25">
      <c r="A46" s="37"/>
      <c r="B46" s="36"/>
      <c r="C46" s="34"/>
      <c r="D46" s="33"/>
      <c r="E46" s="35"/>
      <c r="F46" s="12"/>
    </row>
    <row r="47" spans="1:6" x14ac:dyDescent="0.25">
      <c r="A47" s="38" t="s">
        <v>45</v>
      </c>
      <c r="B47" s="36"/>
      <c r="C47" s="34"/>
      <c r="D47" s="33"/>
      <c r="E47" s="35"/>
      <c r="F47" s="12"/>
    </row>
    <row r="48" spans="1:6" x14ac:dyDescent="0.25">
      <c r="A48" s="10" t="s">
        <v>24</v>
      </c>
      <c r="B48" s="36">
        <v>4.5</v>
      </c>
      <c r="C48" s="34">
        <v>722</v>
      </c>
      <c r="D48" s="33">
        <f t="shared" ref="D48:D54" si="10">B48*C48</f>
        <v>3249</v>
      </c>
      <c r="E48" s="29">
        <f>(((222*0.0257)+222)*$G$5)+((222*0.0257)+222)</f>
        <v>233.78513418</v>
      </c>
      <c r="F48" s="31">
        <f>ROUND(D48*E48,0)</f>
        <v>759568</v>
      </c>
    </row>
    <row r="49" spans="1:6" x14ac:dyDescent="0.25">
      <c r="A49" s="10" t="s">
        <v>25</v>
      </c>
      <c r="B49" s="36">
        <v>6</v>
      </c>
      <c r="C49" s="34">
        <v>366</v>
      </c>
      <c r="D49" s="33">
        <f t="shared" si="10"/>
        <v>2196</v>
      </c>
      <c r="E49" s="29">
        <f t="shared" ref="E49:E54" si="11">(((222*0.0257)+222)*$G$5)+((222*0.0257)+222)</f>
        <v>233.78513418</v>
      </c>
      <c r="F49" s="31">
        <f t="shared" ref="F49:F54" si="12">ROUND(D49*E49,0)</f>
        <v>513392</v>
      </c>
    </row>
    <row r="50" spans="1:6" x14ac:dyDescent="0.25">
      <c r="A50" s="10" t="s">
        <v>46</v>
      </c>
      <c r="B50" s="36">
        <v>3</v>
      </c>
      <c r="C50" s="34">
        <v>1167</v>
      </c>
      <c r="D50" s="33">
        <f t="shared" si="10"/>
        <v>3501</v>
      </c>
      <c r="E50" s="29">
        <f t="shared" si="11"/>
        <v>233.78513418</v>
      </c>
      <c r="F50" s="31">
        <f t="shared" si="12"/>
        <v>818482</v>
      </c>
    </row>
    <row r="51" spans="1:6" x14ac:dyDescent="0.25">
      <c r="A51" s="10" t="s">
        <v>26</v>
      </c>
      <c r="B51" s="36">
        <v>1.5</v>
      </c>
      <c r="C51" s="34">
        <v>1166</v>
      </c>
      <c r="D51" s="33">
        <f t="shared" si="10"/>
        <v>1749</v>
      </c>
      <c r="E51" s="29">
        <f t="shared" si="11"/>
        <v>233.78513418</v>
      </c>
      <c r="F51" s="31">
        <f t="shared" si="12"/>
        <v>408890</v>
      </c>
    </row>
    <row r="52" spans="1:6" x14ac:dyDescent="0.25">
      <c r="A52" s="10" t="s">
        <v>27</v>
      </c>
      <c r="B52" s="45">
        <v>2.25</v>
      </c>
      <c r="C52" s="34">
        <v>1260</v>
      </c>
      <c r="D52" s="33">
        <f t="shared" si="10"/>
        <v>2835</v>
      </c>
      <c r="E52" s="29">
        <f t="shared" si="11"/>
        <v>233.78513418</v>
      </c>
      <c r="F52" s="31">
        <f t="shared" si="12"/>
        <v>662781</v>
      </c>
    </row>
    <row r="53" spans="1:6" x14ac:dyDescent="0.25">
      <c r="A53" s="10" t="s">
        <v>28</v>
      </c>
      <c r="B53" s="36">
        <v>3</v>
      </c>
      <c r="C53" s="34">
        <v>162</v>
      </c>
      <c r="D53" s="33">
        <f t="shared" si="10"/>
        <v>486</v>
      </c>
      <c r="E53" s="29">
        <f t="shared" si="11"/>
        <v>233.78513418</v>
      </c>
      <c r="F53" s="31">
        <f t="shared" si="12"/>
        <v>113620</v>
      </c>
    </row>
    <row r="54" spans="1:6" x14ac:dyDescent="0.25">
      <c r="A54" s="10" t="s">
        <v>29</v>
      </c>
      <c r="B54" s="36">
        <v>1.5</v>
      </c>
      <c r="C54" s="34">
        <v>294</v>
      </c>
      <c r="D54" s="33">
        <f t="shared" si="10"/>
        <v>441</v>
      </c>
      <c r="E54" s="29">
        <f t="shared" si="11"/>
        <v>233.78513418</v>
      </c>
      <c r="F54" s="31">
        <f t="shared" si="12"/>
        <v>103099</v>
      </c>
    </row>
    <row r="55" spans="1:6" x14ac:dyDescent="0.25">
      <c r="A55" s="37" t="s">
        <v>30</v>
      </c>
      <c r="B55" s="36"/>
      <c r="C55" s="34"/>
      <c r="D55" s="33"/>
      <c r="E55" s="35"/>
      <c r="F55" s="12">
        <f>SUM(F48:F54)</f>
        <v>3379832</v>
      </c>
    </row>
    <row r="56" spans="1:6" ht="15.75" thickBot="1" x14ac:dyDescent="0.3">
      <c r="A56" s="15"/>
      <c r="B56" s="17"/>
      <c r="C56" s="26"/>
      <c r="D56" s="17"/>
      <c r="E56" s="18" t="s">
        <v>35</v>
      </c>
      <c r="F56" s="19">
        <f>F35+F45+F55</f>
        <v>38335629</v>
      </c>
    </row>
    <row r="58" spans="1:6" x14ac:dyDescent="0.25">
      <c r="E58" s="3" t="s">
        <v>14</v>
      </c>
      <c r="F58" s="4">
        <f>F13+F22+F56</f>
        <v>164097053.75504699</v>
      </c>
    </row>
    <row r="59" spans="1:6" x14ac:dyDescent="0.25">
      <c r="E59" s="3" t="s">
        <v>49</v>
      </c>
      <c r="F59" s="4">
        <f>((156809621*0.0257)+156809621)+((156809621*0.0257)+156809621)*$G$5</f>
        <v>165134046.334234</v>
      </c>
    </row>
    <row r="60" spans="1:6" x14ac:dyDescent="0.25">
      <c r="E60" s="3" t="s">
        <v>15</v>
      </c>
      <c r="F60" s="4">
        <f>F58-F59</f>
        <v>-1036992.5791870058</v>
      </c>
    </row>
    <row r="61" spans="1:6" x14ac:dyDescent="0.25">
      <c r="E61" s="3" t="s">
        <v>38</v>
      </c>
      <c r="F61" s="4">
        <v>1036992.58</v>
      </c>
    </row>
    <row r="62" spans="1:6" x14ac:dyDescent="0.25">
      <c r="E62" s="3" t="s">
        <v>39</v>
      </c>
      <c r="F62" s="4">
        <f>F60+F61</f>
        <v>8.1299419980496168E-4</v>
      </c>
    </row>
  </sheetData>
  <mergeCells count="5">
    <mergeCell ref="A1:F1"/>
    <mergeCell ref="A2:F2"/>
    <mergeCell ref="A4:F4"/>
    <mergeCell ref="A15:F15"/>
    <mergeCell ref="A24:F24"/>
  </mergeCells>
  <printOptions horizontalCentered="1"/>
  <pageMargins left="0.25" right="0.25" top="0.75" bottom="0.7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2"/>
  <sheetViews>
    <sheetView zoomScale="90" zoomScaleNormal="90" workbookViewId="0">
      <selection activeCell="F62" sqref="A1:F62"/>
    </sheetView>
  </sheetViews>
  <sheetFormatPr defaultColWidth="17.7109375" defaultRowHeight="15" x14ac:dyDescent="0.25"/>
  <cols>
    <col min="1" max="1" width="38.28515625" style="1" bestFit="1" customWidth="1"/>
    <col min="2" max="16384" width="17.7109375" style="1"/>
  </cols>
  <sheetData>
    <row r="1" spans="1:6" x14ac:dyDescent="0.25">
      <c r="A1" s="79" t="s">
        <v>18</v>
      </c>
      <c r="B1" s="80"/>
      <c r="C1" s="80"/>
      <c r="D1" s="80"/>
      <c r="E1" s="80"/>
      <c r="F1" s="81"/>
    </row>
    <row r="2" spans="1:6" ht="15.75" thickBot="1" x14ac:dyDescent="0.3">
      <c r="A2" s="82" t="s">
        <v>51</v>
      </c>
      <c r="B2" s="83"/>
      <c r="C2" s="83"/>
      <c r="D2" s="83"/>
      <c r="E2" s="83"/>
      <c r="F2" s="84"/>
    </row>
    <row r="3" spans="1:6" ht="15.75" thickBot="1" x14ac:dyDescent="0.3"/>
    <row r="4" spans="1:6" ht="15.75" thickBot="1" x14ac:dyDescent="0.3">
      <c r="A4" s="85" t="s">
        <v>33</v>
      </c>
      <c r="B4" s="86"/>
      <c r="C4" s="86"/>
      <c r="D4" s="86"/>
      <c r="E4" s="86"/>
      <c r="F4" s="87"/>
    </row>
    <row r="5" spans="1:6" s="2" customFormat="1" x14ac:dyDescent="0.25">
      <c r="A5" s="7"/>
      <c r="B5" s="8" t="s">
        <v>6</v>
      </c>
      <c r="C5" s="8" t="s">
        <v>7</v>
      </c>
      <c r="D5" s="8" t="s">
        <v>9</v>
      </c>
      <c r="E5" s="8" t="s">
        <v>8</v>
      </c>
      <c r="F5" s="9" t="s">
        <v>12</v>
      </c>
    </row>
    <row r="6" spans="1:6" x14ac:dyDescent="0.25">
      <c r="A6" s="10"/>
      <c r="B6" s="11"/>
      <c r="C6" s="11"/>
      <c r="D6" s="11"/>
      <c r="E6" s="11"/>
      <c r="F6" s="12"/>
    </row>
    <row r="7" spans="1:6" s="2" customFormat="1" x14ac:dyDescent="0.25">
      <c r="A7" s="7"/>
      <c r="B7" s="8" t="s">
        <v>3</v>
      </c>
      <c r="C7" s="8" t="s">
        <v>4</v>
      </c>
      <c r="D7" s="8" t="s">
        <v>5</v>
      </c>
      <c r="E7" s="8" t="s">
        <v>10</v>
      </c>
      <c r="F7" s="9" t="s">
        <v>11</v>
      </c>
    </row>
    <row r="8" spans="1:6" x14ac:dyDescent="0.25">
      <c r="A8" s="10" t="s">
        <v>16</v>
      </c>
      <c r="B8" s="27"/>
      <c r="C8" s="28"/>
      <c r="D8" s="29"/>
      <c r="E8" s="30"/>
      <c r="F8" s="31">
        <v>9136691</v>
      </c>
    </row>
    <row r="9" spans="1:6" x14ac:dyDescent="0.25">
      <c r="A9" s="10" t="s">
        <v>0</v>
      </c>
      <c r="B9" s="27">
        <v>3476</v>
      </c>
      <c r="C9" s="32">
        <v>1</v>
      </c>
      <c r="D9" s="29">
        <v>3476</v>
      </c>
      <c r="E9" s="30">
        <f>FTES!E6</f>
        <v>23548.693333333333</v>
      </c>
      <c r="F9" s="31">
        <f>ROUND(('Simulation 18-19'!F9/'Simulation 18-19'!D9)*'Simulation 19-20'!D9,0)</f>
        <v>81855258</v>
      </c>
    </row>
    <row r="10" spans="1:6" x14ac:dyDescent="0.25">
      <c r="A10" s="10" t="s">
        <v>1</v>
      </c>
      <c r="B10" s="27">
        <v>3347.49</v>
      </c>
      <c r="C10" s="32">
        <v>1</v>
      </c>
      <c r="D10" s="29">
        <f>B10*C10</f>
        <v>3347.49</v>
      </c>
      <c r="E10" s="30">
        <f>FTES!C9</f>
        <v>1992.56</v>
      </c>
      <c r="F10" s="31">
        <v>6670080</v>
      </c>
    </row>
    <row r="11" spans="1:6" x14ac:dyDescent="0.25">
      <c r="A11" s="10" t="s">
        <v>2</v>
      </c>
      <c r="B11" s="13">
        <v>5456.67</v>
      </c>
      <c r="C11" s="25">
        <v>1</v>
      </c>
      <c r="D11" s="11">
        <f>B11*C11</f>
        <v>5456.67</v>
      </c>
      <c r="E11" s="14">
        <f>FTES!C10</f>
        <v>895.35</v>
      </c>
      <c r="F11" s="12">
        <v>4885632</v>
      </c>
    </row>
    <row r="12" spans="1:6" x14ac:dyDescent="0.25">
      <c r="A12" s="10" t="s">
        <v>37</v>
      </c>
      <c r="B12" s="13">
        <v>5600.29</v>
      </c>
      <c r="C12" s="25">
        <v>1</v>
      </c>
      <c r="D12" s="11">
        <f>B12*C12</f>
        <v>5600.29</v>
      </c>
      <c r="E12" s="14">
        <f>FTES!E5</f>
        <v>593.07000000000005</v>
      </c>
      <c r="F12" s="12">
        <v>3321365</v>
      </c>
    </row>
    <row r="13" spans="1:6" ht="15.75" thickBot="1" x14ac:dyDescent="0.3">
      <c r="A13" s="15"/>
      <c r="B13" s="16"/>
      <c r="C13" s="17"/>
      <c r="D13" s="17"/>
      <c r="E13" s="18" t="s">
        <v>36</v>
      </c>
      <c r="F13" s="19">
        <f>SUM(F8:F12)</f>
        <v>105869026</v>
      </c>
    </row>
    <row r="14" spans="1:6" ht="15.75" thickBot="1" x14ac:dyDescent="0.3">
      <c r="B14" s="6"/>
      <c r="E14" s="3"/>
      <c r="F14" s="4"/>
    </row>
    <row r="15" spans="1:6" ht="15.75" thickBot="1" x14ac:dyDescent="0.3">
      <c r="A15" s="88" t="s">
        <v>31</v>
      </c>
      <c r="B15" s="89"/>
      <c r="C15" s="89"/>
      <c r="D15" s="89"/>
      <c r="E15" s="89"/>
      <c r="F15" s="90"/>
    </row>
    <row r="16" spans="1:6" s="2" customFormat="1" x14ac:dyDescent="0.25">
      <c r="A16" s="20"/>
      <c r="B16" s="21" t="s">
        <v>6</v>
      </c>
      <c r="C16" s="22" t="s">
        <v>7</v>
      </c>
      <c r="D16" s="22" t="s">
        <v>9</v>
      </c>
      <c r="E16" s="22" t="s">
        <v>8</v>
      </c>
      <c r="F16" s="23" t="s">
        <v>12</v>
      </c>
    </row>
    <row r="17" spans="1:6" x14ac:dyDescent="0.25">
      <c r="A17" s="10"/>
      <c r="B17" s="13"/>
      <c r="C17" s="11"/>
      <c r="D17" s="11"/>
      <c r="E17" s="11"/>
      <c r="F17" s="12"/>
    </row>
    <row r="18" spans="1:6" s="2" customFormat="1" x14ac:dyDescent="0.25">
      <c r="A18" s="7"/>
      <c r="B18" s="24" t="s">
        <v>20</v>
      </c>
      <c r="C18" s="8" t="s">
        <v>21</v>
      </c>
      <c r="D18" s="8" t="s">
        <v>22</v>
      </c>
      <c r="E18" s="8" t="s">
        <v>23</v>
      </c>
      <c r="F18" s="9" t="s">
        <v>11</v>
      </c>
    </row>
    <row r="19" spans="1:6" x14ac:dyDescent="0.25">
      <c r="A19" s="10" t="s">
        <v>43</v>
      </c>
      <c r="B19" s="33">
        <v>1</v>
      </c>
      <c r="C19" s="34">
        <v>16230</v>
      </c>
      <c r="D19" s="33">
        <f>B19*C19</f>
        <v>16230</v>
      </c>
      <c r="E19" s="29">
        <v>919</v>
      </c>
      <c r="F19" s="12">
        <f t="shared" ref="F19:F21" si="0">ROUND(D19*E19,0)</f>
        <v>14915370</v>
      </c>
    </row>
    <row r="20" spans="1:6" x14ac:dyDescent="0.25">
      <c r="A20" s="10" t="s">
        <v>19</v>
      </c>
      <c r="B20" s="33">
        <v>1</v>
      </c>
      <c r="C20" s="34">
        <v>1405</v>
      </c>
      <c r="D20" s="33">
        <f>B20*C20</f>
        <v>1405</v>
      </c>
      <c r="E20" s="29">
        <v>919</v>
      </c>
      <c r="F20" s="12">
        <f t="shared" si="0"/>
        <v>1291195</v>
      </c>
    </row>
    <row r="21" spans="1:6" x14ac:dyDescent="0.25">
      <c r="A21" s="10" t="s">
        <v>13</v>
      </c>
      <c r="B21" s="33">
        <v>1</v>
      </c>
      <c r="C21" s="34">
        <v>6071</v>
      </c>
      <c r="D21" s="33">
        <f>B21*C21</f>
        <v>6071</v>
      </c>
      <c r="E21" s="29">
        <v>919</v>
      </c>
      <c r="F21" s="12">
        <f t="shared" si="0"/>
        <v>5579249</v>
      </c>
    </row>
    <row r="22" spans="1:6" ht="15.75" thickBot="1" x14ac:dyDescent="0.3">
      <c r="A22" s="15"/>
      <c r="B22" s="17"/>
      <c r="C22" s="26"/>
      <c r="D22" s="17"/>
      <c r="E22" s="18" t="s">
        <v>34</v>
      </c>
      <c r="F22" s="19">
        <f>SUM(F19:F21)</f>
        <v>21785814</v>
      </c>
    </row>
    <row r="23" spans="1:6" ht="15.75" thickBot="1" x14ac:dyDescent="0.3">
      <c r="C23" s="5"/>
    </row>
    <row r="24" spans="1:6" ht="15.75" thickBot="1" x14ac:dyDescent="0.3">
      <c r="A24" s="91" t="s">
        <v>32</v>
      </c>
      <c r="B24" s="92"/>
      <c r="C24" s="92"/>
      <c r="D24" s="92"/>
      <c r="E24" s="92"/>
      <c r="F24" s="93"/>
    </row>
    <row r="25" spans="1:6" x14ac:dyDescent="0.25">
      <c r="A25" s="20"/>
      <c r="B25" s="21" t="s">
        <v>6</v>
      </c>
      <c r="C25" s="22" t="s">
        <v>7</v>
      </c>
      <c r="D25" s="22" t="s">
        <v>9</v>
      </c>
      <c r="E25" s="22" t="s">
        <v>8</v>
      </c>
      <c r="F25" s="23" t="s">
        <v>12</v>
      </c>
    </row>
    <row r="26" spans="1:6" x14ac:dyDescent="0.25">
      <c r="A26" s="10"/>
      <c r="B26" s="13"/>
      <c r="C26" s="11"/>
      <c r="D26" s="11"/>
      <c r="E26" s="11"/>
      <c r="F26" s="12"/>
    </row>
    <row r="27" spans="1:6" x14ac:dyDescent="0.25">
      <c r="A27" s="7"/>
      <c r="B27" s="24" t="s">
        <v>20</v>
      </c>
      <c r="C27" s="8" t="s">
        <v>21</v>
      </c>
      <c r="D27" s="8" t="s">
        <v>22</v>
      </c>
      <c r="E27" s="8" t="s">
        <v>23</v>
      </c>
      <c r="F27" s="9" t="s">
        <v>11</v>
      </c>
    </row>
    <row r="28" spans="1:6" x14ac:dyDescent="0.25">
      <c r="A28" s="10" t="s">
        <v>24</v>
      </c>
      <c r="B28" s="36">
        <v>3</v>
      </c>
      <c r="C28" s="34">
        <v>2010</v>
      </c>
      <c r="D28" s="33">
        <f t="shared" ref="D28:D34" si="1">B28*C28</f>
        <v>6030</v>
      </c>
      <c r="E28" s="29">
        <v>660</v>
      </c>
      <c r="F28" s="31">
        <f>(('Simulation 18-19'!F28)/440)*660</f>
        <v>3977820</v>
      </c>
    </row>
    <row r="29" spans="1:6" x14ac:dyDescent="0.25">
      <c r="A29" s="10" t="s">
        <v>25</v>
      </c>
      <c r="B29" s="36">
        <v>4</v>
      </c>
      <c r="C29" s="34">
        <v>1082</v>
      </c>
      <c r="D29" s="33">
        <f t="shared" si="1"/>
        <v>4328</v>
      </c>
      <c r="E29" s="29">
        <v>660</v>
      </c>
      <c r="F29" s="31">
        <f>(('Simulation 18-19'!F29)/440)*660</f>
        <v>2856480</v>
      </c>
    </row>
    <row r="30" spans="1:6" x14ac:dyDescent="0.25">
      <c r="A30" s="10" t="s">
        <v>46</v>
      </c>
      <c r="B30" s="36">
        <v>2</v>
      </c>
      <c r="C30" s="34">
        <v>3538</v>
      </c>
      <c r="D30" s="33">
        <f t="shared" si="1"/>
        <v>7076</v>
      </c>
      <c r="E30" s="29">
        <v>660</v>
      </c>
      <c r="F30" s="31">
        <f>(('Simulation 18-19'!F30)/440)*660</f>
        <v>4670160</v>
      </c>
    </row>
    <row r="31" spans="1:6" x14ac:dyDescent="0.25">
      <c r="A31" s="10" t="s">
        <v>26</v>
      </c>
      <c r="B31" s="36">
        <v>1</v>
      </c>
      <c r="C31" s="34">
        <v>4535</v>
      </c>
      <c r="D31" s="33">
        <f t="shared" si="1"/>
        <v>4535</v>
      </c>
      <c r="E31" s="29">
        <v>660</v>
      </c>
      <c r="F31" s="31">
        <f>(('Simulation 18-19'!F31)/440)*660</f>
        <v>2964060</v>
      </c>
    </row>
    <row r="32" spans="1:6" x14ac:dyDescent="0.25">
      <c r="A32" s="10" t="s">
        <v>27</v>
      </c>
      <c r="B32" s="36">
        <v>1.5</v>
      </c>
      <c r="C32" s="34">
        <v>4748</v>
      </c>
      <c r="D32" s="33">
        <f t="shared" si="1"/>
        <v>7122</v>
      </c>
      <c r="E32" s="29">
        <v>660</v>
      </c>
      <c r="F32" s="31">
        <f>(('Simulation 18-19'!F32)/440)*660</f>
        <v>4696560</v>
      </c>
    </row>
    <row r="33" spans="1:6" x14ac:dyDescent="0.25">
      <c r="A33" s="10" t="s">
        <v>28</v>
      </c>
      <c r="B33" s="36">
        <v>2</v>
      </c>
      <c r="C33" s="34">
        <v>759</v>
      </c>
      <c r="D33" s="33">
        <f t="shared" si="1"/>
        <v>1518</v>
      </c>
      <c r="E33" s="29">
        <v>660</v>
      </c>
      <c r="F33" s="31">
        <f>(('Simulation 18-19'!F33)/440)*660</f>
        <v>974160</v>
      </c>
    </row>
    <row r="34" spans="1:6" x14ac:dyDescent="0.25">
      <c r="A34" s="10" t="s">
        <v>29</v>
      </c>
      <c r="B34" s="36">
        <v>1</v>
      </c>
      <c r="C34" s="34">
        <v>2981</v>
      </c>
      <c r="D34" s="33">
        <f t="shared" si="1"/>
        <v>2981</v>
      </c>
      <c r="E34" s="29">
        <v>660</v>
      </c>
      <c r="F34" s="31">
        <f>(('Simulation 18-19'!F34)/440)*660</f>
        <v>1967460</v>
      </c>
    </row>
    <row r="35" spans="1:6" x14ac:dyDescent="0.25">
      <c r="A35" s="37" t="s">
        <v>30</v>
      </c>
      <c r="B35" s="36"/>
      <c r="C35" s="34"/>
      <c r="D35" s="33"/>
      <c r="E35" s="35"/>
      <c r="F35" s="12">
        <f>SUM(F28:F34)</f>
        <v>22106700</v>
      </c>
    </row>
    <row r="36" spans="1:6" x14ac:dyDescent="0.25">
      <c r="A36" s="37"/>
      <c r="B36" s="36"/>
      <c r="C36" s="34"/>
      <c r="D36" s="33"/>
      <c r="E36" s="35"/>
      <c r="F36" s="12"/>
    </row>
    <row r="37" spans="1:6" x14ac:dyDescent="0.25">
      <c r="A37" s="38" t="s">
        <v>44</v>
      </c>
      <c r="B37" s="36"/>
      <c r="C37" s="34"/>
      <c r="D37" s="33"/>
      <c r="E37" s="35"/>
      <c r="F37" s="12"/>
    </row>
    <row r="38" spans="1:6" x14ac:dyDescent="0.25">
      <c r="A38" s="10" t="s">
        <v>24</v>
      </c>
      <c r="B38" s="36">
        <v>3</v>
      </c>
      <c r="C38" s="34">
        <v>1120</v>
      </c>
      <c r="D38" s="33">
        <f t="shared" ref="D38:D44" si="2">B38*C38</f>
        <v>3360</v>
      </c>
      <c r="E38" s="29">
        <v>167</v>
      </c>
      <c r="F38" s="31">
        <f>(('Simulation 18-19'!F38)/111)*167</f>
        <v>561621</v>
      </c>
    </row>
    <row r="39" spans="1:6" x14ac:dyDescent="0.25">
      <c r="A39" s="10" t="s">
        <v>25</v>
      </c>
      <c r="B39" s="36">
        <v>4</v>
      </c>
      <c r="C39" s="34">
        <v>585</v>
      </c>
      <c r="D39" s="33">
        <f t="shared" si="2"/>
        <v>2340</v>
      </c>
      <c r="E39" s="29">
        <v>167</v>
      </c>
      <c r="F39" s="31">
        <f>(('Simulation 18-19'!F39)/111)*167</f>
        <v>393452</v>
      </c>
    </row>
    <row r="40" spans="1:6" x14ac:dyDescent="0.25">
      <c r="A40" s="10" t="s">
        <v>46</v>
      </c>
      <c r="B40" s="36">
        <v>2</v>
      </c>
      <c r="C40" s="34">
        <v>1854</v>
      </c>
      <c r="D40" s="33">
        <f t="shared" si="2"/>
        <v>3708</v>
      </c>
      <c r="E40" s="29">
        <v>167</v>
      </c>
      <c r="F40" s="31">
        <f>(('Simulation 18-19'!F40)/111)*167</f>
        <v>622576</v>
      </c>
    </row>
    <row r="41" spans="1:6" x14ac:dyDescent="0.25">
      <c r="A41" s="10" t="s">
        <v>26</v>
      </c>
      <c r="B41" s="36">
        <v>1</v>
      </c>
      <c r="C41" s="34">
        <v>2068</v>
      </c>
      <c r="D41" s="33">
        <f t="shared" si="2"/>
        <v>2068</v>
      </c>
      <c r="E41" s="29">
        <v>167</v>
      </c>
      <c r="F41" s="31">
        <f>(('Simulation 18-19'!F41)/111)*167</f>
        <v>376418</v>
      </c>
    </row>
    <row r="42" spans="1:6" x14ac:dyDescent="0.25">
      <c r="A42" s="10" t="s">
        <v>27</v>
      </c>
      <c r="B42" s="36">
        <v>1.5</v>
      </c>
      <c r="C42" s="34">
        <v>2335</v>
      </c>
      <c r="D42" s="33">
        <f t="shared" si="2"/>
        <v>3502.5</v>
      </c>
      <c r="E42" s="29">
        <v>167</v>
      </c>
      <c r="F42" s="31">
        <f>(('Simulation 18-19'!F42)/111)*167</f>
        <v>542834.25225225219</v>
      </c>
    </row>
    <row r="43" spans="1:6" x14ac:dyDescent="0.25">
      <c r="A43" s="10" t="s">
        <v>28</v>
      </c>
      <c r="B43" s="36">
        <v>2</v>
      </c>
      <c r="C43" s="34">
        <v>276</v>
      </c>
      <c r="D43" s="33">
        <f t="shared" si="2"/>
        <v>552</v>
      </c>
      <c r="E43" s="29">
        <v>167</v>
      </c>
      <c r="F43" s="31">
        <f>(('Simulation 18-19'!F43)/111)*167</f>
        <v>86506</v>
      </c>
    </row>
    <row r="44" spans="1:6" x14ac:dyDescent="0.25">
      <c r="A44" s="10" t="s">
        <v>29</v>
      </c>
      <c r="B44" s="36">
        <v>1</v>
      </c>
      <c r="C44" s="34">
        <v>841</v>
      </c>
      <c r="D44" s="33">
        <f t="shared" si="2"/>
        <v>841</v>
      </c>
      <c r="E44" s="29">
        <v>167</v>
      </c>
      <c r="F44" s="31">
        <f>(('Simulation 18-19'!F44)/111)*167</f>
        <v>140447</v>
      </c>
    </row>
    <row r="45" spans="1:6" x14ac:dyDescent="0.25">
      <c r="A45" s="37" t="s">
        <v>30</v>
      </c>
      <c r="B45" s="36"/>
      <c r="C45" s="34"/>
      <c r="D45" s="33"/>
      <c r="E45" s="35"/>
      <c r="F45" s="12">
        <f>SUM(F38:F44)</f>
        <v>2723854.2522522523</v>
      </c>
    </row>
    <row r="46" spans="1:6" x14ac:dyDescent="0.25">
      <c r="A46" s="37"/>
      <c r="B46" s="36"/>
      <c r="C46" s="34"/>
      <c r="D46" s="33"/>
      <c r="E46" s="35"/>
      <c r="F46" s="12"/>
    </row>
    <row r="47" spans="1:6" x14ac:dyDescent="0.25">
      <c r="A47" s="38" t="s">
        <v>45</v>
      </c>
      <c r="B47" s="36"/>
      <c r="C47" s="34"/>
      <c r="D47" s="33"/>
      <c r="E47" s="35"/>
      <c r="F47" s="12"/>
    </row>
    <row r="48" spans="1:6" x14ac:dyDescent="0.25">
      <c r="A48" s="10" t="s">
        <v>24</v>
      </c>
      <c r="B48" s="36">
        <v>4.5</v>
      </c>
      <c r="C48" s="34">
        <v>722</v>
      </c>
      <c r="D48" s="33">
        <f t="shared" ref="D48:D54" si="3">B48*C48</f>
        <v>3249</v>
      </c>
      <c r="E48" s="29">
        <v>167</v>
      </c>
      <c r="F48" s="31">
        <f>(('Simulation 18-19'!F48)/111)*167</f>
        <v>554607</v>
      </c>
    </row>
    <row r="49" spans="1:6" x14ac:dyDescent="0.25">
      <c r="A49" s="10" t="s">
        <v>25</v>
      </c>
      <c r="B49" s="36">
        <v>6</v>
      </c>
      <c r="C49" s="34">
        <v>366</v>
      </c>
      <c r="D49" s="33">
        <f t="shared" si="3"/>
        <v>2196</v>
      </c>
      <c r="E49" s="29">
        <v>167</v>
      </c>
      <c r="F49" s="31">
        <f>(('Simulation 18-19'!F49)/111)*167</f>
        <v>371742</v>
      </c>
    </row>
    <row r="50" spans="1:6" x14ac:dyDescent="0.25">
      <c r="A50" s="10" t="s">
        <v>46</v>
      </c>
      <c r="B50" s="36">
        <v>3</v>
      </c>
      <c r="C50" s="34">
        <v>1167</v>
      </c>
      <c r="D50" s="33">
        <f t="shared" si="3"/>
        <v>3501</v>
      </c>
      <c r="E50" s="29">
        <v>167</v>
      </c>
      <c r="F50" s="31">
        <f>(('Simulation 18-19'!F50)/111)*167</f>
        <v>593184</v>
      </c>
    </row>
    <row r="51" spans="1:6" x14ac:dyDescent="0.25">
      <c r="A51" s="10" t="s">
        <v>26</v>
      </c>
      <c r="B51" s="36">
        <v>1.5</v>
      </c>
      <c r="C51" s="34">
        <v>1166</v>
      </c>
      <c r="D51" s="33">
        <f t="shared" si="3"/>
        <v>1749</v>
      </c>
      <c r="E51" s="29">
        <v>167</v>
      </c>
      <c r="F51" s="31">
        <f>(('Simulation 18-19'!F51)/111)*167</f>
        <v>297594</v>
      </c>
    </row>
    <row r="52" spans="1:6" x14ac:dyDescent="0.25">
      <c r="A52" s="10" t="s">
        <v>27</v>
      </c>
      <c r="B52" s="45">
        <v>2.25</v>
      </c>
      <c r="C52" s="34">
        <v>1260</v>
      </c>
      <c r="D52" s="33">
        <f t="shared" si="3"/>
        <v>2835</v>
      </c>
      <c r="E52" s="29">
        <v>167</v>
      </c>
      <c r="F52" s="31">
        <f>(('Simulation 18-19'!F52)/111)*167</f>
        <v>457288.1261261261</v>
      </c>
    </row>
    <row r="53" spans="1:6" x14ac:dyDescent="0.25">
      <c r="A53" s="10" t="s">
        <v>28</v>
      </c>
      <c r="B53" s="36">
        <v>3</v>
      </c>
      <c r="C53" s="34">
        <v>162</v>
      </c>
      <c r="D53" s="33">
        <f t="shared" si="3"/>
        <v>486</v>
      </c>
      <c r="E53" s="29">
        <v>167</v>
      </c>
      <c r="F53" s="31">
        <f>(('Simulation 18-19'!F53)/111)*167</f>
        <v>78657</v>
      </c>
    </row>
    <row r="54" spans="1:6" x14ac:dyDescent="0.25">
      <c r="A54" s="10" t="s">
        <v>29</v>
      </c>
      <c r="B54" s="36">
        <v>1.5</v>
      </c>
      <c r="C54" s="34">
        <v>294</v>
      </c>
      <c r="D54" s="33">
        <f t="shared" si="3"/>
        <v>441</v>
      </c>
      <c r="E54" s="29">
        <v>167</v>
      </c>
      <c r="F54" s="31">
        <f>(('Simulation 18-19'!F54)/111)*167</f>
        <v>73647</v>
      </c>
    </row>
    <row r="55" spans="1:6" x14ac:dyDescent="0.25">
      <c r="A55" s="37" t="s">
        <v>30</v>
      </c>
      <c r="B55" s="36"/>
      <c r="C55" s="34"/>
      <c r="D55" s="33"/>
      <c r="E55" s="35"/>
      <c r="F55" s="12">
        <f>SUM(F48:F54)</f>
        <v>2426719.1261261259</v>
      </c>
    </row>
    <row r="56" spans="1:6" ht="15.75" thickBot="1" x14ac:dyDescent="0.3">
      <c r="A56" s="15"/>
      <c r="B56" s="17"/>
      <c r="C56" s="26"/>
      <c r="D56" s="17"/>
      <c r="E56" s="18" t="s">
        <v>35</v>
      </c>
      <c r="F56" s="19">
        <f>F35+F45+F55</f>
        <v>27257273.378378376</v>
      </c>
    </row>
    <row r="58" spans="1:6" x14ac:dyDescent="0.25">
      <c r="E58" s="3" t="s">
        <v>14</v>
      </c>
      <c r="F58" s="4">
        <f>F13+F22+F56</f>
        <v>154912113.37837839</v>
      </c>
    </row>
    <row r="59" spans="1:6" x14ac:dyDescent="0.25">
      <c r="E59" s="3" t="s">
        <v>49</v>
      </c>
      <c r="F59" s="4">
        <v>156809621</v>
      </c>
    </row>
    <row r="60" spans="1:6" x14ac:dyDescent="0.25">
      <c r="E60" s="3" t="s">
        <v>15</v>
      </c>
      <c r="F60" s="4">
        <f>F58-F59</f>
        <v>-1897507.6216216087</v>
      </c>
    </row>
    <row r="61" spans="1:6" x14ac:dyDescent="0.25">
      <c r="E61" s="3" t="s">
        <v>38</v>
      </c>
      <c r="F61" s="4">
        <v>1897507.62</v>
      </c>
    </row>
    <row r="62" spans="1:6" x14ac:dyDescent="0.25">
      <c r="E62" s="3" t="s">
        <v>39</v>
      </c>
      <c r="F62" s="4">
        <f>F60+F61</f>
        <v>-1.6216086223721504E-3</v>
      </c>
    </row>
  </sheetData>
  <mergeCells count="5">
    <mergeCell ref="A1:F1"/>
    <mergeCell ref="A2:F2"/>
    <mergeCell ref="A4:F4"/>
    <mergeCell ref="A15:F15"/>
    <mergeCell ref="A24:F24"/>
  </mergeCells>
  <printOptions horizontalCentered="1"/>
  <pageMargins left="0.25" right="0.25" top="0.75" bottom="0.75" header="0.3" footer="0.3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2"/>
  <sheetViews>
    <sheetView workbookViewId="0">
      <selection sqref="A1:F62"/>
    </sheetView>
  </sheetViews>
  <sheetFormatPr defaultColWidth="17.7109375" defaultRowHeight="15" x14ac:dyDescent="0.25"/>
  <cols>
    <col min="1" max="1" width="38.28515625" style="1" bestFit="1" customWidth="1"/>
    <col min="2" max="16384" width="17.7109375" style="1"/>
  </cols>
  <sheetData>
    <row r="1" spans="1:7" x14ac:dyDescent="0.25">
      <c r="A1" s="79" t="s">
        <v>18</v>
      </c>
      <c r="B1" s="80"/>
      <c r="C1" s="80"/>
      <c r="D1" s="80"/>
      <c r="E1" s="80"/>
      <c r="F1" s="81"/>
    </row>
    <row r="2" spans="1:7" ht="15.75" thickBot="1" x14ac:dyDescent="0.3">
      <c r="A2" s="82" t="s">
        <v>54</v>
      </c>
      <c r="B2" s="83"/>
      <c r="C2" s="83"/>
      <c r="D2" s="83"/>
      <c r="E2" s="83"/>
      <c r="F2" s="84"/>
    </row>
    <row r="3" spans="1:7" ht="15.75" thickBot="1" x14ac:dyDescent="0.3"/>
    <row r="4" spans="1:7" ht="15.75" thickBot="1" x14ac:dyDescent="0.3">
      <c r="A4" s="85" t="s">
        <v>33</v>
      </c>
      <c r="B4" s="86"/>
      <c r="C4" s="86"/>
      <c r="D4" s="86"/>
      <c r="E4" s="86"/>
      <c r="F4" s="87"/>
      <c r="G4" s="2" t="s">
        <v>52</v>
      </c>
    </row>
    <row r="5" spans="1:7" s="2" customFormat="1" x14ac:dyDescent="0.25">
      <c r="A5" s="7"/>
      <c r="B5" s="8" t="s">
        <v>6</v>
      </c>
      <c r="C5" s="8" t="s">
        <v>7</v>
      </c>
      <c r="D5" s="8" t="s">
        <v>9</v>
      </c>
      <c r="E5" s="8" t="s">
        <v>8</v>
      </c>
      <c r="F5" s="9" t="s">
        <v>12</v>
      </c>
      <c r="G5" s="51">
        <v>2.5700000000000001E-2</v>
      </c>
    </row>
    <row r="6" spans="1:7" x14ac:dyDescent="0.25">
      <c r="A6" s="10"/>
      <c r="B6" s="11"/>
      <c r="C6" s="11"/>
      <c r="D6" s="11"/>
      <c r="E6" s="11"/>
      <c r="F6" s="12"/>
    </row>
    <row r="7" spans="1:7" s="2" customFormat="1" x14ac:dyDescent="0.25">
      <c r="A7" s="7"/>
      <c r="B7" s="8" t="s">
        <v>3</v>
      </c>
      <c r="C7" s="8" t="s">
        <v>4</v>
      </c>
      <c r="D7" s="8" t="s">
        <v>5</v>
      </c>
      <c r="E7" s="8" t="s">
        <v>10</v>
      </c>
      <c r="F7" s="9" t="s">
        <v>11</v>
      </c>
    </row>
    <row r="8" spans="1:7" x14ac:dyDescent="0.25">
      <c r="A8" s="10" t="s">
        <v>16</v>
      </c>
      <c r="B8" s="27"/>
      <c r="C8" s="28"/>
      <c r="D8" s="29"/>
      <c r="E8" s="30"/>
      <c r="F8" s="31">
        <f>(9136691*G5)+9136691</f>
        <v>9371503.9586999994</v>
      </c>
    </row>
    <row r="9" spans="1:7" x14ac:dyDescent="0.25">
      <c r="A9" s="10" t="s">
        <v>0</v>
      </c>
      <c r="B9" s="27">
        <v>3476</v>
      </c>
      <c r="C9" s="32">
        <v>1</v>
      </c>
      <c r="D9" s="29">
        <f>(B9*$G$5)+B9</f>
        <v>3565.3332</v>
      </c>
      <c r="E9" s="30">
        <f>FTES!E6</f>
        <v>23548.693333333333</v>
      </c>
      <c r="F9" s="31">
        <f>ROUND(D9*E9,0)</f>
        <v>83958938</v>
      </c>
    </row>
    <row r="10" spans="1:7" x14ac:dyDescent="0.25">
      <c r="A10" s="10" t="s">
        <v>1</v>
      </c>
      <c r="B10" s="27">
        <v>3347.49</v>
      </c>
      <c r="C10" s="32">
        <v>1</v>
      </c>
      <c r="D10" s="29">
        <f t="shared" ref="D10:D12" si="0">(B10*$G$5)+B10</f>
        <v>3433.520493</v>
      </c>
      <c r="E10" s="30">
        <f>FTES!C9</f>
        <v>1992.56</v>
      </c>
      <c r="F10" s="31">
        <f t="shared" ref="F10:F12" si="1">ROUND(D10*E10,0)</f>
        <v>6841496</v>
      </c>
    </row>
    <row r="11" spans="1:7" x14ac:dyDescent="0.25">
      <c r="A11" s="10" t="s">
        <v>2</v>
      </c>
      <c r="B11" s="13">
        <v>5456.67</v>
      </c>
      <c r="C11" s="25">
        <v>1</v>
      </c>
      <c r="D11" s="29">
        <f t="shared" si="0"/>
        <v>5596.9064189999999</v>
      </c>
      <c r="E11" s="14">
        <f>FTES!C10</f>
        <v>895.35</v>
      </c>
      <c r="F11" s="31">
        <f t="shared" si="1"/>
        <v>5011190</v>
      </c>
    </row>
    <row r="12" spans="1:7" x14ac:dyDescent="0.25">
      <c r="A12" s="10" t="s">
        <v>37</v>
      </c>
      <c r="B12" s="13">
        <v>5600.29</v>
      </c>
      <c r="C12" s="25">
        <v>1</v>
      </c>
      <c r="D12" s="29">
        <f t="shared" si="0"/>
        <v>5744.2174530000002</v>
      </c>
      <c r="E12" s="14">
        <f>FTES!E5</f>
        <v>593.07000000000005</v>
      </c>
      <c r="F12" s="31">
        <f t="shared" si="1"/>
        <v>3406723</v>
      </c>
    </row>
    <row r="13" spans="1:7" ht="15.75" thickBot="1" x14ac:dyDescent="0.3">
      <c r="A13" s="15"/>
      <c r="B13" s="16"/>
      <c r="C13" s="17"/>
      <c r="D13" s="17"/>
      <c r="E13" s="18" t="s">
        <v>36</v>
      </c>
      <c r="F13" s="19">
        <f>SUM(F8:F12)</f>
        <v>108589850.9587</v>
      </c>
    </row>
    <row r="14" spans="1:7" ht="15.75" thickBot="1" x14ac:dyDescent="0.3">
      <c r="B14" s="6"/>
      <c r="E14" s="3"/>
      <c r="F14" s="4"/>
    </row>
    <row r="15" spans="1:7" ht="15.75" thickBot="1" x14ac:dyDescent="0.3">
      <c r="A15" s="88" t="s">
        <v>31</v>
      </c>
      <c r="B15" s="89"/>
      <c r="C15" s="89"/>
      <c r="D15" s="89"/>
      <c r="E15" s="89"/>
      <c r="F15" s="90"/>
    </row>
    <row r="16" spans="1:7" s="2" customFormat="1" x14ac:dyDescent="0.25">
      <c r="A16" s="20"/>
      <c r="B16" s="21" t="s">
        <v>6</v>
      </c>
      <c r="C16" s="22" t="s">
        <v>7</v>
      </c>
      <c r="D16" s="22" t="s">
        <v>9</v>
      </c>
      <c r="E16" s="22" t="s">
        <v>8</v>
      </c>
      <c r="F16" s="23" t="s">
        <v>12</v>
      </c>
    </row>
    <row r="17" spans="1:6" x14ac:dyDescent="0.25">
      <c r="A17" s="10"/>
      <c r="B17" s="13"/>
      <c r="C17" s="11"/>
      <c r="D17" s="11"/>
      <c r="E17" s="11"/>
      <c r="F17" s="12"/>
    </row>
    <row r="18" spans="1:6" s="2" customFormat="1" x14ac:dyDescent="0.25">
      <c r="A18" s="7"/>
      <c r="B18" s="24" t="s">
        <v>20</v>
      </c>
      <c r="C18" s="8" t="s">
        <v>21</v>
      </c>
      <c r="D18" s="8" t="s">
        <v>22</v>
      </c>
      <c r="E18" s="8" t="s">
        <v>23</v>
      </c>
      <c r="F18" s="9" t="s">
        <v>11</v>
      </c>
    </row>
    <row r="19" spans="1:6" x14ac:dyDescent="0.25">
      <c r="A19" s="10" t="s">
        <v>43</v>
      </c>
      <c r="B19" s="33">
        <v>1</v>
      </c>
      <c r="C19" s="34">
        <v>16230</v>
      </c>
      <c r="D19" s="33">
        <f>B19*C19</f>
        <v>16230</v>
      </c>
      <c r="E19" s="29">
        <f>(919*$G$5)+919</f>
        <v>942.61829999999998</v>
      </c>
      <c r="F19" s="12">
        <f t="shared" ref="F19:F21" si="2">ROUND(D19*E19,0)</f>
        <v>15298695</v>
      </c>
    </row>
    <row r="20" spans="1:6" x14ac:dyDescent="0.25">
      <c r="A20" s="10" t="s">
        <v>19</v>
      </c>
      <c r="B20" s="33">
        <v>1</v>
      </c>
      <c r="C20" s="34">
        <v>1405</v>
      </c>
      <c r="D20" s="33">
        <f>B20*C20</f>
        <v>1405</v>
      </c>
      <c r="E20" s="29">
        <f t="shared" ref="E20:E21" si="3">(919*$G$5)+919</f>
        <v>942.61829999999998</v>
      </c>
      <c r="F20" s="12">
        <f t="shared" si="2"/>
        <v>1324379</v>
      </c>
    </row>
    <row r="21" spans="1:6" x14ac:dyDescent="0.25">
      <c r="A21" s="10" t="s">
        <v>13</v>
      </c>
      <c r="B21" s="33">
        <v>1</v>
      </c>
      <c r="C21" s="34">
        <v>6071</v>
      </c>
      <c r="D21" s="33">
        <f>B21*C21</f>
        <v>6071</v>
      </c>
      <c r="E21" s="29">
        <f t="shared" si="3"/>
        <v>942.61829999999998</v>
      </c>
      <c r="F21" s="12">
        <f t="shared" si="2"/>
        <v>5722636</v>
      </c>
    </row>
    <row r="22" spans="1:6" ht="15.75" thickBot="1" x14ac:dyDescent="0.3">
      <c r="A22" s="15"/>
      <c r="B22" s="17"/>
      <c r="C22" s="26"/>
      <c r="D22" s="17"/>
      <c r="E22" s="18" t="s">
        <v>34</v>
      </c>
      <c r="F22" s="19">
        <f>SUM(F19:F21)</f>
        <v>22345710</v>
      </c>
    </row>
    <row r="23" spans="1:6" ht="15.75" thickBot="1" x14ac:dyDescent="0.3">
      <c r="C23" s="5"/>
    </row>
    <row r="24" spans="1:6" ht="15.75" thickBot="1" x14ac:dyDescent="0.3">
      <c r="A24" s="91" t="s">
        <v>32</v>
      </c>
      <c r="B24" s="92"/>
      <c r="C24" s="92"/>
      <c r="D24" s="92"/>
      <c r="E24" s="92"/>
      <c r="F24" s="93"/>
    </row>
    <row r="25" spans="1:6" x14ac:dyDescent="0.25">
      <c r="A25" s="20"/>
      <c r="B25" s="21" t="s">
        <v>6</v>
      </c>
      <c r="C25" s="22" t="s">
        <v>7</v>
      </c>
      <c r="D25" s="22" t="s">
        <v>9</v>
      </c>
      <c r="E25" s="22" t="s">
        <v>8</v>
      </c>
      <c r="F25" s="23" t="s">
        <v>12</v>
      </c>
    </row>
    <row r="26" spans="1:6" x14ac:dyDescent="0.25">
      <c r="A26" s="10"/>
      <c r="B26" s="13"/>
      <c r="C26" s="11"/>
      <c r="D26" s="11"/>
      <c r="E26" s="11"/>
      <c r="F26" s="12"/>
    </row>
    <row r="27" spans="1:6" x14ac:dyDescent="0.25">
      <c r="A27" s="7"/>
      <c r="B27" s="24" t="s">
        <v>20</v>
      </c>
      <c r="C27" s="8" t="s">
        <v>21</v>
      </c>
      <c r="D27" s="8" t="s">
        <v>22</v>
      </c>
      <c r="E27" s="8" t="s">
        <v>23</v>
      </c>
      <c r="F27" s="9" t="s">
        <v>11</v>
      </c>
    </row>
    <row r="28" spans="1:6" x14ac:dyDescent="0.25">
      <c r="A28" s="10" t="s">
        <v>24</v>
      </c>
      <c r="B28" s="36">
        <v>3</v>
      </c>
      <c r="C28" s="34">
        <v>2010</v>
      </c>
      <c r="D28" s="33">
        <f t="shared" ref="D28:D34" si="4">B28*C28</f>
        <v>6030</v>
      </c>
      <c r="E28" s="29">
        <f>(660*$G$5)+660</f>
        <v>676.96199999999999</v>
      </c>
      <c r="F28" s="31">
        <f>ROUND(D28*E28,0)</f>
        <v>4082081</v>
      </c>
    </row>
    <row r="29" spans="1:6" x14ac:dyDescent="0.25">
      <c r="A29" s="10" t="s">
        <v>25</v>
      </c>
      <c r="B29" s="36">
        <v>4</v>
      </c>
      <c r="C29" s="34">
        <v>1082</v>
      </c>
      <c r="D29" s="33">
        <f t="shared" si="4"/>
        <v>4328</v>
      </c>
      <c r="E29" s="29">
        <f t="shared" ref="E29:E34" si="5">(660*$G$5)+660</f>
        <v>676.96199999999999</v>
      </c>
      <c r="F29" s="31">
        <f t="shared" ref="F29:F34" si="6">ROUND(D29*E29,0)</f>
        <v>2929892</v>
      </c>
    </row>
    <row r="30" spans="1:6" x14ac:dyDescent="0.25">
      <c r="A30" s="10" t="s">
        <v>46</v>
      </c>
      <c r="B30" s="36">
        <v>2</v>
      </c>
      <c r="C30" s="34">
        <v>3538</v>
      </c>
      <c r="D30" s="33">
        <f t="shared" si="4"/>
        <v>7076</v>
      </c>
      <c r="E30" s="29">
        <f t="shared" si="5"/>
        <v>676.96199999999999</v>
      </c>
      <c r="F30" s="31">
        <f t="shared" si="6"/>
        <v>4790183</v>
      </c>
    </row>
    <row r="31" spans="1:6" x14ac:dyDescent="0.25">
      <c r="A31" s="10" t="s">
        <v>26</v>
      </c>
      <c r="B31" s="36">
        <v>1</v>
      </c>
      <c r="C31" s="34">
        <v>4535</v>
      </c>
      <c r="D31" s="33">
        <f t="shared" si="4"/>
        <v>4535</v>
      </c>
      <c r="E31" s="29">
        <f t="shared" si="5"/>
        <v>676.96199999999999</v>
      </c>
      <c r="F31" s="31">
        <f t="shared" si="6"/>
        <v>3070023</v>
      </c>
    </row>
    <row r="32" spans="1:6" x14ac:dyDescent="0.25">
      <c r="A32" s="10" t="s">
        <v>27</v>
      </c>
      <c r="B32" s="36">
        <v>1.5</v>
      </c>
      <c r="C32" s="34">
        <v>4748</v>
      </c>
      <c r="D32" s="33">
        <f t="shared" si="4"/>
        <v>7122</v>
      </c>
      <c r="E32" s="29">
        <f t="shared" si="5"/>
        <v>676.96199999999999</v>
      </c>
      <c r="F32" s="31">
        <f t="shared" si="6"/>
        <v>4821323</v>
      </c>
    </row>
    <row r="33" spans="1:6" x14ac:dyDescent="0.25">
      <c r="A33" s="10" t="s">
        <v>28</v>
      </c>
      <c r="B33" s="36">
        <v>2</v>
      </c>
      <c r="C33" s="34">
        <v>759</v>
      </c>
      <c r="D33" s="33">
        <f t="shared" si="4"/>
        <v>1518</v>
      </c>
      <c r="E33" s="29">
        <f t="shared" si="5"/>
        <v>676.96199999999999</v>
      </c>
      <c r="F33" s="31">
        <f t="shared" si="6"/>
        <v>1027628</v>
      </c>
    </row>
    <row r="34" spans="1:6" x14ac:dyDescent="0.25">
      <c r="A34" s="10" t="s">
        <v>29</v>
      </c>
      <c r="B34" s="36">
        <v>1</v>
      </c>
      <c r="C34" s="34">
        <v>2981</v>
      </c>
      <c r="D34" s="33">
        <f t="shared" si="4"/>
        <v>2981</v>
      </c>
      <c r="E34" s="29">
        <f t="shared" si="5"/>
        <v>676.96199999999999</v>
      </c>
      <c r="F34" s="31">
        <f t="shared" si="6"/>
        <v>2018024</v>
      </c>
    </row>
    <row r="35" spans="1:6" x14ac:dyDescent="0.25">
      <c r="A35" s="37" t="s">
        <v>30</v>
      </c>
      <c r="B35" s="36"/>
      <c r="C35" s="34"/>
      <c r="D35" s="33"/>
      <c r="E35" s="35"/>
      <c r="F35" s="12">
        <f>SUM(F28:F34)</f>
        <v>22739154</v>
      </c>
    </row>
    <row r="36" spans="1:6" x14ac:dyDescent="0.25">
      <c r="A36" s="37"/>
      <c r="B36" s="36"/>
      <c r="C36" s="34"/>
      <c r="D36" s="33"/>
      <c r="E36" s="35"/>
      <c r="F36" s="12"/>
    </row>
    <row r="37" spans="1:6" x14ac:dyDescent="0.25">
      <c r="A37" s="38" t="s">
        <v>44</v>
      </c>
      <c r="B37" s="36"/>
      <c r="C37" s="34"/>
      <c r="D37" s="33"/>
      <c r="E37" s="35"/>
      <c r="F37" s="12"/>
    </row>
    <row r="38" spans="1:6" x14ac:dyDescent="0.25">
      <c r="A38" s="10" t="s">
        <v>24</v>
      </c>
      <c r="B38" s="36">
        <v>3</v>
      </c>
      <c r="C38" s="34">
        <v>1120</v>
      </c>
      <c r="D38" s="33">
        <f t="shared" ref="D38:D44" si="7">B38*C38</f>
        <v>3360</v>
      </c>
      <c r="E38" s="29">
        <f>(167*$G$5)+167</f>
        <v>171.2919</v>
      </c>
      <c r="F38" s="31">
        <f>ROUND(D38*E38,0)</f>
        <v>575541</v>
      </c>
    </row>
    <row r="39" spans="1:6" x14ac:dyDescent="0.25">
      <c r="A39" s="10" t="s">
        <v>25</v>
      </c>
      <c r="B39" s="36">
        <v>4</v>
      </c>
      <c r="C39" s="34">
        <v>585</v>
      </c>
      <c r="D39" s="33">
        <f t="shared" si="7"/>
        <v>2340</v>
      </c>
      <c r="E39" s="29">
        <f t="shared" ref="E39:E44" si="8">(167*$G$5)+167</f>
        <v>171.2919</v>
      </c>
      <c r="F39" s="31">
        <f t="shared" ref="F39:F44" si="9">ROUND(D39*E39,0)</f>
        <v>400823</v>
      </c>
    </row>
    <row r="40" spans="1:6" x14ac:dyDescent="0.25">
      <c r="A40" s="10" t="s">
        <v>46</v>
      </c>
      <c r="B40" s="36">
        <v>2</v>
      </c>
      <c r="C40" s="34">
        <v>1854</v>
      </c>
      <c r="D40" s="33">
        <f t="shared" si="7"/>
        <v>3708</v>
      </c>
      <c r="E40" s="29">
        <f t="shared" si="8"/>
        <v>171.2919</v>
      </c>
      <c r="F40" s="31">
        <f t="shared" si="9"/>
        <v>635150</v>
      </c>
    </row>
    <row r="41" spans="1:6" x14ac:dyDescent="0.25">
      <c r="A41" s="10" t="s">
        <v>26</v>
      </c>
      <c r="B41" s="36">
        <v>1</v>
      </c>
      <c r="C41" s="34">
        <v>2068</v>
      </c>
      <c r="D41" s="33">
        <f t="shared" si="7"/>
        <v>2068</v>
      </c>
      <c r="E41" s="29">
        <f t="shared" si="8"/>
        <v>171.2919</v>
      </c>
      <c r="F41" s="31">
        <f t="shared" si="9"/>
        <v>354232</v>
      </c>
    </row>
    <row r="42" spans="1:6" x14ac:dyDescent="0.25">
      <c r="A42" s="10" t="s">
        <v>27</v>
      </c>
      <c r="B42" s="36">
        <v>1.5</v>
      </c>
      <c r="C42" s="34">
        <v>2335</v>
      </c>
      <c r="D42" s="33">
        <f t="shared" si="7"/>
        <v>3502.5</v>
      </c>
      <c r="E42" s="29">
        <f t="shared" si="8"/>
        <v>171.2919</v>
      </c>
      <c r="F42" s="31">
        <f t="shared" si="9"/>
        <v>599950</v>
      </c>
    </row>
    <row r="43" spans="1:6" x14ac:dyDescent="0.25">
      <c r="A43" s="10" t="s">
        <v>28</v>
      </c>
      <c r="B43" s="36">
        <v>2</v>
      </c>
      <c r="C43" s="34">
        <v>276</v>
      </c>
      <c r="D43" s="33">
        <f t="shared" si="7"/>
        <v>552</v>
      </c>
      <c r="E43" s="29">
        <f t="shared" si="8"/>
        <v>171.2919</v>
      </c>
      <c r="F43" s="31">
        <f t="shared" si="9"/>
        <v>94553</v>
      </c>
    </row>
    <row r="44" spans="1:6" x14ac:dyDescent="0.25">
      <c r="A44" s="10" t="s">
        <v>29</v>
      </c>
      <c r="B44" s="36">
        <v>1</v>
      </c>
      <c r="C44" s="34">
        <v>841</v>
      </c>
      <c r="D44" s="33">
        <f t="shared" si="7"/>
        <v>841</v>
      </c>
      <c r="E44" s="29">
        <f t="shared" si="8"/>
        <v>171.2919</v>
      </c>
      <c r="F44" s="31">
        <f t="shared" si="9"/>
        <v>144056</v>
      </c>
    </row>
    <row r="45" spans="1:6" x14ac:dyDescent="0.25">
      <c r="A45" s="37" t="s">
        <v>30</v>
      </c>
      <c r="B45" s="36"/>
      <c r="C45" s="34"/>
      <c r="D45" s="33"/>
      <c r="E45" s="35"/>
      <c r="F45" s="12">
        <f>SUM(F38:F44)</f>
        <v>2804305</v>
      </c>
    </row>
    <row r="46" spans="1:6" x14ac:dyDescent="0.25">
      <c r="A46" s="37"/>
      <c r="B46" s="36"/>
      <c r="C46" s="34"/>
      <c r="D46" s="33"/>
      <c r="E46" s="35"/>
      <c r="F46" s="12"/>
    </row>
    <row r="47" spans="1:6" x14ac:dyDescent="0.25">
      <c r="A47" s="38" t="s">
        <v>45</v>
      </c>
      <c r="B47" s="36"/>
      <c r="C47" s="34"/>
      <c r="D47" s="33"/>
      <c r="E47" s="35"/>
      <c r="F47" s="12"/>
    </row>
    <row r="48" spans="1:6" x14ac:dyDescent="0.25">
      <c r="A48" s="10" t="s">
        <v>24</v>
      </c>
      <c r="B48" s="36">
        <v>4.5</v>
      </c>
      <c r="C48" s="34">
        <v>722</v>
      </c>
      <c r="D48" s="33">
        <f t="shared" ref="D48:D54" si="10">B48*C48</f>
        <v>3249</v>
      </c>
      <c r="E48" s="29">
        <f>(167*$G$5)+167</f>
        <v>171.2919</v>
      </c>
      <c r="F48" s="31">
        <f>ROUND(D48*E48,0)</f>
        <v>556527</v>
      </c>
    </row>
    <row r="49" spans="1:6" x14ac:dyDescent="0.25">
      <c r="A49" s="10" t="s">
        <v>25</v>
      </c>
      <c r="B49" s="36">
        <v>6</v>
      </c>
      <c r="C49" s="34">
        <v>366</v>
      </c>
      <c r="D49" s="33">
        <f t="shared" si="10"/>
        <v>2196</v>
      </c>
      <c r="E49" s="29">
        <f t="shared" ref="E49:E54" si="11">(167*$G$5)+167</f>
        <v>171.2919</v>
      </c>
      <c r="F49" s="31">
        <f t="shared" ref="F49:F54" si="12">ROUND(D49*E49,0)</f>
        <v>376157</v>
      </c>
    </row>
    <row r="50" spans="1:6" x14ac:dyDescent="0.25">
      <c r="A50" s="10" t="s">
        <v>46</v>
      </c>
      <c r="B50" s="36">
        <v>3</v>
      </c>
      <c r="C50" s="34">
        <v>1167</v>
      </c>
      <c r="D50" s="33">
        <f t="shared" si="10"/>
        <v>3501</v>
      </c>
      <c r="E50" s="29">
        <f t="shared" si="11"/>
        <v>171.2919</v>
      </c>
      <c r="F50" s="31">
        <f t="shared" si="12"/>
        <v>599693</v>
      </c>
    </row>
    <row r="51" spans="1:6" x14ac:dyDescent="0.25">
      <c r="A51" s="10" t="s">
        <v>26</v>
      </c>
      <c r="B51" s="36">
        <v>1.5</v>
      </c>
      <c r="C51" s="34">
        <v>1166</v>
      </c>
      <c r="D51" s="33">
        <f t="shared" si="10"/>
        <v>1749</v>
      </c>
      <c r="E51" s="29">
        <f t="shared" si="11"/>
        <v>171.2919</v>
      </c>
      <c r="F51" s="31">
        <f t="shared" si="12"/>
        <v>299590</v>
      </c>
    </row>
    <row r="52" spans="1:6" x14ac:dyDescent="0.25">
      <c r="A52" s="10" t="s">
        <v>27</v>
      </c>
      <c r="B52" s="45">
        <v>2.25</v>
      </c>
      <c r="C52" s="34">
        <v>1260</v>
      </c>
      <c r="D52" s="33">
        <f t="shared" si="10"/>
        <v>2835</v>
      </c>
      <c r="E52" s="29">
        <f t="shared" si="11"/>
        <v>171.2919</v>
      </c>
      <c r="F52" s="31">
        <f t="shared" si="12"/>
        <v>485613</v>
      </c>
    </row>
    <row r="53" spans="1:6" x14ac:dyDescent="0.25">
      <c r="A53" s="10" t="s">
        <v>28</v>
      </c>
      <c r="B53" s="36">
        <v>3</v>
      </c>
      <c r="C53" s="34">
        <v>162</v>
      </c>
      <c r="D53" s="33">
        <f t="shared" si="10"/>
        <v>486</v>
      </c>
      <c r="E53" s="29">
        <f t="shared" si="11"/>
        <v>171.2919</v>
      </c>
      <c r="F53" s="31">
        <f t="shared" si="12"/>
        <v>83248</v>
      </c>
    </row>
    <row r="54" spans="1:6" x14ac:dyDescent="0.25">
      <c r="A54" s="10" t="s">
        <v>29</v>
      </c>
      <c r="B54" s="36">
        <v>1.5</v>
      </c>
      <c r="C54" s="34">
        <v>294</v>
      </c>
      <c r="D54" s="33">
        <f t="shared" si="10"/>
        <v>441</v>
      </c>
      <c r="E54" s="29">
        <f t="shared" si="11"/>
        <v>171.2919</v>
      </c>
      <c r="F54" s="31">
        <f t="shared" si="12"/>
        <v>75540</v>
      </c>
    </row>
    <row r="55" spans="1:6" x14ac:dyDescent="0.25">
      <c r="A55" s="37" t="s">
        <v>30</v>
      </c>
      <c r="B55" s="36"/>
      <c r="C55" s="34"/>
      <c r="D55" s="33"/>
      <c r="E55" s="35"/>
      <c r="F55" s="12">
        <f>SUM(F48:F54)</f>
        <v>2476368</v>
      </c>
    </row>
    <row r="56" spans="1:6" ht="15.75" thickBot="1" x14ac:dyDescent="0.3">
      <c r="A56" s="15"/>
      <c r="B56" s="17"/>
      <c r="C56" s="26"/>
      <c r="D56" s="17"/>
      <c r="E56" s="18" t="s">
        <v>35</v>
      </c>
      <c r="F56" s="19">
        <f>F35+F45+F55</f>
        <v>28019827</v>
      </c>
    </row>
    <row r="58" spans="1:6" x14ac:dyDescent="0.25">
      <c r="E58" s="3" t="s">
        <v>14</v>
      </c>
      <c r="F58" s="4">
        <f>F13+F22+F56</f>
        <v>158955387.9587</v>
      </c>
    </row>
    <row r="59" spans="1:6" x14ac:dyDescent="0.25">
      <c r="E59" s="3" t="s">
        <v>49</v>
      </c>
      <c r="F59" s="4">
        <f>('Simulation 18-19'!F59*'19-20 with COLA'!G5)+'Simulation 18-19'!F59</f>
        <v>160839628.2597</v>
      </c>
    </row>
    <row r="60" spans="1:6" x14ac:dyDescent="0.25">
      <c r="E60" s="3" t="s">
        <v>15</v>
      </c>
      <c r="F60" s="4">
        <f>F58-F59</f>
        <v>-1884240.300999999</v>
      </c>
    </row>
    <row r="61" spans="1:6" x14ac:dyDescent="0.25">
      <c r="E61" s="3" t="s">
        <v>38</v>
      </c>
      <c r="F61" s="4">
        <v>1884240</v>
      </c>
    </row>
    <row r="62" spans="1:6" x14ac:dyDescent="0.25">
      <c r="E62" s="3" t="s">
        <v>39</v>
      </c>
      <c r="F62" s="4">
        <f>F60+F61</f>
        <v>-0.30099999904632568</v>
      </c>
    </row>
  </sheetData>
  <mergeCells count="5">
    <mergeCell ref="A1:F1"/>
    <mergeCell ref="A2:F2"/>
    <mergeCell ref="A4:F4"/>
    <mergeCell ref="A15:F15"/>
    <mergeCell ref="A24:F24"/>
  </mergeCells>
  <printOptions horizontalCentered="1"/>
  <pageMargins left="0.25" right="0.25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62"/>
  <sheetViews>
    <sheetView zoomScale="90" zoomScaleNormal="90" workbookViewId="0">
      <selection activeCell="B10" sqref="B10"/>
    </sheetView>
  </sheetViews>
  <sheetFormatPr defaultColWidth="17.7109375" defaultRowHeight="15" x14ac:dyDescent="0.25"/>
  <cols>
    <col min="1" max="1" width="38.28515625" style="1" bestFit="1" customWidth="1"/>
    <col min="2" max="16384" width="17.7109375" style="1"/>
  </cols>
  <sheetData>
    <row r="1" spans="1:6" x14ac:dyDescent="0.25">
      <c r="A1" s="79" t="s">
        <v>18</v>
      </c>
      <c r="B1" s="80"/>
      <c r="C1" s="80"/>
      <c r="D1" s="80"/>
      <c r="E1" s="80"/>
      <c r="F1" s="81"/>
    </row>
    <row r="2" spans="1:6" ht="15.75" thickBot="1" x14ac:dyDescent="0.3">
      <c r="A2" s="82" t="s">
        <v>17</v>
      </c>
      <c r="B2" s="83"/>
      <c r="C2" s="83"/>
      <c r="D2" s="83"/>
      <c r="E2" s="83"/>
      <c r="F2" s="84"/>
    </row>
    <row r="3" spans="1:6" ht="15.75" thickBot="1" x14ac:dyDescent="0.3"/>
    <row r="4" spans="1:6" ht="15.75" thickBot="1" x14ac:dyDescent="0.3">
      <c r="A4" s="85" t="s">
        <v>33</v>
      </c>
      <c r="B4" s="86"/>
      <c r="C4" s="86"/>
      <c r="D4" s="86"/>
      <c r="E4" s="86"/>
      <c r="F4" s="87"/>
    </row>
    <row r="5" spans="1:6" s="2" customFormat="1" x14ac:dyDescent="0.25">
      <c r="A5" s="7"/>
      <c r="B5" s="8" t="s">
        <v>6</v>
      </c>
      <c r="C5" s="8" t="s">
        <v>7</v>
      </c>
      <c r="D5" s="8" t="s">
        <v>9</v>
      </c>
      <c r="E5" s="8" t="s">
        <v>8</v>
      </c>
      <c r="F5" s="9" t="s">
        <v>12</v>
      </c>
    </row>
    <row r="6" spans="1:6" x14ac:dyDescent="0.25">
      <c r="A6" s="10"/>
      <c r="B6" s="11"/>
      <c r="C6" s="11"/>
      <c r="D6" s="11"/>
      <c r="E6" s="11"/>
      <c r="F6" s="12"/>
    </row>
    <row r="7" spans="1:6" s="2" customFormat="1" x14ac:dyDescent="0.25">
      <c r="A7" s="7"/>
      <c r="B7" s="8" t="s">
        <v>3</v>
      </c>
      <c r="C7" s="8" t="s">
        <v>4</v>
      </c>
      <c r="D7" s="8" t="s">
        <v>5</v>
      </c>
      <c r="E7" s="8" t="s">
        <v>10</v>
      </c>
      <c r="F7" s="9" t="s">
        <v>11</v>
      </c>
    </row>
    <row r="8" spans="1:6" x14ac:dyDescent="0.25">
      <c r="A8" s="10" t="s">
        <v>16</v>
      </c>
      <c r="B8" s="27"/>
      <c r="C8" s="28"/>
      <c r="D8" s="29"/>
      <c r="E8" s="30"/>
      <c r="F8" s="31">
        <v>9136691</v>
      </c>
    </row>
    <row r="9" spans="1:6" x14ac:dyDescent="0.25">
      <c r="A9" s="10" t="s">
        <v>0</v>
      </c>
      <c r="B9" s="27">
        <v>3826</v>
      </c>
      <c r="C9" s="32">
        <v>1</v>
      </c>
      <c r="D9" s="29">
        <f>B9*C9</f>
        <v>3826</v>
      </c>
      <c r="E9" s="30">
        <f>FTES!E6</f>
        <v>23548.693333333333</v>
      </c>
      <c r="F9" s="31">
        <v>90097301</v>
      </c>
    </row>
    <row r="10" spans="1:6" x14ac:dyDescent="0.25">
      <c r="A10" s="10" t="s">
        <v>1</v>
      </c>
      <c r="B10" s="27">
        <v>3347</v>
      </c>
      <c r="C10" s="32">
        <v>1</v>
      </c>
      <c r="D10" s="29">
        <f>B10*C10</f>
        <v>3347</v>
      </c>
      <c r="E10" s="30">
        <f>FTES!C9</f>
        <v>1992.56</v>
      </c>
      <c r="F10" s="31">
        <v>6670080</v>
      </c>
    </row>
    <row r="11" spans="1:6" x14ac:dyDescent="0.25">
      <c r="A11" s="10" t="s">
        <v>2</v>
      </c>
      <c r="B11" s="13">
        <v>5457</v>
      </c>
      <c r="C11" s="25">
        <v>1</v>
      </c>
      <c r="D11" s="11">
        <f>B11*C11</f>
        <v>5457</v>
      </c>
      <c r="E11" s="14">
        <f>FTES!C10</f>
        <v>895.35</v>
      </c>
      <c r="F11" s="12">
        <v>4885632</v>
      </c>
    </row>
    <row r="12" spans="1:6" x14ac:dyDescent="0.25">
      <c r="A12" s="10" t="s">
        <v>37</v>
      </c>
      <c r="B12" s="13">
        <v>5600</v>
      </c>
      <c r="C12" s="25">
        <v>1</v>
      </c>
      <c r="D12" s="11">
        <f>B12*C12</f>
        <v>5600</v>
      </c>
      <c r="E12" s="14">
        <f>FTES!E5</f>
        <v>593.07000000000005</v>
      </c>
      <c r="F12" s="12">
        <v>3321365</v>
      </c>
    </row>
    <row r="13" spans="1:6" ht="15.75" thickBot="1" x14ac:dyDescent="0.3">
      <c r="A13" s="15"/>
      <c r="B13" s="16"/>
      <c r="C13" s="17"/>
      <c r="D13" s="17"/>
      <c r="E13" s="18" t="s">
        <v>36</v>
      </c>
      <c r="F13" s="19">
        <f>SUM(F8:F12)</f>
        <v>114111069</v>
      </c>
    </row>
    <row r="14" spans="1:6" ht="15.75" thickBot="1" x14ac:dyDescent="0.3">
      <c r="B14" s="6"/>
      <c r="E14" s="3"/>
      <c r="F14" s="4"/>
    </row>
    <row r="15" spans="1:6" ht="15.75" thickBot="1" x14ac:dyDescent="0.3">
      <c r="A15" s="88" t="s">
        <v>31</v>
      </c>
      <c r="B15" s="89"/>
      <c r="C15" s="89"/>
      <c r="D15" s="89"/>
      <c r="E15" s="89"/>
      <c r="F15" s="90"/>
    </row>
    <row r="16" spans="1:6" s="2" customFormat="1" x14ac:dyDescent="0.25">
      <c r="A16" s="20"/>
      <c r="B16" s="21" t="s">
        <v>6</v>
      </c>
      <c r="C16" s="22" t="s">
        <v>7</v>
      </c>
      <c r="D16" s="22" t="s">
        <v>9</v>
      </c>
      <c r="E16" s="22" t="s">
        <v>8</v>
      </c>
      <c r="F16" s="23" t="s">
        <v>12</v>
      </c>
    </row>
    <row r="17" spans="1:6" x14ac:dyDescent="0.25">
      <c r="A17" s="10"/>
      <c r="B17" s="13"/>
      <c r="C17" s="11"/>
      <c r="D17" s="11"/>
      <c r="E17" s="11"/>
      <c r="F17" s="12"/>
    </row>
    <row r="18" spans="1:6" s="2" customFormat="1" x14ac:dyDescent="0.25">
      <c r="A18" s="7"/>
      <c r="B18" s="24" t="s">
        <v>20</v>
      </c>
      <c r="C18" s="8" t="s">
        <v>21</v>
      </c>
      <c r="D18" s="8" t="s">
        <v>22</v>
      </c>
      <c r="E18" s="8" t="s">
        <v>23</v>
      </c>
      <c r="F18" s="9" t="s">
        <v>11</v>
      </c>
    </row>
    <row r="19" spans="1:6" x14ac:dyDescent="0.25">
      <c r="A19" s="10" t="s">
        <v>43</v>
      </c>
      <c r="B19" s="33">
        <v>1</v>
      </c>
      <c r="C19" s="34">
        <v>16230</v>
      </c>
      <c r="D19" s="33">
        <f>B19*C19</f>
        <v>16230</v>
      </c>
      <c r="E19" s="29">
        <v>919</v>
      </c>
      <c r="F19" s="12">
        <f t="shared" ref="F19:F21" si="0">ROUND(D19*E19,0)</f>
        <v>14915370</v>
      </c>
    </row>
    <row r="20" spans="1:6" x14ac:dyDescent="0.25">
      <c r="A20" s="10" t="s">
        <v>19</v>
      </c>
      <c r="B20" s="33">
        <v>1</v>
      </c>
      <c r="C20" s="34">
        <v>1405</v>
      </c>
      <c r="D20" s="33">
        <f>B20*C20</f>
        <v>1405</v>
      </c>
      <c r="E20" s="29">
        <v>919</v>
      </c>
      <c r="F20" s="12">
        <f t="shared" si="0"/>
        <v>1291195</v>
      </c>
    </row>
    <row r="21" spans="1:6" x14ac:dyDescent="0.25">
      <c r="A21" s="10" t="s">
        <v>13</v>
      </c>
      <c r="B21" s="33">
        <v>1</v>
      </c>
      <c r="C21" s="34">
        <v>6071</v>
      </c>
      <c r="D21" s="33">
        <f>B21*C21</f>
        <v>6071</v>
      </c>
      <c r="E21" s="29">
        <v>919</v>
      </c>
      <c r="F21" s="12">
        <f t="shared" si="0"/>
        <v>5579249</v>
      </c>
    </row>
    <row r="22" spans="1:6" ht="15.75" thickBot="1" x14ac:dyDescent="0.3">
      <c r="A22" s="15"/>
      <c r="B22" s="17"/>
      <c r="C22" s="26"/>
      <c r="D22" s="17"/>
      <c r="E22" s="18" t="s">
        <v>34</v>
      </c>
      <c r="F22" s="19">
        <f>SUM(F19:F21)</f>
        <v>21785814</v>
      </c>
    </row>
    <row r="23" spans="1:6" ht="15.75" thickBot="1" x14ac:dyDescent="0.3">
      <c r="C23" s="5"/>
    </row>
    <row r="24" spans="1:6" ht="15.75" thickBot="1" x14ac:dyDescent="0.3">
      <c r="A24" s="91" t="s">
        <v>32</v>
      </c>
      <c r="B24" s="92"/>
      <c r="C24" s="92"/>
      <c r="D24" s="92"/>
      <c r="E24" s="92"/>
      <c r="F24" s="93"/>
    </row>
    <row r="25" spans="1:6" x14ac:dyDescent="0.25">
      <c r="A25" s="20"/>
      <c r="B25" s="21" t="s">
        <v>6</v>
      </c>
      <c r="C25" s="22" t="s">
        <v>7</v>
      </c>
      <c r="D25" s="22" t="s">
        <v>9</v>
      </c>
      <c r="E25" s="22" t="s">
        <v>8</v>
      </c>
      <c r="F25" s="23" t="s">
        <v>12</v>
      </c>
    </row>
    <row r="26" spans="1:6" x14ac:dyDescent="0.25">
      <c r="A26" s="10"/>
      <c r="B26" s="13"/>
      <c r="C26" s="11"/>
      <c r="D26" s="11"/>
      <c r="E26" s="11"/>
      <c r="F26" s="12"/>
    </row>
    <row r="27" spans="1:6" x14ac:dyDescent="0.25">
      <c r="A27" s="7"/>
      <c r="B27" s="24" t="s">
        <v>20</v>
      </c>
      <c r="C27" s="8" t="s">
        <v>21</v>
      </c>
      <c r="D27" s="8" t="s">
        <v>22</v>
      </c>
      <c r="E27" s="8" t="s">
        <v>23</v>
      </c>
      <c r="F27" s="9" t="s">
        <v>11</v>
      </c>
    </row>
    <row r="28" spans="1:6" x14ac:dyDescent="0.25">
      <c r="A28" s="10" t="s">
        <v>24</v>
      </c>
      <c r="B28" s="36">
        <v>3</v>
      </c>
      <c r="C28" s="34">
        <v>2010</v>
      </c>
      <c r="D28" s="33">
        <f t="shared" ref="D28:D34" si="1">B28*C28</f>
        <v>6030</v>
      </c>
      <c r="E28" s="29">
        <v>440</v>
      </c>
      <c r="F28" s="31">
        <v>2651880</v>
      </c>
    </row>
    <row r="29" spans="1:6" x14ac:dyDescent="0.25">
      <c r="A29" s="10" t="s">
        <v>25</v>
      </c>
      <c r="B29" s="36">
        <v>4</v>
      </c>
      <c r="C29" s="34">
        <v>1082</v>
      </c>
      <c r="D29" s="33">
        <f t="shared" si="1"/>
        <v>4328</v>
      </c>
      <c r="E29" s="29">
        <v>440</v>
      </c>
      <c r="F29" s="31">
        <v>1904320</v>
      </c>
    </row>
    <row r="30" spans="1:6" x14ac:dyDescent="0.25">
      <c r="A30" s="10" t="s">
        <v>46</v>
      </c>
      <c r="B30" s="36">
        <v>2</v>
      </c>
      <c r="C30" s="34">
        <v>3538</v>
      </c>
      <c r="D30" s="33">
        <f t="shared" si="1"/>
        <v>7076</v>
      </c>
      <c r="E30" s="29">
        <v>440</v>
      </c>
      <c r="F30" s="31">
        <v>3113440</v>
      </c>
    </row>
    <row r="31" spans="1:6" x14ac:dyDescent="0.25">
      <c r="A31" s="10" t="s">
        <v>26</v>
      </c>
      <c r="B31" s="36">
        <v>1</v>
      </c>
      <c r="C31" s="34">
        <v>4535</v>
      </c>
      <c r="D31" s="33">
        <f t="shared" si="1"/>
        <v>4535</v>
      </c>
      <c r="E31" s="29">
        <v>440</v>
      </c>
      <c r="F31" s="31">
        <v>1976040</v>
      </c>
    </row>
    <row r="32" spans="1:6" x14ac:dyDescent="0.25">
      <c r="A32" s="10" t="s">
        <v>27</v>
      </c>
      <c r="B32" s="36">
        <v>1.5</v>
      </c>
      <c r="C32" s="34">
        <v>4748</v>
      </c>
      <c r="D32" s="33">
        <f t="shared" si="1"/>
        <v>7122</v>
      </c>
      <c r="E32" s="29">
        <v>440</v>
      </c>
      <c r="F32" s="31">
        <v>3131040</v>
      </c>
    </row>
    <row r="33" spans="1:6" x14ac:dyDescent="0.25">
      <c r="A33" s="10" t="s">
        <v>28</v>
      </c>
      <c r="B33" s="36">
        <v>2</v>
      </c>
      <c r="C33" s="34">
        <v>759</v>
      </c>
      <c r="D33" s="33">
        <f t="shared" si="1"/>
        <v>1518</v>
      </c>
      <c r="E33" s="29">
        <v>440</v>
      </c>
      <c r="F33" s="31">
        <v>649440</v>
      </c>
    </row>
    <row r="34" spans="1:6" x14ac:dyDescent="0.25">
      <c r="A34" s="10" t="s">
        <v>29</v>
      </c>
      <c r="B34" s="36">
        <v>1</v>
      </c>
      <c r="C34" s="34">
        <v>2981</v>
      </c>
      <c r="D34" s="33">
        <f t="shared" si="1"/>
        <v>2981</v>
      </c>
      <c r="E34" s="29">
        <v>440</v>
      </c>
      <c r="F34" s="31">
        <v>1311640</v>
      </c>
    </row>
    <row r="35" spans="1:6" x14ac:dyDescent="0.25">
      <c r="A35" s="37" t="s">
        <v>30</v>
      </c>
      <c r="B35" s="36"/>
      <c r="C35" s="34"/>
      <c r="D35" s="33"/>
      <c r="E35" s="35"/>
      <c r="F35" s="12">
        <f>SUM(F28:F34)</f>
        <v>14737800</v>
      </c>
    </row>
    <row r="36" spans="1:6" x14ac:dyDescent="0.25">
      <c r="A36" s="37"/>
      <c r="B36" s="36"/>
      <c r="C36" s="34"/>
      <c r="D36" s="33"/>
      <c r="E36" s="35"/>
      <c r="F36" s="12"/>
    </row>
    <row r="37" spans="1:6" x14ac:dyDescent="0.25">
      <c r="A37" s="38" t="s">
        <v>44</v>
      </c>
      <c r="B37" s="36"/>
      <c r="C37" s="34"/>
      <c r="D37" s="33"/>
      <c r="E37" s="35"/>
      <c r="F37" s="12"/>
    </row>
    <row r="38" spans="1:6" x14ac:dyDescent="0.25">
      <c r="A38" s="10" t="s">
        <v>24</v>
      </c>
      <c r="B38" s="36">
        <v>3</v>
      </c>
      <c r="C38" s="34">
        <v>1120</v>
      </c>
      <c r="D38" s="33">
        <f t="shared" ref="D38:D44" si="2">B38*C38</f>
        <v>3360</v>
      </c>
      <c r="E38" s="29">
        <v>111</v>
      </c>
      <c r="F38" s="31">
        <v>373293</v>
      </c>
    </row>
    <row r="39" spans="1:6" x14ac:dyDescent="0.25">
      <c r="A39" s="10" t="s">
        <v>25</v>
      </c>
      <c r="B39" s="36">
        <v>4</v>
      </c>
      <c r="C39" s="34">
        <v>585</v>
      </c>
      <c r="D39" s="33">
        <f t="shared" si="2"/>
        <v>2340</v>
      </c>
      <c r="E39" s="29">
        <v>111</v>
      </c>
      <c r="F39" s="31">
        <v>261516</v>
      </c>
    </row>
    <row r="40" spans="1:6" x14ac:dyDescent="0.25">
      <c r="A40" s="10" t="s">
        <v>46</v>
      </c>
      <c r="B40" s="36">
        <v>2</v>
      </c>
      <c r="C40" s="34">
        <v>1854</v>
      </c>
      <c r="D40" s="33">
        <f t="shared" si="2"/>
        <v>3708</v>
      </c>
      <c r="E40" s="29">
        <v>111</v>
      </c>
      <c r="F40" s="31">
        <v>413808</v>
      </c>
    </row>
    <row r="41" spans="1:6" x14ac:dyDescent="0.25">
      <c r="A41" s="10" t="s">
        <v>26</v>
      </c>
      <c r="B41" s="36">
        <v>1</v>
      </c>
      <c r="C41" s="34">
        <v>2068</v>
      </c>
      <c r="D41" s="33">
        <f t="shared" si="2"/>
        <v>2068</v>
      </c>
      <c r="E41" s="29">
        <v>111</v>
      </c>
      <c r="F41" s="31">
        <v>250194</v>
      </c>
    </row>
    <row r="42" spans="1:6" x14ac:dyDescent="0.25">
      <c r="A42" s="10" t="s">
        <v>27</v>
      </c>
      <c r="B42" s="36">
        <v>1.5</v>
      </c>
      <c r="C42" s="34">
        <v>2335</v>
      </c>
      <c r="D42" s="33">
        <f t="shared" si="2"/>
        <v>3502.5</v>
      </c>
      <c r="E42" s="29">
        <v>111</v>
      </c>
      <c r="F42" s="31">
        <v>360806</v>
      </c>
    </row>
    <row r="43" spans="1:6" x14ac:dyDescent="0.25">
      <c r="A43" s="10" t="s">
        <v>28</v>
      </c>
      <c r="B43" s="36">
        <v>2</v>
      </c>
      <c r="C43" s="34">
        <v>276</v>
      </c>
      <c r="D43" s="33">
        <f t="shared" si="2"/>
        <v>552</v>
      </c>
      <c r="E43" s="29">
        <v>111</v>
      </c>
      <c r="F43" s="31">
        <v>57498</v>
      </c>
    </row>
    <row r="44" spans="1:6" x14ac:dyDescent="0.25">
      <c r="A44" s="10" t="s">
        <v>29</v>
      </c>
      <c r="B44" s="36">
        <v>1</v>
      </c>
      <c r="C44" s="34">
        <v>841</v>
      </c>
      <c r="D44" s="33">
        <f t="shared" si="2"/>
        <v>841</v>
      </c>
      <c r="E44" s="29">
        <v>111</v>
      </c>
      <c r="F44" s="31">
        <v>93351</v>
      </c>
    </row>
    <row r="45" spans="1:6" x14ac:dyDescent="0.25">
      <c r="A45" s="37" t="s">
        <v>30</v>
      </c>
      <c r="B45" s="36"/>
      <c r="C45" s="34"/>
      <c r="D45" s="33"/>
      <c r="E45" s="35"/>
      <c r="F45" s="12">
        <f>SUM(F38:F44)</f>
        <v>1810466</v>
      </c>
    </row>
    <row r="46" spans="1:6" x14ac:dyDescent="0.25">
      <c r="A46" s="37"/>
      <c r="B46" s="36"/>
      <c r="C46" s="34"/>
      <c r="D46" s="33"/>
      <c r="E46" s="35"/>
      <c r="F46" s="12"/>
    </row>
    <row r="47" spans="1:6" x14ac:dyDescent="0.25">
      <c r="A47" s="38" t="s">
        <v>45</v>
      </c>
      <c r="B47" s="36"/>
      <c r="C47" s="34"/>
      <c r="D47" s="33"/>
      <c r="E47" s="35"/>
      <c r="F47" s="12"/>
    </row>
    <row r="48" spans="1:6" x14ac:dyDescent="0.25">
      <c r="A48" s="10" t="s">
        <v>24</v>
      </c>
      <c r="B48" s="36">
        <v>4.5</v>
      </c>
      <c r="C48" s="34">
        <v>722</v>
      </c>
      <c r="D48" s="33">
        <f t="shared" ref="D48:D54" si="3">B48*C48</f>
        <v>3249</v>
      </c>
      <c r="E48" s="29">
        <v>111</v>
      </c>
      <c r="F48" s="31">
        <v>368631</v>
      </c>
    </row>
    <row r="49" spans="1:6" x14ac:dyDescent="0.25">
      <c r="A49" s="10" t="s">
        <v>25</v>
      </c>
      <c r="B49" s="36">
        <v>6</v>
      </c>
      <c r="C49" s="34">
        <v>366</v>
      </c>
      <c r="D49" s="33">
        <f t="shared" si="3"/>
        <v>2196</v>
      </c>
      <c r="E49" s="29">
        <v>111</v>
      </c>
      <c r="F49" s="31">
        <v>247086</v>
      </c>
    </row>
    <row r="50" spans="1:6" x14ac:dyDescent="0.25">
      <c r="A50" s="10" t="s">
        <v>46</v>
      </c>
      <c r="B50" s="36">
        <v>3</v>
      </c>
      <c r="C50" s="34">
        <v>1167</v>
      </c>
      <c r="D50" s="33">
        <f t="shared" si="3"/>
        <v>3501</v>
      </c>
      <c r="E50" s="29">
        <v>111</v>
      </c>
      <c r="F50" s="31">
        <v>394272</v>
      </c>
    </row>
    <row r="51" spans="1:6" x14ac:dyDescent="0.25">
      <c r="A51" s="10" t="s">
        <v>26</v>
      </c>
      <c r="B51" s="36">
        <v>1.5</v>
      </c>
      <c r="C51" s="34">
        <v>1166</v>
      </c>
      <c r="D51" s="33">
        <f t="shared" si="3"/>
        <v>1749</v>
      </c>
      <c r="E51" s="29">
        <v>111</v>
      </c>
      <c r="F51" s="31">
        <v>197802</v>
      </c>
    </row>
    <row r="52" spans="1:6" x14ac:dyDescent="0.25">
      <c r="A52" s="10" t="s">
        <v>27</v>
      </c>
      <c r="B52" s="45">
        <v>2.25</v>
      </c>
      <c r="C52" s="34">
        <v>1260</v>
      </c>
      <c r="D52" s="33">
        <f t="shared" si="3"/>
        <v>2835</v>
      </c>
      <c r="E52" s="29">
        <v>111</v>
      </c>
      <c r="F52" s="31">
        <v>303946</v>
      </c>
    </row>
    <row r="53" spans="1:6" x14ac:dyDescent="0.25">
      <c r="A53" s="10" t="s">
        <v>28</v>
      </c>
      <c r="B53" s="36">
        <v>3</v>
      </c>
      <c r="C53" s="34">
        <v>162</v>
      </c>
      <c r="D53" s="33">
        <f t="shared" si="3"/>
        <v>486</v>
      </c>
      <c r="E53" s="29">
        <v>111</v>
      </c>
      <c r="F53" s="31">
        <v>52281</v>
      </c>
    </row>
    <row r="54" spans="1:6" x14ac:dyDescent="0.25">
      <c r="A54" s="10" t="s">
        <v>29</v>
      </c>
      <c r="B54" s="36">
        <v>1.5</v>
      </c>
      <c r="C54" s="34">
        <v>294</v>
      </c>
      <c r="D54" s="33">
        <f t="shared" si="3"/>
        <v>441</v>
      </c>
      <c r="E54" s="29">
        <v>111</v>
      </c>
      <c r="F54" s="31">
        <f t="shared" ref="F54" si="4">ROUND(D54*E54,0)</f>
        <v>48951</v>
      </c>
    </row>
    <row r="55" spans="1:6" x14ac:dyDescent="0.25">
      <c r="A55" s="37" t="s">
        <v>30</v>
      </c>
      <c r="B55" s="36"/>
      <c r="C55" s="34"/>
      <c r="D55" s="33"/>
      <c r="E55" s="35"/>
      <c r="F55" s="12">
        <f>SUM(F48:F54)</f>
        <v>1612969</v>
      </c>
    </row>
    <row r="56" spans="1:6" ht="15.75" thickBot="1" x14ac:dyDescent="0.3">
      <c r="A56" s="15"/>
      <c r="B56" s="17"/>
      <c r="C56" s="26"/>
      <c r="D56" s="17"/>
      <c r="E56" s="18" t="s">
        <v>35</v>
      </c>
      <c r="F56" s="19">
        <f>F35+F45+F55</f>
        <v>18161235</v>
      </c>
    </row>
    <row r="58" spans="1:6" x14ac:dyDescent="0.25">
      <c r="E58" s="3" t="s">
        <v>14</v>
      </c>
      <c r="F58" s="4">
        <f>F13+F22+F56</f>
        <v>154058118</v>
      </c>
    </row>
    <row r="59" spans="1:6" x14ac:dyDescent="0.25">
      <c r="E59" s="3" t="s">
        <v>49</v>
      </c>
      <c r="F59" s="4">
        <v>156809621</v>
      </c>
    </row>
    <row r="60" spans="1:6" x14ac:dyDescent="0.25">
      <c r="E60" s="3" t="s">
        <v>15</v>
      </c>
      <c r="F60" s="4">
        <f>F58-F59</f>
        <v>-2751503</v>
      </c>
    </row>
    <row r="61" spans="1:6" x14ac:dyDescent="0.25">
      <c r="E61" s="3" t="s">
        <v>38</v>
      </c>
      <c r="F61" s="4">
        <v>2751503</v>
      </c>
    </row>
    <row r="62" spans="1:6" x14ac:dyDescent="0.25">
      <c r="E62" s="3" t="s">
        <v>39</v>
      </c>
      <c r="F62" s="4">
        <f>F60+F61</f>
        <v>0</v>
      </c>
    </row>
  </sheetData>
  <mergeCells count="5">
    <mergeCell ref="A1:F1"/>
    <mergeCell ref="A2:F2"/>
    <mergeCell ref="A4:F4"/>
    <mergeCell ref="A15:F15"/>
    <mergeCell ref="A24:F24"/>
  </mergeCells>
  <pageMargins left="0.45" right="0.45" top="0.5" bottom="0.5" header="0.3" footer="0.3"/>
  <pageSetup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5"/>
  <sheetViews>
    <sheetView workbookViewId="0">
      <selection activeCell="C38" sqref="C38"/>
    </sheetView>
  </sheetViews>
  <sheetFormatPr defaultRowHeight="15" x14ac:dyDescent="0.25"/>
  <cols>
    <col min="1" max="1" width="49.5703125" bestFit="1" customWidth="1"/>
    <col min="2" max="4" width="20.7109375" bestFit="1" customWidth="1"/>
  </cols>
  <sheetData>
    <row r="1" spans="1:4" ht="15.75" thickBot="1" x14ac:dyDescent="0.3"/>
    <row r="2" spans="1:4" ht="21" x14ac:dyDescent="0.35">
      <c r="A2" s="53"/>
      <c r="B2" s="54" t="s">
        <v>47</v>
      </c>
      <c r="C2" s="54" t="s">
        <v>64</v>
      </c>
      <c r="D2" s="55" t="s">
        <v>65</v>
      </c>
    </row>
    <row r="3" spans="1:4" s="39" customFormat="1" ht="21" x14ac:dyDescent="0.35">
      <c r="A3" s="56"/>
      <c r="B3" s="57" t="s">
        <v>63</v>
      </c>
      <c r="C3" s="57" t="s">
        <v>66</v>
      </c>
      <c r="D3" s="58" t="s">
        <v>66</v>
      </c>
    </row>
    <row r="4" spans="1:4" ht="21" x14ac:dyDescent="0.35">
      <c r="A4" s="59" t="s">
        <v>55</v>
      </c>
      <c r="B4" s="60">
        <f>'Simulation 18-19'!F13</f>
        <v>114111069</v>
      </c>
      <c r="C4" s="60">
        <f>'Simulation 19-20'!F13</f>
        <v>105869026</v>
      </c>
      <c r="D4" s="61">
        <f>'Simulation 20-21'!F13</f>
        <v>97626983</v>
      </c>
    </row>
    <row r="5" spans="1:4" ht="21" x14ac:dyDescent="0.35">
      <c r="A5" s="59"/>
      <c r="B5" s="60"/>
      <c r="C5" s="60"/>
      <c r="D5" s="61"/>
    </row>
    <row r="6" spans="1:4" ht="21" x14ac:dyDescent="0.35">
      <c r="A6" s="59" t="s">
        <v>56</v>
      </c>
      <c r="B6" s="60">
        <f>'Simulation 18-19'!F22</f>
        <v>21785814</v>
      </c>
      <c r="C6" s="60">
        <f>'Simulation 19-20'!F22</f>
        <v>21785814</v>
      </c>
      <c r="D6" s="61">
        <f>'Simulation 20-21'!F22</f>
        <v>21785814</v>
      </c>
    </row>
    <row r="7" spans="1:4" ht="21" x14ac:dyDescent="0.35">
      <c r="A7" s="59"/>
      <c r="B7" s="60"/>
      <c r="C7" s="60"/>
      <c r="D7" s="61"/>
    </row>
    <row r="8" spans="1:4" ht="21" x14ac:dyDescent="0.35">
      <c r="A8" s="59" t="s">
        <v>57</v>
      </c>
      <c r="B8" s="60">
        <f>'Simulation 18-19'!F56</f>
        <v>18161235</v>
      </c>
      <c r="C8" s="60">
        <f>'Simulation 19-20'!F56</f>
        <v>27257273.378378376</v>
      </c>
      <c r="D8" s="61">
        <f>'Simulation 20-21'!F56</f>
        <v>36322470</v>
      </c>
    </row>
    <row r="9" spans="1:4" s="52" customFormat="1" ht="21" x14ac:dyDescent="0.35">
      <c r="A9" s="62" t="s">
        <v>58</v>
      </c>
      <c r="B9" s="63">
        <f>'Simulation 18-19'!F58</f>
        <v>154058118</v>
      </c>
      <c r="C9" s="63">
        <f>'Simulation 19-20'!F58</f>
        <v>154912113.37837839</v>
      </c>
      <c r="D9" s="64">
        <f>'Simulation 20-21'!F58</f>
        <v>155735267</v>
      </c>
    </row>
    <row r="10" spans="1:4" ht="21" x14ac:dyDescent="0.35">
      <c r="A10" s="59"/>
      <c r="B10" s="60"/>
      <c r="C10" s="60"/>
      <c r="D10" s="61"/>
    </row>
    <row r="11" spans="1:4" ht="21" x14ac:dyDescent="0.35">
      <c r="A11" s="65" t="s">
        <v>59</v>
      </c>
      <c r="B11" s="60"/>
      <c r="C11" s="60"/>
      <c r="D11" s="61"/>
    </row>
    <row r="12" spans="1:4" s="52" customFormat="1" ht="21" x14ac:dyDescent="0.35">
      <c r="A12" s="66" t="s">
        <v>60</v>
      </c>
      <c r="B12" s="67">
        <f>'Simulation 18-19'!F59</f>
        <v>156809621</v>
      </c>
      <c r="C12" s="67">
        <f>'Simulation 19-20'!F59</f>
        <v>156809621</v>
      </c>
      <c r="D12" s="68">
        <f>'Simulation 20-21'!F59</f>
        <v>156809621</v>
      </c>
    </row>
    <row r="13" spans="1:4" ht="21" x14ac:dyDescent="0.35">
      <c r="A13" s="59"/>
      <c r="B13" s="60"/>
      <c r="C13" s="60"/>
      <c r="D13" s="61"/>
    </row>
    <row r="14" spans="1:4" s="52" customFormat="1" ht="21" x14ac:dyDescent="0.35">
      <c r="A14" s="69" t="s">
        <v>61</v>
      </c>
      <c r="B14" s="70">
        <f>'Simulation 18-19'!F61</f>
        <v>2751503</v>
      </c>
      <c r="C14" s="70">
        <f>'Simulation 19-20'!F61</f>
        <v>1897507.62</v>
      </c>
      <c r="D14" s="71">
        <f>'Simulation 20-21'!F61</f>
        <v>1074354</v>
      </c>
    </row>
    <row r="15" spans="1:4" ht="21" x14ac:dyDescent="0.35">
      <c r="A15" s="59"/>
      <c r="B15" s="72"/>
      <c r="C15" s="72"/>
      <c r="D15" s="73"/>
    </row>
    <row r="16" spans="1:4" s="52" customFormat="1" ht="21.75" thickBot="1" x14ac:dyDescent="0.4">
      <c r="A16" s="74" t="s">
        <v>62</v>
      </c>
      <c r="B16" s="75"/>
      <c r="C16" s="76">
        <f>(C9-B9)/B9</f>
        <v>5.5433325388175346E-3</v>
      </c>
      <c r="D16" s="77">
        <f>(D9-C9)/C9</f>
        <v>5.3136814395593878E-3</v>
      </c>
    </row>
    <row r="17" spans="1:4" ht="21" x14ac:dyDescent="0.35">
      <c r="A17" s="78"/>
      <c r="B17" s="78"/>
      <c r="C17" s="78"/>
      <c r="D17" s="78"/>
    </row>
    <row r="18" spans="1:4" ht="21" x14ac:dyDescent="0.35">
      <c r="A18" s="78"/>
      <c r="B18" s="78"/>
      <c r="C18" s="78"/>
      <c r="D18" s="78"/>
    </row>
    <row r="19" spans="1:4" ht="21" x14ac:dyDescent="0.35">
      <c r="A19" s="78"/>
      <c r="B19" s="78"/>
      <c r="C19" s="78"/>
      <c r="D19" s="78"/>
    </row>
    <row r="20" spans="1:4" ht="21.75" thickBot="1" x14ac:dyDescent="0.4">
      <c r="A20" s="78"/>
      <c r="B20" s="78"/>
      <c r="C20" s="78"/>
      <c r="D20" s="78"/>
    </row>
    <row r="21" spans="1:4" ht="21" x14ac:dyDescent="0.35">
      <c r="A21" s="53"/>
      <c r="B21" s="54" t="s">
        <v>47</v>
      </c>
      <c r="C21" s="54" t="s">
        <v>64</v>
      </c>
      <c r="D21" s="55" t="s">
        <v>65</v>
      </c>
    </row>
    <row r="22" spans="1:4" ht="21" x14ac:dyDescent="0.35">
      <c r="A22" s="56"/>
      <c r="B22" s="57" t="s">
        <v>63</v>
      </c>
      <c r="C22" s="57" t="s">
        <v>67</v>
      </c>
      <c r="D22" s="58" t="s">
        <v>68</v>
      </c>
    </row>
    <row r="23" spans="1:4" ht="21" x14ac:dyDescent="0.35">
      <c r="A23" s="59" t="s">
        <v>55</v>
      </c>
      <c r="B23" s="60">
        <f>B4</f>
        <v>114111069</v>
      </c>
      <c r="C23" s="60">
        <f>'19-20 with COLA'!F13</f>
        <v>108589850.9587</v>
      </c>
      <c r="D23" s="61">
        <f>'20-21 with COLA'!F13</f>
        <v>102819043.75504699</v>
      </c>
    </row>
    <row r="24" spans="1:4" ht="21" x14ac:dyDescent="0.35">
      <c r="A24" s="59"/>
      <c r="B24" s="60"/>
      <c r="C24" s="60"/>
      <c r="D24" s="61"/>
    </row>
    <row r="25" spans="1:4" ht="21" x14ac:dyDescent="0.35">
      <c r="A25" s="59" t="s">
        <v>56</v>
      </c>
      <c r="B25" s="60">
        <f>B6</f>
        <v>21785814</v>
      </c>
      <c r="C25" s="60">
        <f>'19-20 with COLA'!F22</f>
        <v>22345710</v>
      </c>
      <c r="D25" s="61">
        <f>'20-21 with COLA'!F22</f>
        <v>22942381</v>
      </c>
    </row>
    <row r="26" spans="1:4" ht="21" x14ac:dyDescent="0.35">
      <c r="A26" s="59"/>
      <c r="B26" s="60"/>
      <c r="C26" s="60"/>
      <c r="D26" s="61"/>
    </row>
    <row r="27" spans="1:4" ht="21" x14ac:dyDescent="0.35">
      <c r="A27" s="59" t="s">
        <v>57</v>
      </c>
      <c r="B27" s="60">
        <f>B8</f>
        <v>18161235</v>
      </c>
      <c r="C27" s="60">
        <f>'19-20 with COLA'!F56</f>
        <v>28019827</v>
      </c>
      <c r="D27" s="61">
        <f>'20-21 with COLA'!F56</f>
        <v>38335629</v>
      </c>
    </row>
    <row r="28" spans="1:4" ht="21" x14ac:dyDescent="0.35">
      <c r="A28" s="62" t="s">
        <v>58</v>
      </c>
      <c r="B28" s="63">
        <f>B9</f>
        <v>154058118</v>
      </c>
      <c r="C28" s="63">
        <f>'19-20 with COLA'!F58</f>
        <v>158955387.9587</v>
      </c>
      <c r="D28" s="64">
        <f>'20-21 with COLA'!F58</f>
        <v>164097053.75504699</v>
      </c>
    </row>
    <row r="29" spans="1:4" ht="21" x14ac:dyDescent="0.35">
      <c r="A29" s="59"/>
      <c r="B29" s="60"/>
      <c r="C29" s="60"/>
      <c r="D29" s="61"/>
    </row>
    <row r="30" spans="1:4" ht="21" x14ac:dyDescent="0.35">
      <c r="A30" s="65" t="s">
        <v>59</v>
      </c>
      <c r="B30" s="60"/>
      <c r="C30" s="60"/>
      <c r="D30" s="61"/>
    </row>
    <row r="31" spans="1:4" ht="21" x14ac:dyDescent="0.35">
      <c r="A31" s="66" t="s">
        <v>60</v>
      </c>
      <c r="B31" s="67">
        <f>B12</f>
        <v>156809621</v>
      </c>
      <c r="C31" s="67">
        <f>'19-20 with COLA'!F59</f>
        <v>160839628.2597</v>
      </c>
      <c r="D31" s="68">
        <f>'20-21 with COLA'!F59</f>
        <v>165134046.334234</v>
      </c>
    </row>
    <row r="32" spans="1:4" ht="21" x14ac:dyDescent="0.35">
      <c r="A32" s="59"/>
      <c r="B32" s="60"/>
      <c r="C32" s="60"/>
      <c r="D32" s="61"/>
    </row>
    <row r="33" spans="1:4" ht="21" x14ac:dyDescent="0.35">
      <c r="A33" s="69" t="s">
        <v>61</v>
      </c>
      <c r="B33" s="70">
        <f>B14</f>
        <v>2751503</v>
      </c>
      <c r="C33" s="70">
        <f>'19-20 with COLA'!F61</f>
        <v>1884240</v>
      </c>
      <c r="D33" s="71">
        <f>'20-21 with COLA'!F61</f>
        <v>1036992.58</v>
      </c>
    </row>
    <row r="34" spans="1:4" ht="21" x14ac:dyDescent="0.35">
      <c r="A34" s="59"/>
      <c r="B34" s="72"/>
      <c r="C34" s="72"/>
      <c r="D34" s="73"/>
    </row>
    <row r="35" spans="1:4" ht="21.75" thickBot="1" x14ac:dyDescent="0.4">
      <c r="A35" s="74" t="s">
        <v>62</v>
      </c>
      <c r="B35" s="75"/>
      <c r="C35" s="76">
        <f>(C28-B28)/B28</f>
        <v>3.178845764362772E-2</v>
      </c>
      <c r="D35" s="77">
        <f>(D28-C28)/C28</f>
        <v>3.2346596503434702E-2</v>
      </c>
    </row>
  </sheetData>
  <pageMargins left="0.25" right="0.25" top="0.75" bottom="0.75" header="0.3" footer="0.3"/>
  <pageSetup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3"/>
  <sheetViews>
    <sheetView workbookViewId="0">
      <selection activeCell="D11" sqref="D11"/>
    </sheetView>
  </sheetViews>
  <sheetFormatPr defaultRowHeight="15" x14ac:dyDescent="0.25"/>
  <cols>
    <col min="1" max="1" width="19.28515625" bestFit="1" customWidth="1"/>
    <col min="2" max="2" width="15.28515625" customWidth="1"/>
    <col min="3" max="3" width="13.140625" customWidth="1"/>
    <col min="4" max="4" width="11.28515625" customWidth="1"/>
    <col min="5" max="5" width="17.7109375" customWidth="1"/>
  </cols>
  <sheetData>
    <row r="2" spans="1:5" s="41" customFormat="1" ht="30" x14ac:dyDescent="0.25">
      <c r="B2" s="41" t="s">
        <v>40</v>
      </c>
      <c r="C2" s="41" t="s">
        <v>41</v>
      </c>
      <c r="D2" s="41" t="s">
        <v>47</v>
      </c>
      <c r="E2" s="42" t="s">
        <v>42</v>
      </c>
    </row>
    <row r="4" spans="1:5" x14ac:dyDescent="0.25">
      <c r="A4" t="s">
        <v>0</v>
      </c>
      <c r="B4" s="40">
        <f>3458.14+17.01+14692.92+1035.25+1075.64+2320.16+2107.25</f>
        <v>24706.37</v>
      </c>
      <c r="C4" s="40">
        <f>3321.37+14.05+13835.75+875.64+972.62+2556.03+2284</f>
        <v>23859.459999999995</v>
      </c>
      <c r="D4" s="40">
        <f>3321.37+14.05+13835.75+875.64+972.62+2556.03+2284</f>
        <v>23859.459999999995</v>
      </c>
      <c r="E4" s="44">
        <f>SUM(B4:D4)/3</f>
        <v>24141.763333333332</v>
      </c>
    </row>
    <row r="5" spans="1:5" x14ac:dyDescent="0.25">
      <c r="A5" t="s">
        <v>37</v>
      </c>
      <c r="B5" s="40">
        <v>593.07000000000005</v>
      </c>
      <c r="C5" s="40">
        <v>688.72</v>
      </c>
      <c r="D5" s="40">
        <v>688.72</v>
      </c>
      <c r="E5" s="47">
        <f>B5</f>
        <v>593.07000000000005</v>
      </c>
    </row>
    <row r="6" spans="1:5" x14ac:dyDescent="0.25">
      <c r="A6" t="s">
        <v>48</v>
      </c>
      <c r="B6" s="40"/>
      <c r="C6" s="40"/>
      <c r="D6" s="40"/>
      <c r="E6" s="46">
        <f>+E4-E5</f>
        <v>23548.693333333333</v>
      </c>
    </row>
    <row r="7" spans="1:5" x14ac:dyDescent="0.25">
      <c r="B7" s="40"/>
      <c r="C7" s="40"/>
      <c r="D7" s="40"/>
      <c r="E7" s="44"/>
    </row>
    <row r="8" spans="1:5" x14ac:dyDescent="0.25">
      <c r="B8" s="40"/>
      <c r="C8" s="40"/>
      <c r="D8" s="40"/>
      <c r="E8" s="48"/>
    </row>
    <row r="9" spans="1:5" x14ac:dyDescent="0.25">
      <c r="A9" t="s">
        <v>1</v>
      </c>
      <c r="B9" s="40">
        <f>344.57+0.9+2305.28+8.32-B10</f>
        <v>2243.09</v>
      </c>
      <c r="C9" s="40">
        <f>414.69+0.76+2470.37+2.09-895.35</f>
        <v>1992.56</v>
      </c>
      <c r="D9" s="40">
        <f>414.69+0.76+2470.37+2.09-895.35</f>
        <v>1992.56</v>
      </c>
      <c r="E9" s="48"/>
    </row>
    <row r="10" spans="1:5" x14ac:dyDescent="0.25">
      <c r="A10" t="s">
        <v>2</v>
      </c>
      <c r="B10" s="40">
        <v>415.98</v>
      </c>
      <c r="C10" s="40">
        <v>895.35</v>
      </c>
      <c r="D10" s="40">
        <v>895.35</v>
      </c>
      <c r="E10" s="48"/>
    </row>
    <row r="11" spans="1:5" ht="15.75" thickBot="1" x14ac:dyDescent="0.3">
      <c r="A11" s="39" t="s">
        <v>30</v>
      </c>
      <c r="B11" s="43">
        <f>SUM(B4:B10)</f>
        <v>27958.51</v>
      </c>
      <c r="C11" s="43">
        <f>SUM(C4:C10)</f>
        <v>27436.089999999997</v>
      </c>
      <c r="D11" s="43">
        <f>SUM(D4:D10)</f>
        <v>27436.089999999997</v>
      </c>
      <c r="E11" s="49"/>
    </row>
    <row r="12" spans="1:5" ht="15.75" thickTop="1" x14ac:dyDescent="0.25">
      <c r="E12" s="50"/>
    </row>
    <row r="13" spans="1:5" x14ac:dyDescent="0.25">
      <c r="B13" s="44">
        <f>SUM(B4:B10)</f>
        <v>27958.51</v>
      </c>
      <c r="C13" s="44">
        <f>SUM(C4:C10)</f>
        <v>27436.089999999997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Simulation 20-21</vt:lpstr>
      <vt:lpstr>20-21 with COLA</vt:lpstr>
      <vt:lpstr>Simulation 19-20</vt:lpstr>
      <vt:lpstr>19-20 with COLA</vt:lpstr>
      <vt:lpstr>Simulation 18-19</vt:lpstr>
      <vt:lpstr>Summary</vt:lpstr>
      <vt:lpstr>FTES</vt:lpstr>
      <vt:lpstr>'19-20 with COLA'!Print_Area</vt:lpstr>
      <vt:lpstr>'20-21 with COLA'!Print_Area</vt:lpstr>
    </vt:vector>
  </TitlesOfParts>
  <Company>Santa Monica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bonvenuto_chris</dc:creator>
  <cp:lastModifiedBy>Babies</cp:lastModifiedBy>
  <cp:lastPrinted>2018-10-17T18:08:04Z</cp:lastPrinted>
  <dcterms:created xsi:type="dcterms:W3CDTF">2016-03-21T16:20:44Z</dcterms:created>
  <dcterms:modified xsi:type="dcterms:W3CDTF">2018-10-21T23:15:05Z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