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519"/>
  <workbookPr autoCompressPictures="0"/>
  <bookViews>
    <workbookView xWindow="0" yWindow="0" windowWidth="21340" windowHeight="14240"/>
  </bookViews>
  <sheets>
    <sheet name="Memo!!" sheetId="2" r:id="rId1"/>
    <sheet name="PBF Districts" sheetId="3" r:id="rId2"/>
    <sheet name="Centers" sheetId="4" r:id="rId3"/>
    <sheet name="Exhibit C" sheetId="1" r:id="rId4"/>
  </sheets>
  <definedNames>
    <definedName name="_xlnm.Print_Area" localSheetId="2">Centers!$B$1:$D$80</definedName>
    <definedName name="_xlnm.Print_Area" localSheetId="1">'PBF Districts'!$A$1:$F$24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6" i="1" l="1"/>
  <c r="L153" i="1"/>
  <c r="L147" i="1"/>
  <c r="O168" i="1"/>
  <c r="F124" i="1"/>
  <c r="F127" i="1"/>
  <c r="B124" i="1"/>
  <c r="B127" i="1"/>
  <c r="C124" i="1"/>
  <c r="C127" i="1"/>
  <c r="D124" i="1"/>
  <c r="D127" i="1"/>
  <c r="E124" i="1"/>
  <c r="E127" i="1"/>
  <c r="H127" i="1"/>
  <c r="B117" i="1"/>
  <c r="H118" i="1"/>
  <c r="I110" i="1"/>
  <c r="I113" i="1"/>
  <c r="H110" i="1"/>
  <c r="H113" i="1"/>
  <c r="G110" i="1"/>
  <c r="G113" i="1"/>
  <c r="E110" i="1"/>
  <c r="E113" i="1"/>
  <c r="D110" i="1"/>
  <c r="D113" i="1"/>
  <c r="C110" i="1"/>
  <c r="C113" i="1"/>
  <c r="B110" i="1"/>
  <c r="B113" i="1"/>
  <c r="L99" i="1"/>
  <c r="E92" i="1"/>
  <c r="L91" i="1"/>
  <c r="E91" i="1"/>
  <c r="J84" i="1"/>
  <c r="F83" i="1"/>
  <c r="L79" i="1"/>
  <c r="L77" i="1"/>
  <c r="L69" i="1"/>
  <c r="O66" i="1"/>
  <c r="L59" i="1"/>
  <c r="P64" i="1"/>
  <c r="E59" i="1"/>
  <c r="G174" i="1"/>
  <c r="L58" i="1"/>
  <c r="L145" i="1"/>
  <c r="E58" i="1"/>
  <c r="E70" i="1"/>
  <c r="L57" i="1"/>
  <c r="E57" i="1"/>
  <c r="P57" i="1"/>
  <c r="E61" i="1"/>
  <c r="C57" i="1"/>
  <c r="I27" i="1"/>
  <c r="D138" i="1"/>
  <c r="E93" i="1"/>
  <c r="J127" i="1"/>
  <c r="J113" i="1"/>
  <c r="P58" i="1"/>
  <c r="Q58" i="1"/>
  <c r="D141" i="1"/>
  <c r="H141" i="1"/>
  <c r="H180" i="1"/>
  <c r="O59" i="1"/>
  <c r="L61" i="1"/>
  <c r="F84" i="1"/>
  <c r="J110" i="1"/>
  <c r="H124" i="1"/>
  <c r="C129" i="1"/>
  <c r="E141" i="1"/>
  <c r="L151" i="1"/>
  <c r="G175" i="1"/>
  <c r="I177" i="1"/>
  <c r="P59" i="1"/>
  <c r="E69" i="1"/>
  <c r="H150" i="1"/>
  <c r="H152" i="1"/>
  <c r="O167" i="1"/>
  <c r="L171" i="1"/>
  <c r="O173" i="1"/>
  <c r="E71" i="1"/>
  <c r="G141" i="1"/>
  <c r="G180" i="1"/>
  <c r="J131" i="1"/>
  <c r="F65" i="1"/>
  <c r="D180" i="1"/>
  <c r="F141" i="1"/>
  <c r="I141" i="1"/>
  <c r="D156" i="1"/>
  <c r="O145" i="1"/>
  <c r="E66" i="1"/>
  <c r="F68" i="1"/>
  <c r="D150" i="1"/>
  <c r="E180" i="1"/>
  <c r="O151" i="1"/>
  <c r="O171" i="1"/>
  <c r="L175" i="1"/>
  <c r="O174" i="1"/>
  <c r="O175" i="1"/>
  <c r="L172" i="1"/>
  <c r="D158" i="1"/>
  <c r="D162" i="1"/>
  <c r="D145" i="1"/>
  <c r="O141" i="1"/>
  <c r="H144" i="1"/>
  <c r="D157" i="1"/>
  <c r="D144" i="1"/>
  <c r="D152" i="1"/>
  <c r="I180" i="1"/>
  <c r="H157" i="1"/>
  <c r="H159" i="1"/>
  <c r="H151" i="1"/>
  <c r="H153" i="1"/>
  <c r="H172" i="1"/>
  <c r="I59" i="1"/>
  <c r="H163" i="1"/>
  <c r="H165" i="1"/>
  <c r="H156" i="1"/>
  <c r="H158" i="1"/>
  <c r="E172" i="1"/>
  <c r="I58" i="1"/>
  <c r="P68" i="1"/>
  <c r="H162" i="1"/>
  <c r="H164" i="1"/>
  <c r="D172" i="1"/>
  <c r="I57" i="1"/>
  <c r="H145" i="1"/>
  <c r="H147" i="1"/>
  <c r="H155" i="1"/>
  <c r="L71" i="1"/>
  <c r="D163" i="1"/>
  <c r="D154" i="1"/>
  <c r="E156" i="1"/>
  <c r="E158" i="1"/>
  <c r="E163" i="1"/>
  <c r="E165" i="1"/>
  <c r="D151" i="1"/>
  <c r="D168" i="1"/>
  <c r="E151" i="1"/>
  <c r="E153" i="1"/>
  <c r="E162" i="1"/>
  <c r="E164" i="1"/>
  <c r="E150" i="1"/>
  <c r="E152" i="1"/>
  <c r="E145" i="1"/>
  <c r="E147" i="1"/>
  <c r="E157" i="1"/>
  <c r="E159" i="1"/>
  <c r="E144" i="1"/>
  <c r="E168" i="1"/>
  <c r="E96" i="1"/>
  <c r="E95" i="1"/>
  <c r="D169" i="1"/>
  <c r="G57" i="1"/>
  <c r="E171" i="1"/>
  <c r="D165" i="1"/>
  <c r="I163" i="1"/>
  <c r="F163" i="1"/>
  <c r="F157" i="1"/>
  <c r="D159" i="1"/>
  <c r="I157" i="1"/>
  <c r="F144" i="1"/>
  <c r="I144" i="1"/>
  <c r="D177" i="1"/>
  <c r="D146" i="1"/>
  <c r="D147" i="1"/>
  <c r="F145" i="1"/>
  <c r="I145" i="1"/>
  <c r="I162" i="1"/>
  <c r="D164" i="1"/>
  <c r="E146" i="1"/>
  <c r="H58" i="1"/>
  <c r="P65" i="1"/>
  <c r="I172" i="1"/>
  <c r="P69" i="1"/>
  <c r="F150" i="1"/>
  <c r="I150" i="1"/>
  <c r="H146" i="1"/>
  <c r="H59" i="1"/>
  <c r="D153" i="1"/>
  <c r="F151" i="1"/>
  <c r="I151" i="1"/>
  <c r="P67" i="1"/>
  <c r="I61" i="1"/>
  <c r="F72" i="1"/>
  <c r="F74" i="1"/>
  <c r="H168" i="1"/>
  <c r="E97" i="1"/>
  <c r="I156" i="1"/>
  <c r="E177" i="1"/>
  <c r="E169" i="1"/>
  <c r="G58" i="1"/>
  <c r="O83" i="1"/>
  <c r="O77" i="1"/>
  <c r="P70" i="1"/>
  <c r="H177" i="1"/>
  <c r="F99" i="1"/>
  <c r="E78" i="1"/>
  <c r="F79" i="1"/>
  <c r="H169" i="1"/>
  <c r="G59" i="1"/>
  <c r="G61" i="1"/>
  <c r="F85" i="1"/>
  <c r="F88" i="1"/>
  <c r="J58" i="1"/>
  <c r="I168" i="1"/>
  <c r="P85" i="1"/>
  <c r="O78" i="1"/>
  <c r="H57" i="1"/>
  <c r="J57" i="1"/>
  <c r="O82" i="1"/>
  <c r="E94" i="1"/>
  <c r="J171" i="1"/>
  <c r="L173" i="1"/>
  <c r="L73" i="1"/>
  <c r="L84" i="1"/>
  <c r="L80" i="1"/>
  <c r="K57" i="1"/>
  <c r="J59" i="1"/>
  <c r="K59" i="1"/>
  <c r="J141" i="1"/>
  <c r="J170" i="1"/>
  <c r="K58" i="1"/>
  <c r="H61" i="1"/>
  <c r="O76" i="1"/>
  <c r="O79" i="1"/>
  <c r="O57" i="1"/>
  <c r="G179" i="1"/>
  <c r="G178" i="1"/>
  <c r="O84" i="1"/>
  <c r="O85" i="1"/>
  <c r="L88" i="1"/>
  <c r="L92" i="1"/>
  <c r="L83" i="1"/>
  <c r="L85" i="1"/>
  <c r="O58" i="1"/>
  <c r="K61" i="1"/>
  <c r="J61" i="1"/>
</calcChain>
</file>

<file path=xl/comments1.xml><?xml version="1.0" encoding="utf-8"?>
<comments xmlns="http://schemas.openxmlformats.org/spreadsheetml/2006/main">
  <authors>
    <author>Blackwood, Kathy</author>
  </authors>
  <commentList>
    <comment ref="E93" authorId="0">
      <text>
        <r>
          <rPr>
            <b/>
            <sz val="9"/>
            <color indexed="81"/>
            <rFont val="Tahoma"/>
            <family val="2"/>
          </rPr>
          <t>Blackwood, Kathy:</t>
        </r>
        <r>
          <rPr>
            <sz val="9"/>
            <color indexed="81"/>
            <rFont val="Tahoma"/>
            <family val="2"/>
          </rPr>
          <t xml:space="preserve">
Per Randy Fong, this formula isn't correct, but at P-1, everyone was funded for all their growth so it doesn't matter.</t>
        </r>
      </text>
    </comment>
    <comment ref="E107" authorId="0">
      <text>
        <r>
          <rPr>
            <b/>
            <sz val="9"/>
            <color indexed="81"/>
            <rFont val="Tahoma"/>
            <family val="2"/>
          </rPr>
          <t>Blackwood, Kathy:</t>
        </r>
        <r>
          <rPr>
            <sz val="9"/>
            <color indexed="81"/>
            <rFont val="Tahoma"/>
            <family val="2"/>
          </rPr>
          <t xml:space="preserve">
Will double in 16/17</t>
        </r>
      </text>
    </comment>
  </commentList>
</comments>
</file>

<file path=xl/sharedStrings.xml><?xml version="1.0" encoding="utf-8"?>
<sst xmlns="http://schemas.openxmlformats.org/spreadsheetml/2006/main" count="514" uniqueCount="383">
  <si>
    <t>APPORTIONMENT SIMULATION WORKSHEET</t>
  </si>
  <si>
    <t>This worksheet includes data for a 2015/16 P1 April Revision.  All entries must be</t>
  </si>
  <si>
    <t>removed or replaced with updated data for your district.  Please review all the yellow shaded areas</t>
  </si>
  <si>
    <t>below and enter your district specific data or insure the area is blank.</t>
  </si>
  <si>
    <t>PART A</t>
  </si>
  <si>
    <t>APPORTIONMENT INPUTS - UPDATE WITH DISTRICT SPECIFIC DATA:</t>
  </si>
  <si>
    <t>Enter Data</t>
  </si>
  <si>
    <t>Base FTES:</t>
  </si>
  <si>
    <t>Enter the base FTES for credit, noncredit, and Career Development College Prep</t>
  </si>
  <si>
    <t xml:space="preserve">(CDCP) noncredit FTES.  The base FTES each year is the funded FTES from the </t>
  </si>
  <si>
    <t>credit FTES</t>
  </si>
  <si>
    <t>previous year's recalculation.</t>
  </si>
  <si>
    <t>noncredit FTES</t>
  </si>
  <si>
    <t>CDCP FTES</t>
  </si>
  <si>
    <t>Actual/Estimated</t>
  </si>
  <si>
    <t>Enter the estimated actual credit, noncredit, and CDCP FTES</t>
  </si>
  <si>
    <t>FTES:</t>
  </si>
  <si>
    <t xml:space="preserve">for the current year.  </t>
  </si>
  <si>
    <t>Property Taxes:</t>
  </si>
  <si>
    <t>Enter total estimated property tax for the district as reported by each of</t>
  </si>
  <si>
    <t xml:space="preserve"> the district's respective county auditors:</t>
  </si>
  <si>
    <t>Enrollment Fees:</t>
  </si>
  <si>
    <t xml:space="preserve">Enter 98 percent of the total student fees reported by the district on its </t>
  </si>
  <si>
    <t xml:space="preserve">most recent Enrollment Fee Revenue report. </t>
  </si>
  <si>
    <t>Restoration/Growth Adjustment - Enter the following data from the last P report:</t>
  </si>
  <si>
    <t>Unrestored Decline remaining since the previous Recalculation:</t>
  </si>
  <si>
    <t>Estimated general deficit coefficient:</t>
  </si>
  <si>
    <t>Number of first-year State-Approved Centers not reported in a previous year having &gt;= 1,000 FTES:</t>
  </si>
  <si>
    <t>Basic Allocation:</t>
  </si>
  <si>
    <t>Enter the number of colleges and</t>
  </si>
  <si>
    <t>FTES/Center</t>
  </si>
  <si>
    <t>centers in each of the Basic</t>
  </si>
  <si>
    <t>FTES/Status</t>
  </si>
  <si>
    <t>Single Coll.</t>
  </si>
  <si>
    <t>Multi-College</t>
  </si>
  <si>
    <t>Status</t>
  </si>
  <si>
    <t>Centers</t>
  </si>
  <si>
    <t>Allocation FTES ranges for</t>
  </si>
  <si>
    <t>FTES&lt;9,940</t>
  </si>
  <si>
    <t>State/CPEC Appr:</t>
  </si>
  <si>
    <t>colleges and centers from the</t>
  </si>
  <si>
    <t>9,940&lt;=FTES&lt;19,880</t>
  </si>
  <si>
    <t>FTES&gt;=1,000</t>
  </si>
  <si>
    <t>FTES&gt;=19,880</t>
  </si>
  <si>
    <t>750&lt;=FTES&lt;1,000</t>
  </si>
  <si>
    <t>Rural</t>
  </si>
  <si>
    <t>500&lt;=FTES&lt;750</t>
  </si>
  <si>
    <t>250&lt;=FTES&lt;500</t>
  </si>
  <si>
    <t>100&lt;=FTES&lt;250</t>
  </si>
  <si>
    <t xml:space="preserve">Growth Rate : </t>
  </si>
  <si>
    <t>Enter the district's growth rate from Budget Book or last P report in the format shown here:</t>
  </si>
  <si>
    <t>Enter the constrained growth rate here:</t>
  </si>
  <si>
    <t>"Program Based Funding" districts ONLY:</t>
  </si>
  <si>
    <t>Enter the appropriate credit base funding rate for your district (only those shown in</t>
  </si>
  <si>
    <t xml:space="preserve"> District Credit Base Funding Rate:</t>
  </si>
  <si>
    <t>CALIFORNIA COMMUNITY COLLEGES</t>
  </si>
  <si>
    <t>PART B</t>
  </si>
  <si>
    <t>Total</t>
  </si>
  <si>
    <t>Workload</t>
  </si>
  <si>
    <t>Base</t>
  </si>
  <si>
    <t>Marginal</t>
  </si>
  <si>
    <t xml:space="preserve">Growth </t>
  </si>
  <si>
    <t>Restored</t>
  </si>
  <si>
    <t>Stability</t>
  </si>
  <si>
    <t>Funded</t>
  </si>
  <si>
    <t xml:space="preserve">Unfunded </t>
  </si>
  <si>
    <t xml:space="preserve">Actual </t>
  </si>
  <si>
    <t xml:space="preserve"> </t>
  </si>
  <si>
    <t>Measures:</t>
  </si>
  <si>
    <t>Funding Rate</t>
  </si>
  <si>
    <t>FTES</t>
  </si>
  <si>
    <t>CHECKS</t>
  </si>
  <si>
    <t>ncr</t>
  </si>
  <si>
    <t>Credit FTES</t>
  </si>
  <si>
    <t>Noncredit FTES</t>
  </si>
  <si>
    <t>Noncredit - CDCP</t>
  </si>
  <si>
    <t>Total FTES:</t>
  </si>
  <si>
    <t>I</t>
  </si>
  <si>
    <t>Base Revenues +/- Restore or Decline</t>
  </si>
  <si>
    <t>V</t>
  </si>
  <si>
    <t>Other Revenue Adjustments</t>
  </si>
  <si>
    <t>A</t>
  </si>
  <si>
    <t>Basic Allocation</t>
  </si>
  <si>
    <t xml:space="preserve">A  </t>
  </si>
  <si>
    <t>Misc. Revenue Adjustments</t>
  </si>
  <si>
    <t>B</t>
  </si>
  <si>
    <t>Basic FTES Revenue Before Workload Reduction</t>
  </si>
  <si>
    <t xml:space="preserve">B  </t>
  </si>
  <si>
    <t>Full-time Faculty Hiring</t>
  </si>
  <si>
    <t>stability</t>
  </si>
  <si>
    <t>C</t>
  </si>
  <si>
    <t>Workload Reduction</t>
  </si>
  <si>
    <t xml:space="preserve">C  </t>
  </si>
  <si>
    <t>Base Increase</t>
  </si>
  <si>
    <t>D</t>
  </si>
  <si>
    <t>Revised Base FTES Revenue</t>
  </si>
  <si>
    <t>Credit Base Revenue</t>
  </si>
  <si>
    <t>Total Revenue Adjustments</t>
  </si>
  <si>
    <t>Noncredit Base Revenue</t>
  </si>
  <si>
    <t>Career Development College Prep NonCr</t>
  </si>
  <si>
    <t>VI</t>
  </si>
  <si>
    <t>Stability Adjustment</t>
  </si>
  <si>
    <t>E</t>
  </si>
  <si>
    <t>- Current Year Decline</t>
  </si>
  <si>
    <t>VII</t>
  </si>
  <si>
    <t xml:space="preserve">Total Computational Revenue </t>
  </si>
  <si>
    <t>Total Base Revenue less Decline</t>
  </si>
  <si>
    <t>(sum of II, III, IV, V &amp; VI)</t>
  </si>
  <si>
    <t>Restore:</t>
  </si>
  <si>
    <t>II</t>
  </si>
  <si>
    <t>Inflation Adjustment</t>
  </si>
  <si>
    <t>VIII</t>
  </si>
  <si>
    <t>District Revenue Sources</t>
  </si>
  <si>
    <t>Statewide Inflation Adjustment</t>
  </si>
  <si>
    <t>A 1</t>
  </si>
  <si>
    <t>Property Taxes</t>
  </si>
  <si>
    <t xml:space="preserve">A2 </t>
  </si>
  <si>
    <t>Less Property Taxes Excess</t>
  </si>
  <si>
    <t>Current Year Base Revenue + Inflation Adjustment</t>
  </si>
  <si>
    <t>Student Enrollment Fees</t>
  </si>
  <si>
    <t>State General Apportionment</t>
  </si>
  <si>
    <t xml:space="preserve">D  </t>
  </si>
  <si>
    <t>Estimated EPA</t>
  </si>
  <si>
    <t>Total Growth:</t>
  </si>
  <si>
    <t xml:space="preserve">Sect IV growth + rate adj: </t>
  </si>
  <si>
    <t>III</t>
  </si>
  <si>
    <t xml:space="preserve">Basic Allocation &amp; Restoration </t>
  </si>
  <si>
    <t>Basic Allocation Adjustment</t>
  </si>
  <si>
    <t>Available Revenue</t>
  </si>
  <si>
    <t>Basic Allocation Adjustment COLA</t>
  </si>
  <si>
    <t>Revenue Shortfall</t>
  </si>
  <si>
    <t xml:space="preserve">Stability Restoration </t>
  </si>
  <si>
    <t>Total Revenue plus Shortfall</t>
  </si>
  <si>
    <t>Restoration of 11-12 Workload Reduction</t>
  </si>
  <si>
    <t>IX</t>
  </si>
  <si>
    <t>Other Allowances and Total Apportionments</t>
  </si>
  <si>
    <t>Total Basic Allocation &amp; Restoration</t>
  </si>
  <si>
    <t>Statewide Average Replacement Cost</t>
  </si>
  <si>
    <t>IV</t>
  </si>
  <si>
    <t>Number of Faculty Not Hired</t>
  </si>
  <si>
    <t xml:space="preserve">Unconstrained Growth Rate </t>
  </si>
  <si>
    <t>Full-time Faculty Adjustment</t>
  </si>
  <si>
    <t>Constrained Growth Rate</t>
  </si>
  <si>
    <t>Net State General Apportionment</t>
  </si>
  <si>
    <t>Constrained Growth Cap</t>
  </si>
  <si>
    <t>Actual Growth</t>
  </si>
  <si>
    <t>X</t>
  </si>
  <si>
    <t>Unrestored Decline as of July 1st of Current Year</t>
  </si>
  <si>
    <t>Funded Credit Growth Revenue</t>
  </si>
  <si>
    <t>F</t>
  </si>
  <si>
    <t>Funded Noncredit Growth Revenue</t>
  </si>
  <si>
    <t>1st Year</t>
  </si>
  <si>
    <t>G</t>
  </si>
  <si>
    <t>Funded Noncredit CDCP Revenue</t>
  </si>
  <si>
    <t>2nd Year</t>
  </si>
  <si>
    <t>3rd Year</t>
  </si>
  <si>
    <t>Total Growth Revenue</t>
  </si>
  <si>
    <t>PART C</t>
  </si>
  <si>
    <t>Basic Allocation Calculation</t>
  </si>
  <si>
    <t>College/Center Base Funding Rates:</t>
  </si>
  <si>
    <t>Single College District Funding Rates: Total FTES</t>
  </si>
  <si>
    <t>Multi-College District Funding Rates: Total FTES</t>
  </si>
  <si>
    <t>&gt;=19,880</t>
  </si>
  <si>
    <t>9,940&lt;=x&lt;19,880</t>
  </si>
  <si>
    <t>x&lt;9,940</t>
  </si>
  <si>
    <t xml:space="preserve"> FTES</t>
  </si>
  <si>
    <t>Multi-College District - College FTES</t>
  </si>
  <si>
    <t>Total College</t>
  </si>
  <si>
    <t>Revenue:</t>
  </si>
  <si>
    <t>Total College Rev.</t>
  </si>
  <si>
    <t>State Approved Centers</t>
  </si>
  <si>
    <t># of Centers:</t>
  </si>
  <si>
    <t xml:space="preserve"> Funding Rate</t>
  </si>
  <si>
    <t>Total State Approved</t>
  </si>
  <si>
    <t xml:space="preserve"> Center Revenue</t>
  </si>
  <si>
    <t>"Grandfathered" Centers:  Funding Rates @ FTES Levels</t>
  </si>
  <si>
    <t>&gt;994</t>
  </si>
  <si>
    <t>&gt;746</t>
  </si>
  <si>
    <t>&gt;497</t>
  </si>
  <si>
    <t>&gt;249</t>
  </si>
  <si>
    <t>250&gt;FTES&gt;100</t>
  </si>
  <si>
    <t>Number of Grandfathered Centers @ Total FTES</t>
  </si>
  <si>
    <t>Total Centers</t>
  </si>
  <si>
    <t>Center</t>
  </si>
  <si>
    <t>Total Center</t>
  </si>
  <si>
    <t>Grandfathered Center Revenue:</t>
  </si>
  <si>
    <t>Revenue</t>
  </si>
  <si>
    <t>Total Centers:</t>
  </si>
  <si>
    <t>Total Basic</t>
  </si>
  <si>
    <t>Allocation</t>
  </si>
  <si>
    <t>Worksheet Calculations</t>
  </si>
  <si>
    <t>Previous revenue decline not yet restored</t>
  </si>
  <si>
    <t>Potential Restore</t>
  </si>
  <si>
    <t>Potential CDCP</t>
  </si>
  <si>
    <t>From CDCP Growth</t>
  </si>
  <si>
    <t>Avail. Growth/</t>
  </si>
  <si>
    <t>Cr+NCr Offset</t>
  </si>
  <si>
    <t>credit</t>
  </si>
  <si>
    <t xml:space="preserve">NCr </t>
  </si>
  <si>
    <t>Cr + NCr</t>
  </si>
  <si>
    <t>Within Total NCr</t>
  </si>
  <si>
    <t>CDCP</t>
  </si>
  <si>
    <t>NCr</t>
  </si>
  <si>
    <t>F+G</t>
  </si>
  <si>
    <t>Restoration Rev</t>
  </si>
  <si>
    <t>Restoration: CDCP Base = 0; Potential Restoration (D153) &gt; Growth/Restoration Available (F156+G156)</t>
  </si>
  <si>
    <t>Restored if Reg. NCr &gt;= 0</t>
  </si>
  <si>
    <t>Restored if Reg. NCr &lt; 0</t>
  </si>
  <si>
    <t>total NCr</t>
  </si>
  <si>
    <t>FTES Restored (NCR&gt;=0)</t>
  </si>
  <si>
    <t>FTES Restored (NCR&lt;0)</t>
  </si>
  <si>
    <t>CDCP usable as restoration</t>
  </si>
  <si>
    <t>Restoration: CDCP Base = 0; Growth/Restoration Available (F156+G156) &gt;= Potential Restoration (D153)</t>
  </si>
  <si>
    <t>CY Chg in total NCr Base</t>
  </si>
  <si>
    <t>Restoration: CDCP Base &gt; 0; Growth/Restoration Available (I156) &gt;= Potential Restoration (D153)</t>
  </si>
  <si>
    <t>Restoration: CDCP Base &gt; 0; Potential Restoration &gt; Growth/Restoration Available</t>
  </si>
  <si>
    <t>Growth (net of restoration):</t>
  </si>
  <si>
    <t>CDCP TForm from reg NCr</t>
  </si>
  <si>
    <t xml:space="preserve"> "Growth" revenue</t>
  </si>
  <si>
    <t xml:space="preserve">Poss $ NCr Restore </t>
  </si>
  <si>
    <t xml:space="preserve"> Growth FTES </t>
  </si>
  <si>
    <t>Growth NCr FTES net of cdcp</t>
  </si>
  <si>
    <t>net of funding adjustment</t>
  </si>
  <si>
    <t>Check Stab. Sum</t>
  </si>
  <si>
    <t>Stability FTES:</t>
  </si>
  <si>
    <t>at 3232.0676</t>
  </si>
  <si>
    <t>CDCP Funding Rate Adjustment</t>
  </si>
  <si>
    <t>at 2744.9578</t>
  </si>
  <si>
    <t>(Applies only if CDCP Base =0)</t>
  </si>
  <si>
    <t>Temp - Output</t>
  </si>
  <si>
    <t>non-stability</t>
  </si>
  <si>
    <t>Temp - Input</t>
  </si>
  <si>
    <t>Apportioment Simulation Worksheet</t>
  </si>
  <si>
    <t>This worksheet was developed by Ed Monroe at the Chancellor's Office.</t>
  </si>
  <si>
    <t xml:space="preserve">It has been updated for P-1 2015/16 by Kathy Blackwood.  Much of the </t>
  </si>
  <si>
    <t>information must be keyed in by the user.  This worksheet is a simulation</t>
  </si>
  <si>
    <t xml:space="preserve">and is guaranteed to not be exactly what your district will receive in </t>
  </si>
  <si>
    <t xml:space="preserve">funding.  Hopefully you will find it useful in reviewing the </t>
  </si>
  <si>
    <t>Exhibit Cs and projecting your district's revenue.</t>
  </si>
  <si>
    <t>IMPORTANT!!:  The worksheets included in this workbook are TOTALLY</t>
  </si>
  <si>
    <t>worksheet, you willingly accept any potentially incorrect or improved</t>
  </si>
  <si>
    <t>results. When all else fails, download the file again.</t>
  </si>
  <si>
    <t>Tab #4: Base Funding Districts for "PBF" funded districts</t>
  </si>
  <si>
    <t>Base Credit</t>
  </si>
  <si>
    <t xml:space="preserve"> DistName</t>
  </si>
  <si>
    <t>Foothill-De Anza CCD</t>
  </si>
  <si>
    <t>Lake Tahoe CCD</t>
  </si>
  <si>
    <t>Lassen CCD</t>
  </si>
  <si>
    <t>Marin CCD</t>
  </si>
  <si>
    <t>Mira Costa</t>
  </si>
  <si>
    <t>San Francisco</t>
  </si>
  <si>
    <t>San Jose-Evergreen CCD</t>
  </si>
  <si>
    <t>Santa Monica CCD</t>
  </si>
  <si>
    <t>South Orange</t>
  </si>
  <si>
    <t>West Kern CCD</t>
  </si>
  <si>
    <t>Enter the base funding rate from the last P report</t>
  </si>
  <si>
    <t>Tab PBF Districts--enter to 5 decimal places):</t>
  </si>
  <si>
    <t>attached Tab Centers:</t>
  </si>
  <si>
    <r>
      <rPr>
        <b/>
        <sz val="11"/>
        <rFont val="Calibri"/>
        <family val="2"/>
      </rPr>
      <t>District</t>
    </r>
  </si>
  <si>
    <r>
      <rPr>
        <b/>
        <sz val="11"/>
        <rFont val="Calibri"/>
        <family val="2"/>
      </rPr>
      <t>Centers</t>
    </r>
  </si>
  <si>
    <r>
      <rPr>
        <sz val="11"/>
        <rFont val="Calibri"/>
        <family val="2"/>
      </rPr>
      <t>Allan Hancock Joint CCD</t>
    </r>
  </si>
  <si>
    <r>
      <rPr>
        <sz val="11"/>
        <rFont val="Calibri"/>
        <family val="2"/>
      </rPr>
      <t>Lompoc Valley Center</t>
    </r>
  </si>
  <si>
    <r>
      <rPr>
        <sz val="11"/>
        <rFont val="Calibri"/>
        <family val="2"/>
      </rPr>
      <t>Antelope Valley CCD</t>
    </r>
  </si>
  <si>
    <r>
      <rPr>
        <sz val="11"/>
        <rFont val="Calibri"/>
        <family val="2"/>
      </rPr>
      <t>Palmdale Center</t>
    </r>
  </si>
  <si>
    <r>
      <rPr>
        <sz val="11"/>
        <rFont val="Calibri"/>
        <family val="2"/>
      </rPr>
      <t>Butte-Glenn CCD</t>
    </r>
  </si>
  <si>
    <r>
      <rPr>
        <sz val="11"/>
        <rFont val="Calibri"/>
        <family val="2"/>
      </rPr>
      <t>Chico Center</t>
    </r>
  </si>
  <si>
    <r>
      <rPr>
        <sz val="11"/>
        <rFont val="Calibri"/>
        <family val="2"/>
      </rPr>
      <t>Cabrillo CCD</t>
    </r>
  </si>
  <si>
    <r>
      <rPr>
        <sz val="11"/>
        <rFont val="Calibri"/>
        <family val="2"/>
      </rPr>
      <t>Watsonville Center</t>
    </r>
  </si>
  <si>
    <r>
      <rPr>
        <sz val="11"/>
        <rFont val="Calibri"/>
        <family val="2"/>
      </rPr>
      <t>Chaffey CCD</t>
    </r>
  </si>
  <si>
    <r>
      <rPr>
        <sz val="11"/>
        <rFont val="Calibri"/>
        <family val="2"/>
      </rPr>
      <t>Chino Center</t>
    </r>
  </si>
  <si>
    <r>
      <rPr>
        <sz val="11"/>
        <rFont val="Calibri"/>
        <family val="2"/>
      </rPr>
      <t>Fontana Learning Center</t>
    </r>
  </si>
  <si>
    <r>
      <rPr>
        <sz val="11"/>
        <rFont val="Calibri"/>
        <family val="2"/>
      </rPr>
      <t>Contra Costa CCD</t>
    </r>
  </si>
  <si>
    <r>
      <rPr>
        <sz val="11"/>
        <rFont val="Calibri"/>
        <family val="2"/>
      </rPr>
      <t>San Ramon Valley Center</t>
    </r>
  </si>
  <si>
    <r>
      <rPr>
        <sz val="11"/>
        <rFont val="Calibri"/>
        <family val="2"/>
      </rPr>
      <t>Brentwood Center</t>
    </r>
  </si>
  <si>
    <r>
      <rPr>
        <sz val="11"/>
        <rFont val="Calibri"/>
        <family val="2"/>
      </rPr>
      <t>Foothill-DeAnza CCD</t>
    </r>
  </si>
  <si>
    <r>
      <rPr>
        <sz val="11"/>
        <rFont val="Calibri"/>
        <family val="2"/>
      </rPr>
      <t>Middlefield Center</t>
    </r>
  </si>
  <si>
    <r>
      <rPr>
        <b/>
        <sz val="11"/>
        <rFont val="Calibri"/>
        <family val="2"/>
      </rPr>
      <t>Y</t>
    </r>
  </si>
  <si>
    <r>
      <rPr>
        <sz val="11"/>
        <rFont val="Calibri"/>
        <family val="2"/>
      </rPr>
      <t>Glendale CCD</t>
    </r>
  </si>
  <si>
    <r>
      <rPr>
        <sz val="11"/>
        <rFont val="Calibri"/>
        <family val="2"/>
      </rPr>
      <t>Garfield Center</t>
    </r>
  </si>
  <si>
    <r>
      <rPr>
        <sz val="11"/>
        <rFont val="Calibri"/>
        <family val="2"/>
      </rPr>
      <t>Hartnell CCD</t>
    </r>
  </si>
  <si>
    <r>
      <rPr>
        <sz val="11"/>
        <rFont val="Calibri"/>
        <family val="2"/>
      </rPr>
      <t>King City Center</t>
    </r>
  </si>
  <si>
    <r>
      <rPr>
        <sz val="11"/>
        <rFont val="Calibri"/>
        <family val="2"/>
      </rPr>
      <t>South County Educational Center</t>
    </r>
  </si>
  <si>
    <r>
      <rPr>
        <sz val="11"/>
        <rFont val="Calibri"/>
        <family val="2"/>
      </rPr>
      <t>Kern CCD</t>
    </r>
  </si>
  <si>
    <r>
      <rPr>
        <sz val="11"/>
        <rFont val="Calibri"/>
        <family val="2"/>
      </rPr>
      <t>Delano Center</t>
    </r>
  </si>
  <si>
    <r>
      <rPr>
        <sz val="11"/>
        <rFont val="Calibri"/>
        <family val="2"/>
      </rPr>
      <t>Eastern Sierra Center</t>
    </r>
  </si>
  <si>
    <r>
      <rPr>
        <sz val="11"/>
        <rFont val="Calibri"/>
        <family val="2"/>
      </rPr>
      <t>Southern Kern Center</t>
    </r>
  </si>
  <si>
    <r>
      <rPr>
        <sz val="11"/>
        <rFont val="Calibri"/>
        <family val="2"/>
      </rPr>
      <t>Southwest Center</t>
    </r>
  </si>
  <si>
    <r>
      <rPr>
        <sz val="11"/>
        <rFont val="Calibri"/>
        <family val="2"/>
      </rPr>
      <t>Long Beach CCD</t>
    </r>
  </si>
  <si>
    <r>
      <rPr>
        <sz val="11"/>
        <rFont val="Calibri"/>
        <family val="2"/>
      </rPr>
      <t>Pacific Coast Campus</t>
    </r>
  </si>
  <si>
    <r>
      <rPr>
        <sz val="11"/>
        <rFont val="Calibri"/>
        <family val="2"/>
      </rPr>
      <t>Los Rios CCD</t>
    </r>
  </si>
  <si>
    <r>
      <rPr>
        <sz val="11"/>
        <rFont val="Calibri"/>
        <family val="2"/>
      </rPr>
      <t>El Dorado Center</t>
    </r>
  </si>
  <si>
    <r>
      <rPr>
        <sz val="11"/>
        <rFont val="Calibri"/>
        <family val="2"/>
      </rPr>
      <t>Natomas Education Center</t>
    </r>
  </si>
  <si>
    <r>
      <rPr>
        <sz val="11"/>
        <rFont val="Calibri"/>
        <family val="2"/>
      </rPr>
      <t>Davis Center</t>
    </r>
  </si>
  <si>
    <r>
      <rPr>
        <sz val="11"/>
        <rFont val="Calibri"/>
        <family val="2"/>
      </rPr>
      <t>West Sacramento</t>
    </r>
  </si>
  <si>
    <r>
      <rPr>
        <sz val="11"/>
        <rFont val="Calibri"/>
        <family val="2"/>
      </rPr>
      <t>Marin CCD</t>
    </r>
  </si>
  <si>
    <r>
      <rPr>
        <sz val="11"/>
        <rFont val="Calibri"/>
        <family val="2"/>
      </rPr>
      <t>Indian Valley Campus</t>
    </r>
  </si>
  <si>
    <r>
      <rPr>
        <sz val="11"/>
        <rFont val="Calibri"/>
        <family val="2"/>
      </rPr>
      <t>Mendocino</t>
    </r>
  </si>
  <si>
    <r>
      <rPr>
        <sz val="11"/>
        <rFont val="Calibri"/>
        <family val="2"/>
      </rPr>
      <t>Lake County Center</t>
    </r>
  </si>
  <si>
    <r>
      <rPr>
        <sz val="11"/>
        <rFont val="Calibri"/>
        <family val="2"/>
      </rPr>
      <t>Willits Center</t>
    </r>
  </si>
  <si>
    <r>
      <rPr>
        <sz val="11"/>
        <rFont val="Calibri"/>
        <family val="2"/>
      </rPr>
      <t>Merced</t>
    </r>
  </si>
  <si>
    <r>
      <rPr>
        <sz val="11"/>
        <rFont val="Calibri"/>
        <family val="2"/>
      </rPr>
      <t>Los Baños Center</t>
    </r>
  </si>
  <si>
    <r>
      <rPr>
        <sz val="11"/>
        <rFont val="Calibri"/>
        <family val="2"/>
      </rPr>
      <t>Mira Costa</t>
    </r>
  </si>
  <si>
    <r>
      <rPr>
        <sz val="11"/>
        <rFont val="Calibri"/>
        <family val="2"/>
      </rPr>
      <t>Community Learning Center</t>
    </r>
  </si>
  <si>
    <r>
      <rPr>
        <sz val="11"/>
        <rFont val="Calibri"/>
        <family val="2"/>
      </rPr>
      <t>San Elijo Center</t>
    </r>
  </si>
  <si>
    <r>
      <rPr>
        <sz val="11"/>
        <rFont val="Calibri"/>
        <family val="2"/>
      </rPr>
      <t>Monterey</t>
    </r>
  </si>
  <si>
    <r>
      <rPr>
        <sz val="11"/>
        <rFont val="Calibri"/>
        <family val="2"/>
      </rPr>
      <t>Ft. Ord Center</t>
    </r>
  </si>
  <si>
    <r>
      <rPr>
        <sz val="11"/>
        <rFont val="Calibri"/>
        <family val="2"/>
      </rPr>
      <t>Mt. San Jacinto</t>
    </r>
  </si>
  <si>
    <r>
      <rPr>
        <sz val="11"/>
        <rFont val="Calibri"/>
        <family val="2"/>
      </rPr>
      <t>Menifee Valley Center</t>
    </r>
  </si>
  <si>
    <r>
      <rPr>
        <sz val="11"/>
        <rFont val="Calibri"/>
        <family val="2"/>
      </rPr>
      <t>Napa Valley</t>
    </r>
  </si>
  <si>
    <r>
      <rPr>
        <sz val="11"/>
        <rFont val="Calibri"/>
        <family val="2"/>
      </rPr>
      <t>Upper Valley Center</t>
    </r>
  </si>
  <si>
    <r>
      <rPr>
        <sz val="11"/>
        <rFont val="Calibri"/>
        <family val="2"/>
      </rPr>
      <t>North Orange</t>
    </r>
  </si>
  <si>
    <r>
      <rPr>
        <sz val="11"/>
        <rFont val="Calibri"/>
        <family val="2"/>
      </rPr>
      <t>School of Continuing Education</t>
    </r>
  </si>
  <si>
    <r>
      <rPr>
        <sz val="11"/>
        <rFont val="Calibri"/>
        <family val="2"/>
      </rPr>
      <t>Ohlone</t>
    </r>
  </si>
  <si>
    <r>
      <rPr>
        <sz val="11"/>
        <rFont val="Calibri"/>
        <family val="2"/>
      </rPr>
      <t>Newark Center</t>
    </r>
  </si>
  <si>
    <r>
      <rPr>
        <sz val="11"/>
        <rFont val="Calibri"/>
        <family val="2"/>
      </rPr>
      <t>Palo Verde</t>
    </r>
  </si>
  <si>
    <r>
      <rPr>
        <sz val="11"/>
        <rFont val="Calibri"/>
        <family val="2"/>
      </rPr>
      <t>Needles Center</t>
    </r>
  </si>
  <si>
    <r>
      <rPr>
        <sz val="11"/>
        <rFont val="Calibri"/>
        <family val="2"/>
      </rPr>
      <t>Palomar</t>
    </r>
  </si>
  <si>
    <r>
      <rPr>
        <sz val="11"/>
        <rFont val="Calibri"/>
        <family val="2"/>
      </rPr>
      <t>Escondido Center</t>
    </r>
  </si>
  <si>
    <r>
      <rPr>
        <sz val="11"/>
        <rFont val="Calibri"/>
        <family val="2"/>
      </rPr>
      <t>Pasadena</t>
    </r>
  </si>
  <si>
    <r>
      <rPr>
        <sz val="11"/>
        <rFont val="Calibri"/>
        <family val="2"/>
      </rPr>
      <t>Community Education Center</t>
    </r>
  </si>
  <si>
    <r>
      <rPr>
        <sz val="11"/>
        <rFont val="Calibri"/>
        <family val="2"/>
      </rPr>
      <t>Rancho Santiago</t>
    </r>
  </si>
  <si>
    <r>
      <rPr>
        <sz val="11"/>
        <rFont val="Calibri"/>
        <family val="2"/>
      </rPr>
      <t>Centennial Education Center</t>
    </r>
  </si>
  <si>
    <r>
      <rPr>
        <sz val="11"/>
        <rFont val="Calibri"/>
        <family val="2"/>
      </rPr>
      <t>Orange Education Center</t>
    </r>
  </si>
  <si>
    <r>
      <rPr>
        <sz val="11"/>
        <rFont val="Calibri"/>
        <family val="2"/>
      </rPr>
      <t>Redwoods</t>
    </r>
  </si>
  <si>
    <r>
      <rPr>
        <sz val="11"/>
        <rFont val="Calibri"/>
        <family val="2"/>
      </rPr>
      <t>Del Norte Center</t>
    </r>
  </si>
  <si>
    <r>
      <rPr>
        <sz val="11"/>
        <rFont val="Calibri"/>
        <family val="2"/>
      </rPr>
      <t>Mendocino Coast Center</t>
    </r>
  </si>
  <si>
    <r>
      <rPr>
        <sz val="11"/>
        <rFont val="Calibri"/>
        <family val="2"/>
      </rPr>
      <t>Riverside</t>
    </r>
  </si>
  <si>
    <r>
      <rPr>
        <sz val="11"/>
        <rFont val="Calibri"/>
        <family val="2"/>
      </rPr>
      <t>Moreno Valley Center</t>
    </r>
  </si>
  <si>
    <r>
      <rPr>
        <sz val="11"/>
        <rFont val="Calibri"/>
        <family val="2"/>
      </rPr>
      <t>Norco Valley Center</t>
    </r>
  </si>
  <si>
    <r>
      <rPr>
        <sz val="11"/>
        <rFont val="Calibri"/>
        <family val="2"/>
      </rPr>
      <t>San Diego</t>
    </r>
  </si>
  <si>
    <r>
      <rPr>
        <sz val="11"/>
        <rFont val="Calibri"/>
        <family val="2"/>
      </rPr>
      <t>Centre City Campus and Skills</t>
    </r>
  </si>
  <si>
    <r>
      <rPr>
        <sz val="11"/>
        <rFont val="Calibri"/>
        <family val="2"/>
      </rPr>
      <t>Educational Cultural Complex</t>
    </r>
  </si>
  <si>
    <r>
      <rPr>
        <sz val="11"/>
        <rFont val="Calibri"/>
        <family val="2"/>
      </rPr>
      <t>Mid-City Campus</t>
    </r>
  </si>
  <si>
    <r>
      <rPr>
        <sz val="11"/>
        <rFont val="Calibri"/>
        <family val="2"/>
      </rPr>
      <t>North City Campus</t>
    </r>
  </si>
  <si>
    <r>
      <rPr>
        <sz val="11"/>
        <rFont val="Calibri"/>
        <family val="2"/>
      </rPr>
      <t>West City Campus</t>
    </r>
  </si>
  <si>
    <r>
      <rPr>
        <sz val="11"/>
        <rFont val="Calibri"/>
        <family val="2"/>
      </rPr>
      <t>San Francisco</t>
    </r>
  </si>
  <si>
    <r>
      <rPr>
        <sz val="11"/>
        <rFont val="Calibri"/>
        <family val="2"/>
      </rPr>
      <t>Airport CC Center</t>
    </r>
  </si>
  <si>
    <r>
      <rPr>
        <sz val="11"/>
        <rFont val="Calibri"/>
        <family val="2"/>
      </rPr>
      <t>Alemany CC Center</t>
    </r>
  </si>
  <si>
    <r>
      <rPr>
        <sz val="11"/>
        <rFont val="Calibri"/>
        <family val="2"/>
      </rPr>
      <t>Chinatown/North Beach CC Center</t>
    </r>
  </si>
  <si>
    <r>
      <rPr>
        <sz val="11"/>
        <rFont val="Calibri"/>
        <family val="2"/>
      </rPr>
      <t>John Adams CC Center</t>
    </r>
  </si>
  <si>
    <r>
      <rPr>
        <sz val="11"/>
        <rFont val="Calibri"/>
        <family val="2"/>
      </rPr>
      <t>John O'Connell Trade Tech Center</t>
    </r>
  </si>
  <si>
    <r>
      <rPr>
        <sz val="11"/>
        <rFont val="Calibri"/>
        <family val="2"/>
      </rPr>
      <t>Mission CC Center</t>
    </r>
  </si>
  <si>
    <r>
      <rPr>
        <sz val="11"/>
        <rFont val="Calibri"/>
        <family val="2"/>
      </rPr>
      <t>San Francisco Downtown CC Center</t>
    </r>
  </si>
  <si>
    <r>
      <rPr>
        <sz val="11"/>
        <rFont val="Calibri"/>
        <family val="2"/>
      </rPr>
      <t>Southeast CC Center</t>
    </r>
  </si>
  <si>
    <r>
      <rPr>
        <sz val="11"/>
        <rFont val="Calibri"/>
        <family val="2"/>
      </rPr>
      <t>San Joaquin Delta</t>
    </r>
  </si>
  <si>
    <r>
      <rPr>
        <sz val="11"/>
        <rFont val="Calibri"/>
        <family val="2"/>
      </rPr>
      <t>Tracy Center</t>
    </r>
  </si>
  <si>
    <r>
      <rPr>
        <sz val="11"/>
        <rFont val="Calibri"/>
        <family val="2"/>
      </rPr>
      <t>San Luis Obispo</t>
    </r>
  </si>
  <si>
    <r>
      <rPr>
        <sz val="11"/>
        <rFont val="Calibri"/>
        <family val="2"/>
      </rPr>
      <t>North County Center</t>
    </r>
  </si>
  <si>
    <r>
      <rPr>
        <sz val="11"/>
        <rFont val="Calibri"/>
        <family val="2"/>
      </rPr>
      <t>Santa Barbara</t>
    </r>
  </si>
  <si>
    <r>
      <rPr>
        <sz val="11"/>
        <rFont val="Calibri"/>
        <family val="2"/>
      </rPr>
      <t>Goleta Valley Center</t>
    </r>
  </si>
  <si>
    <r>
      <rPr>
        <sz val="11"/>
        <rFont val="Calibri"/>
        <family val="2"/>
      </rPr>
      <t>Schott Continuing Ed. Center</t>
    </r>
  </si>
  <si>
    <r>
      <rPr>
        <sz val="11"/>
        <rFont val="Calibri"/>
        <family val="2"/>
      </rPr>
      <t>Santa Clarita</t>
    </r>
  </si>
  <si>
    <r>
      <rPr>
        <sz val="11"/>
        <rFont val="Calibri"/>
        <family val="2"/>
      </rPr>
      <t>Canyon Country Center</t>
    </r>
  </si>
  <si>
    <r>
      <rPr>
        <sz val="11"/>
        <rFont val="Calibri"/>
        <family val="2"/>
      </rPr>
      <t>Santa Monica</t>
    </r>
  </si>
  <si>
    <r>
      <rPr>
        <sz val="11"/>
        <rFont val="Calibri"/>
        <family val="2"/>
      </rPr>
      <t>Academy of Entertainment Technology</t>
    </r>
  </si>
  <si>
    <r>
      <rPr>
        <sz val="11"/>
        <rFont val="Calibri"/>
        <family val="2"/>
      </rPr>
      <t>Sequoias</t>
    </r>
  </si>
  <si>
    <r>
      <rPr>
        <sz val="11"/>
        <rFont val="Calibri"/>
        <family val="2"/>
      </rPr>
      <t>Center for Agriculture Science and Technology</t>
    </r>
  </si>
  <si>
    <r>
      <rPr>
        <sz val="11"/>
        <rFont val="Calibri"/>
        <family val="2"/>
      </rPr>
      <t>Sierra</t>
    </r>
  </si>
  <si>
    <r>
      <rPr>
        <sz val="11"/>
        <rFont val="Calibri"/>
        <family val="2"/>
      </rPr>
      <t>Tahoe-Truckee</t>
    </r>
  </si>
  <si>
    <r>
      <rPr>
        <sz val="11"/>
        <rFont val="Calibri"/>
        <family val="2"/>
      </rPr>
      <t>Western Nevada County Center</t>
    </r>
  </si>
  <si>
    <r>
      <rPr>
        <sz val="11"/>
        <rFont val="Calibri"/>
        <family val="2"/>
      </rPr>
      <t>Solano</t>
    </r>
  </si>
  <si>
    <r>
      <rPr>
        <sz val="11"/>
        <rFont val="Calibri"/>
        <family val="2"/>
      </rPr>
      <t>Vacaville Center</t>
    </r>
  </si>
  <si>
    <r>
      <rPr>
        <sz val="11"/>
        <rFont val="Calibri"/>
        <family val="2"/>
      </rPr>
      <t>Vallejo Center</t>
    </r>
  </si>
  <si>
    <r>
      <rPr>
        <sz val="11"/>
        <rFont val="Calibri"/>
        <family val="2"/>
      </rPr>
      <t>Sonoma</t>
    </r>
  </si>
  <si>
    <r>
      <rPr>
        <sz val="11"/>
        <rFont val="Calibri"/>
        <family val="2"/>
      </rPr>
      <t>Petaluma Center</t>
    </r>
  </si>
  <si>
    <r>
      <rPr>
        <sz val="11"/>
        <rFont val="Calibri"/>
        <family val="2"/>
      </rPr>
      <t>Public Safety Training Center (Criminal Justice Training Center, Windsor)</t>
    </r>
  </si>
  <si>
    <r>
      <rPr>
        <sz val="11"/>
        <rFont val="Calibri"/>
        <family val="2"/>
      </rPr>
      <t>Shone Farm Agricultural Center</t>
    </r>
  </si>
  <si>
    <r>
      <rPr>
        <sz val="11"/>
        <rFont val="Calibri"/>
        <family val="2"/>
      </rPr>
      <t>Southwestern</t>
    </r>
  </si>
  <si>
    <r>
      <rPr>
        <sz val="11"/>
        <rFont val="Calibri"/>
        <family val="2"/>
      </rPr>
      <t>National City Higher Education Center</t>
    </r>
  </si>
  <si>
    <r>
      <rPr>
        <sz val="11"/>
        <rFont val="Calibri"/>
        <family val="2"/>
      </rPr>
      <t>Otay Mesa Center</t>
    </r>
  </si>
  <si>
    <r>
      <rPr>
        <sz val="11"/>
        <rFont val="Calibri"/>
        <family val="2"/>
      </rPr>
      <t>San Ysidro Higher Education Center</t>
    </r>
  </si>
  <si>
    <r>
      <rPr>
        <sz val="11"/>
        <rFont val="Calibri"/>
        <family val="2"/>
      </rPr>
      <t>State Center</t>
    </r>
  </si>
  <si>
    <r>
      <rPr>
        <sz val="11"/>
        <rFont val="Calibri"/>
        <family val="2"/>
      </rPr>
      <t>Madera County Education Center</t>
    </r>
  </si>
  <si>
    <r>
      <rPr>
        <sz val="11"/>
        <rFont val="Calibri"/>
        <family val="2"/>
      </rPr>
      <t>Vocational Training Center</t>
    </r>
  </si>
  <si>
    <r>
      <rPr>
        <sz val="11"/>
        <rFont val="Calibri"/>
        <family val="2"/>
      </rPr>
      <t>Willow International Center</t>
    </r>
  </si>
  <si>
    <r>
      <rPr>
        <sz val="11"/>
        <rFont val="Calibri"/>
        <family val="2"/>
      </rPr>
      <t>West Hills</t>
    </r>
  </si>
  <si>
    <r>
      <rPr>
        <sz val="11"/>
        <rFont val="Calibri"/>
        <family val="2"/>
      </rPr>
      <t>North District Center</t>
    </r>
  </si>
  <si>
    <r>
      <rPr>
        <sz val="11"/>
        <rFont val="Calibri"/>
        <family val="2"/>
      </rPr>
      <t>Yuba</t>
    </r>
  </si>
  <si>
    <r>
      <rPr>
        <sz val="11"/>
        <rFont val="Calibri"/>
        <family val="2"/>
      </rPr>
      <t>Clear Lake Center</t>
    </r>
  </si>
  <si>
    <r>
      <rPr>
        <sz val="11"/>
        <rFont val="Calibri"/>
        <family val="2"/>
      </rPr>
      <t>Woodland Center</t>
    </r>
  </si>
  <si>
    <r>
      <rPr>
        <sz val="11"/>
        <rFont val="Calibri"/>
        <family val="2"/>
      </rPr>
      <t>Sutter County Educational Center</t>
    </r>
  </si>
  <si>
    <t>Grandfathered Center</t>
  </si>
  <si>
    <t>UNPROTECTED.  Therefore, If you change any of the formulas in 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</si>
</sst>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&quot;$&quot;* #,##0_);_(&quot;$&quot;* \(#,##0\);_(&quot;$&quot;* &quot;-&quot;??_);_(@_)"/>
    <numFmt numFmtId="168" formatCode="#,##0.00000000"/>
    <numFmt numFmtId="169" formatCode="0.00000"/>
    <numFmt numFmtId="170" formatCode="#,##0.000000_);\(#,##0.000000\)"/>
    <numFmt numFmtId="171" formatCode="#,##0.0000_);\(#,##0.0000\)"/>
    <numFmt numFmtId="172" formatCode="&quot;$&quot;#,##0"/>
    <numFmt numFmtId="173" formatCode="&quot;$&quot;#,##0.00"/>
    <numFmt numFmtId="174" formatCode="0.00000000"/>
    <numFmt numFmtId="175" formatCode="_(* #,##0_);_(* \(#,##0\);_(* &quot;-&quot;??_);_(@_)"/>
    <numFmt numFmtId="176" formatCode="#,##0.0000"/>
    <numFmt numFmtId="177" formatCode="#,##0.000000"/>
    <numFmt numFmtId="178" formatCode="&quot;$&quot;#,##0.0000000"/>
    <numFmt numFmtId="179" formatCode="#,##0.00000"/>
  </numFmts>
  <fonts count="36" x14ac:knownFonts="1">
    <font>
      <sz val="10"/>
      <name val="Arial"/>
      <family val="2"/>
    </font>
    <font>
      <sz val="10"/>
      <name val="Arial"/>
      <family val="2"/>
    </font>
    <font>
      <sz val="6"/>
      <name val="SAS Monospace"/>
      <family val="3"/>
    </font>
    <font>
      <b/>
      <sz val="6"/>
      <name val="SAS Monospace"/>
      <family val="3"/>
    </font>
    <font>
      <b/>
      <u/>
      <sz val="12"/>
      <name val="SAS Monospace"/>
      <family val="3"/>
    </font>
    <font>
      <sz val="8"/>
      <name val="Arial"/>
      <family val="2"/>
    </font>
    <font>
      <b/>
      <u/>
      <sz val="9"/>
      <name val="SAS Monospace"/>
      <family val="3"/>
    </font>
    <font>
      <b/>
      <u/>
      <sz val="8"/>
      <name val="Arial"/>
      <family val="2"/>
    </font>
    <font>
      <b/>
      <sz val="8"/>
      <name val="Arial"/>
      <family val="2"/>
    </font>
    <font>
      <u/>
      <sz val="8"/>
      <color indexed="10"/>
      <name val="Arial"/>
      <family val="2"/>
    </font>
    <font>
      <sz val="8"/>
      <name val="SAS Monospace"/>
      <family val="3"/>
    </font>
    <font>
      <sz val="6"/>
      <name val="Arial"/>
      <family val="2"/>
    </font>
    <font>
      <sz val="8"/>
      <color rgb="FFFF000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name val="Calibri"/>
      <family val="2"/>
      <scheme val="minor"/>
    </font>
    <font>
      <sz val="7"/>
      <name val="SAS Monospace"/>
      <family val="3"/>
    </font>
    <font>
      <sz val="9"/>
      <color rgb="FFFF0000"/>
      <name val="Calibri"/>
      <family val="2"/>
      <scheme val="minor"/>
    </font>
    <font>
      <b/>
      <sz val="6"/>
      <name val="Arial"/>
      <family val="2"/>
    </font>
    <font>
      <b/>
      <u/>
      <sz val="11"/>
      <color indexed="8"/>
      <name val="SAS Monospace"/>
      <family val="3"/>
    </font>
    <font>
      <sz val="6"/>
      <color indexed="10"/>
      <name val="SAS Monospace"/>
      <family val="3"/>
    </font>
    <font>
      <b/>
      <sz val="6"/>
      <color indexed="10"/>
      <name val="SAS Monospace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6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2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1" xfId="0" applyFont="1" applyBorder="1" applyAlignment="1">
      <alignment horizontal="center"/>
    </xf>
    <xf numFmtId="0" fontId="8" fillId="0" borderId="0" xfId="0" applyFont="1"/>
    <xf numFmtId="4" fontId="5" fillId="2" borderId="2" xfId="0" applyNumberFormat="1" applyFont="1" applyFill="1" applyBorder="1"/>
    <xf numFmtId="4" fontId="5" fillId="2" borderId="3" xfId="0" applyNumberFormat="1" applyFont="1" applyFill="1" applyBorder="1"/>
    <xf numFmtId="4" fontId="5" fillId="0" borderId="0" xfId="0" applyNumberFormat="1" applyFont="1"/>
    <xf numFmtId="0" fontId="9" fillId="0" borderId="0" xfId="0" applyFont="1"/>
    <xf numFmtId="0" fontId="8" fillId="0" borderId="0" xfId="0" applyFont="1" applyAlignment="1">
      <alignment horizontal="center"/>
    </xf>
    <xf numFmtId="3" fontId="5" fillId="2" borderId="2" xfId="0" applyNumberFormat="1" applyFont="1" applyFill="1" applyBorder="1"/>
    <xf numFmtId="167" fontId="5" fillId="0" borderId="2" xfId="2" applyNumberFormat="1" applyFont="1" applyFill="1" applyBorder="1"/>
    <xf numFmtId="168" fontId="5" fillId="2" borderId="2" xfId="0" applyNumberFormat="1" applyFont="1" applyFill="1" applyBorder="1"/>
    <xf numFmtId="0" fontId="10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" fontId="5" fillId="2" borderId="6" xfId="0" applyNumberFormat="1" applyFont="1" applyFill="1" applyBorder="1" applyAlignment="1">
      <alignment horizontal="center"/>
    </xf>
    <xf numFmtId="1" fontId="5" fillId="2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right"/>
    </xf>
    <xf numFmtId="1" fontId="5" fillId="2" borderId="0" xfId="0" applyNumberFormat="1" applyFont="1" applyFill="1" applyBorder="1" applyAlignment="1">
      <alignment horizont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0" fontId="11" fillId="0" borderId="11" xfId="0" applyFont="1" applyBorder="1" applyAlignment="1">
      <alignment horizontal="right"/>
    </xf>
    <xf numFmtId="1" fontId="5" fillId="2" borderId="12" xfId="0" applyNumberFormat="1" applyFont="1" applyFill="1" applyBorder="1" applyAlignment="1">
      <alignment horizontal="center"/>
    </xf>
    <xf numFmtId="169" fontId="5" fillId="2" borderId="13" xfId="0" applyNumberFormat="1" applyFont="1" applyFill="1" applyBorder="1" applyAlignment="1">
      <alignment horizontal="center"/>
    </xf>
    <xf numFmtId="169" fontId="12" fillId="2" borderId="13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4" fontId="13" fillId="0" borderId="0" xfId="0" applyNumberFormat="1" applyFont="1"/>
    <xf numFmtId="0" fontId="15" fillId="0" borderId="0" xfId="0" applyFont="1"/>
    <xf numFmtId="0" fontId="13" fillId="0" borderId="15" xfId="0" applyFont="1" applyBorder="1"/>
    <xf numFmtId="0" fontId="13" fillId="0" borderId="16" xfId="0" applyFont="1" applyBorder="1"/>
    <xf numFmtId="0" fontId="13" fillId="0" borderId="16" xfId="0" applyFont="1" applyBorder="1" applyAlignment="1">
      <alignment horizontal="right"/>
    </xf>
    <xf numFmtId="0" fontId="14" fillId="0" borderId="16" xfId="0" applyFont="1" applyBorder="1" applyAlignment="1">
      <alignment horizontal="center"/>
    </xf>
    <xf numFmtId="0" fontId="13" fillId="0" borderId="17" xfId="0" applyFont="1" applyBorder="1"/>
    <xf numFmtId="0" fontId="2" fillId="0" borderId="0" xfId="0" applyFont="1" applyBorder="1"/>
    <xf numFmtId="170" fontId="2" fillId="0" borderId="0" xfId="2" applyNumberFormat="1" applyFont="1" applyAlignment="1">
      <alignment horizontal="center"/>
    </xf>
    <xf numFmtId="0" fontId="13" fillId="0" borderId="4" xfId="0" applyFont="1" applyBorder="1"/>
    <xf numFmtId="0" fontId="14" fillId="0" borderId="0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4" fillId="0" borderId="4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right"/>
    </xf>
    <xf numFmtId="0" fontId="13" fillId="0" borderId="18" xfId="0" applyFont="1" applyBorder="1"/>
    <xf numFmtId="0" fontId="2" fillId="0" borderId="1" xfId="0" applyFont="1" applyBorder="1" applyAlignment="1">
      <alignment horizontal="center"/>
    </xf>
    <xf numFmtId="170" fontId="13" fillId="0" borderId="0" xfId="2" applyNumberFormat="1" applyFont="1" applyBorder="1" applyAlignment="1"/>
    <xf numFmtId="171" fontId="13" fillId="0" borderId="0" xfId="2" applyNumberFormat="1" applyFont="1" applyBorder="1" applyAlignment="1"/>
    <xf numFmtId="4" fontId="13" fillId="0" borderId="0" xfId="0" applyNumberFormat="1" applyFont="1" applyBorder="1"/>
    <xf numFmtId="4" fontId="13" fillId="0" borderId="0" xfId="0" applyNumberFormat="1" applyFont="1" applyBorder="1" applyAlignment="1">
      <alignment horizontal="right"/>
    </xf>
    <xf numFmtId="4" fontId="13" fillId="0" borderId="18" xfId="0" applyNumberFormat="1" applyFont="1" applyBorder="1"/>
    <xf numFmtId="4" fontId="2" fillId="0" borderId="0" xfId="0" applyNumberFormat="1" applyFont="1" applyBorder="1"/>
    <xf numFmtId="39" fontId="2" fillId="0" borderId="0" xfId="2" applyNumberFormat="1" applyFont="1" applyAlignment="1"/>
    <xf numFmtId="4" fontId="2" fillId="0" borderId="0" xfId="0" applyNumberFormat="1" applyFont="1"/>
    <xf numFmtId="4" fontId="2" fillId="0" borderId="0" xfId="1" applyNumberFormat="1" applyFont="1"/>
    <xf numFmtId="0" fontId="13" fillId="0" borderId="1" xfId="0" applyFont="1" applyBorder="1"/>
    <xf numFmtId="0" fontId="13" fillId="0" borderId="1" xfId="0" applyFont="1" applyBorder="1" applyAlignment="1">
      <alignment horizontal="right"/>
    </xf>
    <xf numFmtId="0" fontId="13" fillId="0" borderId="19" xfId="0" applyFont="1" applyBorder="1"/>
    <xf numFmtId="0" fontId="14" fillId="0" borderId="4" xfId="0" applyFont="1" applyBorder="1"/>
    <xf numFmtId="0" fontId="13" fillId="0" borderId="5" xfId="0" applyFont="1" applyBorder="1"/>
    <xf numFmtId="4" fontId="13" fillId="0" borderId="1" xfId="0" applyNumberFormat="1" applyFont="1" applyBorder="1"/>
    <xf numFmtId="4" fontId="13" fillId="0" borderId="1" xfId="0" applyNumberFormat="1" applyFont="1" applyBorder="1" applyAlignment="1">
      <alignment horizontal="right"/>
    </xf>
    <xf numFmtId="0" fontId="14" fillId="0" borderId="0" xfId="0" applyFont="1" applyBorder="1"/>
    <xf numFmtId="0" fontId="14" fillId="0" borderId="0" xfId="0" applyFont="1" applyBorder="1" applyAlignment="1">
      <alignment horizontal="right"/>
    </xf>
    <xf numFmtId="172" fontId="16" fillId="0" borderId="0" xfId="0" quotePrefix="1" applyNumberFormat="1" applyFont="1" applyBorder="1"/>
    <xf numFmtId="0" fontId="13" fillId="0" borderId="4" xfId="0" applyFont="1" applyBorder="1" applyAlignment="1">
      <alignment horizontal="center"/>
    </xf>
    <xf numFmtId="172" fontId="13" fillId="0" borderId="0" xfId="0" applyNumberFormat="1" applyFont="1" applyBorder="1"/>
    <xf numFmtId="167" fontId="13" fillId="2" borderId="13" xfId="2" applyNumberFormat="1" applyFont="1" applyFill="1" applyBorder="1" applyAlignment="1">
      <alignment horizontal="center"/>
    </xf>
    <xf numFmtId="172" fontId="2" fillId="0" borderId="0" xfId="2" applyNumberFormat="1" applyFont="1" applyBorder="1" applyAlignment="1">
      <alignment horizontal="right"/>
    </xf>
    <xf numFmtId="4" fontId="2" fillId="0" borderId="0" xfId="2" applyNumberFormat="1" applyFont="1" applyBorder="1" applyAlignment="1">
      <alignment horizontal="right"/>
    </xf>
    <xf numFmtId="172" fontId="13" fillId="0" borderId="0" xfId="2" applyNumberFormat="1" applyFont="1" applyBorder="1" applyAlignment="1"/>
    <xf numFmtId="167" fontId="11" fillId="0" borderId="0" xfId="2" applyNumberFormat="1" applyFont="1" applyFill="1" applyBorder="1" applyAlignment="1">
      <alignment horizontal="center"/>
    </xf>
    <xf numFmtId="166" fontId="2" fillId="0" borderId="0" xfId="1" applyFont="1" applyBorder="1" applyAlignment="1">
      <alignment horizontal="right"/>
    </xf>
    <xf numFmtId="3" fontId="2" fillId="0" borderId="0" xfId="2" applyNumberFormat="1" applyFont="1" applyBorder="1" applyAlignment="1">
      <alignment horizontal="right"/>
    </xf>
    <xf numFmtId="0" fontId="2" fillId="0" borderId="0" xfId="0" applyFont="1" applyFill="1" applyBorder="1"/>
    <xf numFmtId="3" fontId="2" fillId="0" borderId="0" xfId="0" applyNumberFormat="1" applyFont="1" applyBorder="1"/>
    <xf numFmtId="172" fontId="2" fillId="0" borderId="0" xfId="0" applyNumberFormat="1" applyFont="1"/>
    <xf numFmtId="172" fontId="13" fillId="0" borderId="0" xfId="2" applyNumberFormat="1" applyFont="1" applyBorder="1" applyAlignment="1">
      <alignment horizontal="right"/>
    </xf>
    <xf numFmtId="172" fontId="13" fillId="0" borderId="18" xfId="2" applyNumberFormat="1" applyFont="1" applyBorder="1" applyAlignment="1">
      <alignment horizontal="right"/>
    </xf>
    <xf numFmtId="172" fontId="2" fillId="0" borderId="0" xfId="2" applyNumberFormat="1" applyFont="1" applyFill="1" applyBorder="1" applyAlignment="1">
      <alignment horizontal="right"/>
    </xf>
    <xf numFmtId="172" fontId="3" fillId="0" borderId="0" xfId="2" applyNumberFormat="1" applyFont="1" applyBorder="1" applyAlignment="1">
      <alignment horizontal="right"/>
    </xf>
    <xf numFmtId="37" fontId="2" fillId="0" borderId="1" xfId="2" applyNumberFormat="1" applyFont="1" applyBorder="1"/>
    <xf numFmtId="172" fontId="2" fillId="0" borderId="0" xfId="0" applyNumberFormat="1" applyFont="1" applyBorder="1"/>
    <xf numFmtId="173" fontId="2" fillId="0" borderId="0" xfId="0" applyNumberFormat="1" applyFont="1"/>
    <xf numFmtId="172" fontId="2" fillId="0" borderId="0" xfId="2" applyNumberFormat="1" applyFont="1" applyBorder="1" applyAlignment="1"/>
    <xf numFmtId="0" fontId="13" fillId="0" borderId="0" xfId="0" quotePrefix="1" applyFont="1" applyBorder="1"/>
    <xf numFmtId="172" fontId="13" fillId="0" borderId="18" xfId="2" applyNumberFormat="1" applyFont="1" applyFill="1" applyBorder="1" applyAlignment="1"/>
    <xf numFmtId="172" fontId="2" fillId="0" borderId="0" xfId="2" applyNumberFormat="1" applyFont="1" applyFill="1" applyBorder="1" applyAlignment="1"/>
    <xf numFmtId="174" fontId="2" fillId="0" borderId="0" xfId="0" applyNumberFormat="1" applyFont="1" applyBorder="1"/>
    <xf numFmtId="172" fontId="2" fillId="0" borderId="0" xfId="2" applyNumberFormat="1" applyFont="1" applyAlignment="1"/>
    <xf numFmtId="167" fontId="13" fillId="0" borderId="0" xfId="2" applyNumberFormat="1" applyFont="1" applyBorder="1" applyAlignment="1"/>
    <xf numFmtId="172" fontId="13" fillId="0" borderId="18" xfId="0" applyNumberFormat="1" applyFont="1" applyBorder="1"/>
    <xf numFmtId="172" fontId="2" fillId="0" borderId="0" xfId="0" applyNumberFormat="1" applyFont="1" applyFill="1" applyBorder="1"/>
    <xf numFmtId="172" fontId="13" fillId="0" borderId="0" xfId="0" applyNumberFormat="1" applyFont="1" applyBorder="1" applyAlignment="1">
      <alignment horizontal="right"/>
    </xf>
    <xf numFmtId="172" fontId="13" fillId="0" borderId="18" xfId="2" applyNumberFormat="1" applyFont="1" applyBorder="1" applyAlignment="1"/>
    <xf numFmtId="0" fontId="13" fillId="0" borderId="0" xfId="0" applyFont="1" applyBorder="1" applyAlignment="1">
      <alignment wrapText="1"/>
    </xf>
    <xf numFmtId="175" fontId="2" fillId="0" borderId="1" xfId="1" applyNumberFormat="1" applyFont="1" applyBorder="1"/>
    <xf numFmtId="173" fontId="13" fillId="0" borderId="0" xfId="0" applyNumberFormat="1" applyFont="1" applyBorder="1"/>
    <xf numFmtId="172" fontId="13" fillId="4" borderId="18" xfId="2" applyNumberFormat="1" applyFont="1" applyFill="1" applyBorder="1" applyAlignment="1"/>
    <xf numFmtId="0" fontId="3" fillId="0" borderId="0" xfId="0" applyFont="1" applyBorder="1"/>
    <xf numFmtId="3" fontId="3" fillId="0" borderId="0" xfId="0" applyNumberFormat="1" applyFont="1" applyBorder="1"/>
    <xf numFmtId="174" fontId="13" fillId="0" borderId="0" xfId="0" applyNumberFormat="1" applyFont="1" applyBorder="1"/>
    <xf numFmtId="3" fontId="3" fillId="0" borderId="1" xfId="0" applyNumberFormat="1" applyFont="1" applyBorder="1"/>
    <xf numFmtId="3" fontId="2" fillId="0" borderId="0" xfId="0" applyNumberFormat="1" applyFont="1"/>
    <xf numFmtId="0" fontId="2" fillId="0" borderId="0" xfId="0" applyFont="1" applyAlignment="1">
      <alignment horizontal="center"/>
    </xf>
    <xf numFmtId="49" fontId="13" fillId="0" borderId="0" xfId="0" applyNumberFormat="1" applyFont="1" applyBorder="1" applyAlignment="1">
      <alignment horizontal="right"/>
    </xf>
    <xf numFmtId="0" fontId="13" fillId="0" borderId="18" xfId="1" applyNumberFormat="1" applyFont="1" applyBorder="1"/>
    <xf numFmtId="0" fontId="2" fillId="0" borderId="0" xfId="1" applyNumberFormat="1" applyFont="1" applyBorder="1"/>
    <xf numFmtId="10" fontId="13" fillId="0" borderId="0" xfId="3" applyNumberFormat="1" applyFont="1" applyFill="1" applyBorder="1" applyAlignment="1">
      <alignment horizontal="right"/>
    </xf>
    <xf numFmtId="175" fontId="2" fillId="0" borderId="0" xfId="0" applyNumberFormat="1" applyFont="1"/>
    <xf numFmtId="10" fontId="13" fillId="0" borderId="0" xfId="0" applyNumberFormat="1" applyFont="1" applyFill="1" applyBorder="1"/>
    <xf numFmtId="172" fontId="13" fillId="5" borderId="0" xfId="2" applyNumberFormat="1" applyFont="1" applyFill="1" applyBorder="1" applyAlignment="1"/>
    <xf numFmtId="172" fontId="13" fillId="0" borderId="0" xfId="2" applyNumberFormat="1" applyFont="1" applyBorder="1"/>
    <xf numFmtId="172" fontId="14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left"/>
    </xf>
    <xf numFmtId="172" fontId="13" fillId="0" borderId="0" xfId="0" applyNumberFormat="1" applyFont="1" applyBorder="1" applyAlignment="1">
      <alignment horizontal="left"/>
    </xf>
    <xf numFmtId="172" fontId="13" fillId="4" borderId="18" xfId="2" applyNumberFormat="1" applyFont="1" applyFill="1" applyBorder="1" applyAlignment="1">
      <alignment horizontal="right"/>
    </xf>
    <xf numFmtId="172" fontId="13" fillId="0" borderId="0" xfId="2" applyNumberFormat="1" applyFont="1" applyFill="1" applyBorder="1" applyAlignment="1"/>
    <xf numFmtId="0" fontId="13" fillId="0" borderId="0" xfId="0" applyFont="1" applyBorder="1" applyAlignment="1">
      <alignment horizontal="left"/>
    </xf>
    <xf numFmtId="0" fontId="13" fillId="0" borderId="5" xfId="0" applyFont="1" applyBorder="1" applyAlignment="1">
      <alignment horizontal="center"/>
    </xf>
    <xf numFmtId="0" fontId="14" fillId="0" borderId="1" xfId="0" applyFont="1" applyBorder="1"/>
    <xf numFmtId="172" fontId="13" fillId="0" borderId="1" xfId="2" applyNumberFormat="1" applyFont="1" applyBorder="1" applyAlignment="1"/>
    <xf numFmtId="0" fontId="15" fillId="0" borderId="0" xfId="0" applyFont="1" applyBorder="1" applyAlignment="1">
      <alignment horizontal="center"/>
    </xf>
    <xf numFmtId="166" fontId="14" fillId="0" borderId="0" xfId="1" applyFont="1" applyBorder="1" applyAlignment="1">
      <alignment horizontal="left"/>
    </xf>
    <xf numFmtId="166" fontId="14" fillId="0" borderId="0" xfId="1" applyFont="1" applyBorder="1" applyAlignment="1">
      <alignment horizontal="center"/>
    </xf>
    <xf numFmtId="0" fontId="11" fillId="0" borderId="0" xfId="0" applyFont="1" applyBorder="1"/>
    <xf numFmtId="166" fontId="14" fillId="0" borderId="1" xfId="1" applyFont="1" applyBorder="1" applyAlignment="1">
      <alignment horizontal="center"/>
    </xf>
    <xf numFmtId="166" fontId="14" fillId="0" borderId="19" xfId="1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172" fontId="13" fillId="0" borderId="0" xfId="0" applyNumberFormat="1" applyFont="1" applyAlignment="1">
      <alignment horizontal="center"/>
    </xf>
    <xf numFmtId="172" fontId="13" fillId="3" borderId="20" xfId="0" applyNumberFormat="1" applyFont="1" applyFill="1" applyBorder="1" applyAlignment="1">
      <alignment horizontal="center"/>
    </xf>
    <xf numFmtId="172" fontId="13" fillId="0" borderId="0" xfId="0" applyNumberFormat="1" applyFont="1" applyBorder="1" applyAlignment="1">
      <alignment horizontal="center"/>
    </xf>
    <xf numFmtId="166" fontId="11" fillId="0" borderId="0" xfId="1" applyFont="1" applyBorder="1"/>
    <xf numFmtId="0" fontId="13" fillId="0" borderId="21" xfId="0" applyFont="1" applyBorder="1"/>
    <xf numFmtId="0" fontId="18" fillId="0" borderId="0" xfId="0" applyFont="1" applyBorder="1" applyAlignment="1">
      <alignment horizontal="center"/>
    </xf>
    <xf numFmtId="37" fontId="13" fillId="0" borderId="0" xfId="1" applyNumberFormat="1" applyFont="1" applyBorder="1"/>
    <xf numFmtId="37" fontId="13" fillId="0" borderId="20" xfId="1" applyNumberFormat="1" applyFont="1" applyBorder="1"/>
    <xf numFmtId="1" fontId="13" fillId="0" borderId="0" xfId="1" applyNumberFormat="1" applyFont="1" applyBorder="1" applyAlignment="1">
      <alignment horizontal="center"/>
    </xf>
    <xf numFmtId="1" fontId="11" fillId="0" borderId="0" xfId="1" applyNumberFormat="1" applyFont="1" applyBorder="1" applyAlignment="1">
      <alignment horizontal="center"/>
    </xf>
    <xf numFmtId="166" fontId="13" fillId="0" borderId="0" xfId="1" applyFont="1" applyBorder="1"/>
    <xf numFmtId="166" fontId="14" fillId="0" borderId="0" xfId="1" applyFont="1" applyBorder="1"/>
    <xf numFmtId="164" fontId="13" fillId="0" borderId="0" xfId="1" applyNumberFormat="1" applyFont="1" applyBorder="1"/>
    <xf numFmtId="164" fontId="13" fillId="0" borderId="20" xfId="1" applyNumberFormat="1" applyFont="1" applyBorder="1"/>
    <xf numFmtId="37" fontId="11" fillId="0" borderId="0" xfId="1" applyNumberFormat="1" applyFont="1" applyBorder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72" fontId="13" fillId="0" borderId="0" xfId="0" applyNumberFormat="1" applyFont="1"/>
    <xf numFmtId="1" fontId="13" fillId="0" borderId="0" xfId="0" applyNumberFormat="1" applyFont="1" applyAlignment="1">
      <alignment horizontal="center"/>
    </xf>
    <xf numFmtId="172" fontId="13" fillId="0" borderId="0" xfId="0" applyNumberFormat="1" applyFont="1" applyAlignment="1">
      <alignment horizontal="right"/>
    </xf>
    <xf numFmtId="1" fontId="13" fillId="0" borderId="0" xfId="0" applyNumberFormat="1" applyFont="1"/>
    <xf numFmtId="0" fontId="2" fillId="0" borderId="1" xfId="0" applyFont="1" applyBorder="1"/>
    <xf numFmtId="0" fontId="5" fillId="0" borderId="1" xfId="0" applyFont="1" applyBorder="1"/>
    <xf numFmtId="4" fontId="2" fillId="2" borderId="0" xfId="0" applyNumberFormat="1" applyFont="1" applyFill="1"/>
    <xf numFmtId="0" fontId="2" fillId="2" borderId="0" xfId="0" applyFont="1" applyFill="1"/>
    <xf numFmtId="4" fontId="19" fillId="2" borderId="0" xfId="0" applyNumberFormat="1" applyFont="1" applyFill="1" applyAlignment="1">
      <alignment horizontal="center"/>
    </xf>
    <xf numFmtId="4" fontId="2" fillId="2" borderId="0" xfId="0" applyNumberFormat="1" applyFont="1" applyFill="1" applyAlignment="1">
      <alignment horizontal="right"/>
    </xf>
    <xf numFmtId="167" fontId="2" fillId="0" borderId="0" xfId="2" applyNumberFormat="1" applyFont="1"/>
    <xf numFmtId="0" fontId="3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3" fillId="0" borderId="0" xfId="0" applyNumberFormat="1" applyFont="1"/>
    <xf numFmtId="3" fontId="20" fillId="0" borderId="0" xfId="0" applyNumberFormat="1" applyFont="1" applyAlignment="1">
      <alignment horizontal="right"/>
    </xf>
    <xf numFmtId="3" fontId="21" fillId="0" borderId="0" xfId="0" applyNumberFormat="1" applyFont="1"/>
    <xf numFmtId="3" fontId="3" fillId="0" borderId="0" xfId="0" applyNumberFormat="1" applyFont="1" applyAlignment="1">
      <alignment horizontal="center"/>
    </xf>
    <xf numFmtId="0" fontId="3" fillId="0" borderId="1" xfId="0" applyFont="1" applyBorder="1"/>
    <xf numFmtId="4" fontId="3" fillId="0" borderId="0" xfId="0" applyNumberFormat="1" applyFont="1"/>
    <xf numFmtId="4" fontId="3" fillId="0" borderId="0" xfId="0" applyNumberFormat="1" applyFont="1" applyAlignment="1">
      <alignment horizontal="right"/>
    </xf>
    <xf numFmtId="3" fontId="3" fillId="6" borderId="0" xfId="0" applyNumberFormat="1" applyFont="1" applyFill="1"/>
    <xf numFmtId="3" fontId="11" fillId="0" borderId="0" xfId="0" applyNumberFormat="1" applyFont="1" applyAlignment="1"/>
    <xf numFmtId="4" fontId="3" fillId="0" borderId="1" xfId="0" applyNumberFormat="1" applyFont="1" applyBorder="1"/>
    <xf numFmtId="175" fontId="2" fillId="0" borderId="0" xfId="1" applyNumberFormat="1" applyFont="1" applyAlignment="1">
      <alignment horizontal="right"/>
    </xf>
    <xf numFmtId="0" fontId="2" fillId="0" borderId="0" xfId="0" applyFont="1" applyAlignment="1">
      <alignment horizontal="left"/>
    </xf>
    <xf numFmtId="3" fontId="3" fillId="0" borderId="0" xfId="0" applyNumberFormat="1" applyFont="1" applyFill="1"/>
    <xf numFmtId="172" fontId="3" fillId="0" borderId="0" xfId="0" applyNumberFormat="1" applyFont="1"/>
    <xf numFmtId="0" fontId="20" fillId="0" borderId="0" xfId="0" applyFont="1"/>
    <xf numFmtId="3" fontId="2" fillId="7" borderId="0" xfId="0" applyNumberFormat="1" applyFont="1" applyFill="1"/>
    <xf numFmtId="0" fontId="2" fillId="7" borderId="0" xfId="0" applyFont="1" applyFill="1"/>
    <xf numFmtId="3" fontId="11" fillId="0" borderId="0" xfId="0" applyNumberFormat="1" applyFont="1" applyAlignment="1">
      <alignment horizontal="center"/>
    </xf>
    <xf numFmtId="175" fontId="3" fillId="0" borderId="0" xfId="1" applyNumberFormat="1" applyFont="1"/>
    <xf numFmtId="172" fontId="11" fillId="0" borderId="0" xfId="2" applyNumberFormat="1" applyFont="1" applyAlignment="1">
      <alignment horizontal="right"/>
    </xf>
    <xf numFmtId="3" fontId="2" fillId="0" borderId="1" xfId="0" applyNumberFormat="1" applyFont="1" applyBorder="1"/>
    <xf numFmtId="4" fontId="3" fillId="0" borderId="0" xfId="0" applyNumberFormat="1" applyFont="1" applyBorder="1"/>
    <xf numFmtId="165" fontId="2" fillId="0" borderId="0" xfId="0" quotePrefix="1" applyNumberFormat="1" applyFont="1"/>
    <xf numFmtId="166" fontId="2" fillId="0" borderId="0" xfId="0" applyNumberFormat="1" applyFont="1"/>
    <xf numFmtId="4" fontId="11" fillId="0" borderId="0" xfId="0" applyNumberFormat="1" applyFont="1" applyAlignment="1"/>
    <xf numFmtId="165" fontId="2" fillId="0" borderId="0" xfId="0" applyNumberFormat="1" applyFont="1"/>
    <xf numFmtId="165" fontId="3" fillId="0" borderId="0" xfId="0" applyNumberFormat="1" applyFont="1"/>
    <xf numFmtId="4" fontId="11" fillId="0" borderId="0" xfId="0" applyNumberFormat="1" applyFont="1" applyAlignment="1">
      <alignment horizontal="right"/>
    </xf>
    <xf numFmtId="2" fontId="2" fillId="0" borderId="0" xfId="0" applyNumberFormat="1" applyFont="1"/>
    <xf numFmtId="166" fontId="2" fillId="0" borderId="0" xfId="1" applyFont="1"/>
    <xf numFmtId="167" fontId="3" fillId="0" borderId="0" xfId="0" applyNumberFormat="1" applyFont="1" applyBorder="1"/>
    <xf numFmtId="2" fontId="3" fillId="0" borderId="0" xfId="0" applyNumberFormat="1" applyFont="1"/>
    <xf numFmtId="167" fontId="18" fillId="0" borderId="0" xfId="0" applyNumberFormat="1" applyFont="1" applyBorder="1" applyAlignment="1">
      <alignment horizontal="right"/>
    </xf>
    <xf numFmtId="175" fontId="2" fillId="0" borderId="0" xfId="1" applyNumberFormat="1" applyFont="1"/>
    <xf numFmtId="166" fontId="2" fillId="0" borderId="0" xfId="1" applyFont="1" applyAlignment="1">
      <alignment horizontal="right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4" applyAlignment="1" applyProtection="1"/>
    <xf numFmtId="0" fontId="5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0" fillId="0" borderId="0" xfId="0" applyBorder="1"/>
    <xf numFmtId="176" fontId="5" fillId="0" borderId="0" xfId="0" applyNumberFormat="1" applyFont="1" applyBorder="1"/>
    <xf numFmtId="177" fontId="5" fillId="0" borderId="0" xfId="0" applyNumberFormat="1" applyFont="1" applyBorder="1"/>
    <xf numFmtId="176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178" fontId="31" fillId="0" borderId="0" xfId="0" applyNumberFormat="1" applyFont="1" applyFill="1" applyBorder="1"/>
    <xf numFmtId="166" fontId="5" fillId="0" borderId="0" xfId="1" applyFont="1" applyBorder="1"/>
    <xf numFmtId="3" fontId="5" fillId="0" borderId="0" xfId="0" applyNumberFormat="1" applyFont="1" applyBorder="1"/>
    <xf numFmtId="4" fontId="5" fillId="0" borderId="0" xfId="0" applyNumberFormat="1" applyFont="1" applyBorder="1"/>
    <xf numFmtId="179" fontId="8" fillId="0" borderId="0" xfId="0" applyNumberFormat="1" applyFont="1" applyBorder="1"/>
    <xf numFmtId="0" fontId="5" fillId="0" borderId="0" xfId="0" applyFont="1" applyFill="1" applyBorder="1" applyAlignment="1">
      <alignment horizontal="left"/>
    </xf>
    <xf numFmtId="3" fontId="5" fillId="0" borderId="0" xfId="2" applyNumberFormat="1" applyFont="1" applyBorder="1" applyAlignment="1">
      <alignment horizontal="right"/>
    </xf>
    <xf numFmtId="166" fontId="5" fillId="0" borderId="0" xfId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72" fontId="5" fillId="0" borderId="0" xfId="0" applyNumberFormat="1" applyFont="1" applyBorder="1" applyAlignment="1">
      <alignment horizontal="center"/>
    </xf>
    <xf numFmtId="172" fontId="5" fillId="0" borderId="0" xfId="0" applyNumberFormat="1" applyFont="1" applyBorder="1"/>
    <xf numFmtId="0" fontId="33" fillId="0" borderId="0" xfId="0" applyFont="1" applyBorder="1"/>
    <xf numFmtId="0" fontId="32" fillId="0" borderId="0" xfId="0" applyFont="1" applyBorder="1"/>
    <xf numFmtId="0" fontId="32" fillId="0" borderId="0" xfId="0" applyFont="1" applyBorder="1" applyAlignment="1">
      <alignment horizontal="center"/>
    </xf>
    <xf numFmtId="178" fontId="0" fillId="0" borderId="0" xfId="0" applyNumberFormat="1" applyFill="1" applyBorder="1"/>
    <xf numFmtId="0" fontId="34" fillId="0" borderId="22" xfId="0" applyFont="1" applyFill="1" applyBorder="1" applyAlignment="1">
      <alignment horizontal="center" vertical="top" wrapText="1"/>
    </xf>
    <xf numFmtId="0" fontId="35" fillId="0" borderId="22" xfId="0" applyFont="1" applyFill="1" applyBorder="1" applyAlignment="1">
      <alignment horizontal="left" vertical="top" wrapText="1"/>
    </xf>
    <xf numFmtId="0" fontId="0" fillId="0" borderId="22" xfId="0" applyFill="1" applyBorder="1" applyAlignment="1">
      <alignment horizontal="center" vertical="top" wrapText="1"/>
    </xf>
    <xf numFmtId="0" fontId="33" fillId="0" borderId="0" xfId="0" applyFont="1" applyBorder="1" applyAlignment="1">
      <alignment horizontal="center"/>
    </xf>
    <xf numFmtId="172" fontId="17" fillId="4" borderId="18" xfId="2" applyNumberFormat="1" applyFont="1" applyFill="1" applyBorder="1" applyAlignment="1"/>
    <xf numFmtId="10" fontId="13" fillId="4" borderId="0" xfId="3" applyNumberFormat="1" applyFont="1" applyFill="1" applyBorder="1" applyAlignment="1"/>
    <xf numFmtId="0" fontId="5" fillId="0" borderId="0" xfId="0" applyFont="1" applyAlignment="1">
      <alignment horizontal="right"/>
    </xf>
    <xf numFmtId="0" fontId="5" fillId="0" borderId="14" xfId="0" applyFont="1" applyBorder="1" applyAlignment="1">
      <alignment horizontal="righ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J28"/>
  <sheetViews>
    <sheetView tabSelected="1" workbookViewId="0">
      <selection activeCell="B16" sqref="B16"/>
    </sheetView>
  </sheetViews>
  <sheetFormatPr baseColWidth="10" defaultColWidth="8.83203125" defaultRowHeight="12" x14ac:dyDescent="0"/>
  <sheetData>
    <row r="3" spans="1:10" ht="18">
      <c r="E3" s="206" t="s">
        <v>232</v>
      </c>
    </row>
    <row r="4" spans="1:10" ht="17">
      <c r="E4" s="207"/>
    </row>
    <row r="5" spans="1:10">
      <c r="B5" s="208" t="s">
        <v>233</v>
      </c>
    </row>
    <row r="6" spans="1:10">
      <c r="B6" s="208" t="s">
        <v>234</v>
      </c>
    </row>
    <row r="7" spans="1:10">
      <c r="B7" s="208" t="s">
        <v>235</v>
      </c>
    </row>
    <row r="8" spans="1:10" ht="15">
      <c r="A8" s="209"/>
      <c r="B8" s="208" t="s">
        <v>236</v>
      </c>
      <c r="C8" s="210"/>
      <c r="D8" s="210"/>
      <c r="E8" s="210"/>
      <c r="F8" s="210"/>
      <c r="G8" s="210"/>
      <c r="H8" s="210"/>
      <c r="I8" s="211"/>
      <c r="J8" s="210"/>
    </row>
    <row r="9" spans="1:10" ht="15">
      <c r="A9" s="209"/>
      <c r="B9" s="208" t="s">
        <v>237</v>
      </c>
      <c r="C9" s="210"/>
      <c r="D9" s="210"/>
      <c r="E9" s="210"/>
      <c r="F9" s="210"/>
      <c r="G9" s="210"/>
      <c r="H9" s="210"/>
      <c r="I9" s="211"/>
      <c r="J9" s="210"/>
    </row>
    <row r="10" spans="1:10" ht="15">
      <c r="A10" s="209"/>
      <c r="B10" s="208" t="s">
        <v>238</v>
      </c>
      <c r="I10" s="209"/>
    </row>
    <row r="11" spans="1:10" ht="15">
      <c r="A11" s="209"/>
      <c r="B11" s="208"/>
      <c r="I11" s="209"/>
    </row>
    <row r="12" spans="1:10" ht="15">
      <c r="A12" s="209"/>
      <c r="B12" s="212"/>
      <c r="I12" s="209"/>
    </row>
    <row r="13" spans="1:10" ht="15">
      <c r="A13" s="209"/>
      <c r="I13" s="209"/>
    </row>
    <row r="14" spans="1:10" ht="15">
      <c r="A14" s="209"/>
      <c r="B14" s="208" t="s">
        <v>239</v>
      </c>
      <c r="I14" s="209"/>
    </row>
    <row r="15" spans="1:10" ht="15">
      <c r="A15" s="209"/>
      <c r="B15" t="s">
        <v>382</v>
      </c>
      <c r="I15" s="209"/>
    </row>
    <row r="16" spans="1:10" ht="15">
      <c r="A16" s="209"/>
      <c r="B16" t="s">
        <v>240</v>
      </c>
      <c r="I16" s="209"/>
    </row>
    <row r="17" spans="1:9" ht="15">
      <c r="A17" s="209"/>
      <c r="B17" t="s">
        <v>241</v>
      </c>
      <c r="I17" s="209"/>
    </row>
    <row r="18" spans="1:9" ht="15">
      <c r="A18" s="209"/>
      <c r="I18" s="209"/>
    </row>
    <row r="19" spans="1:9" ht="15">
      <c r="A19" s="209"/>
      <c r="B19" s="209"/>
      <c r="C19" s="209"/>
      <c r="D19" s="209"/>
      <c r="E19" s="209"/>
      <c r="F19" s="209"/>
      <c r="G19" s="209"/>
      <c r="H19" s="209"/>
      <c r="I19" s="209"/>
    </row>
    <row r="20" spans="1:9" ht="15">
      <c r="A20" s="209"/>
      <c r="B20" s="209"/>
      <c r="C20" s="209"/>
      <c r="D20" s="209"/>
      <c r="E20" s="209"/>
      <c r="F20" s="209"/>
      <c r="G20" s="209"/>
      <c r="H20" s="209"/>
      <c r="I20" s="209"/>
    </row>
    <row r="21" spans="1:9" ht="15">
      <c r="A21" s="209"/>
      <c r="B21" s="209"/>
      <c r="C21" s="209"/>
      <c r="D21" s="209"/>
      <c r="E21" s="209"/>
      <c r="F21" s="209"/>
      <c r="G21" s="209"/>
      <c r="H21" s="209"/>
      <c r="I21" s="209"/>
    </row>
    <row r="22" spans="1:9" ht="15">
      <c r="A22" s="209"/>
      <c r="B22" s="209"/>
      <c r="C22" s="209"/>
      <c r="D22" s="209"/>
      <c r="E22" s="209"/>
      <c r="F22" s="209"/>
      <c r="G22" s="209"/>
      <c r="H22" s="209"/>
      <c r="I22" s="209"/>
    </row>
    <row r="23" spans="1:9" ht="15">
      <c r="A23" s="209"/>
      <c r="B23" s="209"/>
      <c r="C23" s="209"/>
      <c r="D23" s="209"/>
      <c r="E23" s="209"/>
      <c r="F23" s="209"/>
      <c r="G23" s="209"/>
      <c r="H23" s="209"/>
      <c r="I23" s="209"/>
    </row>
    <row r="24" spans="1:9" ht="15">
      <c r="A24" s="209"/>
      <c r="B24" s="209"/>
      <c r="C24" s="209"/>
      <c r="D24" s="209"/>
      <c r="E24" s="209"/>
      <c r="F24" s="209"/>
      <c r="G24" s="209"/>
      <c r="H24" s="209"/>
      <c r="I24" s="209"/>
    </row>
    <row r="25" spans="1:9" ht="15">
      <c r="A25" s="209"/>
      <c r="B25" s="209"/>
      <c r="C25" s="209"/>
      <c r="D25" s="209"/>
      <c r="E25" s="209"/>
      <c r="F25" s="209"/>
      <c r="G25" s="209"/>
      <c r="H25" s="209"/>
      <c r="I25" s="209"/>
    </row>
    <row r="26" spans="1:9" ht="15">
      <c r="A26" s="209"/>
      <c r="B26" s="209"/>
      <c r="C26" s="209"/>
      <c r="D26" s="209"/>
      <c r="E26" s="209"/>
      <c r="F26" s="209"/>
      <c r="G26" s="209"/>
      <c r="H26" s="209"/>
      <c r="I26" s="209"/>
    </row>
    <row r="27" spans="1:9" ht="15">
      <c r="B27" s="209"/>
      <c r="D27" s="209"/>
      <c r="E27" s="209"/>
      <c r="F27" s="213"/>
      <c r="G27" s="209"/>
      <c r="H27" s="209"/>
    </row>
    <row r="28" spans="1:9" ht="15">
      <c r="D28" s="209"/>
      <c r="E28" s="209"/>
      <c r="F28" s="209"/>
      <c r="G28" s="209"/>
      <c r="H28" s="209"/>
    </row>
  </sheetData>
  <phoneticPr fontId="5" type="noConversion"/>
  <pageMargins left="0.75" right="0.75" top="1" bottom="1" header="0.5" footer="0.5"/>
  <pageSetup fitToHeight="9" orientation="landscape"/>
  <headerFooter alignWithMargins="0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W118"/>
  <sheetViews>
    <sheetView workbookViewId="0">
      <selection activeCell="C25" sqref="C25"/>
    </sheetView>
  </sheetViews>
  <sheetFormatPr baseColWidth="10" defaultColWidth="9.1640625" defaultRowHeight="10" x14ac:dyDescent="0"/>
  <cols>
    <col min="1" max="1" width="2.6640625" style="214" customWidth="1"/>
    <col min="2" max="2" width="22.33203125" style="214" bestFit="1" customWidth="1"/>
    <col min="3" max="3" width="16.5" style="214" bestFit="1" customWidth="1"/>
    <col min="4" max="6" width="16.5" style="214" customWidth="1"/>
    <col min="7" max="7" width="16.1640625" style="214" bestFit="1" customWidth="1"/>
    <col min="8" max="8" width="10.5" style="214" bestFit="1" customWidth="1"/>
    <col min="9" max="9" width="9.1640625" style="214"/>
    <col min="10" max="10" width="9.5" style="214" bestFit="1" customWidth="1"/>
    <col min="11" max="12" width="9.1640625" style="214"/>
    <col min="13" max="13" width="9.5" style="214" bestFit="1" customWidth="1"/>
    <col min="14" max="14" width="9.5" style="214" customWidth="1"/>
    <col min="15" max="15" width="9.5" style="214" bestFit="1" customWidth="1"/>
    <col min="16" max="16" width="9.5" style="214" customWidth="1"/>
    <col min="17" max="17" width="11.1640625" style="214" bestFit="1" customWidth="1"/>
    <col min="18" max="20" width="9.1640625" style="214"/>
    <col min="21" max="21" width="9.5" style="214" bestFit="1" customWidth="1"/>
    <col min="22" max="22" width="9.1640625" style="214"/>
    <col min="23" max="23" width="9.5" style="214" bestFit="1" customWidth="1"/>
    <col min="24" max="16384" width="9.1640625" style="214"/>
  </cols>
  <sheetData>
    <row r="1" spans="1:23">
      <c r="B1" s="215" t="s">
        <v>242</v>
      </c>
    </row>
    <row r="2" spans="1:23" ht="12">
      <c r="C2" s="216"/>
      <c r="D2" s="215"/>
      <c r="F2" s="217"/>
      <c r="G2" s="218"/>
      <c r="H2" s="219"/>
    </row>
    <row r="3" spans="1:23" ht="12">
      <c r="F3" s="217"/>
      <c r="G3" s="218"/>
      <c r="H3" s="219"/>
      <c r="I3" s="22"/>
      <c r="J3" s="22"/>
      <c r="K3" s="22"/>
      <c r="L3" s="22"/>
      <c r="M3" s="22"/>
      <c r="N3" s="22"/>
      <c r="O3" s="22"/>
      <c r="P3" s="22"/>
      <c r="Q3" s="216"/>
    </row>
    <row r="4" spans="1:23" ht="12">
      <c r="C4" s="216" t="s">
        <v>243</v>
      </c>
      <c r="D4" s="216"/>
      <c r="E4" s="216"/>
      <c r="F4" s="217"/>
      <c r="G4" s="220"/>
      <c r="H4" s="219"/>
      <c r="I4" s="22"/>
      <c r="J4" s="22"/>
      <c r="K4" s="22"/>
      <c r="L4" s="22"/>
      <c r="M4" s="22"/>
      <c r="N4" s="22"/>
      <c r="O4" s="22"/>
      <c r="P4" s="22"/>
      <c r="Q4" s="216"/>
    </row>
    <row r="5" spans="1:23" ht="13" customHeight="1">
      <c r="B5" s="9" t="s">
        <v>244</v>
      </c>
      <c r="C5" s="9" t="s">
        <v>69</v>
      </c>
      <c r="D5" s="216"/>
      <c r="E5" s="216"/>
      <c r="F5" s="217"/>
      <c r="G5" s="220"/>
      <c r="H5" s="219"/>
      <c r="I5" s="221"/>
      <c r="J5" s="221"/>
      <c r="K5" s="221"/>
      <c r="L5" s="221"/>
      <c r="M5" s="221"/>
      <c r="N5" s="221"/>
      <c r="O5" s="22"/>
      <c r="P5" s="22"/>
      <c r="Q5" s="216"/>
    </row>
    <row r="6" spans="1:23" ht="13" customHeight="1">
      <c r="B6" s="5" t="s">
        <v>245</v>
      </c>
      <c r="C6" s="222"/>
      <c r="D6" s="223"/>
      <c r="E6" s="219"/>
      <c r="F6" s="217"/>
      <c r="G6" s="218"/>
      <c r="H6" s="219"/>
      <c r="I6" s="224"/>
      <c r="J6" s="224"/>
      <c r="K6" s="224"/>
      <c r="L6" s="224"/>
      <c r="M6" s="224"/>
      <c r="N6" s="224"/>
      <c r="O6" s="224"/>
      <c r="P6" s="225"/>
      <c r="Q6" s="226"/>
      <c r="R6" s="5"/>
      <c r="T6" s="224"/>
      <c r="U6" s="224"/>
      <c r="V6" s="224"/>
      <c r="W6" s="224"/>
    </row>
    <row r="7" spans="1:23" ht="13" customHeight="1">
      <c r="B7" s="5" t="s">
        <v>246</v>
      </c>
      <c r="C7" s="222"/>
      <c r="D7" s="223"/>
      <c r="F7" s="217"/>
      <c r="G7" s="218"/>
      <c r="H7" s="219"/>
      <c r="I7" s="224"/>
      <c r="J7" s="224"/>
      <c r="K7" s="224"/>
      <c r="L7" s="224"/>
      <c r="M7" s="224"/>
      <c r="N7" s="224"/>
      <c r="O7" s="224"/>
      <c r="P7" s="225"/>
      <c r="Q7" s="226"/>
      <c r="R7" s="5"/>
      <c r="T7" s="224"/>
      <c r="U7" s="224"/>
      <c r="V7" s="224"/>
      <c r="W7" s="224"/>
    </row>
    <row r="8" spans="1:23" ht="13" customHeight="1">
      <c r="B8" s="5" t="s">
        <v>247</v>
      </c>
      <c r="C8" s="222"/>
      <c r="D8" s="223"/>
      <c r="F8" s="217"/>
      <c r="G8" s="218"/>
      <c r="H8" s="219"/>
      <c r="I8" s="224"/>
      <c r="J8" s="224"/>
      <c r="K8" s="224"/>
      <c r="L8" s="224"/>
      <c r="M8" s="224"/>
      <c r="N8" s="224"/>
      <c r="O8" s="224"/>
      <c r="P8" s="225"/>
      <c r="Q8" s="226"/>
      <c r="R8" s="5"/>
      <c r="T8" s="224"/>
      <c r="U8" s="224"/>
      <c r="V8" s="224"/>
      <c r="W8" s="224"/>
    </row>
    <row r="9" spans="1:23" ht="13" customHeight="1">
      <c r="B9" s="5" t="s">
        <v>248</v>
      </c>
      <c r="C9" s="222"/>
      <c r="D9" s="223"/>
      <c r="F9" s="217"/>
      <c r="G9" s="218"/>
      <c r="H9" s="219"/>
      <c r="I9" s="224"/>
      <c r="J9" s="224"/>
      <c r="K9" s="224"/>
      <c r="L9" s="224"/>
      <c r="M9" s="224"/>
      <c r="N9" s="224"/>
      <c r="O9" s="224"/>
      <c r="P9" s="225"/>
      <c r="Q9" s="226"/>
      <c r="R9" s="5"/>
      <c r="T9" s="224"/>
      <c r="U9" s="224"/>
      <c r="V9" s="224"/>
      <c r="W9" s="224"/>
    </row>
    <row r="10" spans="1:23" ht="13" customHeight="1">
      <c r="A10" s="227"/>
      <c r="B10" s="214" t="s">
        <v>249</v>
      </c>
      <c r="C10" s="222"/>
      <c r="D10" s="223"/>
      <c r="F10" s="217"/>
      <c r="G10" s="218"/>
      <c r="H10" s="219"/>
      <c r="I10" s="224"/>
      <c r="J10" s="224"/>
      <c r="K10" s="224"/>
      <c r="L10" s="224"/>
      <c r="M10" s="224"/>
      <c r="N10" s="224"/>
      <c r="O10" s="224"/>
      <c r="P10" s="225"/>
      <c r="Q10" s="226"/>
      <c r="R10" s="5"/>
      <c r="T10" s="224"/>
      <c r="U10" s="224"/>
      <c r="V10" s="224"/>
      <c r="W10" s="224"/>
    </row>
    <row r="11" spans="1:23" ht="13" customHeight="1">
      <c r="B11" s="214" t="s">
        <v>250</v>
      </c>
      <c r="C11" s="222"/>
      <c r="D11" s="223"/>
      <c r="F11" s="217"/>
      <c r="G11" s="218"/>
      <c r="H11" s="219"/>
      <c r="I11" s="224"/>
      <c r="J11" s="224"/>
      <c r="K11" s="224"/>
      <c r="L11" s="224"/>
      <c r="M11" s="224"/>
      <c r="N11" s="224"/>
      <c r="O11" s="224"/>
      <c r="P11" s="225"/>
      <c r="Q11" s="226"/>
      <c r="R11" s="5"/>
      <c r="T11" s="224"/>
      <c r="U11" s="224"/>
      <c r="V11" s="224"/>
      <c r="W11" s="224"/>
    </row>
    <row r="12" spans="1:23" ht="13" customHeight="1">
      <c r="B12" s="5" t="s">
        <v>251</v>
      </c>
      <c r="C12" s="222"/>
      <c r="F12" s="217"/>
      <c r="G12" s="218"/>
      <c r="H12" s="219"/>
      <c r="I12" s="224"/>
      <c r="J12" s="224"/>
      <c r="K12" s="224"/>
      <c r="L12" s="224"/>
      <c r="M12" s="224"/>
      <c r="N12" s="224"/>
      <c r="O12" s="224"/>
      <c r="P12" s="225"/>
      <c r="Q12" s="226"/>
      <c r="R12" s="5"/>
      <c r="T12" s="224"/>
      <c r="U12" s="224"/>
      <c r="V12" s="224"/>
      <c r="W12" s="224"/>
    </row>
    <row r="13" spans="1:23" ht="13" customHeight="1">
      <c r="B13" s="5" t="s">
        <v>252</v>
      </c>
      <c r="C13" s="222"/>
      <c r="F13" s="217"/>
      <c r="G13" s="218"/>
      <c r="H13" s="219"/>
      <c r="I13" s="224"/>
      <c r="J13" s="224"/>
      <c r="K13" s="224"/>
      <c r="L13" s="224"/>
      <c r="M13" s="224"/>
      <c r="N13" s="224"/>
      <c r="R13" s="5"/>
      <c r="T13" s="224"/>
      <c r="U13" s="224"/>
      <c r="V13" s="224"/>
      <c r="W13" s="224"/>
    </row>
    <row r="14" spans="1:23" ht="13" customHeight="1">
      <c r="B14" s="214" t="s">
        <v>253</v>
      </c>
      <c r="C14" s="222"/>
      <c r="F14" s="217"/>
      <c r="G14" s="218"/>
      <c r="H14" s="219"/>
      <c r="I14" s="224"/>
      <c r="J14" s="224"/>
      <c r="K14" s="224"/>
      <c r="L14" s="224"/>
      <c r="M14" s="224"/>
      <c r="N14" s="224"/>
      <c r="R14" s="5"/>
      <c r="T14" s="224"/>
      <c r="U14" s="224"/>
      <c r="V14" s="224"/>
      <c r="W14" s="224"/>
    </row>
    <row r="15" spans="1:23" ht="13" customHeight="1">
      <c r="B15" s="5" t="s">
        <v>254</v>
      </c>
      <c r="C15" s="222"/>
      <c r="F15" s="217"/>
      <c r="G15" s="218"/>
      <c r="H15" s="219"/>
      <c r="I15" s="224"/>
      <c r="J15" s="224"/>
      <c r="K15" s="224"/>
      <c r="L15" s="224"/>
      <c r="M15" s="224"/>
      <c r="N15" s="224"/>
      <c r="R15" s="5"/>
      <c r="T15" s="224"/>
      <c r="U15" s="224"/>
      <c r="V15" s="224"/>
      <c r="W15" s="224"/>
    </row>
    <row r="16" spans="1:23" ht="13" customHeight="1">
      <c r="B16" s="5"/>
      <c r="C16" s="224"/>
      <c r="D16" s="224"/>
      <c r="E16" s="224"/>
      <c r="F16" s="217"/>
      <c r="G16" s="218"/>
      <c r="H16" s="219"/>
      <c r="I16" s="224"/>
      <c r="J16" s="224"/>
      <c r="K16" s="224"/>
      <c r="L16" s="224"/>
      <c r="M16" s="224"/>
      <c r="N16" s="224"/>
      <c r="R16" s="5"/>
      <c r="T16" s="224"/>
      <c r="U16" s="224"/>
      <c r="V16" s="224"/>
      <c r="W16" s="224"/>
    </row>
    <row r="17" spans="1:23" ht="13" customHeight="1">
      <c r="B17" s="5" t="s">
        <v>255</v>
      </c>
      <c r="C17" s="224"/>
      <c r="D17" s="224"/>
      <c r="E17" s="224"/>
      <c r="F17" s="217"/>
      <c r="G17" s="218"/>
      <c r="H17" s="219"/>
      <c r="I17" s="224"/>
      <c r="J17" s="224"/>
      <c r="K17" s="224"/>
      <c r="L17" s="224"/>
      <c r="M17" s="224"/>
      <c r="N17" s="224"/>
      <c r="R17" s="5"/>
      <c r="T17" s="224"/>
      <c r="U17" s="224"/>
      <c r="V17" s="224"/>
      <c r="W17" s="224"/>
    </row>
    <row r="18" spans="1:23" ht="13" customHeight="1">
      <c r="B18" s="5"/>
      <c r="C18" s="224"/>
      <c r="D18" s="224"/>
      <c r="E18" s="224"/>
      <c r="F18" s="217"/>
      <c r="G18" s="218"/>
      <c r="H18" s="219"/>
      <c r="I18" s="224"/>
      <c r="J18" s="224"/>
      <c r="K18" s="224"/>
      <c r="L18" s="224"/>
      <c r="M18" s="224"/>
      <c r="N18" s="224"/>
      <c r="R18" s="5"/>
      <c r="T18" s="224"/>
      <c r="U18" s="224"/>
      <c r="V18" s="224"/>
      <c r="W18" s="224"/>
    </row>
    <row r="19" spans="1:23" ht="13" customHeight="1">
      <c r="B19" s="5"/>
      <c r="C19" s="224"/>
      <c r="D19" s="224"/>
      <c r="E19" s="224"/>
      <c r="F19" s="217"/>
      <c r="G19" s="218"/>
      <c r="H19" s="219"/>
      <c r="R19" s="5"/>
      <c r="T19" s="224"/>
      <c r="U19" s="224"/>
      <c r="V19" s="224"/>
      <c r="W19" s="224"/>
    </row>
    <row r="20" spans="1:23" ht="13" customHeight="1">
      <c r="B20" s="5"/>
      <c r="C20" s="224"/>
      <c r="D20" s="224"/>
      <c r="E20" s="224"/>
      <c r="F20" s="217"/>
      <c r="G20" s="218"/>
      <c r="H20" s="219"/>
      <c r="R20" s="5"/>
      <c r="T20" s="224"/>
      <c r="U20" s="224"/>
      <c r="V20" s="224"/>
      <c r="W20" s="224"/>
    </row>
    <row r="21" spans="1:23" ht="13" customHeight="1">
      <c r="A21" s="22"/>
      <c r="B21" s="5"/>
      <c r="C21" s="224"/>
      <c r="D21" s="224"/>
      <c r="E21" s="224"/>
      <c r="F21" s="217"/>
      <c r="G21" s="218"/>
      <c r="H21" s="219"/>
      <c r="R21" s="5"/>
      <c r="T21" s="224"/>
      <c r="U21" s="224"/>
      <c r="V21" s="224"/>
      <c r="W21" s="224"/>
    </row>
    <row r="22" spans="1:23" ht="13" customHeight="1">
      <c r="A22" s="22"/>
      <c r="C22" s="224"/>
      <c r="D22" s="224"/>
      <c r="E22" s="224"/>
      <c r="F22" s="217"/>
      <c r="G22" s="218"/>
      <c r="H22" s="219"/>
      <c r="R22" s="10"/>
      <c r="T22" s="224"/>
      <c r="U22" s="224"/>
      <c r="V22" s="224"/>
      <c r="W22" s="224"/>
    </row>
    <row r="23" spans="1:23" ht="13" customHeight="1">
      <c r="B23" s="5"/>
      <c r="C23" s="224"/>
      <c r="D23" s="224"/>
      <c r="E23" s="224"/>
      <c r="F23" s="217"/>
      <c r="G23" s="218"/>
      <c r="H23" s="219"/>
      <c r="R23" s="5"/>
      <c r="T23" s="224"/>
      <c r="U23" s="224"/>
      <c r="V23" s="224"/>
      <c r="W23" s="224"/>
    </row>
    <row r="24" spans="1:23" ht="13" customHeight="1">
      <c r="B24" s="5"/>
      <c r="C24" s="224"/>
      <c r="D24" s="224"/>
      <c r="E24" s="224"/>
      <c r="F24" s="217"/>
      <c r="G24" s="218"/>
      <c r="H24" s="219"/>
      <c r="R24" s="5"/>
      <c r="T24" s="224"/>
      <c r="U24" s="224"/>
      <c r="V24" s="224"/>
      <c r="W24" s="224"/>
    </row>
    <row r="25" spans="1:23" ht="13" customHeight="1">
      <c r="B25" s="5"/>
      <c r="C25" s="224"/>
      <c r="D25" s="224"/>
      <c r="E25" s="224"/>
      <c r="F25" s="217"/>
      <c r="G25" s="218"/>
      <c r="H25" s="219"/>
      <c r="R25" s="5"/>
      <c r="T25" s="224"/>
      <c r="U25" s="224"/>
      <c r="V25" s="224"/>
      <c r="W25" s="224"/>
    </row>
    <row r="26" spans="1:23" ht="13" customHeight="1">
      <c r="A26" s="22"/>
      <c r="B26" s="5"/>
      <c r="C26" s="224"/>
      <c r="D26" s="224"/>
      <c r="E26" s="224"/>
      <c r="F26" s="217"/>
      <c r="G26" s="218"/>
      <c r="H26" s="219"/>
      <c r="R26" s="5"/>
      <c r="T26" s="224"/>
      <c r="U26" s="224"/>
      <c r="V26" s="224"/>
      <c r="W26" s="224"/>
    </row>
    <row r="27" spans="1:23" ht="13" customHeight="1">
      <c r="A27" s="22"/>
      <c r="B27" s="5"/>
      <c r="C27" s="224"/>
      <c r="D27" s="224"/>
      <c r="E27" s="224"/>
      <c r="F27" s="217"/>
      <c r="G27" s="218"/>
      <c r="H27" s="219"/>
      <c r="R27" s="5"/>
      <c r="T27" s="224"/>
      <c r="U27" s="224"/>
      <c r="V27" s="224"/>
      <c r="W27" s="224"/>
    </row>
    <row r="28" spans="1:23" ht="13" customHeight="1">
      <c r="A28" s="22"/>
      <c r="B28" s="5"/>
      <c r="C28" s="224"/>
      <c r="D28" s="224"/>
      <c r="E28" s="224"/>
      <c r="F28" s="217"/>
      <c r="G28" s="218"/>
      <c r="H28" s="219"/>
      <c r="R28" s="5"/>
      <c r="T28" s="224"/>
      <c r="U28" s="224"/>
      <c r="V28" s="224"/>
      <c r="W28" s="224"/>
    </row>
    <row r="29" spans="1:23" ht="13" customHeight="1">
      <c r="A29" s="22"/>
      <c r="C29" s="224"/>
      <c r="D29" s="224"/>
      <c r="E29" s="224"/>
      <c r="F29" s="217"/>
      <c r="G29" s="218"/>
      <c r="H29" s="219"/>
      <c r="R29" s="10"/>
      <c r="T29" s="224"/>
      <c r="U29" s="224"/>
      <c r="V29" s="224"/>
      <c r="W29" s="224"/>
    </row>
    <row r="30" spans="1:23" ht="13" customHeight="1">
      <c r="C30" s="224"/>
      <c r="D30" s="224"/>
      <c r="E30" s="224"/>
      <c r="F30" s="217"/>
      <c r="G30" s="218"/>
      <c r="H30" s="219"/>
      <c r="R30" s="10"/>
      <c r="T30" s="224"/>
      <c r="U30" s="224"/>
      <c r="V30" s="224"/>
      <c r="W30" s="224"/>
    </row>
    <row r="31" spans="1:23" ht="13" customHeight="1">
      <c r="A31" s="22"/>
      <c r="B31" s="5"/>
      <c r="C31" s="224"/>
      <c r="D31" s="224"/>
      <c r="E31" s="224"/>
      <c r="F31" s="217"/>
      <c r="G31" s="218"/>
      <c r="H31" s="219"/>
      <c r="R31" s="5"/>
      <c r="T31" s="224"/>
      <c r="U31" s="224"/>
      <c r="V31" s="224"/>
      <c r="W31" s="224"/>
    </row>
    <row r="32" spans="1:23" ht="13" customHeight="1">
      <c r="B32" s="5"/>
      <c r="C32" s="224"/>
      <c r="D32" s="224"/>
      <c r="E32" s="224"/>
      <c r="F32" s="217"/>
      <c r="G32" s="218"/>
      <c r="H32" s="219"/>
      <c r="R32" s="5"/>
      <c r="T32" s="224"/>
      <c r="U32" s="224"/>
      <c r="V32" s="224"/>
      <c r="W32" s="224"/>
    </row>
    <row r="33" spans="1:23" ht="13" customHeight="1">
      <c r="B33" s="5"/>
      <c r="C33" s="224"/>
      <c r="D33" s="224"/>
      <c r="E33" s="224"/>
      <c r="F33" s="217"/>
      <c r="G33" s="218"/>
      <c r="H33" s="219"/>
      <c r="R33" s="5"/>
      <c r="T33" s="224"/>
      <c r="U33" s="224"/>
      <c r="V33" s="224"/>
      <c r="W33" s="224"/>
    </row>
    <row r="34" spans="1:23" ht="13" customHeight="1">
      <c r="A34" s="22"/>
      <c r="C34" s="224"/>
      <c r="D34" s="224"/>
      <c r="E34" s="224"/>
      <c r="F34" s="217"/>
      <c r="G34" s="218"/>
      <c r="H34" s="219"/>
      <c r="R34" s="10"/>
      <c r="T34" s="224"/>
      <c r="U34" s="224"/>
      <c r="V34" s="224"/>
      <c r="W34" s="224"/>
    </row>
    <row r="35" spans="1:23" ht="13" customHeight="1">
      <c r="A35" s="22"/>
      <c r="B35" s="5"/>
      <c r="C35" s="224"/>
      <c r="D35" s="224"/>
      <c r="E35" s="224"/>
      <c r="F35" s="217"/>
      <c r="G35" s="218"/>
      <c r="H35" s="219"/>
      <c r="R35" s="5"/>
      <c r="T35" s="224"/>
      <c r="U35" s="224"/>
      <c r="V35" s="224"/>
      <c r="W35" s="224"/>
    </row>
    <row r="36" spans="1:23" ht="13" customHeight="1">
      <c r="A36" s="22"/>
      <c r="B36" s="5"/>
      <c r="C36" s="224"/>
      <c r="D36" s="224"/>
      <c r="E36" s="224"/>
      <c r="F36" s="217"/>
      <c r="G36" s="218"/>
      <c r="H36" s="219"/>
      <c r="R36" s="5"/>
      <c r="T36" s="224"/>
      <c r="U36" s="224"/>
      <c r="V36" s="224"/>
      <c r="W36" s="224"/>
    </row>
    <row r="37" spans="1:23" ht="13" customHeight="1">
      <c r="C37" s="224"/>
      <c r="D37" s="224"/>
      <c r="E37" s="224"/>
      <c r="F37" s="217"/>
      <c r="G37" s="218"/>
      <c r="H37" s="219"/>
      <c r="R37" s="5"/>
      <c r="T37" s="224"/>
      <c r="U37" s="224"/>
      <c r="V37" s="224"/>
      <c r="W37" s="224"/>
    </row>
    <row r="38" spans="1:23" ht="13" customHeight="1">
      <c r="B38" s="5"/>
      <c r="C38" s="224"/>
      <c r="D38" s="224"/>
      <c r="E38" s="224"/>
      <c r="F38" s="217"/>
      <c r="G38" s="218"/>
      <c r="H38" s="219"/>
      <c r="R38" s="5"/>
      <c r="T38" s="224"/>
      <c r="U38" s="224"/>
      <c r="V38" s="224"/>
      <c r="W38" s="224"/>
    </row>
    <row r="39" spans="1:23" ht="13" customHeight="1">
      <c r="B39" s="5"/>
      <c r="C39" s="224"/>
      <c r="D39" s="224"/>
      <c r="E39" s="224"/>
      <c r="F39" s="217"/>
      <c r="G39" s="218"/>
      <c r="H39" s="219"/>
      <c r="R39" s="5"/>
      <c r="T39" s="224"/>
      <c r="U39" s="224"/>
      <c r="V39" s="224"/>
      <c r="W39" s="224"/>
    </row>
    <row r="40" spans="1:23" ht="13" customHeight="1">
      <c r="B40" s="5"/>
      <c r="C40" s="224"/>
      <c r="D40" s="224"/>
      <c r="E40" s="224"/>
      <c r="F40" s="217"/>
      <c r="G40" s="218"/>
      <c r="H40" s="219"/>
      <c r="R40" s="5"/>
      <c r="T40" s="224"/>
      <c r="U40" s="224"/>
      <c r="V40" s="224"/>
      <c r="W40" s="224"/>
    </row>
    <row r="41" spans="1:23" ht="13" customHeight="1">
      <c r="A41" s="22"/>
      <c r="B41" s="5"/>
      <c r="C41" s="224"/>
      <c r="D41" s="224"/>
      <c r="E41" s="224"/>
      <c r="F41" s="217"/>
      <c r="G41" s="218"/>
      <c r="H41" s="219"/>
      <c r="R41" s="5"/>
      <c r="T41" s="224"/>
      <c r="U41" s="224"/>
      <c r="V41" s="224"/>
      <c r="W41" s="224"/>
    </row>
    <row r="42" spans="1:23" ht="13" customHeight="1">
      <c r="A42" s="22"/>
      <c r="B42" s="5"/>
      <c r="C42" s="224"/>
      <c r="D42" s="224"/>
      <c r="E42" s="224"/>
      <c r="F42" s="217"/>
      <c r="G42" s="218"/>
      <c r="H42" s="219"/>
      <c r="R42" s="5"/>
      <c r="T42" s="224"/>
      <c r="U42" s="224"/>
      <c r="V42" s="224"/>
      <c r="W42" s="224"/>
    </row>
    <row r="43" spans="1:23" ht="13" customHeight="1">
      <c r="A43" s="22"/>
      <c r="B43" s="5"/>
      <c r="C43" s="224"/>
      <c r="D43" s="224"/>
      <c r="E43" s="224"/>
      <c r="F43" s="217"/>
      <c r="G43" s="218"/>
      <c r="H43" s="219"/>
      <c r="R43" s="5"/>
      <c r="T43" s="224"/>
      <c r="U43" s="224"/>
      <c r="V43" s="224"/>
      <c r="W43" s="224"/>
    </row>
    <row r="44" spans="1:23" ht="13" customHeight="1">
      <c r="A44" s="22"/>
      <c r="B44" s="5"/>
      <c r="C44" s="224"/>
      <c r="D44" s="224"/>
      <c r="E44" s="224"/>
      <c r="F44" s="217"/>
      <c r="G44" s="218"/>
      <c r="H44" s="219"/>
      <c r="R44" s="5"/>
      <c r="T44" s="224"/>
      <c r="U44" s="224"/>
      <c r="V44" s="224"/>
      <c r="W44" s="224"/>
    </row>
    <row r="45" spans="1:23" ht="13" customHeight="1">
      <c r="A45" s="22"/>
      <c r="B45" s="5"/>
      <c r="C45" s="224"/>
      <c r="D45" s="224"/>
      <c r="E45" s="224"/>
      <c r="F45" s="217"/>
      <c r="G45" s="218"/>
      <c r="H45" s="219"/>
      <c r="R45" s="5"/>
      <c r="T45" s="224"/>
      <c r="U45" s="224"/>
      <c r="V45" s="224"/>
      <c r="W45" s="224"/>
    </row>
    <row r="46" spans="1:23" ht="13" customHeight="1">
      <c r="A46" s="22"/>
      <c r="B46" s="5"/>
      <c r="C46" s="224"/>
      <c r="D46" s="224"/>
      <c r="E46" s="224"/>
      <c r="F46" s="217"/>
      <c r="G46" s="218"/>
      <c r="H46" s="219"/>
      <c r="R46" s="5"/>
      <c r="T46" s="224"/>
      <c r="U46" s="224"/>
      <c r="V46" s="224"/>
      <c r="W46" s="224"/>
    </row>
    <row r="47" spans="1:23" ht="13" customHeight="1">
      <c r="A47" s="22"/>
      <c r="B47" s="5"/>
      <c r="C47" s="224"/>
      <c r="D47" s="224"/>
      <c r="E47" s="224"/>
      <c r="F47" s="217"/>
      <c r="G47" s="218"/>
      <c r="H47" s="219"/>
      <c r="R47" s="5"/>
      <c r="T47" s="224"/>
      <c r="U47" s="224"/>
      <c r="V47" s="224"/>
      <c r="W47" s="224"/>
    </row>
    <row r="48" spans="1:23" ht="13" customHeight="1">
      <c r="A48" s="22"/>
      <c r="B48" s="5"/>
      <c r="C48" s="224"/>
      <c r="D48" s="224"/>
      <c r="E48" s="224"/>
      <c r="F48" s="217"/>
      <c r="G48" s="218"/>
      <c r="H48" s="219"/>
      <c r="R48" s="5"/>
      <c r="T48" s="224"/>
      <c r="U48" s="224"/>
      <c r="V48" s="224"/>
      <c r="W48" s="224"/>
    </row>
    <row r="49" spans="2:23" ht="13" customHeight="1">
      <c r="B49" s="5"/>
      <c r="C49" s="224"/>
      <c r="D49" s="224"/>
      <c r="E49" s="224"/>
      <c r="F49" s="217"/>
      <c r="G49" s="218"/>
      <c r="H49" s="219"/>
      <c r="R49" s="5"/>
      <c r="T49" s="224"/>
      <c r="U49" s="224"/>
      <c r="V49" s="224"/>
      <c r="W49" s="224"/>
    </row>
    <row r="50" spans="2:23" ht="13" customHeight="1">
      <c r="B50" s="5"/>
      <c r="C50" s="228"/>
      <c r="D50" s="228"/>
      <c r="E50" s="228"/>
      <c r="F50" s="217"/>
      <c r="G50" s="218"/>
      <c r="H50" s="219"/>
      <c r="R50" s="5"/>
      <c r="T50" s="224"/>
      <c r="U50" s="224"/>
      <c r="V50" s="224"/>
      <c r="W50" s="224"/>
    </row>
    <row r="51" spans="2:23" ht="13" customHeight="1">
      <c r="B51" s="5"/>
      <c r="C51" s="228"/>
      <c r="D51" s="228"/>
      <c r="E51" s="228"/>
      <c r="F51" s="217"/>
      <c r="G51" s="218"/>
      <c r="H51" s="219"/>
      <c r="R51" s="5"/>
      <c r="T51" s="224"/>
      <c r="U51" s="224"/>
      <c r="V51" s="224"/>
      <c r="W51" s="224"/>
    </row>
    <row r="52" spans="2:23" ht="13" customHeight="1">
      <c r="F52" s="217"/>
      <c r="G52" s="218"/>
      <c r="H52" s="219"/>
      <c r="R52" s="5"/>
      <c r="T52" s="224"/>
      <c r="U52" s="224"/>
      <c r="V52" s="224"/>
      <c r="W52" s="224"/>
    </row>
    <row r="53" spans="2:23" ht="13" customHeight="1">
      <c r="F53" s="217"/>
      <c r="G53" s="218"/>
      <c r="H53" s="219"/>
      <c r="R53" s="5"/>
      <c r="T53" s="224"/>
      <c r="U53" s="224"/>
      <c r="V53" s="224"/>
      <c r="W53" s="224"/>
    </row>
    <row r="54" spans="2:23" ht="13" customHeight="1">
      <c r="F54" s="217"/>
      <c r="G54" s="218"/>
      <c r="H54" s="219"/>
      <c r="R54" s="5"/>
      <c r="T54" s="224"/>
      <c r="U54" s="224"/>
      <c r="V54" s="224"/>
      <c r="W54" s="224"/>
    </row>
    <row r="55" spans="2:23" ht="13" customHeight="1">
      <c r="F55" s="217"/>
      <c r="G55" s="218"/>
      <c r="H55" s="219"/>
      <c r="R55" s="5"/>
      <c r="T55" s="224"/>
      <c r="U55" s="224"/>
      <c r="V55" s="224"/>
      <c r="W55" s="224"/>
    </row>
    <row r="56" spans="2:23" ht="13" customHeight="1">
      <c r="F56" s="217"/>
      <c r="G56" s="218"/>
      <c r="H56" s="219"/>
      <c r="R56" s="10"/>
      <c r="T56" s="224"/>
      <c r="U56" s="224"/>
      <c r="V56" s="224"/>
      <c r="W56" s="224"/>
    </row>
    <row r="57" spans="2:23" ht="13" customHeight="1">
      <c r="F57" s="217"/>
      <c r="G57" s="218"/>
      <c r="H57" s="219"/>
      <c r="R57" s="5"/>
      <c r="T57" s="224"/>
      <c r="U57" s="224"/>
      <c r="V57" s="224"/>
      <c r="W57" s="224"/>
    </row>
    <row r="58" spans="2:23" ht="13" customHeight="1">
      <c r="F58" s="217"/>
      <c r="G58" s="218"/>
      <c r="H58" s="219"/>
      <c r="R58" s="5"/>
      <c r="T58" s="224"/>
      <c r="U58" s="224"/>
      <c r="V58" s="224"/>
      <c r="W58" s="224"/>
    </row>
    <row r="59" spans="2:23" ht="13" customHeight="1">
      <c r="F59" s="217"/>
      <c r="G59" s="218"/>
      <c r="H59" s="219"/>
      <c r="R59" s="5"/>
      <c r="T59" s="224"/>
      <c r="U59" s="224"/>
      <c r="V59" s="224"/>
      <c r="W59" s="224"/>
    </row>
    <row r="60" spans="2:23" ht="13" customHeight="1">
      <c r="F60" s="217"/>
      <c r="G60" s="218"/>
      <c r="H60" s="219"/>
      <c r="R60" s="5"/>
      <c r="T60" s="224"/>
      <c r="U60" s="224"/>
      <c r="V60" s="224"/>
      <c r="W60" s="224"/>
    </row>
    <row r="61" spans="2:23" ht="13" customHeight="1">
      <c r="F61" s="217"/>
      <c r="G61" s="218"/>
      <c r="H61" s="219"/>
      <c r="R61" s="10"/>
      <c r="T61" s="224"/>
      <c r="U61" s="224"/>
      <c r="V61" s="224"/>
      <c r="W61" s="224"/>
    </row>
    <row r="62" spans="2:23" ht="13" customHeight="1">
      <c r="F62" s="217"/>
      <c r="G62" s="218"/>
      <c r="H62" s="219"/>
      <c r="R62" s="5"/>
      <c r="T62" s="224"/>
      <c r="U62" s="224"/>
      <c r="V62" s="224"/>
      <c r="W62" s="224"/>
    </row>
    <row r="63" spans="2:23" ht="13" customHeight="1">
      <c r="F63" s="217"/>
      <c r="G63" s="218"/>
      <c r="H63" s="219"/>
      <c r="R63" s="5"/>
      <c r="T63" s="224"/>
      <c r="U63" s="224"/>
      <c r="V63" s="224"/>
      <c r="W63" s="224"/>
    </row>
    <row r="64" spans="2:23" ht="13" customHeight="1">
      <c r="F64" s="217"/>
      <c r="G64" s="218"/>
      <c r="H64" s="219"/>
      <c r="R64" s="5"/>
      <c r="T64" s="224"/>
      <c r="U64" s="224"/>
      <c r="V64" s="224"/>
      <c r="W64" s="224"/>
    </row>
    <row r="65" spans="2:23" ht="13" customHeight="1">
      <c r="F65" s="217"/>
      <c r="G65" s="218"/>
      <c r="H65" s="219"/>
      <c r="R65" s="5"/>
      <c r="T65" s="224"/>
      <c r="U65" s="224"/>
      <c r="V65" s="224"/>
      <c r="W65" s="224"/>
    </row>
    <row r="66" spans="2:23" ht="13" customHeight="1">
      <c r="F66" s="217"/>
      <c r="G66" s="218"/>
      <c r="H66" s="219"/>
      <c r="R66" s="5"/>
      <c r="T66" s="224"/>
      <c r="U66" s="224"/>
      <c r="V66" s="224"/>
      <c r="W66" s="224"/>
    </row>
    <row r="67" spans="2:23" ht="13" customHeight="1">
      <c r="F67" s="217"/>
      <c r="G67" s="218"/>
      <c r="H67" s="219"/>
      <c r="R67" s="5"/>
      <c r="T67" s="224"/>
      <c r="U67" s="224"/>
      <c r="V67" s="224"/>
      <c r="W67" s="224"/>
    </row>
    <row r="68" spans="2:23" ht="13" customHeight="1">
      <c r="F68" s="217"/>
      <c r="G68" s="218"/>
      <c r="H68" s="219"/>
      <c r="R68" s="5"/>
      <c r="T68" s="224"/>
      <c r="U68" s="224"/>
      <c r="V68" s="224"/>
      <c r="W68" s="224"/>
    </row>
    <row r="69" spans="2:23" ht="13" customHeight="1">
      <c r="F69" s="217"/>
      <c r="G69" s="218"/>
      <c r="H69" s="219"/>
      <c r="R69" s="5"/>
      <c r="T69" s="224"/>
      <c r="U69" s="224"/>
      <c r="V69" s="224"/>
      <c r="W69" s="224"/>
    </row>
    <row r="70" spans="2:23" ht="13" customHeight="1">
      <c r="F70" s="217"/>
      <c r="G70" s="218"/>
      <c r="H70" s="219"/>
      <c r="R70" s="5"/>
      <c r="T70" s="224"/>
      <c r="U70" s="224"/>
      <c r="V70" s="224"/>
      <c r="W70" s="224"/>
    </row>
    <row r="71" spans="2:23" ht="13" customHeight="1">
      <c r="F71" s="217"/>
      <c r="G71" s="218"/>
      <c r="H71" s="219"/>
      <c r="R71" s="5"/>
      <c r="T71" s="224"/>
      <c r="U71" s="224"/>
      <c r="V71" s="224"/>
      <c r="W71" s="224"/>
    </row>
    <row r="72" spans="2:23" ht="13" customHeight="1">
      <c r="F72" s="217"/>
      <c r="G72" s="218"/>
      <c r="H72" s="219"/>
      <c r="R72" s="5"/>
      <c r="T72" s="224"/>
      <c r="U72" s="224"/>
      <c r="V72" s="224"/>
      <c r="W72" s="224"/>
    </row>
    <row r="73" spans="2:23" ht="13" customHeight="1">
      <c r="F73" s="217"/>
      <c r="G73" s="218"/>
      <c r="H73" s="219"/>
      <c r="R73" s="5"/>
      <c r="T73" s="224"/>
      <c r="U73" s="224"/>
      <c r="V73" s="224"/>
      <c r="W73" s="224"/>
    </row>
    <row r="74" spans="2:23" ht="13" customHeight="1">
      <c r="G74" s="218"/>
      <c r="R74" s="10"/>
      <c r="T74" s="224"/>
      <c r="U74" s="224"/>
      <c r="V74" s="224"/>
      <c r="W74" s="224"/>
    </row>
    <row r="75" spans="2:23" ht="13" customHeight="1">
      <c r="G75" s="218"/>
      <c r="R75" s="5"/>
      <c r="T75" s="224"/>
      <c r="U75" s="224"/>
      <c r="V75" s="224"/>
      <c r="W75" s="224"/>
    </row>
    <row r="76" spans="2:23" ht="13" customHeight="1">
      <c r="R76" s="5"/>
      <c r="T76" s="224"/>
      <c r="U76" s="224"/>
      <c r="V76" s="224"/>
      <c r="W76" s="224"/>
    </row>
    <row r="77" spans="2:23" ht="13" customHeight="1">
      <c r="R77" s="5"/>
      <c r="T77" s="224"/>
      <c r="U77" s="224"/>
      <c r="V77" s="224"/>
      <c r="W77" s="224"/>
    </row>
    <row r="78" spans="2:23" ht="13" customHeight="1">
      <c r="T78" s="224"/>
      <c r="U78" s="224"/>
      <c r="V78" s="224"/>
      <c r="W78" s="224"/>
    </row>
    <row r="79" spans="2:23" ht="13" customHeight="1">
      <c r="T79" s="224"/>
      <c r="U79" s="224"/>
      <c r="V79" s="224"/>
      <c r="W79" s="224"/>
    </row>
    <row r="80" spans="2:23" ht="13" customHeight="1">
      <c r="B80" s="223"/>
      <c r="U80" s="224"/>
      <c r="V80" s="224"/>
      <c r="W80" s="224"/>
    </row>
    <row r="81" spans="2:23" ht="13" customHeight="1">
      <c r="B81" s="229"/>
      <c r="U81" s="224"/>
      <c r="V81" s="224"/>
      <c r="W81" s="224"/>
    </row>
    <row r="82" spans="2:23" ht="13" customHeight="1">
      <c r="B82" s="230"/>
      <c r="U82" s="224"/>
      <c r="V82" s="224"/>
      <c r="W82" s="224"/>
    </row>
    <row r="83" spans="2:23" ht="13" customHeight="1">
      <c r="C83" s="22"/>
      <c r="D83" s="22"/>
      <c r="E83" s="22"/>
      <c r="F83" s="22"/>
      <c r="U83" s="224"/>
      <c r="V83" s="224"/>
      <c r="W83" s="224"/>
    </row>
    <row r="84" spans="2:23" ht="13" customHeight="1">
      <c r="B84" s="223"/>
      <c r="C84" s="229"/>
      <c r="D84" s="229"/>
      <c r="E84" s="229"/>
      <c r="F84" s="229"/>
      <c r="U84" s="224"/>
      <c r="V84" s="224"/>
      <c r="W84" s="224"/>
    </row>
    <row r="85" spans="2:23" ht="13" customHeight="1">
      <c r="B85" s="229"/>
      <c r="C85" s="22"/>
      <c r="D85" s="22"/>
      <c r="E85" s="22"/>
      <c r="F85" s="22"/>
      <c r="U85" s="224"/>
      <c r="V85" s="224"/>
      <c r="W85" s="224"/>
    </row>
    <row r="86" spans="2:23" ht="13" customHeight="1">
      <c r="B86" s="231"/>
      <c r="C86" s="232"/>
      <c r="D86" s="232"/>
      <c r="E86" s="232"/>
      <c r="F86" s="232"/>
      <c r="U86" s="224"/>
      <c r="V86" s="224"/>
      <c r="W86" s="224"/>
    </row>
    <row r="87" spans="2:23" ht="13" customHeight="1">
      <c r="U87" s="224"/>
      <c r="V87" s="224"/>
      <c r="W87" s="224"/>
    </row>
    <row r="88" spans="2:23" ht="13" customHeight="1">
      <c r="U88" s="224"/>
      <c r="V88" s="224"/>
      <c r="W88" s="224"/>
    </row>
    <row r="89" spans="2:23" ht="13" customHeight="1">
      <c r="U89" s="224"/>
      <c r="V89" s="224"/>
      <c r="W89" s="224"/>
    </row>
    <row r="90" spans="2:23" ht="13" customHeight="1">
      <c r="U90" s="224"/>
      <c r="V90" s="224"/>
      <c r="W90" s="224"/>
    </row>
    <row r="91" spans="2:23" ht="13" customHeight="1">
      <c r="U91" s="224"/>
      <c r="V91" s="224"/>
      <c r="W91" s="224"/>
    </row>
    <row r="92" spans="2:23" ht="13" customHeight="1">
      <c r="U92" s="224"/>
      <c r="V92" s="224"/>
      <c r="W92" s="224"/>
    </row>
    <row r="93" spans="2:23" ht="13" customHeight="1">
      <c r="U93" s="224"/>
      <c r="V93" s="224"/>
      <c r="W93" s="224"/>
    </row>
    <row r="94" spans="2:23" ht="13" customHeight="1">
      <c r="U94" s="224"/>
      <c r="V94" s="224"/>
      <c r="W94" s="224"/>
    </row>
    <row r="95" spans="2:23" ht="13" customHeight="1">
      <c r="U95" s="224"/>
      <c r="V95" s="224"/>
      <c r="W95" s="224"/>
    </row>
    <row r="96" spans="2:23" ht="13" customHeight="1">
      <c r="U96" s="224"/>
      <c r="V96" s="224"/>
      <c r="W96" s="224"/>
    </row>
    <row r="97" spans="21:23" ht="13" customHeight="1">
      <c r="U97" s="224"/>
      <c r="V97" s="224"/>
      <c r="W97" s="224"/>
    </row>
    <row r="98" spans="21:23" ht="13" customHeight="1">
      <c r="U98" s="224"/>
      <c r="V98" s="224"/>
      <c r="W98" s="224"/>
    </row>
    <row r="99" spans="21:23" ht="13" customHeight="1">
      <c r="U99" s="224"/>
      <c r="V99" s="224"/>
      <c r="W99" s="224"/>
    </row>
    <row r="100" spans="21:23" ht="13" customHeight="1">
      <c r="U100" s="224"/>
      <c r="V100" s="224"/>
      <c r="W100" s="224"/>
    </row>
    <row r="101" spans="21:23" ht="13" customHeight="1">
      <c r="U101" s="224"/>
      <c r="V101" s="224"/>
      <c r="W101" s="224"/>
    </row>
    <row r="102" spans="21:23" ht="13" customHeight="1">
      <c r="U102" s="224"/>
      <c r="V102" s="224"/>
      <c r="W102" s="224"/>
    </row>
    <row r="103" spans="21:23" ht="13" customHeight="1"/>
    <row r="104" spans="21:23" ht="13" customHeight="1"/>
    <row r="105" spans="21:23" ht="13" customHeight="1"/>
    <row r="106" spans="21:23" ht="13" customHeight="1"/>
    <row r="107" spans="21:23" ht="13" customHeight="1"/>
    <row r="108" spans="21:23" ht="13" customHeight="1"/>
    <row r="109" spans="21:23" ht="13" customHeight="1"/>
    <row r="110" spans="21:23" ht="13" customHeight="1"/>
    <row r="111" spans="21:23" ht="13" customHeight="1"/>
    <row r="112" spans="21:23" ht="13" customHeight="1"/>
    <row r="113" ht="13" customHeight="1"/>
    <row r="114" ht="13" customHeight="1"/>
    <row r="115" ht="13" customHeight="1"/>
    <row r="116" ht="13" customHeight="1"/>
    <row r="117" ht="13" customHeight="1"/>
    <row r="118" ht="13" customHeight="1"/>
  </sheetData>
  <phoneticPr fontId="5" type="noConversion"/>
  <pageMargins left="0.75" right="0.75" top="1" bottom="1" header="0.5" footer="0.5"/>
  <pageSetup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79"/>
  <sheetViews>
    <sheetView topLeftCell="B1" workbookViewId="0">
      <selection activeCell="J4" sqref="J4:J5"/>
    </sheetView>
  </sheetViews>
  <sheetFormatPr baseColWidth="10" defaultColWidth="9.1640625" defaultRowHeight="13" x14ac:dyDescent="0"/>
  <cols>
    <col min="1" max="1" width="0.83203125" style="233" hidden="1" customWidth="1"/>
    <col min="2" max="2" width="26.33203125" style="233" customWidth="1"/>
    <col min="3" max="3" width="71.6640625" style="233" customWidth="1"/>
    <col min="4" max="4" width="15.83203125" style="240" customWidth="1"/>
    <col min="5" max="16384" width="9.1640625" style="233"/>
  </cols>
  <sheetData>
    <row r="1" spans="2:6" ht="28">
      <c r="B1" s="237" t="s">
        <v>258</v>
      </c>
      <c r="C1" s="237" t="s">
        <v>259</v>
      </c>
      <c r="D1" s="237" t="s">
        <v>381</v>
      </c>
      <c r="E1" s="234"/>
    </row>
    <row r="2" spans="2:6" ht="14">
      <c r="B2" s="238" t="s">
        <v>260</v>
      </c>
      <c r="C2" s="238" t="s">
        <v>261</v>
      </c>
      <c r="D2" s="239"/>
      <c r="E2" s="234"/>
    </row>
    <row r="3" spans="2:6" s="234" customFormat="1" ht="14">
      <c r="B3" s="238" t="s">
        <v>262</v>
      </c>
      <c r="C3" s="238" t="s">
        <v>263</v>
      </c>
      <c r="D3" s="239"/>
      <c r="E3" s="235"/>
    </row>
    <row r="4" spans="2:6" s="234" customFormat="1" ht="14">
      <c r="B4" s="238" t="s">
        <v>264</v>
      </c>
      <c r="C4" s="238" t="s">
        <v>265</v>
      </c>
      <c r="D4" s="239"/>
      <c r="E4" s="235"/>
    </row>
    <row r="5" spans="2:6" s="234" customFormat="1" ht="14">
      <c r="B5" s="238" t="s">
        <v>266</v>
      </c>
      <c r="C5" s="238" t="s">
        <v>267</v>
      </c>
      <c r="D5" s="239"/>
      <c r="E5" s="235"/>
    </row>
    <row r="6" spans="2:6" s="234" customFormat="1" ht="14">
      <c r="B6" s="238" t="s">
        <v>268</v>
      </c>
      <c r="C6" s="238" t="s">
        <v>269</v>
      </c>
      <c r="D6" s="239"/>
      <c r="E6" s="235"/>
    </row>
    <row r="7" spans="2:6" ht="14">
      <c r="B7" s="238" t="s">
        <v>268</v>
      </c>
      <c r="C7" s="238" t="s">
        <v>270</v>
      </c>
      <c r="D7" s="239"/>
    </row>
    <row r="8" spans="2:6" ht="14">
      <c r="B8" s="238" t="s">
        <v>271</v>
      </c>
      <c r="C8" s="238" t="s">
        <v>272</v>
      </c>
      <c r="D8" s="239"/>
    </row>
    <row r="9" spans="2:6" ht="14">
      <c r="B9" s="238" t="s">
        <v>271</v>
      </c>
      <c r="C9" s="238" t="s">
        <v>273</v>
      </c>
      <c r="D9" s="239"/>
      <c r="F9" s="236"/>
    </row>
    <row r="10" spans="2:6" ht="14">
      <c r="B10" s="238" t="s">
        <v>274</v>
      </c>
      <c r="C10" s="238" t="s">
        <v>275</v>
      </c>
      <c r="D10" s="237" t="s">
        <v>276</v>
      </c>
    </row>
    <row r="11" spans="2:6" ht="14">
      <c r="B11" s="238" t="s">
        <v>277</v>
      </c>
      <c r="C11" s="238" t="s">
        <v>278</v>
      </c>
      <c r="D11" s="237" t="s">
        <v>276</v>
      </c>
    </row>
    <row r="12" spans="2:6" ht="14">
      <c r="B12" s="238" t="s">
        <v>279</v>
      </c>
      <c r="C12" s="238" t="s">
        <v>280</v>
      </c>
      <c r="D12" s="237" t="s">
        <v>276</v>
      </c>
    </row>
    <row r="13" spans="2:6" ht="14">
      <c r="B13" s="238" t="s">
        <v>279</v>
      </c>
      <c r="C13" s="238" t="s">
        <v>281</v>
      </c>
      <c r="D13" s="239"/>
    </row>
    <row r="14" spans="2:6" ht="14">
      <c r="B14" s="238" t="s">
        <v>282</v>
      </c>
      <c r="C14" s="238" t="s">
        <v>283</v>
      </c>
      <c r="D14" s="237" t="s">
        <v>276</v>
      </c>
    </row>
    <row r="15" spans="2:6" ht="14">
      <c r="B15" s="238" t="s">
        <v>282</v>
      </c>
      <c r="C15" s="238" t="s">
        <v>284</v>
      </c>
      <c r="D15" s="239"/>
    </row>
    <row r="16" spans="2:6" ht="14">
      <c r="B16" s="238" t="s">
        <v>282</v>
      </c>
      <c r="C16" s="238" t="s">
        <v>285</v>
      </c>
      <c r="D16" s="237" t="s">
        <v>276</v>
      </c>
    </row>
    <row r="17" spans="2:4" ht="14">
      <c r="B17" s="238" t="s">
        <v>282</v>
      </c>
      <c r="C17" s="238" t="s">
        <v>286</v>
      </c>
      <c r="D17" s="237" t="s">
        <v>276</v>
      </c>
    </row>
    <row r="18" spans="2:4" ht="14">
      <c r="B18" s="238" t="s">
        <v>287</v>
      </c>
      <c r="C18" s="238" t="s">
        <v>288</v>
      </c>
      <c r="D18" s="239"/>
    </row>
    <row r="19" spans="2:4" ht="14">
      <c r="B19" s="238" t="s">
        <v>289</v>
      </c>
      <c r="C19" s="238" t="s">
        <v>290</v>
      </c>
      <c r="D19" s="237" t="s">
        <v>276</v>
      </c>
    </row>
    <row r="20" spans="2:4" ht="14">
      <c r="B20" s="238" t="s">
        <v>289</v>
      </c>
      <c r="C20" s="238" t="s">
        <v>291</v>
      </c>
      <c r="D20" s="239"/>
    </row>
    <row r="21" spans="2:4" ht="14">
      <c r="B21" s="238" t="s">
        <v>289</v>
      </c>
      <c r="C21" s="238" t="s">
        <v>292</v>
      </c>
      <c r="D21" s="239"/>
    </row>
    <row r="22" spans="2:4" ht="14">
      <c r="B22" s="238" t="s">
        <v>289</v>
      </c>
      <c r="C22" s="238" t="s">
        <v>293</v>
      </c>
      <c r="D22" s="239"/>
    </row>
    <row r="23" spans="2:4" ht="14">
      <c r="B23" s="238" t="s">
        <v>294</v>
      </c>
      <c r="C23" s="238" t="s">
        <v>295</v>
      </c>
      <c r="D23" s="239"/>
    </row>
    <row r="24" spans="2:4" ht="14">
      <c r="B24" s="238" t="s">
        <v>296</v>
      </c>
      <c r="C24" s="238" t="s">
        <v>297</v>
      </c>
      <c r="D24" s="237" t="s">
        <v>276</v>
      </c>
    </row>
    <row r="25" spans="2:4" ht="14">
      <c r="B25" s="238" t="s">
        <v>296</v>
      </c>
      <c r="C25" s="238" t="s">
        <v>298</v>
      </c>
      <c r="D25" s="237" t="s">
        <v>276</v>
      </c>
    </row>
    <row r="26" spans="2:4" ht="14">
      <c r="B26" s="238" t="s">
        <v>299</v>
      </c>
      <c r="C26" s="238" t="s">
        <v>300</v>
      </c>
      <c r="D26" s="237" t="s">
        <v>276</v>
      </c>
    </row>
    <row r="27" spans="2:4" ht="14">
      <c r="B27" s="238" t="s">
        <v>301</v>
      </c>
      <c r="C27" s="238" t="s">
        <v>302</v>
      </c>
      <c r="D27" s="239"/>
    </row>
    <row r="28" spans="2:4" ht="14">
      <c r="B28" s="238" t="s">
        <v>301</v>
      </c>
      <c r="C28" s="238" t="s">
        <v>303</v>
      </c>
      <c r="D28" s="239"/>
    </row>
    <row r="29" spans="2:4" ht="14">
      <c r="B29" s="238" t="s">
        <v>304</v>
      </c>
      <c r="C29" s="238" t="s">
        <v>305</v>
      </c>
      <c r="D29" s="237" t="s">
        <v>276</v>
      </c>
    </row>
    <row r="30" spans="2:4" ht="14">
      <c r="B30" s="238" t="s">
        <v>306</v>
      </c>
      <c r="C30" s="238" t="s">
        <v>307</v>
      </c>
      <c r="D30" s="239"/>
    </row>
    <row r="31" spans="2:4" ht="14">
      <c r="B31" s="238" t="s">
        <v>308</v>
      </c>
      <c r="C31" s="238" t="s">
        <v>309</v>
      </c>
      <c r="D31" s="237" t="s">
        <v>276</v>
      </c>
    </row>
    <row r="32" spans="2:4" ht="14">
      <c r="B32" s="238" t="s">
        <v>310</v>
      </c>
      <c r="C32" s="238" t="s">
        <v>311</v>
      </c>
      <c r="D32" s="239"/>
    </row>
    <row r="33" spans="2:4" ht="14">
      <c r="B33" s="238" t="s">
        <v>312</v>
      </c>
      <c r="C33" s="238" t="s">
        <v>313</v>
      </c>
      <c r="D33" s="237" t="s">
        <v>276</v>
      </c>
    </row>
    <row r="34" spans="2:4" ht="14">
      <c r="B34" s="238" t="s">
        <v>314</v>
      </c>
      <c r="C34" s="238" t="s">
        <v>315</v>
      </c>
      <c r="D34" s="237" t="s">
        <v>276</v>
      </c>
    </row>
    <row r="35" spans="2:4" ht="14">
      <c r="B35" s="238" t="s">
        <v>316</v>
      </c>
      <c r="C35" s="238" t="s">
        <v>317</v>
      </c>
      <c r="D35" s="239"/>
    </row>
    <row r="36" spans="2:4" ht="14">
      <c r="B36" s="238" t="s">
        <v>318</v>
      </c>
      <c r="C36" s="238" t="s">
        <v>319</v>
      </c>
      <c r="D36" s="237" t="s">
        <v>276</v>
      </c>
    </row>
    <row r="37" spans="2:4" ht="14">
      <c r="B37" s="238" t="s">
        <v>320</v>
      </c>
      <c r="C37" s="238" t="s">
        <v>321</v>
      </c>
      <c r="D37" s="237" t="s">
        <v>276</v>
      </c>
    </row>
    <row r="38" spans="2:4" ht="14">
      <c r="B38" s="238" t="s">
        <v>320</v>
      </c>
      <c r="C38" s="238" t="s">
        <v>322</v>
      </c>
      <c r="D38" s="239"/>
    </row>
    <row r="39" spans="2:4" ht="14">
      <c r="B39" s="238" t="s">
        <v>323</v>
      </c>
      <c r="C39" s="238" t="s">
        <v>324</v>
      </c>
      <c r="D39" s="237" t="s">
        <v>276</v>
      </c>
    </row>
    <row r="40" spans="2:4" ht="14">
      <c r="B40" s="238" t="s">
        <v>323</v>
      </c>
      <c r="C40" s="238" t="s">
        <v>325</v>
      </c>
      <c r="D40" s="237" t="s">
        <v>276</v>
      </c>
    </row>
    <row r="41" spans="2:4" ht="14">
      <c r="B41" s="238" t="s">
        <v>326</v>
      </c>
      <c r="C41" s="238" t="s">
        <v>327</v>
      </c>
      <c r="D41" s="239"/>
    </row>
    <row r="42" spans="2:4" ht="14">
      <c r="B42" s="238" t="s">
        <v>326</v>
      </c>
      <c r="C42" s="238" t="s">
        <v>328</v>
      </c>
      <c r="D42" s="239"/>
    </row>
    <row r="43" spans="2:4" ht="14">
      <c r="B43" s="238" t="s">
        <v>329</v>
      </c>
      <c r="C43" s="238" t="s">
        <v>330</v>
      </c>
      <c r="D43" s="237" t="s">
        <v>276</v>
      </c>
    </row>
    <row r="44" spans="2:4" ht="14">
      <c r="B44" s="238" t="s">
        <v>329</v>
      </c>
      <c r="C44" s="238" t="s">
        <v>331</v>
      </c>
      <c r="D44" s="237" t="s">
        <v>276</v>
      </c>
    </row>
    <row r="45" spans="2:4" ht="14">
      <c r="B45" s="238" t="s">
        <v>329</v>
      </c>
      <c r="C45" s="238" t="s">
        <v>332</v>
      </c>
      <c r="D45" s="237" t="s">
        <v>276</v>
      </c>
    </row>
    <row r="46" spans="2:4" ht="14">
      <c r="B46" s="238" t="s">
        <v>329</v>
      </c>
      <c r="C46" s="238" t="s">
        <v>333</v>
      </c>
      <c r="D46" s="237" t="s">
        <v>276</v>
      </c>
    </row>
    <row r="47" spans="2:4" ht="14">
      <c r="B47" s="238" t="s">
        <v>329</v>
      </c>
      <c r="C47" s="238" t="s">
        <v>334</v>
      </c>
      <c r="D47" s="237" t="s">
        <v>276</v>
      </c>
    </row>
    <row r="48" spans="2:4" ht="14">
      <c r="B48" s="238" t="s">
        <v>335</v>
      </c>
      <c r="C48" s="238" t="s">
        <v>336</v>
      </c>
      <c r="D48" s="237" t="s">
        <v>276</v>
      </c>
    </row>
    <row r="49" spans="2:4" ht="14">
      <c r="B49" s="238" t="s">
        <v>335</v>
      </c>
      <c r="C49" s="238" t="s">
        <v>337</v>
      </c>
      <c r="D49" s="237" t="s">
        <v>276</v>
      </c>
    </row>
    <row r="50" spans="2:4" ht="14">
      <c r="B50" s="238" t="s">
        <v>335</v>
      </c>
      <c r="C50" s="238" t="s">
        <v>338</v>
      </c>
      <c r="D50" s="237" t="s">
        <v>276</v>
      </c>
    </row>
    <row r="51" spans="2:4" ht="14">
      <c r="B51" s="238" t="s">
        <v>335</v>
      </c>
      <c r="C51" s="238" t="s">
        <v>339</v>
      </c>
      <c r="D51" s="237" t="s">
        <v>276</v>
      </c>
    </row>
    <row r="52" spans="2:4" ht="14">
      <c r="B52" s="238" t="s">
        <v>335</v>
      </c>
      <c r="C52" s="238" t="s">
        <v>340</v>
      </c>
      <c r="D52" s="237" t="s">
        <v>276</v>
      </c>
    </row>
    <row r="53" spans="2:4" ht="14">
      <c r="B53" s="238" t="s">
        <v>335</v>
      </c>
      <c r="C53" s="238" t="s">
        <v>341</v>
      </c>
      <c r="D53" s="237" t="s">
        <v>276</v>
      </c>
    </row>
    <row r="54" spans="2:4" ht="14">
      <c r="B54" s="238" t="s">
        <v>335</v>
      </c>
      <c r="C54" s="238" t="s">
        <v>342</v>
      </c>
      <c r="D54" s="239"/>
    </row>
    <row r="55" spans="2:4" ht="14">
      <c r="B55" s="238" t="s">
        <v>335</v>
      </c>
      <c r="C55" s="238" t="s">
        <v>343</v>
      </c>
      <c r="D55" s="237" t="s">
        <v>276</v>
      </c>
    </row>
    <row r="56" spans="2:4" ht="14">
      <c r="B56" s="238" t="s">
        <v>344</v>
      </c>
      <c r="C56" s="238" t="s">
        <v>345</v>
      </c>
      <c r="D56" s="237" t="s">
        <v>276</v>
      </c>
    </row>
    <row r="57" spans="2:4" ht="14">
      <c r="B57" s="238" t="s">
        <v>346</v>
      </c>
      <c r="C57" s="238" t="s">
        <v>347</v>
      </c>
      <c r="D57" s="239"/>
    </row>
    <row r="58" spans="2:4" ht="14">
      <c r="B58" s="238" t="s">
        <v>348</v>
      </c>
      <c r="C58" s="238" t="s">
        <v>349</v>
      </c>
      <c r="D58" s="237" t="s">
        <v>276</v>
      </c>
    </row>
    <row r="59" spans="2:4" ht="14">
      <c r="B59" s="238" t="s">
        <v>348</v>
      </c>
      <c r="C59" s="238" t="s">
        <v>350</v>
      </c>
      <c r="D59" s="237" t="s">
        <v>276</v>
      </c>
    </row>
    <row r="60" spans="2:4" ht="14">
      <c r="B60" s="238" t="s">
        <v>351</v>
      </c>
      <c r="C60" s="238" t="s">
        <v>352</v>
      </c>
      <c r="D60" s="239"/>
    </row>
    <row r="61" spans="2:4" ht="14">
      <c r="B61" s="238" t="s">
        <v>353</v>
      </c>
      <c r="C61" s="238" t="s">
        <v>354</v>
      </c>
      <c r="D61" s="239"/>
    </row>
    <row r="62" spans="2:4" ht="14">
      <c r="B62" s="238" t="s">
        <v>355</v>
      </c>
      <c r="C62" s="238" t="s">
        <v>356</v>
      </c>
      <c r="D62" s="239"/>
    </row>
    <row r="63" spans="2:4" ht="14">
      <c r="B63" s="238" t="s">
        <v>357</v>
      </c>
      <c r="C63" s="238" t="s">
        <v>358</v>
      </c>
      <c r="D63" s="237" t="s">
        <v>276</v>
      </c>
    </row>
    <row r="64" spans="2:4" ht="14">
      <c r="B64" s="238" t="s">
        <v>357</v>
      </c>
      <c r="C64" s="238" t="s">
        <v>359</v>
      </c>
      <c r="D64" s="239"/>
    </row>
    <row r="65" spans="2:4" ht="14">
      <c r="B65" s="238" t="s">
        <v>360</v>
      </c>
      <c r="C65" s="238" t="s">
        <v>361</v>
      </c>
      <c r="D65" s="239"/>
    </row>
    <row r="66" spans="2:4" ht="14">
      <c r="B66" s="238" t="s">
        <v>360</v>
      </c>
      <c r="C66" s="238" t="s">
        <v>362</v>
      </c>
      <c r="D66" s="239"/>
    </row>
    <row r="67" spans="2:4" ht="14">
      <c r="B67" s="238" t="s">
        <v>363</v>
      </c>
      <c r="C67" s="238" t="s">
        <v>364</v>
      </c>
      <c r="D67" s="239"/>
    </row>
    <row r="68" spans="2:4" ht="14">
      <c r="B68" s="238" t="s">
        <v>363</v>
      </c>
      <c r="C68" s="238" t="s">
        <v>365</v>
      </c>
      <c r="D68" s="237" t="s">
        <v>276</v>
      </c>
    </row>
    <row r="69" spans="2:4" ht="14">
      <c r="B69" s="238" t="s">
        <v>363</v>
      </c>
      <c r="C69" s="238" t="s">
        <v>366</v>
      </c>
      <c r="D69" s="237" t="s">
        <v>276</v>
      </c>
    </row>
    <row r="70" spans="2:4" ht="14">
      <c r="B70" s="238" t="s">
        <v>367</v>
      </c>
      <c r="C70" s="238" t="s">
        <v>368</v>
      </c>
      <c r="D70" s="239"/>
    </row>
    <row r="71" spans="2:4" ht="14">
      <c r="B71" s="238" t="s">
        <v>367</v>
      </c>
      <c r="C71" s="238" t="s">
        <v>369</v>
      </c>
      <c r="D71" s="239"/>
    </row>
    <row r="72" spans="2:4" ht="14">
      <c r="B72" s="238" t="s">
        <v>367</v>
      </c>
      <c r="C72" s="238" t="s">
        <v>370</v>
      </c>
      <c r="D72" s="239"/>
    </row>
    <row r="73" spans="2:4" ht="14">
      <c r="B73" s="238" t="s">
        <v>371</v>
      </c>
      <c r="C73" s="238" t="s">
        <v>372</v>
      </c>
      <c r="D73" s="239"/>
    </row>
    <row r="74" spans="2:4" ht="14">
      <c r="B74" s="238" t="s">
        <v>371</v>
      </c>
      <c r="C74" s="238" t="s">
        <v>373</v>
      </c>
      <c r="D74" s="239"/>
    </row>
    <row r="75" spans="2:4" ht="14">
      <c r="B75" s="238" t="s">
        <v>371</v>
      </c>
      <c r="C75" s="238" t="s">
        <v>374</v>
      </c>
      <c r="D75" s="239"/>
    </row>
    <row r="76" spans="2:4" ht="14">
      <c r="B76" s="238" t="s">
        <v>375</v>
      </c>
      <c r="C76" s="238" t="s">
        <v>376</v>
      </c>
      <c r="D76" s="237" t="s">
        <v>276</v>
      </c>
    </row>
    <row r="77" spans="2:4" ht="14">
      <c r="B77" s="238" t="s">
        <v>377</v>
      </c>
      <c r="C77" s="238" t="s">
        <v>378</v>
      </c>
      <c r="D77" s="239"/>
    </row>
    <row r="78" spans="2:4" ht="14">
      <c r="B78" s="238" t="s">
        <v>377</v>
      </c>
      <c r="C78" s="238" t="s">
        <v>379</v>
      </c>
      <c r="D78" s="239"/>
    </row>
    <row r="79" spans="2:4" ht="14">
      <c r="B79" s="238" t="s">
        <v>377</v>
      </c>
      <c r="C79" s="238" t="s">
        <v>380</v>
      </c>
      <c r="D79" s="239"/>
    </row>
  </sheetData>
  <phoneticPr fontId="5" type="noConversion"/>
  <pageMargins left="0.5" right="0.5" top="1" bottom="1" header="0.5" footer="0.5"/>
  <pageSetup scale="80" fitToHeight="2" orientation="landscape"/>
  <headerFooter alignWithMargins="0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02"/>
  <sheetViews>
    <sheetView topLeftCell="A40" workbookViewId="0">
      <selection activeCell="F81" sqref="F81"/>
    </sheetView>
  </sheetViews>
  <sheetFormatPr baseColWidth="10" defaultColWidth="9.1640625" defaultRowHeight="10" x14ac:dyDescent="0"/>
  <cols>
    <col min="1" max="1" width="2.5" style="1" customWidth="1"/>
    <col min="2" max="2" width="13" style="1" customWidth="1"/>
    <col min="3" max="5" width="11.6640625" style="1" customWidth="1"/>
    <col min="6" max="6" width="10.5" style="1" customWidth="1"/>
    <col min="7" max="7" width="10.83203125" style="4" customWidth="1"/>
    <col min="8" max="8" width="12.6640625" style="1" customWidth="1"/>
    <col min="9" max="11" width="10.6640625" style="1" customWidth="1"/>
    <col min="12" max="12" width="11" style="1" customWidth="1"/>
    <col min="13" max="14" width="10.33203125" style="1" customWidth="1"/>
    <col min="15" max="15" width="11" style="1" customWidth="1"/>
    <col min="16" max="16384" width="9.1640625" style="1"/>
  </cols>
  <sheetData>
    <row r="1" spans="1:14" ht="16.5" customHeight="1">
      <c r="D1" s="2"/>
      <c r="E1" s="3" t="s">
        <v>0</v>
      </c>
      <c r="F1" s="3"/>
    </row>
    <row r="2" spans="1:14" ht="11.25" customHeight="1">
      <c r="A2" s="5"/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 s="5"/>
      <c r="N2" s="5"/>
    </row>
    <row r="3" spans="1:14" ht="11.25" customHeight="1">
      <c r="A3" s="5"/>
      <c r="B3" s="5"/>
      <c r="C3" s="5" t="s">
        <v>1</v>
      </c>
      <c r="D3" s="5"/>
      <c r="E3" s="5"/>
      <c r="F3" s="5"/>
      <c r="G3" s="6"/>
      <c r="H3" s="5"/>
      <c r="I3" s="5"/>
      <c r="J3" s="5"/>
      <c r="K3" s="5"/>
      <c r="L3" s="5"/>
      <c r="M3" s="5"/>
      <c r="N3" s="5"/>
    </row>
    <row r="4" spans="1:14" ht="11.25" customHeight="1">
      <c r="A4" s="5"/>
      <c r="B4" s="5"/>
      <c r="C4" s="5" t="s">
        <v>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1.25" customHeight="1">
      <c r="A5" s="5"/>
      <c r="B5" s="5"/>
      <c r="C5" s="5" t="s">
        <v>3</v>
      </c>
    </row>
    <row r="6" spans="1:14" ht="11.25" customHeight="1">
      <c r="A6" s="5"/>
      <c r="B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2.75" customHeight="1">
      <c r="A7" s="5"/>
      <c r="B7" s="7" t="s">
        <v>4</v>
      </c>
      <c r="C7" s="8" t="s">
        <v>5</v>
      </c>
      <c r="D7" s="5"/>
      <c r="E7" s="5"/>
      <c r="F7" s="5"/>
      <c r="G7" s="6"/>
      <c r="H7" s="5"/>
      <c r="I7" s="5"/>
      <c r="J7" s="5"/>
      <c r="K7" s="5"/>
      <c r="L7" s="5"/>
      <c r="M7" s="5"/>
      <c r="N7" s="5"/>
    </row>
    <row r="8" spans="1:14" ht="11.25" customHeight="1">
      <c r="A8" s="5"/>
      <c r="B8" s="5"/>
      <c r="C8" s="5"/>
      <c r="D8" s="5"/>
      <c r="E8" s="5"/>
      <c r="F8" s="5"/>
      <c r="G8" s="6"/>
      <c r="H8" s="5"/>
      <c r="I8" s="9" t="s">
        <v>6</v>
      </c>
      <c r="J8" s="5"/>
      <c r="K8" s="5"/>
      <c r="L8" s="5"/>
      <c r="M8" s="5"/>
      <c r="N8" s="5"/>
    </row>
    <row r="9" spans="1:14" ht="11.25" customHeight="1">
      <c r="A9" s="10">
        <v>1</v>
      </c>
      <c r="B9" s="5" t="s">
        <v>7</v>
      </c>
      <c r="C9" s="5" t="s">
        <v>8</v>
      </c>
      <c r="D9" s="5"/>
      <c r="E9" s="5"/>
      <c r="F9" s="5"/>
      <c r="G9" s="6"/>
      <c r="H9" s="5"/>
      <c r="I9" s="5"/>
      <c r="J9" s="5"/>
      <c r="K9" s="5"/>
      <c r="L9" s="5"/>
      <c r="M9" s="5"/>
      <c r="N9" s="5"/>
    </row>
    <row r="10" spans="1:14" ht="11.25" customHeight="1">
      <c r="A10" s="10"/>
      <c r="B10" s="5"/>
      <c r="C10" s="5" t="s">
        <v>9</v>
      </c>
      <c r="D10" s="5"/>
      <c r="E10" s="5"/>
      <c r="F10" s="5"/>
      <c r="G10" s="6"/>
      <c r="H10" s="5"/>
      <c r="I10" s="11"/>
      <c r="J10" s="5" t="s">
        <v>10</v>
      </c>
      <c r="K10" s="5"/>
      <c r="L10" s="5"/>
      <c r="M10" s="5"/>
      <c r="N10" s="5"/>
    </row>
    <row r="11" spans="1:14" ht="11.25" customHeight="1">
      <c r="A11" s="10"/>
      <c r="B11" s="5"/>
      <c r="C11" s="5" t="s">
        <v>11</v>
      </c>
      <c r="D11" s="5"/>
      <c r="E11" s="5"/>
      <c r="F11" s="5"/>
      <c r="G11" s="6"/>
      <c r="H11" s="5"/>
      <c r="I11" s="12"/>
      <c r="J11" s="5" t="s">
        <v>12</v>
      </c>
      <c r="K11" s="5"/>
      <c r="L11" s="5"/>
      <c r="M11" s="5"/>
      <c r="N11" s="5"/>
    </row>
    <row r="12" spans="1:14" ht="11.25" customHeight="1">
      <c r="A12" s="10"/>
      <c r="B12" s="5"/>
      <c r="C12" s="5"/>
      <c r="D12" s="5"/>
      <c r="E12" s="5"/>
      <c r="F12" s="5"/>
      <c r="G12" s="6"/>
      <c r="H12" s="5"/>
      <c r="I12" s="12"/>
      <c r="J12" s="5" t="s">
        <v>13</v>
      </c>
      <c r="K12" s="5"/>
      <c r="L12" s="5"/>
      <c r="M12" s="5"/>
      <c r="N12" s="5"/>
    </row>
    <row r="13" spans="1:14" ht="11.25" customHeight="1">
      <c r="A13" s="10"/>
      <c r="B13" s="5"/>
      <c r="C13" s="5"/>
      <c r="D13" s="5"/>
      <c r="E13" s="5"/>
      <c r="F13" s="5"/>
      <c r="G13" s="6"/>
      <c r="H13" s="5"/>
      <c r="I13" s="6"/>
      <c r="J13" s="5"/>
      <c r="K13" s="5"/>
      <c r="L13" s="5"/>
      <c r="M13" s="5"/>
      <c r="N13" s="5"/>
    </row>
    <row r="14" spans="1:14" ht="11.25" customHeight="1">
      <c r="G14" s="1"/>
    </row>
    <row r="15" spans="1:14" ht="11.25" customHeight="1">
      <c r="A15" s="10">
        <v>2</v>
      </c>
      <c r="B15" s="5" t="s">
        <v>14</v>
      </c>
      <c r="C15" s="5" t="s">
        <v>15</v>
      </c>
      <c r="D15" s="5"/>
      <c r="E15" s="5"/>
      <c r="F15" s="5"/>
      <c r="G15" s="6"/>
      <c r="H15" s="5"/>
      <c r="I15" s="11"/>
      <c r="J15" s="5" t="s">
        <v>10</v>
      </c>
      <c r="K15" s="5"/>
      <c r="L15" s="5"/>
      <c r="M15" s="5"/>
      <c r="N15" s="5"/>
    </row>
    <row r="16" spans="1:14" ht="11.25" customHeight="1">
      <c r="A16" s="10"/>
      <c r="B16" s="5" t="s">
        <v>16</v>
      </c>
      <c r="C16" s="5" t="s">
        <v>17</v>
      </c>
      <c r="D16" s="5"/>
      <c r="E16" s="5"/>
      <c r="F16" s="5"/>
      <c r="G16" s="6"/>
      <c r="H16" s="5"/>
      <c r="I16" s="11"/>
      <c r="J16" s="5" t="s">
        <v>12</v>
      </c>
      <c r="K16" s="5"/>
      <c r="L16" s="13"/>
      <c r="M16" s="13"/>
      <c r="N16" s="13"/>
    </row>
    <row r="17" spans="1:14" ht="12" customHeight="1">
      <c r="A17" s="2"/>
      <c r="C17" s="14"/>
      <c r="D17" s="5"/>
      <c r="E17" s="5"/>
      <c r="F17" s="5"/>
      <c r="G17" s="5"/>
      <c r="H17" s="5"/>
      <c r="I17" s="11"/>
      <c r="J17" s="5" t="s">
        <v>13</v>
      </c>
      <c r="K17" s="5"/>
      <c r="L17" s="13"/>
      <c r="M17" s="13"/>
      <c r="N17" s="13"/>
    </row>
    <row r="18" spans="1:14">
      <c r="G18" s="1"/>
      <c r="J18" s="5"/>
      <c r="K18" s="5"/>
      <c r="L18" s="5"/>
      <c r="M18" s="5"/>
      <c r="N18" s="5"/>
    </row>
    <row r="19" spans="1:14">
      <c r="A19" s="15">
        <v>3</v>
      </c>
      <c r="B19" s="5" t="s">
        <v>18</v>
      </c>
      <c r="C19" s="5" t="s">
        <v>19</v>
      </c>
      <c r="D19" s="5"/>
      <c r="E19" s="5"/>
      <c r="F19" s="5"/>
      <c r="G19" s="6"/>
      <c r="H19" s="5"/>
      <c r="J19" s="5"/>
      <c r="K19" s="5"/>
      <c r="L19" s="5"/>
      <c r="M19" s="5"/>
      <c r="N19" s="5"/>
    </row>
    <row r="20" spans="1:14">
      <c r="A20" s="15"/>
      <c r="B20" s="5"/>
      <c r="C20" s="5" t="s">
        <v>20</v>
      </c>
      <c r="D20" s="5"/>
      <c r="E20" s="5"/>
      <c r="F20" s="5"/>
      <c r="G20" s="6"/>
      <c r="H20" s="5"/>
      <c r="I20" s="16"/>
      <c r="J20" s="5"/>
      <c r="K20" s="5"/>
      <c r="L20" s="5"/>
      <c r="M20" s="5"/>
      <c r="N20" s="5"/>
    </row>
    <row r="21" spans="1:14">
      <c r="A21" s="15"/>
      <c r="B21" s="5"/>
      <c r="C21" s="5"/>
      <c r="D21" s="5"/>
      <c r="E21" s="5"/>
      <c r="F21" s="5"/>
      <c r="G21" s="6"/>
      <c r="H21" s="5"/>
      <c r="I21" s="5"/>
      <c r="J21" s="5"/>
      <c r="K21" s="5"/>
      <c r="L21" s="5"/>
      <c r="M21" s="5"/>
      <c r="N21" s="5"/>
    </row>
    <row r="22" spans="1:14">
      <c r="A22" s="15">
        <v>4</v>
      </c>
      <c r="B22" s="5" t="s">
        <v>21</v>
      </c>
      <c r="C22" s="5" t="s">
        <v>22</v>
      </c>
      <c r="D22" s="5"/>
      <c r="E22" s="5"/>
      <c r="F22" s="5"/>
      <c r="G22" s="6"/>
      <c r="H22" s="5"/>
      <c r="J22" s="5"/>
      <c r="K22" s="5"/>
      <c r="L22" s="5"/>
      <c r="M22" s="5"/>
      <c r="N22" s="5"/>
    </row>
    <row r="23" spans="1:14">
      <c r="B23" s="5"/>
      <c r="C23" s="5" t="s">
        <v>23</v>
      </c>
      <c r="D23" s="5"/>
      <c r="E23" s="5"/>
      <c r="F23" s="5"/>
      <c r="G23" s="6"/>
      <c r="H23" s="5"/>
      <c r="I23" s="16"/>
      <c r="J23" s="5"/>
      <c r="K23" s="5"/>
      <c r="L23" s="5"/>
      <c r="M23" s="5"/>
      <c r="N23" s="5"/>
    </row>
    <row r="24" spans="1:14">
      <c r="B24" s="5"/>
      <c r="C24" s="5"/>
      <c r="D24" s="5"/>
      <c r="E24" s="5"/>
      <c r="F24" s="5"/>
      <c r="G24" s="6"/>
      <c r="H24" s="5"/>
      <c r="I24" s="5"/>
      <c r="J24" s="5"/>
      <c r="K24" s="5"/>
      <c r="L24" s="5"/>
      <c r="M24" s="5"/>
      <c r="N24" s="5"/>
    </row>
    <row r="25" spans="1:14">
      <c r="D25" s="5"/>
      <c r="E25" s="5"/>
      <c r="F25" s="5"/>
      <c r="G25" s="6"/>
      <c r="H25" s="5"/>
      <c r="I25" s="5"/>
      <c r="J25" s="5"/>
      <c r="K25" s="5"/>
      <c r="L25" s="5"/>
      <c r="M25" s="5"/>
      <c r="N25" s="5"/>
    </row>
    <row r="26" spans="1:14">
      <c r="A26" s="15">
        <v>5</v>
      </c>
      <c r="B26" s="5" t="s">
        <v>24</v>
      </c>
      <c r="C26" s="5"/>
      <c r="D26" s="5"/>
      <c r="L26" s="5"/>
      <c r="M26" s="5"/>
      <c r="N26" s="5"/>
    </row>
    <row r="27" spans="1:14">
      <c r="A27" s="15"/>
      <c r="B27" s="5"/>
      <c r="C27" s="5" t="s">
        <v>25</v>
      </c>
      <c r="D27" s="5"/>
      <c r="E27" s="5"/>
      <c r="G27" s="6"/>
      <c r="I27" s="17">
        <f>+L99</f>
        <v>0</v>
      </c>
      <c r="J27" s="5"/>
      <c r="K27" s="5"/>
      <c r="L27" s="5"/>
      <c r="M27" s="5"/>
      <c r="N27" s="5"/>
    </row>
    <row r="28" spans="1:14">
      <c r="B28" s="5"/>
      <c r="C28" s="5"/>
      <c r="D28" s="5"/>
      <c r="E28" s="5"/>
      <c r="G28" s="1"/>
      <c r="I28" s="5"/>
      <c r="J28" s="5"/>
      <c r="K28" s="5"/>
      <c r="L28" s="5"/>
      <c r="M28" s="5"/>
      <c r="N28" s="5"/>
    </row>
    <row r="29" spans="1:14">
      <c r="A29" s="15">
        <v>6</v>
      </c>
      <c r="B29" s="5" t="s">
        <v>26</v>
      </c>
      <c r="C29" s="5"/>
      <c r="D29" s="5"/>
      <c r="E29" s="5"/>
      <c r="G29" s="1"/>
      <c r="H29" s="5"/>
      <c r="I29" s="18"/>
      <c r="J29" s="5"/>
      <c r="K29" s="5"/>
      <c r="L29" s="5"/>
      <c r="M29" s="5"/>
      <c r="N29" s="5"/>
    </row>
    <row r="30" spans="1:14">
      <c r="A30" s="15"/>
      <c r="B30" s="5"/>
      <c r="C30" s="5"/>
      <c r="D30" s="5"/>
      <c r="E30" s="5"/>
      <c r="I30" s="5"/>
      <c r="J30" s="5"/>
      <c r="K30" s="5"/>
      <c r="L30" s="5"/>
      <c r="M30" s="5"/>
      <c r="N30" s="5"/>
    </row>
    <row r="31" spans="1:14" ht="12" customHeight="1">
      <c r="A31" s="15">
        <v>7</v>
      </c>
      <c r="B31" s="5" t="s">
        <v>27</v>
      </c>
      <c r="E31" s="5"/>
      <c r="I31" s="16">
        <v>0</v>
      </c>
      <c r="J31" s="5"/>
      <c r="K31" s="5"/>
    </row>
    <row r="32" spans="1:14">
      <c r="B32" s="5"/>
      <c r="C32" s="5"/>
      <c r="D32" s="5"/>
      <c r="E32" s="5"/>
      <c r="G32" s="1"/>
      <c r="L32" s="5"/>
      <c r="M32" s="5"/>
      <c r="N32" s="5"/>
    </row>
    <row r="33" spans="1:19" ht="11">
      <c r="A33" s="15">
        <v>8</v>
      </c>
      <c r="B33" s="5" t="s">
        <v>28</v>
      </c>
      <c r="C33" s="5" t="s">
        <v>29</v>
      </c>
      <c r="D33" s="5"/>
      <c r="E33" s="5"/>
      <c r="I33" s="19" t="s">
        <v>30</v>
      </c>
      <c r="L33" s="5"/>
      <c r="M33" s="5"/>
      <c r="N33" s="5"/>
    </row>
    <row r="34" spans="1:19">
      <c r="B34" s="5"/>
      <c r="C34" s="5" t="s">
        <v>31</v>
      </c>
      <c r="D34" s="5"/>
      <c r="E34" s="5" t="s">
        <v>32</v>
      </c>
      <c r="G34" s="20" t="s">
        <v>33</v>
      </c>
      <c r="H34" s="20" t="s">
        <v>34</v>
      </c>
      <c r="I34" s="21" t="s">
        <v>35</v>
      </c>
      <c r="J34" s="20" t="s">
        <v>36</v>
      </c>
      <c r="K34" s="22"/>
      <c r="L34" s="5"/>
      <c r="M34" s="5"/>
      <c r="N34" s="5"/>
      <c r="O34" s="5"/>
      <c r="P34" s="5"/>
    </row>
    <row r="35" spans="1:19">
      <c r="A35" s="15"/>
      <c r="B35" s="5"/>
      <c r="C35" s="5" t="s">
        <v>37</v>
      </c>
      <c r="D35" s="5"/>
      <c r="E35" s="5" t="s">
        <v>38</v>
      </c>
      <c r="G35" s="23">
        <v>0</v>
      </c>
      <c r="H35" s="24">
        <v>0</v>
      </c>
      <c r="I35" s="25" t="s">
        <v>39</v>
      </c>
      <c r="J35" s="24">
        <v>0</v>
      </c>
      <c r="K35" s="26"/>
      <c r="L35" s="5"/>
      <c r="M35" s="5"/>
      <c r="N35" s="5"/>
      <c r="O35" s="5"/>
      <c r="P35" s="5"/>
    </row>
    <row r="36" spans="1:19">
      <c r="B36" s="5"/>
      <c r="C36" s="5" t="s">
        <v>40</v>
      </c>
      <c r="D36" s="5"/>
      <c r="E36" s="5" t="s">
        <v>41</v>
      </c>
      <c r="G36" s="27">
        <v>0</v>
      </c>
      <c r="H36" s="28">
        <v>0</v>
      </c>
      <c r="I36" s="29" t="s">
        <v>42</v>
      </c>
      <c r="J36" s="28">
        <v>0</v>
      </c>
      <c r="K36" s="26"/>
      <c r="L36" s="5"/>
      <c r="M36" s="5"/>
      <c r="N36" s="5"/>
    </row>
    <row r="37" spans="1:19">
      <c r="A37" s="5"/>
      <c r="B37" s="5"/>
      <c r="C37" s="5" t="s">
        <v>257</v>
      </c>
      <c r="D37" s="5"/>
      <c r="E37" s="5" t="s">
        <v>43</v>
      </c>
      <c r="G37" s="27">
        <v>0</v>
      </c>
      <c r="H37" s="28">
        <v>0</v>
      </c>
      <c r="I37" s="29" t="s">
        <v>44</v>
      </c>
      <c r="J37" s="30">
        <v>0</v>
      </c>
      <c r="K37" s="26"/>
      <c r="L37" s="5"/>
      <c r="M37" s="5"/>
      <c r="N37" s="5"/>
    </row>
    <row r="38" spans="1:19" ht="11.25" customHeight="1">
      <c r="A38" s="5"/>
      <c r="B38" s="5"/>
      <c r="C38" s="5"/>
      <c r="D38" s="5"/>
      <c r="E38" s="5" t="s">
        <v>45</v>
      </c>
      <c r="G38" s="27">
        <v>0</v>
      </c>
      <c r="H38" s="28"/>
      <c r="I38" s="29" t="s">
        <v>46</v>
      </c>
      <c r="J38" s="28">
        <v>0</v>
      </c>
      <c r="K38" s="26"/>
      <c r="L38" s="5"/>
      <c r="M38" s="5"/>
      <c r="N38" s="5"/>
    </row>
    <row r="39" spans="1:19">
      <c r="A39" s="5"/>
      <c r="G39" s="1"/>
      <c r="I39" s="29" t="s">
        <v>47</v>
      </c>
      <c r="J39" s="30">
        <v>0</v>
      </c>
      <c r="K39" s="26"/>
      <c r="L39" s="5"/>
      <c r="M39" s="5"/>
      <c r="N39" s="5"/>
      <c r="O39" s="5"/>
      <c r="P39" s="5"/>
      <c r="Q39" s="5"/>
      <c r="R39" s="5"/>
      <c r="S39" s="5"/>
    </row>
    <row r="40" spans="1:19">
      <c r="A40" s="5"/>
      <c r="B40" s="5"/>
      <c r="C40" s="5"/>
      <c r="D40" s="5"/>
      <c r="G40" s="1"/>
      <c r="I40" s="29" t="s">
        <v>48</v>
      </c>
      <c r="J40" s="28">
        <v>0</v>
      </c>
      <c r="K40" s="26"/>
      <c r="L40" s="5"/>
      <c r="M40" s="5"/>
      <c r="N40" s="5"/>
      <c r="O40" s="5"/>
      <c r="P40" s="5"/>
      <c r="Q40" s="5"/>
      <c r="R40" s="5"/>
      <c r="S40" s="5"/>
    </row>
    <row r="41" spans="1:19" ht="11.25" customHeight="1">
      <c r="L41" s="5"/>
      <c r="M41" s="5"/>
      <c r="N41" s="5"/>
    </row>
    <row r="42" spans="1:19" ht="11.25" customHeight="1">
      <c r="A42" s="10">
        <v>9</v>
      </c>
      <c r="B42" s="5" t="s">
        <v>49</v>
      </c>
      <c r="C42" s="5" t="s">
        <v>50</v>
      </c>
      <c r="G42" s="1"/>
      <c r="I42" s="31">
        <v>0</v>
      </c>
      <c r="J42" s="5"/>
      <c r="K42" s="5"/>
      <c r="L42" s="5"/>
      <c r="M42" s="5"/>
      <c r="N42" s="5"/>
    </row>
    <row r="43" spans="1:19" ht="11.25" customHeight="1">
      <c r="A43" s="10"/>
      <c r="B43" s="5"/>
      <c r="C43" s="5" t="s">
        <v>51</v>
      </c>
      <c r="G43" s="1"/>
      <c r="I43" s="31">
        <v>0</v>
      </c>
      <c r="J43" s="5"/>
      <c r="K43" s="5"/>
      <c r="L43" s="5"/>
      <c r="M43" s="5"/>
      <c r="N43" s="5"/>
    </row>
    <row r="44" spans="1:19" ht="11.25" customHeight="1">
      <c r="I44" s="5"/>
      <c r="J44" s="5"/>
      <c r="K44" s="5"/>
      <c r="L44" s="5"/>
      <c r="M44" s="5"/>
      <c r="N44" s="5"/>
    </row>
    <row r="45" spans="1:19" ht="11.25" customHeight="1">
      <c r="A45" s="15">
        <v>10</v>
      </c>
      <c r="B45" s="8" t="s">
        <v>52</v>
      </c>
      <c r="C45" s="5"/>
      <c r="D45" s="5"/>
      <c r="E45" s="5"/>
      <c r="F45" s="5"/>
      <c r="G45" s="5"/>
      <c r="H45" s="5"/>
      <c r="I45" s="5"/>
      <c r="J45" s="5"/>
      <c r="K45" s="5"/>
      <c r="L45" s="22"/>
      <c r="M45" s="22"/>
      <c r="N45" s="22"/>
    </row>
    <row r="46" spans="1:19" ht="11.25" customHeight="1">
      <c r="B46" s="5" t="s">
        <v>53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9" ht="11.25" customHeight="1">
      <c r="B47" s="5" t="s">
        <v>256</v>
      </c>
      <c r="C47" s="5"/>
      <c r="I47" s="5"/>
      <c r="J47" s="5"/>
      <c r="K47" s="5"/>
      <c r="L47" s="5"/>
      <c r="M47" s="5"/>
      <c r="N47" s="5"/>
    </row>
    <row r="48" spans="1:19" ht="11.25" customHeight="1">
      <c r="B48" s="5"/>
      <c r="C48" s="5"/>
      <c r="D48" s="243" t="s">
        <v>54</v>
      </c>
      <c r="E48" s="243"/>
      <c r="F48" s="243"/>
      <c r="G48" s="244"/>
      <c r="H48" s="32">
        <v>0</v>
      </c>
      <c r="L48" s="5"/>
      <c r="M48" s="5"/>
      <c r="N48" s="5"/>
    </row>
    <row r="49" spans="1:20">
      <c r="A49" s="5"/>
      <c r="B49" s="5"/>
      <c r="C49" s="5"/>
      <c r="D49" s="5"/>
      <c r="E49" s="5"/>
      <c r="F49" s="5"/>
      <c r="G49" s="6"/>
      <c r="H49" s="5"/>
      <c r="I49" s="5"/>
      <c r="J49" s="5"/>
      <c r="K49" s="5"/>
      <c r="L49" s="5"/>
      <c r="M49" s="5"/>
      <c r="N49" s="5"/>
    </row>
    <row r="50" spans="1:20" ht="8.25" customHeight="1">
      <c r="D50" s="2"/>
      <c r="G50" s="33"/>
    </row>
    <row r="51" spans="1:20" ht="12">
      <c r="A51" s="34"/>
      <c r="B51" s="34"/>
      <c r="C51" s="34"/>
      <c r="D51" s="35"/>
      <c r="E51" s="36" t="s">
        <v>55</v>
      </c>
      <c r="F51" s="36"/>
      <c r="G51" s="37"/>
      <c r="H51" s="34"/>
      <c r="I51" s="34"/>
      <c r="J51" s="38"/>
      <c r="K51" s="38"/>
      <c r="L51" s="34"/>
    </row>
    <row r="52" spans="1:20" ht="12">
      <c r="A52" s="34"/>
      <c r="B52" s="39" t="s">
        <v>56</v>
      </c>
      <c r="C52" s="34"/>
      <c r="D52" s="35"/>
      <c r="E52" s="36" t="s">
        <v>0</v>
      </c>
      <c r="F52" s="36"/>
      <c r="G52" s="37"/>
      <c r="H52" s="34"/>
      <c r="I52" s="34"/>
      <c r="J52" s="34"/>
      <c r="K52" s="34"/>
      <c r="L52" s="34"/>
    </row>
    <row r="53" spans="1:20" ht="12">
      <c r="A53" s="40"/>
      <c r="B53" s="41"/>
      <c r="C53" s="41"/>
      <c r="D53" s="41"/>
      <c r="E53" s="41"/>
      <c r="F53" s="41"/>
      <c r="G53" s="41"/>
      <c r="H53" s="42"/>
      <c r="I53" s="41"/>
      <c r="J53" s="43" t="s">
        <v>57</v>
      </c>
      <c r="K53" s="43"/>
      <c r="L53" s="44"/>
      <c r="M53" s="45"/>
      <c r="N53" s="45"/>
      <c r="O53" s="45"/>
      <c r="P53" s="46">
        <v>4564.8250999999991</v>
      </c>
    </row>
    <row r="54" spans="1:20" ht="12">
      <c r="A54" s="47"/>
      <c r="B54" s="48" t="s">
        <v>58</v>
      </c>
      <c r="C54" s="48" t="s">
        <v>59</v>
      </c>
      <c r="D54" s="48" t="s">
        <v>60</v>
      </c>
      <c r="E54" s="48" t="s">
        <v>59</v>
      </c>
      <c r="F54" s="48"/>
      <c r="G54" s="48" t="s">
        <v>61</v>
      </c>
      <c r="H54" s="48" t="s">
        <v>62</v>
      </c>
      <c r="I54" s="48" t="s">
        <v>63</v>
      </c>
      <c r="J54" s="48" t="s">
        <v>64</v>
      </c>
      <c r="K54" s="48" t="s">
        <v>65</v>
      </c>
      <c r="L54" s="49" t="s">
        <v>66</v>
      </c>
      <c r="M54" s="50"/>
      <c r="N54" s="50"/>
      <c r="O54" s="50"/>
      <c r="P54" s="46">
        <v>2744.9577999999997</v>
      </c>
    </row>
    <row r="55" spans="1:20" ht="12">
      <c r="A55" s="51" t="s">
        <v>67</v>
      </c>
      <c r="B55" s="48" t="s">
        <v>68</v>
      </c>
      <c r="C55" s="52" t="s">
        <v>69</v>
      </c>
      <c r="D55" s="52" t="s">
        <v>69</v>
      </c>
      <c r="E55" s="52" t="s">
        <v>70</v>
      </c>
      <c r="F55" s="52"/>
      <c r="G55" s="52" t="s">
        <v>70</v>
      </c>
      <c r="H55" s="52" t="s">
        <v>70</v>
      </c>
      <c r="I55" s="52" t="s">
        <v>70</v>
      </c>
      <c r="J55" s="52" t="s">
        <v>70</v>
      </c>
      <c r="K55" s="52" t="s">
        <v>70</v>
      </c>
      <c r="L55" s="52" t="s">
        <v>70</v>
      </c>
      <c r="M55" s="50"/>
      <c r="N55" s="50"/>
      <c r="O55" s="53" t="s">
        <v>71</v>
      </c>
      <c r="P55" s="46">
        <v>3232.0675999999999</v>
      </c>
    </row>
    <row r="56" spans="1:20" ht="12">
      <c r="A56" s="47"/>
      <c r="B56" s="54"/>
      <c r="C56" s="54"/>
      <c r="D56" s="54"/>
      <c r="E56" s="54"/>
      <c r="F56" s="54"/>
      <c r="G56" s="54"/>
      <c r="H56" s="54"/>
      <c r="I56" s="55"/>
      <c r="J56" s="54"/>
      <c r="K56" s="54"/>
      <c r="L56" s="56"/>
      <c r="M56" s="45"/>
      <c r="N56" s="45"/>
      <c r="O56" s="45"/>
      <c r="P56" s="57" t="s">
        <v>72</v>
      </c>
    </row>
    <row r="57" spans="1:20" ht="12">
      <c r="A57" s="47" t="s">
        <v>73</v>
      </c>
      <c r="B57" s="54"/>
      <c r="C57" s="58">
        <f>IF(H48=0,4675.903026,H48)</f>
        <v>4675.903026</v>
      </c>
      <c r="D57" s="59">
        <v>4723.5972540000002</v>
      </c>
      <c r="E57" s="60">
        <f>I10</f>
        <v>0</v>
      </c>
      <c r="F57" s="60"/>
      <c r="G57" s="61">
        <f>D169</f>
        <v>0</v>
      </c>
      <c r="H57" s="60">
        <f>IF(AND(E141&lt;0,E59&gt;0),D159+D165,IF(AND(E141&gt;0,E59&gt;0),D158+D164,IF(AND(E141&gt;0,E59=0),D146+D152,D147+D153)))</f>
        <v>0</v>
      </c>
      <c r="I57" s="61">
        <f>D172</f>
        <v>0</v>
      </c>
      <c r="J57" s="60">
        <f>SUM(E57:I57)</f>
        <v>0</v>
      </c>
      <c r="K57" s="60">
        <f>IF((+L57-J57)&gt;0,(L57-J57),0)</f>
        <v>0</v>
      </c>
      <c r="L57" s="62">
        <f>I15</f>
        <v>0</v>
      </c>
      <c r="M57" s="63"/>
      <c r="N57" s="63"/>
      <c r="O57" s="63">
        <f>E57+H57+G57</f>
        <v>0</v>
      </c>
      <c r="P57" s="64">
        <f>L57-E57</f>
        <v>0</v>
      </c>
      <c r="R57" s="65"/>
      <c r="S57" s="66"/>
      <c r="T57" s="65"/>
    </row>
    <row r="58" spans="1:20" ht="12">
      <c r="A58" s="47" t="s">
        <v>74</v>
      </c>
      <c r="B58" s="54"/>
      <c r="C58" s="58">
        <v>2811.7520930000001</v>
      </c>
      <c r="D58" s="59">
        <v>2840.4319650000002</v>
      </c>
      <c r="E58" s="60">
        <f>I11</f>
        <v>0</v>
      </c>
      <c r="F58" s="60"/>
      <c r="G58" s="61">
        <f>E169</f>
        <v>0</v>
      </c>
      <c r="H58" s="60">
        <f>IF(AND(E141&lt;0,E59&gt;0),E159+E165,IF(AND(E141&gt;=0,E59&gt;0),E158+E164,IF(AND(E141&gt;=0,E59=0),E146+E152,E147+E153)))</f>
        <v>0</v>
      </c>
      <c r="I58" s="61">
        <f>E172</f>
        <v>0</v>
      </c>
      <c r="J58" s="60">
        <f>E58+H58+G58+I58</f>
        <v>0</v>
      </c>
      <c r="K58" s="60">
        <f>IF((+L58-J58)&gt;0,(L58-J58),0)</f>
        <v>0</v>
      </c>
      <c r="L58" s="62">
        <f>I16</f>
        <v>0</v>
      </c>
      <c r="M58" s="63"/>
      <c r="N58" s="63"/>
      <c r="O58" s="63">
        <f>IF(E59=0,J58+J59,J58)</f>
        <v>0</v>
      </c>
      <c r="P58" s="64">
        <f>L58+L59-E58</f>
        <v>0</v>
      </c>
      <c r="Q58" s="1">
        <f>L59*466-(P58)*487.11</f>
        <v>0</v>
      </c>
      <c r="R58" s="65"/>
      <c r="S58" s="65"/>
      <c r="T58" s="65"/>
    </row>
    <row r="59" spans="1:20" ht="12">
      <c r="A59" s="47" t="s">
        <v>75</v>
      </c>
      <c r="B59" s="54"/>
      <c r="C59" s="58">
        <v>4675.9030430000003</v>
      </c>
      <c r="D59" s="59">
        <v>4723.5972540000002</v>
      </c>
      <c r="E59" s="60">
        <f>I12</f>
        <v>0</v>
      </c>
      <c r="F59" s="60"/>
      <c r="G59" s="61">
        <f>H169</f>
        <v>0</v>
      </c>
      <c r="H59" s="60">
        <f>IF(AND(E59&gt;0,E141&gt;=0),H158+H164,IF(AND(E59&gt;0,E141&lt;0),H159+H165,IF(E59=0,H146+H152,H147+H153)))</f>
        <v>0</v>
      </c>
      <c r="I59" s="61">
        <f>H172</f>
        <v>0</v>
      </c>
      <c r="J59" s="60">
        <f>E59+H59+G59+I59</f>
        <v>0</v>
      </c>
      <c r="K59" s="60">
        <f>IF((+L59-J59)&gt;0,(L59-J59),0)</f>
        <v>0</v>
      </c>
      <c r="L59" s="62">
        <f>I17</f>
        <v>0</v>
      </c>
      <c r="M59" s="63"/>
      <c r="N59" s="63"/>
      <c r="O59" s="63">
        <f>IF(E59=0,L58+L59,L59)</f>
        <v>0</v>
      </c>
      <c r="P59" s="64">
        <f>L59-E59</f>
        <v>0</v>
      </c>
      <c r="R59" s="65"/>
      <c r="S59" s="65"/>
      <c r="T59" s="65"/>
    </row>
    <row r="60" spans="1:20" ht="12">
      <c r="A60" s="47"/>
      <c r="B60" s="54"/>
      <c r="C60" s="54"/>
      <c r="D60" s="54"/>
      <c r="E60" s="67"/>
      <c r="F60" s="67"/>
      <c r="G60" s="67"/>
      <c r="H60" s="67"/>
      <c r="I60" s="68"/>
      <c r="J60" s="67"/>
      <c r="K60" s="67"/>
      <c r="L60" s="69"/>
      <c r="M60" s="45"/>
      <c r="N60" s="45"/>
      <c r="O60" s="45"/>
    </row>
    <row r="61" spans="1:20" ht="12">
      <c r="A61" s="70" t="s">
        <v>76</v>
      </c>
      <c r="B61" s="54"/>
      <c r="C61" s="54"/>
      <c r="D61" s="54"/>
      <c r="E61" s="60">
        <f>SUM(E57:E60)</f>
        <v>0</v>
      </c>
      <c r="F61" s="60"/>
      <c r="G61" s="60">
        <f>SUM(G57:G60)</f>
        <v>0</v>
      </c>
      <c r="H61" s="60">
        <f>SUM(H57:H60)</f>
        <v>0</v>
      </c>
      <c r="I61" s="60">
        <f>SUM(I57:I59)</f>
        <v>0</v>
      </c>
      <c r="J61" s="60">
        <f>SUM(J57:J60)</f>
        <v>0</v>
      </c>
      <c r="K61" s="60">
        <f>SUM(K57:K60)</f>
        <v>0</v>
      </c>
      <c r="L61" s="62">
        <f>SUM(L57:L60)</f>
        <v>0</v>
      </c>
      <c r="M61" s="63"/>
      <c r="N61" s="63"/>
      <c r="O61" s="63"/>
      <c r="P61" s="45"/>
    </row>
    <row r="62" spans="1:20" ht="12">
      <c r="A62" s="71"/>
      <c r="B62" s="67"/>
      <c r="C62" s="67"/>
      <c r="D62" s="72"/>
      <c r="E62" s="67"/>
      <c r="F62" s="67"/>
      <c r="G62" s="67"/>
      <c r="H62" s="73"/>
      <c r="I62" s="67"/>
      <c r="J62" s="72"/>
      <c r="K62" s="72"/>
      <c r="L62" s="69"/>
      <c r="M62" s="45"/>
      <c r="N62" s="45"/>
      <c r="O62" s="63"/>
      <c r="P62" s="45"/>
    </row>
    <row r="63" spans="1:20" ht="12">
      <c r="A63" s="47"/>
      <c r="B63" s="54"/>
      <c r="C63" s="54"/>
      <c r="D63" s="48"/>
      <c r="E63" s="54"/>
      <c r="F63" s="54"/>
      <c r="G63" s="54"/>
      <c r="H63" s="55"/>
      <c r="I63" s="54"/>
      <c r="J63" s="54"/>
      <c r="K63" s="54"/>
      <c r="L63" s="56"/>
      <c r="M63" s="45"/>
      <c r="N63" s="45"/>
      <c r="O63" s="63"/>
      <c r="P63" s="45"/>
    </row>
    <row r="64" spans="1:20" ht="12">
      <c r="A64" s="70" t="s">
        <v>77</v>
      </c>
      <c r="B64" s="74" t="s">
        <v>78</v>
      </c>
      <c r="C64" s="74"/>
      <c r="D64" s="48"/>
      <c r="E64" s="54"/>
      <c r="F64" s="54"/>
      <c r="G64" s="75" t="s">
        <v>79</v>
      </c>
      <c r="H64" s="74" t="s">
        <v>80</v>
      </c>
      <c r="I64" s="74"/>
      <c r="J64" s="54"/>
      <c r="K64" s="54"/>
      <c r="L64" s="56"/>
      <c r="M64" s="45"/>
      <c r="N64" s="45"/>
      <c r="O64" s="63"/>
      <c r="P64" s="76">
        <f>L59*487.11</f>
        <v>0</v>
      </c>
    </row>
    <row r="65" spans="1:18" ht="12">
      <c r="A65" s="77" t="s">
        <v>81</v>
      </c>
      <c r="B65" s="54" t="s">
        <v>82</v>
      </c>
      <c r="C65" s="74"/>
      <c r="D65" s="54"/>
      <c r="E65" s="48"/>
      <c r="F65" s="78">
        <f>J131</f>
        <v>0</v>
      </c>
      <c r="G65" s="55" t="s">
        <v>83</v>
      </c>
      <c r="H65" s="54" t="s">
        <v>84</v>
      </c>
      <c r="I65" s="54"/>
      <c r="J65" s="54"/>
      <c r="K65" s="54"/>
      <c r="L65" s="79">
        <v>0</v>
      </c>
      <c r="M65" s="80"/>
      <c r="N65" s="80"/>
      <c r="O65" s="81"/>
      <c r="P65" s="76">
        <f>L71-P64</f>
        <v>0</v>
      </c>
    </row>
    <row r="66" spans="1:18" ht="12">
      <c r="A66" s="77" t="s">
        <v>85</v>
      </c>
      <c r="B66" s="54" t="s">
        <v>86</v>
      </c>
      <c r="C66" s="54"/>
      <c r="D66" s="54"/>
      <c r="E66" s="82">
        <f>E69+E70+E71</f>
        <v>0</v>
      </c>
      <c r="F66" s="54"/>
      <c r="G66" s="55" t="s">
        <v>87</v>
      </c>
      <c r="H66" s="54" t="s">
        <v>88</v>
      </c>
      <c r="I66" s="54"/>
      <c r="J66" s="54"/>
      <c r="K66" s="54"/>
      <c r="L66" s="79">
        <v>0</v>
      </c>
      <c r="M66" s="83"/>
      <c r="N66" s="83"/>
      <c r="O66" s="84">
        <f>L66/487.11</f>
        <v>0</v>
      </c>
      <c r="P66" s="1" t="s">
        <v>89</v>
      </c>
    </row>
    <row r="67" spans="1:18" ht="12">
      <c r="A67" s="77" t="s">
        <v>90</v>
      </c>
      <c r="B67" s="54" t="s">
        <v>91</v>
      </c>
      <c r="C67" s="54"/>
      <c r="D67" s="54"/>
      <c r="E67" s="82">
        <v>0</v>
      </c>
      <c r="F67" s="54"/>
      <c r="G67" s="55" t="s">
        <v>92</v>
      </c>
      <c r="H67" s="54" t="s">
        <v>93</v>
      </c>
      <c r="I67" s="54"/>
      <c r="J67" s="54"/>
      <c r="K67" s="54"/>
      <c r="L67" s="79">
        <v>0</v>
      </c>
      <c r="M67" s="83"/>
      <c r="N67" s="83"/>
      <c r="O67" s="45"/>
      <c r="P67" s="85">
        <f>I57*D57</f>
        <v>0</v>
      </c>
    </row>
    <row r="68" spans="1:18" ht="12">
      <c r="A68" s="77" t="s">
        <v>94</v>
      </c>
      <c r="B68" s="54" t="s">
        <v>95</v>
      </c>
      <c r="C68" s="54"/>
      <c r="D68" s="54"/>
      <c r="E68" s="54"/>
      <c r="F68" s="78">
        <f>SUM(E69:E71)</f>
        <v>0</v>
      </c>
      <c r="G68" s="55"/>
      <c r="H68" s="54"/>
      <c r="I68" s="54"/>
      <c r="J68" s="54"/>
      <c r="K68" s="54"/>
      <c r="L68" s="56"/>
      <c r="M68" s="86"/>
      <c r="N68" s="86"/>
      <c r="O68" s="45"/>
      <c r="P68" s="87">
        <f>I58*D58</f>
        <v>0</v>
      </c>
      <c r="Q68" s="88"/>
      <c r="R68" s="88"/>
    </row>
    <row r="69" spans="1:18" ht="12">
      <c r="A69" s="47">
        <v>1</v>
      </c>
      <c r="B69" s="54" t="s">
        <v>96</v>
      </c>
      <c r="C69" s="54"/>
      <c r="D69" s="54"/>
      <c r="E69" s="89">
        <f>E57*C57</f>
        <v>0</v>
      </c>
      <c r="F69" s="78"/>
      <c r="G69" s="55"/>
      <c r="H69" s="74" t="s">
        <v>97</v>
      </c>
      <c r="I69" s="54"/>
      <c r="J69" s="54"/>
      <c r="K69" s="54"/>
      <c r="L69" s="90">
        <f>SUM(L65:L67)</f>
        <v>0</v>
      </c>
      <c r="M69" s="91"/>
      <c r="N69" s="91"/>
      <c r="O69" s="92"/>
      <c r="P69" s="93">
        <f>IF(AND(E59=0,L71&gt;0),(I59+L147)*D58,IF(AND(E59&gt;0,L71&gt;0),I59*D59,0))</f>
        <v>0</v>
      </c>
      <c r="Q69" s="88"/>
      <c r="R69" s="88"/>
    </row>
    <row r="70" spans="1:18" ht="12">
      <c r="A70" s="47">
        <v>2</v>
      </c>
      <c r="B70" s="54" t="s">
        <v>98</v>
      </c>
      <c r="C70" s="54"/>
      <c r="D70" s="54"/>
      <c r="E70" s="89">
        <f>E58*C58</f>
        <v>0</v>
      </c>
      <c r="F70" s="78"/>
      <c r="G70" s="55"/>
      <c r="H70" s="54"/>
      <c r="I70" s="54"/>
      <c r="J70" s="54"/>
      <c r="K70" s="54"/>
      <c r="L70" s="56"/>
      <c r="M70" s="86"/>
      <c r="N70" s="86"/>
      <c r="O70" s="80"/>
      <c r="P70" s="94">
        <f>SUM(P67:P69)</f>
        <v>0</v>
      </c>
      <c r="Q70" s="95"/>
    </row>
    <row r="71" spans="1:18" ht="12">
      <c r="A71" s="47">
        <v>3</v>
      </c>
      <c r="B71" s="54" t="s">
        <v>99</v>
      </c>
      <c r="C71" s="54"/>
      <c r="D71" s="54"/>
      <c r="E71" s="89">
        <f>E59*C59</f>
        <v>0</v>
      </c>
      <c r="F71" s="78"/>
      <c r="G71" s="75" t="s">
        <v>100</v>
      </c>
      <c r="H71" s="74" t="s">
        <v>101</v>
      </c>
      <c r="I71" s="74"/>
      <c r="J71" s="54"/>
      <c r="K71" s="54"/>
      <c r="L71" s="90">
        <f>IF(AND(I141&lt;0,I12=0),-D141-E141-(I59+L147)*D59,IF(I141&lt;0,-I141,0))</f>
        <v>0</v>
      </c>
      <c r="M71" s="91"/>
      <c r="N71" s="91"/>
      <c r="O71" s="96"/>
      <c r="P71" s="45"/>
      <c r="Q71" s="88"/>
    </row>
    <row r="72" spans="1:18" ht="12">
      <c r="A72" s="77" t="s">
        <v>102</v>
      </c>
      <c r="B72" s="97" t="s">
        <v>103</v>
      </c>
      <c r="C72" s="54"/>
      <c r="D72" s="54"/>
      <c r="E72" s="54"/>
      <c r="F72" s="89">
        <f>+I57*4675.903026+I58*C58+I59*C59</f>
        <v>0</v>
      </c>
      <c r="G72" s="55"/>
      <c r="H72" s="54"/>
      <c r="I72" s="54"/>
      <c r="J72" s="54"/>
      <c r="K72" s="54"/>
      <c r="L72" s="56"/>
      <c r="M72" s="86"/>
      <c r="N72" s="86"/>
      <c r="O72" s="45"/>
    </row>
    <row r="73" spans="1:18" ht="12">
      <c r="A73" s="47"/>
      <c r="B73" s="54"/>
      <c r="C73" s="54"/>
      <c r="D73" s="54"/>
      <c r="E73" s="54"/>
      <c r="F73" s="54"/>
      <c r="G73" s="75" t="s">
        <v>104</v>
      </c>
      <c r="H73" s="74" t="s">
        <v>105</v>
      </c>
      <c r="I73" s="74"/>
      <c r="J73" s="54"/>
      <c r="K73" s="54"/>
      <c r="L73" s="98">
        <f>F79+F88+F99+L69+L71</f>
        <v>0</v>
      </c>
      <c r="M73" s="99"/>
      <c r="N73" s="99"/>
      <c r="O73" s="100"/>
      <c r="P73" s="45"/>
      <c r="Q73" s="101"/>
    </row>
    <row r="74" spans="1:18" ht="12">
      <c r="A74" s="77"/>
      <c r="B74" s="54" t="s">
        <v>106</v>
      </c>
      <c r="C74" s="54"/>
      <c r="D74" s="54"/>
      <c r="E74" s="102"/>
      <c r="F74" s="82">
        <f>SUM(F65:F72)</f>
        <v>0</v>
      </c>
      <c r="G74" s="55"/>
      <c r="H74" s="54" t="s">
        <v>107</v>
      </c>
      <c r="I74" s="54"/>
      <c r="J74" s="54"/>
      <c r="K74" s="54"/>
      <c r="L74" s="56"/>
      <c r="M74" s="86"/>
      <c r="N74" s="86"/>
      <c r="O74" s="96"/>
      <c r="P74" s="45"/>
      <c r="Q74" s="88"/>
    </row>
    <row r="75" spans="1:18" ht="12">
      <c r="A75" s="47"/>
      <c r="B75" s="54"/>
      <c r="C75" s="54"/>
      <c r="D75" s="54"/>
      <c r="E75" s="54"/>
      <c r="F75" s="78"/>
      <c r="G75" s="54"/>
      <c r="H75" s="54"/>
      <c r="I75" s="54"/>
      <c r="J75" s="54"/>
      <c r="K75" s="54"/>
      <c r="L75" s="56"/>
      <c r="M75" s="86"/>
      <c r="N75" s="86"/>
      <c r="O75" s="94" t="s">
        <v>108</v>
      </c>
      <c r="P75" s="45"/>
      <c r="Q75" s="88"/>
    </row>
    <row r="76" spans="1:18" ht="12">
      <c r="A76" s="70" t="s">
        <v>109</v>
      </c>
      <c r="B76" s="74" t="s">
        <v>110</v>
      </c>
      <c r="C76" s="54"/>
      <c r="D76" s="54"/>
      <c r="E76" s="54"/>
      <c r="F76" s="78"/>
      <c r="G76" s="75" t="s">
        <v>111</v>
      </c>
      <c r="H76" s="74" t="s">
        <v>112</v>
      </c>
      <c r="I76" s="54"/>
      <c r="J76" s="54"/>
      <c r="K76" s="54"/>
      <c r="L76" s="103"/>
      <c r="M76" s="104"/>
      <c r="N76" s="104"/>
      <c r="O76" s="96">
        <f>H57*D57</f>
        <v>0</v>
      </c>
      <c r="P76" s="45"/>
      <c r="Q76" s="88"/>
    </row>
    <row r="77" spans="1:18" ht="12">
      <c r="A77" s="77" t="s">
        <v>81</v>
      </c>
      <c r="B77" s="54" t="s">
        <v>113</v>
      </c>
      <c r="C77" s="54"/>
      <c r="D77" s="54"/>
      <c r="E77" s="242">
        <v>0</v>
      </c>
      <c r="F77" s="105"/>
      <c r="G77" s="55" t="s">
        <v>114</v>
      </c>
      <c r="H77" s="54" t="s">
        <v>115</v>
      </c>
      <c r="I77" s="54"/>
      <c r="J77" s="54"/>
      <c r="K77" s="54"/>
      <c r="L77" s="106">
        <f>I20</f>
        <v>0</v>
      </c>
      <c r="M77" s="99"/>
      <c r="N77" s="99"/>
      <c r="O77" s="96">
        <f>H58*D58</f>
        <v>0</v>
      </c>
      <c r="P77" s="45"/>
      <c r="Q77" s="88"/>
    </row>
    <row r="78" spans="1:18" ht="12">
      <c r="A78" s="77" t="s">
        <v>85</v>
      </c>
      <c r="B78" s="54" t="s">
        <v>110</v>
      </c>
      <c r="C78" s="107"/>
      <c r="D78" s="54"/>
      <c r="E78" s="89">
        <f>F74*E77</f>
        <v>0</v>
      </c>
      <c r="F78" s="105"/>
      <c r="G78" s="55" t="s">
        <v>116</v>
      </c>
      <c r="H78" s="54" t="s">
        <v>117</v>
      </c>
      <c r="I78" s="54"/>
      <c r="J78" s="54"/>
      <c r="K78" s="54"/>
      <c r="L78" s="241">
        <v>0</v>
      </c>
      <c r="M78" s="99"/>
      <c r="N78" s="99"/>
      <c r="O78" s="108">
        <f>H59*D59</f>
        <v>0</v>
      </c>
      <c r="P78" s="45"/>
      <c r="R78" s="95"/>
    </row>
    <row r="79" spans="1:18" ht="12">
      <c r="A79" s="77" t="s">
        <v>90</v>
      </c>
      <c r="B79" s="74" t="s">
        <v>118</v>
      </c>
      <c r="C79" s="54"/>
      <c r="D79" s="54"/>
      <c r="E79" s="55"/>
      <c r="F79" s="82">
        <f>F74+E78</f>
        <v>0</v>
      </c>
      <c r="G79" s="55" t="s">
        <v>87</v>
      </c>
      <c r="H79" s="54" t="s">
        <v>119</v>
      </c>
      <c r="I79" s="54"/>
      <c r="J79" s="54"/>
      <c r="K79" s="54"/>
      <c r="L79" s="106">
        <f>I23</f>
        <v>0</v>
      </c>
      <c r="M79" s="99"/>
      <c r="N79" s="99"/>
      <c r="O79" s="96">
        <f>SUM(O76:O78)</f>
        <v>0</v>
      </c>
    </row>
    <row r="80" spans="1:18" ht="12">
      <c r="A80" s="47"/>
      <c r="B80" s="54"/>
      <c r="C80" s="54"/>
      <c r="D80" s="54"/>
      <c r="E80" s="54"/>
      <c r="F80" s="54"/>
      <c r="G80" s="55" t="s">
        <v>92</v>
      </c>
      <c r="H80" s="54" t="s">
        <v>120</v>
      </c>
      <c r="I80" s="54"/>
      <c r="J80" s="54"/>
      <c r="K80" s="54"/>
      <c r="L80" s="106">
        <f>L73-L77-L78-L81-L79-L84</f>
        <v>0</v>
      </c>
      <c r="M80" s="99"/>
      <c r="N80" s="99"/>
      <c r="O80" s="96"/>
    </row>
    <row r="81" spans="1:16" ht="12">
      <c r="A81" s="47"/>
      <c r="B81" s="54"/>
      <c r="C81" s="54"/>
      <c r="D81" s="54"/>
      <c r="E81" s="109"/>
      <c r="F81" s="82"/>
      <c r="G81" s="55" t="s">
        <v>121</v>
      </c>
      <c r="H81" s="54" t="s">
        <v>122</v>
      </c>
      <c r="I81" s="54"/>
      <c r="J81" s="54"/>
      <c r="K81" s="54"/>
      <c r="L81" s="110">
        <v>0</v>
      </c>
      <c r="M81" s="99"/>
      <c r="N81" s="99"/>
      <c r="O81" s="111" t="s">
        <v>123</v>
      </c>
      <c r="P81" s="1" t="s">
        <v>124</v>
      </c>
    </row>
    <row r="82" spans="1:16" ht="12">
      <c r="A82" s="70" t="s">
        <v>125</v>
      </c>
      <c r="B82" s="74" t="s">
        <v>126</v>
      </c>
      <c r="C82" s="54"/>
      <c r="D82" s="54"/>
      <c r="E82" s="54"/>
      <c r="F82" s="54"/>
      <c r="G82" s="55"/>
      <c r="H82" s="54"/>
      <c r="I82" s="54"/>
      <c r="J82" s="54"/>
      <c r="K82" s="54"/>
      <c r="L82" s="56"/>
      <c r="M82" s="45"/>
      <c r="N82" s="45"/>
      <c r="O82" s="112">
        <f>G57*D57</f>
        <v>0</v>
      </c>
    </row>
    <row r="83" spans="1:16" ht="12">
      <c r="A83" s="77" t="s">
        <v>81</v>
      </c>
      <c r="B83" s="54" t="s">
        <v>127</v>
      </c>
      <c r="C83" s="54"/>
      <c r="D83" s="54"/>
      <c r="E83" s="54"/>
      <c r="F83" s="78">
        <f>I31*C117</f>
        <v>0</v>
      </c>
      <c r="G83" s="55"/>
      <c r="H83" s="74" t="s">
        <v>128</v>
      </c>
      <c r="I83" s="54"/>
      <c r="J83" s="54"/>
      <c r="K83" s="54"/>
      <c r="L83" s="106">
        <f>SUM(L77:L81)</f>
        <v>0</v>
      </c>
      <c r="M83" s="96"/>
      <c r="N83" s="96"/>
      <c r="O83" s="112">
        <f>G58*D58</f>
        <v>0</v>
      </c>
    </row>
    <row r="84" spans="1:16" ht="12">
      <c r="A84" s="47" t="s">
        <v>85</v>
      </c>
      <c r="B84" s="54" t="s">
        <v>129</v>
      </c>
      <c r="C84" s="54"/>
      <c r="D84" s="54"/>
      <c r="E84" s="54"/>
      <c r="F84" s="82">
        <f>F83*E77</f>
        <v>0</v>
      </c>
      <c r="G84" s="55" t="s">
        <v>102</v>
      </c>
      <c r="H84" s="54" t="s">
        <v>130</v>
      </c>
      <c r="I84" s="54"/>
      <c r="J84" s="113">
        <f>I29</f>
        <v>0</v>
      </c>
      <c r="K84" s="54"/>
      <c r="L84" s="103">
        <f>+(1-J84)*L73</f>
        <v>0</v>
      </c>
      <c r="M84" s="94"/>
      <c r="N84" s="94"/>
      <c r="O84" s="114">
        <f>G59*D59</f>
        <v>0</v>
      </c>
    </row>
    <row r="85" spans="1:16" ht="12">
      <c r="A85" s="47" t="s">
        <v>90</v>
      </c>
      <c r="B85" s="54" t="s">
        <v>131</v>
      </c>
      <c r="C85" s="54"/>
      <c r="D85" s="54"/>
      <c r="E85" s="54"/>
      <c r="F85" s="82">
        <f>IF(AND(E59=0,E141&gt;=0),I144+I150,IF(AND(E59=0,E141&lt;0),I145+I151,IF(AND(E59&gt;0,E141&gt;=0),I156+I162,I157+I163)))</f>
        <v>0</v>
      </c>
      <c r="G85" s="55"/>
      <c r="H85" s="74" t="s">
        <v>132</v>
      </c>
      <c r="I85" s="54"/>
      <c r="J85" s="54"/>
      <c r="K85" s="54"/>
      <c r="L85" s="106">
        <f>+L84+L83</f>
        <v>0</v>
      </c>
      <c r="M85" s="96"/>
      <c r="N85" s="96"/>
      <c r="O85" s="112">
        <f>SUM(O82:O84)</f>
        <v>0</v>
      </c>
      <c r="P85" s="115">
        <f>I168+G174</f>
        <v>0</v>
      </c>
    </row>
    <row r="86" spans="1:16" ht="12">
      <c r="A86" s="47" t="s">
        <v>94</v>
      </c>
      <c r="B86" s="54" t="s">
        <v>133</v>
      </c>
      <c r="C86" s="54"/>
      <c r="D86" s="54"/>
      <c r="E86" s="54"/>
      <c r="F86" s="82">
        <v>0</v>
      </c>
      <c r="G86" s="55"/>
      <c r="H86" s="54"/>
      <c r="I86" s="54"/>
      <c r="J86" s="54"/>
      <c r="K86" s="54"/>
      <c r="L86" s="56"/>
      <c r="M86" s="45"/>
      <c r="N86" s="45"/>
      <c r="O86" s="45"/>
    </row>
    <row r="87" spans="1:16" ht="12">
      <c r="A87" s="47"/>
      <c r="B87" s="54"/>
      <c r="C87" s="54"/>
      <c r="D87" s="54"/>
      <c r="E87" s="54"/>
      <c r="F87" s="78"/>
      <c r="G87" s="75" t="s">
        <v>134</v>
      </c>
      <c r="H87" s="74" t="s">
        <v>135</v>
      </c>
      <c r="I87" s="54"/>
      <c r="J87" s="54"/>
      <c r="K87" s="54"/>
      <c r="L87" s="103"/>
      <c r="M87" s="94"/>
      <c r="N87" s="94"/>
      <c r="O87" s="94"/>
    </row>
    <row r="88" spans="1:16" ht="12">
      <c r="A88" s="47"/>
      <c r="B88" s="74" t="s">
        <v>136</v>
      </c>
      <c r="C88" s="54"/>
      <c r="D88" s="54"/>
      <c r="E88" s="54"/>
      <c r="F88" s="78">
        <f>SUM(F83:F87)</f>
        <v>0</v>
      </c>
      <c r="G88" s="55" t="s">
        <v>83</v>
      </c>
      <c r="H88" s="54" t="s">
        <v>120</v>
      </c>
      <c r="I88" s="54"/>
      <c r="J88" s="54"/>
      <c r="K88" s="54"/>
      <c r="L88" s="103">
        <f>L80</f>
        <v>0</v>
      </c>
      <c r="M88" s="94"/>
      <c r="N88" s="94"/>
      <c r="O88" s="87"/>
      <c r="P88" s="116"/>
    </row>
    <row r="89" spans="1:16" ht="12">
      <c r="A89" s="47"/>
      <c r="B89" s="54"/>
      <c r="C89" s="54"/>
      <c r="D89" s="54"/>
      <c r="E89" s="54"/>
      <c r="F89" s="78"/>
      <c r="G89" s="55" t="s">
        <v>87</v>
      </c>
      <c r="H89" s="54" t="s">
        <v>137</v>
      </c>
      <c r="I89" s="54"/>
      <c r="J89" s="54"/>
      <c r="K89" s="54"/>
      <c r="L89" s="103">
        <v>73057</v>
      </c>
      <c r="M89" s="94"/>
      <c r="N89" s="94"/>
      <c r="O89" s="94"/>
    </row>
    <row r="90" spans="1:16" ht="12">
      <c r="A90" s="70" t="s">
        <v>138</v>
      </c>
      <c r="B90" s="74" t="s">
        <v>61</v>
      </c>
      <c r="C90" s="74"/>
      <c r="D90" s="54"/>
      <c r="E90" s="117"/>
      <c r="F90" s="78"/>
      <c r="G90" s="54"/>
      <c r="H90" s="54" t="s">
        <v>139</v>
      </c>
      <c r="I90" s="54"/>
      <c r="J90" s="54"/>
      <c r="K90" s="54"/>
      <c r="L90" s="118">
        <v>0</v>
      </c>
      <c r="M90" s="119"/>
      <c r="N90" s="119"/>
      <c r="O90" s="94"/>
    </row>
    <row r="91" spans="1:16" ht="12">
      <c r="A91" s="77" t="s">
        <v>81</v>
      </c>
      <c r="B91" s="54" t="s">
        <v>140</v>
      </c>
      <c r="C91" s="54"/>
      <c r="D91" s="54"/>
      <c r="E91" s="120">
        <f>+I42</f>
        <v>0</v>
      </c>
      <c r="F91" s="105"/>
      <c r="G91" s="54"/>
      <c r="H91" s="54" t="s">
        <v>141</v>
      </c>
      <c r="I91" s="54"/>
      <c r="J91" s="54"/>
      <c r="K91" s="54"/>
      <c r="L91" s="103">
        <f>+L89*L90</f>
        <v>0</v>
      </c>
      <c r="M91" s="94"/>
      <c r="N91" s="94"/>
      <c r="O91" s="121"/>
    </row>
    <row r="92" spans="1:16" ht="12">
      <c r="A92" s="77" t="s">
        <v>85</v>
      </c>
      <c r="B92" s="54" t="s">
        <v>142</v>
      </c>
      <c r="C92" s="54"/>
      <c r="D92" s="54"/>
      <c r="E92" s="122">
        <f>+I43</f>
        <v>0</v>
      </c>
      <c r="F92" s="54"/>
      <c r="G92" s="55"/>
      <c r="H92" s="74" t="s">
        <v>143</v>
      </c>
      <c r="I92" s="54"/>
      <c r="J92" s="54"/>
      <c r="K92" s="54"/>
      <c r="L92" s="103">
        <f>+L88-L91</f>
        <v>0</v>
      </c>
      <c r="M92" s="94"/>
      <c r="N92" s="94"/>
      <c r="O92" s="94"/>
    </row>
    <row r="93" spans="1:16" ht="12">
      <c r="A93" s="77" t="s">
        <v>90</v>
      </c>
      <c r="B93" s="54" t="s">
        <v>144</v>
      </c>
      <c r="C93" s="54"/>
      <c r="D93" s="54"/>
      <c r="E93" s="123">
        <f>E92*E57*D57+E92*E58*D58+E92*E59*D59</f>
        <v>0</v>
      </c>
      <c r="F93" s="105"/>
      <c r="G93" s="105"/>
      <c r="H93" s="105"/>
      <c r="I93" s="54"/>
      <c r="J93" s="54"/>
      <c r="K93" s="54"/>
      <c r="L93" s="90"/>
      <c r="M93" s="80"/>
      <c r="N93" s="80"/>
      <c r="O93" s="94"/>
    </row>
    <row r="94" spans="1:16" ht="12">
      <c r="A94" s="77" t="s">
        <v>94</v>
      </c>
      <c r="B94" s="54" t="s">
        <v>145</v>
      </c>
      <c r="C94" s="54"/>
      <c r="D94" s="54"/>
      <c r="E94" s="124">
        <f>IF(AND(E59&gt;0,I141&gt;=0),G57*D57+G58*D58+G59*D59,IF(AND(E59=0,I141&gt;=0),G57*D57+G58*D58+G59*D59-G174,0))</f>
        <v>0</v>
      </c>
      <c r="F94" s="54"/>
      <c r="G94" s="125" t="s">
        <v>146</v>
      </c>
      <c r="H94" s="126" t="s">
        <v>147</v>
      </c>
      <c r="I94" s="54"/>
      <c r="J94" s="54"/>
      <c r="K94" s="54"/>
      <c r="L94" s="90"/>
      <c r="M94" s="80"/>
      <c r="N94" s="80"/>
      <c r="O94" s="80"/>
    </row>
    <row r="95" spans="1:16" ht="12">
      <c r="A95" s="77" t="s">
        <v>102</v>
      </c>
      <c r="B95" s="54" t="s">
        <v>148</v>
      </c>
      <c r="C95" s="54"/>
      <c r="D95" s="54"/>
      <c r="E95" s="82">
        <f>D168</f>
        <v>0</v>
      </c>
      <c r="F95" s="105"/>
      <c r="G95" s="82"/>
      <c r="H95" s="54"/>
      <c r="I95" s="54"/>
      <c r="J95" s="54"/>
      <c r="K95" s="54"/>
      <c r="L95" s="90"/>
      <c r="M95" s="80"/>
      <c r="N95" s="80"/>
      <c r="O95" s="80"/>
    </row>
    <row r="96" spans="1:16" ht="12">
      <c r="A96" s="77" t="s">
        <v>149</v>
      </c>
      <c r="B96" s="54" t="s">
        <v>150</v>
      </c>
      <c r="C96" s="54"/>
      <c r="D96" s="54"/>
      <c r="E96" s="82">
        <f>E168</f>
        <v>0</v>
      </c>
      <c r="F96" s="105"/>
      <c r="G96" s="89" t="s">
        <v>81</v>
      </c>
      <c r="H96" s="127" t="s">
        <v>151</v>
      </c>
      <c r="I96" s="54"/>
      <c r="J96" s="54"/>
      <c r="K96" s="54"/>
      <c r="L96" s="128">
        <v>0</v>
      </c>
      <c r="M96" s="91"/>
      <c r="N96" s="91"/>
      <c r="O96" s="45"/>
    </row>
    <row r="97" spans="1:16" ht="12">
      <c r="A97" s="47" t="s">
        <v>152</v>
      </c>
      <c r="B97" s="54" t="s">
        <v>153</v>
      </c>
      <c r="C97" s="54"/>
      <c r="D97" s="54"/>
      <c r="E97" s="129">
        <f>IF(I141&lt;0,0,H168)</f>
        <v>0</v>
      </c>
      <c r="F97" s="54"/>
      <c r="G97" s="105" t="s">
        <v>85</v>
      </c>
      <c r="H97" s="130" t="s">
        <v>154</v>
      </c>
      <c r="I97" s="54"/>
      <c r="J97" s="54"/>
      <c r="K97" s="54"/>
      <c r="L97" s="128">
        <v>0</v>
      </c>
      <c r="M97" s="91"/>
      <c r="N97" s="91"/>
    </row>
    <row r="98" spans="1:16" ht="12">
      <c r="A98" s="77"/>
      <c r="B98" s="54"/>
      <c r="C98" s="54"/>
      <c r="D98" s="54"/>
      <c r="E98" s="54"/>
      <c r="F98" s="105"/>
      <c r="G98" s="55" t="s">
        <v>90</v>
      </c>
      <c r="H98" s="130" t="s">
        <v>155</v>
      </c>
      <c r="I98" s="54"/>
      <c r="J98" s="54"/>
      <c r="K98" s="54"/>
      <c r="L98" s="128">
        <v>0</v>
      </c>
      <c r="M98" s="91"/>
      <c r="N98" s="91"/>
    </row>
    <row r="99" spans="1:16" ht="12">
      <c r="A99" s="77"/>
      <c r="B99" s="74" t="s">
        <v>156</v>
      </c>
      <c r="C99" s="74"/>
      <c r="D99" s="54"/>
      <c r="E99" s="55"/>
      <c r="F99" s="82">
        <f>SUM(E95:E97)</f>
        <v>0</v>
      </c>
      <c r="G99" s="55"/>
      <c r="H99" s="74" t="s">
        <v>57</v>
      </c>
      <c r="I99" s="54"/>
      <c r="J99" s="54"/>
      <c r="K99" s="54"/>
      <c r="L99" s="90">
        <f>SUM(L96:L98)</f>
        <v>0</v>
      </c>
      <c r="M99" s="80"/>
      <c r="N99" s="80"/>
    </row>
    <row r="100" spans="1:16" ht="12">
      <c r="A100" s="131"/>
      <c r="B100" s="132"/>
      <c r="C100" s="132"/>
      <c r="D100" s="67"/>
      <c r="E100" s="68"/>
      <c r="F100" s="133"/>
      <c r="G100" s="68"/>
      <c r="H100" s="67"/>
      <c r="I100" s="67"/>
      <c r="J100" s="67"/>
      <c r="K100" s="67"/>
      <c r="L100" s="69"/>
      <c r="M100" s="45"/>
      <c r="N100" s="45"/>
    </row>
    <row r="101" spans="1:16" ht="12">
      <c r="A101" s="54"/>
      <c r="B101" s="134" t="s">
        <v>157</v>
      </c>
      <c r="C101" s="54"/>
      <c r="D101" s="54"/>
      <c r="E101" s="54"/>
      <c r="F101" s="54"/>
      <c r="G101" s="55"/>
      <c r="H101" s="54"/>
      <c r="I101" s="54"/>
      <c r="J101" s="54"/>
      <c r="K101" s="54"/>
      <c r="L101" s="54"/>
      <c r="M101" s="45"/>
      <c r="N101" s="45"/>
    </row>
    <row r="102" spans="1:16" ht="12">
      <c r="A102" s="54"/>
      <c r="B102" s="54"/>
      <c r="C102" s="54"/>
      <c r="D102" s="34"/>
      <c r="E102" s="48" t="s">
        <v>158</v>
      </c>
      <c r="F102" s="48"/>
      <c r="G102" s="55"/>
      <c r="H102" s="54"/>
      <c r="I102" s="54"/>
      <c r="J102" s="54"/>
      <c r="K102" s="54"/>
      <c r="L102" s="54"/>
      <c r="M102" s="45"/>
      <c r="N102" s="45"/>
    </row>
    <row r="103" spans="1:16" ht="12">
      <c r="A103" s="54"/>
      <c r="B103" s="54"/>
      <c r="C103" s="34"/>
      <c r="D103" s="34"/>
      <c r="E103" s="48" t="s">
        <v>159</v>
      </c>
      <c r="F103" s="48"/>
      <c r="G103" s="55"/>
      <c r="H103" s="54"/>
      <c r="I103" s="54"/>
      <c r="J103" s="54"/>
      <c r="K103" s="54"/>
      <c r="L103" s="54"/>
      <c r="M103" s="45"/>
      <c r="N103" s="45"/>
    </row>
    <row r="104" spans="1:16" ht="12">
      <c r="A104" s="54"/>
      <c r="B104" s="34"/>
      <c r="C104" s="54"/>
      <c r="D104" s="54"/>
      <c r="E104" s="34"/>
      <c r="F104" s="34"/>
      <c r="G104" s="55"/>
      <c r="H104" s="54"/>
      <c r="I104" s="54"/>
      <c r="J104" s="54"/>
      <c r="K104" s="54"/>
      <c r="L104" s="54"/>
      <c r="M104" s="45"/>
      <c r="N104" s="45"/>
    </row>
    <row r="105" spans="1:16" ht="12">
      <c r="A105" s="54"/>
      <c r="B105" s="135" t="s">
        <v>160</v>
      </c>
      <c r="C105" s="136"/>
      <c r="D105" s="136"/>
      <c r="E105" s="34"/>
      <c r="F105" s="34"/>
      <c r="G105" s="135" t="s">
        <v>161</v>
      </c>
      <c r="H105" s="136"/>
      <c r="I105" s="136"/>
      <c r="J105" s="54"/>
      <c r="K105" s="54"/>
      <c r="L105" s="54"/>
      <c r="M105" s="45"/>
      <c r="N105" s="45"/>
      <c r="O105" s="137"/>
      <c r="P105" s="137"/>
    </row>
    <row r="106" spans="1:16" ht="12">
      <c r="A106" s="54"/>
      <c r="B106" s="138" t="s">
        <v>162</v>
      </c>
      <c r="C106" s="138" t="s">
        <v>163</v>
      </c>
      <c r="D106" s="139" t="s">
        <v>164</v>
      </c>
      <c r="E106" s="140" t="s">
        <v>45</v>
      </c>
      <c r="F106" s="52"/>
      <c r="G106" s="138" t="s">
        <v>162</v>
      </c>
      <c r="H106" s="138" t="s">
        <v>163</v>
      </c>
      <c r="I106" s="139" t="s">
        <v>164</v>
      </c>
      <c r="J106" s="54"/>
      <c r="K106" s="54"/>
      <c r="L106" s="54"/>
      <c r="M106" s="45"/>
      <c r="N106" s="45"/>
    </row>
    <row r="107" spans="1:16" ht="12">
      <c r="A107" s="34"/>
      <c r="B107" s="141">
        <v>5670617</v>
      </c>
      <c r="C107" s="141">
        <v>4536493</v>
      </c>
      <c r="D107" s="141">
        <v>3402370</v>
      </c>
      <c r="E107" s="142">
        <v>567062</v>
      </c>
      <c r="F107" s="143"/>
      <c r="G107" s="141">
        <v>4536493</v>
      </c>
      <c r="H107" s="141">
        <v>3969432</v>
      </c>
      <c r="I107" s="141">
        <v>3402370</v>
      </c>
      <c r="J107" s="34"/>
      <c r="K107" s="34"/>
      <c r="L107" s="34"/>
      <c r="O107" s="144"/>
      <c r="P107" s="144"/>
    </row>
    <row r="108" spans="1:16" ht="12">
      <c r="A108" s="34"/>
      <c r="B108" s="54"/>
      <c r="C108" s="54"/>
      <c r="D108" s="54"/>
      <c r="E108" s="145"/>
      <c r="F108" s="54"/>
      <c r="G108" s="54"/>
      <c r="H108" s="54"/>
      <c r="I108" s="54"/>
      <c r="J108" s="34"/>
      <c r="K108" s="34"/>
      <c r="L108" s="34"/>
      <c r="O108" s="144"/>
      <c r="P108" s="144"/>
    </row>
    <row r="109" spans="1:16" ht="12">
      <c r="A109" s="34"/>
      <c r="B109" s="35" t="s">
        <v>165</v>
      </c>
      <c r="C109" s="34"/>
      <c r="D109" s="56"/>
      <c r="E109" s="56"/>
      <c r="F109" s="54"/>
      <c r="G109" s="74" t="s">
        <v>166</v>
      </c>
      <c r="H109" s="34"/>
      <c r="I109" s="34"/>
      <c r="J109" s="48" t="s">
        <v>167</v>
      </c>
      <c r="K109" s="48"/>
      <c r="L109" s="48"/>
      <c r="M109" s="146"/>
      <c r="N109" s="146"/>
      <c r="O109" s="144"/>
      <c r="P109" s="144"/>
    </row>
    <row r="110" spans="1:16" ht="12">
      <c r="A110" s="34"/>
      <c r="B110" s="147">
        <f>G37</f>
        <v>0</v>
      </c>
      <c r="C110" s="147">
        <f>G36</f>
        <v>0</v>
      </c>
      <c r="D110" s="147">
        <f>G35</f>
        <v>0</v>
      </c>
      <c r="E110" s="148">
        <f>G38</f>
        <v>0</v>
      </c>
      <c r="F110" s="147"/>
      <c r="G110" s="147">
        <f>H37</f>
        <v>0</v>
      </c>
      <c r="H110" s="147">
        <f>H36</f>
        <v>0</v>
      </c>
      <c r="I110" s="147">
        <f>H35</f>
        <v>0</v>
      </c>
      <c r="J110" s="149">
        <f>SUM(G110:I110)</f>
        <v>0</v>
      </c>
      <c r="K110" s="149"/>
      <c r="L110" s="149"/>
      <c r="M110" s="150"/>
      <c r="N110" s="150"/>
      <c r="O110" s="144"/>
      <c r="P110" s="144"/>
    </row>
    <row r="111" spans="1:16" ht="12">
      <c r="A111" s="34"/>
      <c r="B111" s="151"/>
      <c r="C111" s="136"/>
      <c r="D111" s="136"/>
      <c r="E111" s="145"/>
      <c r="F111" s="54"/>
      <c r="G111" s="136"/>
      <c r="H111" s="151"/>
      <c r="I111" s="151"/>
      <c r="J111" s="151"/>
      <c r="K111" s="151"/>
      <c r="L111" s="151"/>
      <c r="M111" s="144"/>
      <c r="N111" s="144"/>
      <c r="O111" s="144"/>
      <c r="P111" s="144"/>
    </row>
    <row r="112" spans="1:16" ht="12">
      <c r="A112" s="34"/>
      <c r="B112" s="152" t="s">
        <v>168</v>
      </c>
      <c r="C112" s="136"/>
      <c r="D112" s="136"/>
      <c r="E112" s="145"/>
      <c r="F112" s="54"/>
      <c r="G112" s="136"/>
      <c r="H112" s="136"/>
      <c r="I112" s="151"/>
      <c r="J112" s="48" t="s">
        <v>169</v>
      </c>
      <c r="K112" s="48"/>
      <c r="L112" s="48"/>
      <c r="M112" s="146"/>
      <c r="N112" s="146"/>
      <c r="O112" s="144"/>
      <c r="P112" s="144"/>
    </row>
    <row r="113" spans="1:16" ht="12">
      <c r="A113" s="34"/>
      <c r="B113" s="153">
        <f>B107*B110</f>
        <v>0</v>
      </c>
      <c r="C113" s="153">
        <f>C107*C110</f>
        <v>0</v>
      </c>
      <c r="D113" s="153">
        <f>D107*D110</f>
        <v>0</v>
      </c>
      <c r="E113" s="154">
        <f>E107*E110</f>
        <v>0</v>
      </c>
      <c r="F113" s="153"/>
      <c r="G113" s="153">
        <f>G107*G110</f>
        <v>0</v>
      </c>
      <c r="H113" s="153">
        <f>H107*H110</f>
        <v>0</v>
      </c>
      <c r="I113" s="153">
        <f>I107*I110</f>
        <v>0</v>
      </c>
      <c r="J113" s="147">
        <f>SUM(B113:I113)</f>
        <v>0</v>
      </c>
      <c r="K113" s="147"/>
      <c r="L113" s="147"/>
      <c r="M113" s="155"/>
      <c r="N113" s="155"/>
      <c r="O113" s="144"/>
      <c r="P113" s="144"/>
    </row>
    <row r="114" spans="1:16" ht="12">
      <c r="A114" s="34"/>
      <c r="B114" s="151"/>
      <c r="C114" s="151"/>
      <c r="D114" s="153"/>
      <c r="E114" s="151"/>
      <c r="F114" s="151"/>
      <c r="G114" s="151"/>
      <c r="H114" s="151"/>
      <c r="I114" s="151"/>
      <c r="J114" s="151"/>
      <c r="K114" s="151"/>
      <c r="L114" s="151"/>
      <c r="M114" s="144"/>
      <c r="N114" s="144"/>
      <c r="O114" s="144"/>
      <c r="P114" s="144"/>
    </row>
    <row r="115" spans="1:16" ht="12">
      <c r="A115" s="34"/>
      <c r="B115" s="136" t="s">
        <v>170</v>
      </c>
      <c r="C115" s="151"/>
      <c r="D115" s="151"/>
      <c r="E115" s="151"/>
      <c r="F115" s="151"/>
      <c r="G115" s="151"/>
      <c r="H115" s="151"/>
      <c r="I115" s="34"/>
      <c r="J115" s="151"/>
      <c r="K115" s="151"/>
      <c r="L115" s="151"/>
      <c r="M115" s="144"/>
      <c r="N115" s="144"/>
      <c r="O115" s="144"/>
      <c r="P115" s="144"/>
    </row>
    <row r="116" spans="1:16" ht="12">
      <c r="A116" s="34"/>
      <c r="B116" s="52" t="s">
        <v>171</v>
      </c>
      <c r="C116" s="52" t="s">
        <v>172</v>
      </c>
      <c r="D116" s="74"/>
      <c r="E116" s="34"/>
      <c r="F116" s="34"/>
      <c r="G116" s="156"/>
      <c r="H116" s="136" t="s">
        <v>173</v>
      </c>
      <c r="I116" s="34"/>
      <c r="J116" s="151"/>
      <c r="K116" s="151"/>
      <c r="L116" s="151"/>
      <c r="M116" s="144"/>
      <c r="N116" s="144"/>
      <c r="O116" s="144"/>
    </row>
    <row r="117" spans="1:16" ht="12">
      <c r="A117" s="34"/>
      <c r="B117" s="157">
        <f>J35</f>
        <v>0</v>
      </c>
      <c r="C117" s="141">
        <v>1134123</v>
      </c>
      <c r="D117" s="34"/>
      <c r="E117" s="34"/>
      <c r="F117" s="34"/>
      <c r="G117" s="156"/>
      <c r="H117" s="36" t="s">
        <v>174</v>
      </c>
      <c r="I117" s="34"/>
      <c r="J117" s="151"/>
      <c r="K117" s="151"/>
      <c r="L117" s="151"/>
      <c r="M117" s="144"/>
      <c r="N117" s="144"/>
      <c r="O117" s="137"/>
    </row>
    <row r="118" spans="1:16" ht="12">
      <c r="A118" s="34"/>
      <c r="B118" s="74"/>
      <c r="C118" s="34"/>
      <c r="D118" s="34"/>
      <c r="E118" s="34"/>
      <c r="F118" s="34"/>
      <c r="G118" s="156"/>
      <c r="H118" s="158">
        <f>B117*C117</f>
        <v>0</v>
      </c>
      <c r="I118" s="34"/>
      <c r="J118" s="151"/>
      <c r="K118" s="151"/>
      <c r="L118" s="151"/>
      <c r="M118" s="144"/>
      <c r="N118" s="144"/>
      <c r="O118" s="137"/>
    </row>
    <row r="119" spans="1:16" ht="12">
      <c r="A119" s="34"/>
      <c r="B119" s="135" t="s">
        <v>175</v>
      </c>
      <c r="C119" s="151"/>
      <c r="D119" s="151"/>
      <c r="E119" s="151"/>
      <c r="F119" s="48"/>
      <c r="G119" s="34"/>
      <c r="H119" s="34"/>
      <c r="I119" s="34"/>
      <c r="J119" s="34"/>
      <c r="K119" s="34"/>
      <c r="L119" s="151"/>
      <c r="M119" s="144"/>
      <c r="N119" s="144"/>
      <c r="O119" s="137"/>
    </row>
    <row r="120" spans="1:16" ht="12">
      <c r="A120" s="34"/>
      <c r="B120" s="138" t="s">
        <v>176</v>
      </c>
      <c r="C120" s="138" t="s">
        <v>177</v>
      </c>
      <c r="D120" s="138" t="s">
        <v>178</v>
      </c>
      <c r="E120" s="138" t="s">
        <v>179</v>
      </c>
      <c r="F120" s="138" t="s">
        <v>180</v>
      </c>
      <c r="G120" s="136"/>
      <c r="H120" s="34"/>
      <c r="I120" s="34"/>
      <c r="J120" s="34"/>
      <c r="K120" s="34"/>
      <c r="L120" s="54"/>
      <c r="M120" s="137"/>
      <c r="N120" s="137"/>
    </row>
    <row r="121" spans="1:16" ht="12">
      <c r="A121" s="34"/>
      <c r="B121" s="141">
        <v>1134123</v>
      </c>
      <c r="C121" s="141">
        <v>850592</v>
      </c>
      <c r="D121" s="141">
        <v>567062</v>
      </c>
      <c r="E121" s="141">
        <v>283531</v>
      </c>
      <c r="F121" s="141">
        <v>141765</v>
      </c>
      <c r="G121" s="54"/>
      <c r="H121" s="34"/>
      <c r="I121" s="34"/>
      <c r="J121" s="34"/>
      <c r="K121" s="34"/>
      <c r="L121" s="54"/>
      <c r="M121" s="137"/>
      <c r="N121" s="137"/>
    </row>
    <row r="122" spans="1:16" ht="12">
      <c r="A122" s="34"/>
      <c r="B122" s="34"/>
      <c r="C122" s="34"/>
      <c r="D122" s="34"/>
      <c r="E122" s="34"/>
      <c r="F122" s="34"/>
      <c r="G122" s="34"/>
      <c r="H122" s="34"/>
      <c r="I122" s="54"/>
      <c r="J122" s="54"/>
      <c r="K122" s="54"/>
      <c r="L122" s="54"/>
      <c r="M122" s="137"/>
      <c r="N122" s="137"/>
    </row>
    <row r="123" spans="1:16" ht="12">
      <c r="A123" s="34"/>
      <c r="B123" s="152" t="s">
        <v>181</v>
      </c>
      <c r="C123" s="151"/>
      <c r="D123" s="151"/>
      <c r="E123" s="151"/>
      <c r="F123" s="151"/>
      <c r="G123" s="48"/>
      <c r="H123" s="132" t="s">
        <v>182</v>
      </c>
      <c r="I123" s="34"/>
      <c r="J123" s="34"/>
      <c r="K123" s="34"/>
      <c r="L123" s="34"/>
    </row>
    <row r="124" spans="1:16" ht="12">
      <c r="A124" s="34"/>
      <c r="B124" s="157">
        <f>J36</f>
        <v>0</v>
      </c>
      <c r="C124" s="157">
        <f>J37</f>
        <v>0</v>
      </c>
      <c r="D124" s="159">
        <f>J38</f>
        <v>0</v>
      </c>
      <c r="E124" s="159">
        <f>J39</f>
        <v>0</v>
      </c>
      <c r="F124" s="159">
        <f>J40</f>
        <v>0</v>
      </c>
      <c r="G124" s="149"/>
      <c r="H124" s="48">
        <f>SUM(B124:F124)</f>
        <v>0</v>
      </c>
      <c r="I124" s="34"/>
      <c r="J124" s="34"/>
      <c r="K124" s="34"/>
      <c r="L124" s="34"/>
    </row>
    <row r="125" spans="1:16" ht="12">
      <c r="A125" s="34"/>
      <c r="B125" s="54"/>
      <c r="C125" s="54"/>
      <c r="D125" s="54"/>
      <c r="E125" s="54"/>
      <c r="F125" s="54"/>
      <c r="G125" s="34"/>
      <c r="H125" s="48" t="s">
        <v>183</v>
      </c>
      <c r="I125" s="34"/>
      <c r="J125" s="48" t="s">
        <v>184</v>
      </c>
      <c r="K125" s="48"/>
      <c r="L125" s="34"/>
    </row>
    <row r="126" spans="1:16" ht="12">
      <c r="A126" s="34"/>
      <c r="B126" s="152" t="s">
        <v>185</v>
      </c>
      <c r="C126" s="34"/>
      <c r="D126" s="34"/>
      <c r="E126" s="34"/>
      <c r="F126" s="156"/>
      <c r="G126" s="34"/>
      <c r="H126" s="138" t="s">
        <v>186</v>
      </c>
      <c r="I126" s="34"/>
      <c r="J126" s="52" t="s">
        <v>186</v>
      </c>
      <c r="K126" s="48"/>
      <c r="L126" s="34"/>
    </row>
    <row r="127" spans="1:16" ht="12">
      <c r="A127" s="34"/>
      <c r="B127" s="141">
        <f>B121*B124</f>
        <v>0</v>
      </c>
      <c r="C127" s="141">
        <f>C121*C124</f>
        <v>0</v>
      </c>
      <c r="D127" s="141">
        <f>D121*D124</f>
        <v>0</v>
      </c>
      <c r="E127" s="141">
        <f>E121*E124</f>
        <v>0</v>
      </c>
      <c r="F127" s="141">
        <f>F121*F124</f>
        <v>0</v>
      </c>
      <c r="G127" s="34"/>
      <c r="H127" s="160">
        <f>SUM(B127:F127)</f>
        <v>0</v>
      </c>
      <c r="I127" s="34"/>
      <c r="J127" s="158">
        <f>H118+H127</f>
        <v>0</v>
      </c>
      <c r="K127" s="158"/>
      <c r="L127" s="34"/>
    </row>
    <row r="128" spans="1:16" ht="12">
      <c r="A128" s="34"/>
      <c r="B128" s="34"/>
      <c r="C128" s="34"/>
      <c r="D128" s="34"/>
      <c r="E128" s="34"/>
      <c r="F128" s="156"/>
      <c r="G128" s="34"/>
      <c r="H128" s="34"/>
      <c r="I128" s="34"/>
      <c r="J128" s="34"/>
      <c r="K128" s="34"/>
      <c r="L128" s="34"/>
    </row>
    <row r="129" spans="1:16" ht="12">
      <c r="A129" s="34"/>
      <c r="B129" s="35" t="s">
        <v>187</v>
      </c>
      <c r="C129" s="161">
        <f>B117+D117+B124+C124+D124+E124+F124</f>
        <v>0</v>
      </c>
      <c r="D129" s="34"/>
      <c r="E129" s="34"/>
      <c r="F129" s="156"/>
      <c r="G129" s="34"/>
      <c r="H129" s="34"/>
      <c r="I129" s="34"/>
      <c r="J129" s="36" t="s">
        <v>188</v>
      </c>
      <c r="K129" s="36"/>
      <c r="L129" s="34"/>
    </row>
    <row r="130" spans="1:16" ht="12">
      <c r="A130" s="34"/>
      <c r="B130" s="34"/>
      <c r="C130" s="34"/>
      <c r="D130" s="34"/>
      <c r="E130" s="34"/>
      <c r="F130" s="34"/>
      <c r="G130" s="156"/>
      <c r="H130" s="34"/>
      <c r="I130" s="34"/>
      <c r="J130" s="52" t="s">
        <v>189</v>
      </c>
      <c r="K130" s="48"/>
      <c r="L130" s="34"/>
    </row>
    <row r="131" spans="1:16" ht="12">
      <c r="A131" s="34"/>
      <c r="B131" s="34"/>
      <c r="C131" s="34"/>
      <c r="D131" s="34"/>
      <c r="E131" s="36"/>
      <c r="F131" s="36"/>
      <c r="G131" s="34"/>
      <c r="H131" s="34"/>
      <c r="I131" s="34"/>
      <c r="J131" s="158">
        <f>J113+J127</f>
        <v>0</v>
      </c>
      <c r="K131" s="158"/>
      <c r="L131" s="158"/>
      <c r="M131" s="88"/>
      <c r="N131" s="88"/>
    </row>
    <row r="132" spans="1:16" ht="8.25" customHeight="1">
      <c r="A132" s="5"/>
      <c r="B132" s="5"/>
      <c r="C132" s="5"/>
      <c r="D132" s="5"/>
      <c r="E132" s="15"/>
      <c r="F132" s="15"/>
      <c r="G132" s="5"/>
      <c r="H132" s="5"/>
      <c r="I132" s="5"/>
      <c r="J132" s="5"/>
      <c r="K132" s="5"/>
      <c r="L132" s="5"/>
      <c r="M132" s="5"/>
      <c r="N132" s="5"/>
    </row>
    <row r="133" spans="1:16">
      <c r="A133" s="5"/>
      <c r="B133" s="5"/>
      <c r="C133" s="5"/>
      <c r="D133" s="5"/>
      <c r="F133" s="15"/>
      <c r="G133" s="5"/>
      <c r="H133" s="5"/>
      <c r="I133" s="5"/>
      <c r="J133" s="5"/>
      <c r="K133" s="5"/>
      <c r="L133" s="5"/>
      <c r="M133" s="5"/>
      <c r="N133" s="5"/>
    </row>
    <row r="134" spans="1:16">
      <c r="A134" s="5"/>
      <c r="B134" s="5"/>
      <c r="C134" s="5"/>
      <c r="D134" s="5"/>
      <c r="E134" s="15"/>
      <c r="F134" s="15"/>
      <c r="G134" s="5"/>
      <c r="H134" s="5"/>
      <c r="I134" s="5"/>
      <c r="J134" s="5"/>
      <c r="K134" s="5"/>
      <c r="L134" s="5"/>
      <c r="M134" s="5"/>
      <c r="N134" s="5"/>
    </row>
    <row r="135" spans="1:16">
      <c r="A135" s="5"/>
      <c r="I135" s="45"/>
      <c r="J135" s="45"/>
      <c r="K135" s="45"/>
      <c r="L135" s="45"/>
      <c r="M135" s="45"/>
      <c r="N135" s="45"/>
    </row>
    <row r="136" spans="1:16">
      <c r="B136" s="162"/>
      <c r="C136" s="162"/>
      <c r="D136" s="162"/>
      <c r="E136" s="162"/>
      <c r="F136" s="162"/>
      <c r="G136" s="162"/>
      <c r="H136" s="162"/>
      <c r="I136" s="162"/>
      <c r="J136" s="162"/>
      <c r="K136" s="45"/>
      <c r="L136" s="45"/>
      <c r="M136" s="45"/>
      <c r="N136" s="45"/>
    </row>
    <row r="137" spans="1:16" ht="15">
      <c r="A137" s="163"/>
      <c r="B137" s="164"/>
      <c r="C137" s="165"/>
      <c r="D137" s="166" t="s">
        <v>190</v>
      </c>
      <c r="E137" s="164"/>
      <c r="F137" s="164"/>
      <c r="G137" s="167"/>
      <c r="H137" s="5"/>
    </row>
    <row r="138" spans="1:16">
      <c r="A138" s="13"/>
      <c r="B138" s="1" t="s">
        <v>191</v>
      </c>
      <c r="D138" s="168">
        <f>I27</f>
        <v>0</v>
      </c>
      <c r="G138" s="169" t="s">
        <v>192</v>
      </c>
      <c r="I138" s="170"/>
    </row>
    <row r="139" spans="1:16">
      <c r="A139" s="5"/>
      <c r="C139" s="50" t="s">
        <v>193</v>
      </c>
      <c r="D139" s="168"/>
      <c r="G139" s="169" t="s">
        <v>194</v>
      </c>
    </row>
    <row r="140" spans="1:16">
      <c r="A140" s="5"/>
      <c r="B140" s="2" t="s">
        <v>195</v>
      </c>
      <c r="C140" s="53" t="s">
        <v>196</v>
      </c>
      <c r="D140" s="57" t="s">
        <v>197</v>
      </c>
      <c r="E140" s="53" t="s">
        <v>198</v>
      </c>
      <c r="F140" s="57" t="s">
        <v>199</v>
      </c>
      <c r="G140" s="53" t="s">
        <v>200</v>
      </c>
      <c r="H140" s="57" t="s">
        <v>201</v>
      </c>
      <c r="I140" s="20" t="s">
        <v>57</v>
      </c>
      <c r="J140" s="53"/>
      <c r="K140" s="53"/>
      <c r="L140" s="53" t="s">
        <v>202</v>
      </c>
      <c r="M140" s="53"/>
      <c r="N140" s="53"/>
      <c r="O140" s="53" t="s">
        <v>203</v>
      </c>
    </row>
    <row r="141" spans="1:16">
      <c r="A141" s="5"/>
      <c r="B141" s="2" t="s">
        <v>204</v>
      </c>
      <c r="D141" s="171">
        <f>(L57-E57)*D57</f>
        <v>0</v>
      </c>
      <c r="E141" s="171">
        <f>(L58-E58)*D58</f>
        <v>0</v>
      </c>
      <c r="F141" s="171">
        <f>ROUND(D141+E141,0)</f>
        <v>0</v>
      </c>
      <c r="G141" s="172">
        <f>IF(E59&gt;0,0,O168)</f>
        <v>0</v>
      </c>
      <c r="H141" s="171">
        <f>(L59-E59)*D59</f>
        <v>0</v>
      </c>
      <c r="I141" s="171">
        <f>ROUND(D141+E141+H141,2)</f>
        <v>0</v>
      </c>
      <c r="J141" s="173">
        <f>I144+I145+I150+I151+I162+I163+I156+I157+I168</f>
        <v>0</v>
      </c>
      <c r="K141" s="173"/>
      <c r="O141" s="174">
        <f>F141+G141</f>
        <v>0</v>
      </c>
      <c r="P141" s="115"/>
    </row>
    <row r="142" spans="1:16">
      <c r="A142" s="5"/>
      <c r="C142" s="171"/>
      <c r="D142" s="65"/>
      <c r="E142" s="65"/>
      <c r="F142" s="171"/>
      <c r="G142" s="171"/>
      <c r="H142" s="65"/>
      <c r="I142" s="115"/>
    </row>
    <row r="143" spans="1:16">
      <c r="A143" s="5"/>
      <c r="B143" s="175" t="s">
        <v>205</v>
      </c>
      <c r="D143" s="176"/>
      <c r="E143" s="176"/>
      <c r="F143" s="171"/>
      <c r="G143" s="171"/>
      <c r="H143" s="177"/>
      <c r="I143" s="171"/>
    </row>
    <row r="144" spans="1:16">
      <c r="A144" s="5"/>
      <c r="B144" s="171" t="s">
        <v>206</v>
      </c>
      <c r="C144" s="171"/>
      <c r="D144" s="178">
        <f>IF(OR(D138=0,D141&lt;=0,I141&lt;=0,F141+G141&gt;D138,E141&lt;0,E59&gt;0),0,IF(AND(F141&lt;D138,O168&gt;=0,F141+O168&lt;=D138,F141+O168&gt;0,D141&gt;=0),D141,IF(AND(D141&lt;D138,F141&gt;D138,E141&gt;=0),D138/(D141+E141)*D141,IF(AND(I141&lt;D138,E141&gt;=0),D141,0))))</f>
        <v>0</v>
      </c>
      <c r="E144" s="178">
        <f>IF(OR(D138=0,I141&lt;=0,E59&gt;0,D138&lt;F141+G141),0,IF(AND(D141&lt;0,E141&gt;=0,F141&lt;D138,F141+G141&lt;=D138),F141+G141,IF(AND(D141&gt;0,E141&gt;=0,F141+G141&lt;=D138),E141+G141,IF(AND(E141&gt;0,F141+G141&lt;D138),G141/(D141+G141)*(E141),0))))</f>
        <v>0</v>
      </c>
      <c r="F144" s="178">
        <f>D144+E144</f>
        <v>0</v>
      </c>
      <c r="G144" s="178"/>
      <c r="H144" s="178">
        <f>IF(OR(E59&gt;=0,E141&lt;0,D138&lt;F141+G141),0,IF(AND(O168&gt;0,I141&lt;=D138,H141&lt;O168),H141,IF(AND(O168&gt;0,I141&lt;=D138,H141&lt;O168),H141,IF(AND(I141&gt;D138,F141&lt;D138,H141&lt;D138,F141+O168&gt;D138),D138/(F141+O168)*O168,IF(AND(F141&gt;0,F141+O168&lt;=D138),O168-(E144-E141),0)))))</f>
        <v>0</v>
      </c>
      <c r="I144" s="178">
        <f>F144+H144</f>
        <v>0</v>
      </c>
      <c r="J144" s="179"/>
      <c r="K144" s="179"/>
    </row>
    <row r="145" spans="1:16">
      <c r="A145" s="5"/>
      <c r="B145" s="171" t="s">
        <v>207</v>
      </c>
      <c r="C145" s="171"/>
      <c r="D145" s="178">
        <f>IF(OR(D138=0,D141&lt;=0,I141&lt;=0,F141+G141&gt;D138,E141&gt;=0,E59&gt;0),0,IF(AND(D141&lt;D138,G141=0,E141&lt;=0,I141-D141&gt;0,F141&lt;0),0,IF(AND(F141+G141&lt;D138,G141&gt;=0,E141&lt;=0),D141+G141+E141,IF(AND(D141&gt;0,E141&lt;0,F141+G141&lt;D138,H141=0),F141,IF(AND(D141&gt;=D138,E141&lt;0,F141+G141&lt;=D138,G141&lt;0),D141+G141,0)))))</f>
        <v>0</v>
      </c>
      <c r="E145" s="178">
        <f>IF(OR(D138=0,I141&lt;=0,E141=0,F141+G141&gt;D138,E59&gt;0),0,IF(AND(E141&lt;0,H141=0,G141&lt;0),0,IF(AND(E141&lt;0,G141&gt;=0,F141+G141&lt;D138,D141&lt;0),(I141-G174)/(G141-E141+L147*(D59-D58))*(G141+L147*(D59-D58)-E141),IF(AND(E141&lt;0,D141+G141&lt;D138,D141+G141&lt;I141,D141&lt;0,G141+G174&lt;I141),G141,IF(AND(E141&lt;0,G141&gt;0,D141+G141&lt;D138,D141+G141&lt;I141,D141&gt;0),E141+G141,0)))))</f>
        <v>0</v>
      </c>
      <c r="F145" s="178">
        <f>D145+E145</f>
        <v>0</v>
      </c>
      <c r="G145" s="178"/>
      <c r="H145" s="178">
        <f>IF(OR(I141&lt;=0,H141&lt;=0,D138&lt;F141+G141,E59&gt;=0),0,IF(F141&gt;D138,D138/F141*H141,IF(AND(H141&lt;=D138,I141&gt;D138),D138,IF(AND(F141&lt;=D138,D141+E141&lt;0,F141+H141&gt;0),H141-O168,0))))</f>
        <v>0</v>
      </c>
      <c r="I145" s="178">
        <f>ROUND(D145+E145,2)</f>
        <v>0</v>
      </c>
      <c r="L145" s="176">
        <f>L58+L59</f>
        <v>0</v>
      </c>
      <c r="M145" s="176"/>
      <c r="N145" s="176"/>
      <c r="O145" s="179" t="e">
        <f>D138/(D141+O168)*D141</f>
        <v>#DIV/0!</v>
      </c>
      <c r="P145" s="1" t="s">
        <v>208</v>
      </c>
    </row>
    <row r="146" spans="1:16">
      <c r="A146" s="5"/>
      <c r="B146" s="45" t="s">
        <v>209</v>
      </c>
      <c r="D146" s="65">
        <f>D144/D57</f>
        <v>0</v>
      </c>
      <c r="E146" s="65">
        <f>E144/D58</f>
        <v>0</v>
      </c>
      <c r="F146" s="171"/>
      <c r="H146" s="65">
        <f>H144/D59</f>
        <v>0</v>
      </c>
      <c r="I146" s="171"/>
      <c r="L146" s="176"/>
      <c r="M146" s="176"/>
      <c r="N146" s="176"/>
    </row>
    <row r="147" spans="1:16">
      <c r="A147" s="5"/>
      <c r="B147" s="45" t="s">
        <v>210</v>
      </c>
      <c r="D147" s="65">
        <f>D145/D57</f>
        <v>0</v>
      </c>
      <c r="E147" s="65">
        <f>E145/D58</f>
        <v>0</v>
      </c>
      <c r="F147" s="65"/>
      <c r="H147" s="65">
        <f>H145/D59</f>
        <v>0</v>
      </c>
      <c r="I147" s="171"/>
      <c r="L147" s="176">
        <f>IF(I16-I11&gt;=0,I16+I17-I11-(I16-I11),IF(AND(I16-I11&lt;0,-(I16-I11)&lt;I17),I16+I17-I11,0))</f>
        <v>0</v>
      </c>
      <c r="M147" s="176"/>
      <c r="N147" s="176"/>
      <c r="O147" s="1" t="s">
        <v>211</v>
      </c>
    </row>
    <row r="148" spans="1:16">
      <c r="A148" s="5"/>
      <c r="B148" s="45"/>
      <c r="D148" s="65"/>
      <c r="E148" s="65"/>
      <c r="F148" s="65"/>
      <c r="H148" s="65"/>
      <c r="I148" s="171"/>
      <c r="L148" s="176"/>
      <c r="M148" s="176"/>
      <c r="N148" s="176"/>
    </row>
    <row r="149" spans="1:16">
      <c r="A149" s="5"/>
      <c r="B149" s="175" t="s">
        <v>212</v>
      </c>
      <c r="D149" s="176"/>
      <c r="E149" s="176"/>
      <c r="F149" s="171"/>
      <c r="G149" s="171"/>
      <c r="H149" s="177"/>
      <c r="I149" s="171"/>
    </row>
    <row r="150" spans="1:16">
      <c r="A150" s="5"/>
      <c r="B150" s="171" t="s">
        <v>206</v>
      </c>
      <c r="C150" s="171"/>
      <c r="D150" s="178">
        <f>IF(OR(D138=0,D141=0,I141&lt;=0,E141&lt;0,E59&gt;0),0,IF(AND(F141&lt;D138,O168&gt;0,F141+O168&gt;D138,D141&gt;0,E141&gt;=0),F141/(F141+O168)*D141,IF(AND(D141&gt;0,F141&gt;D138,E141&gt;=0),D138/(D141+E141)*D141,0)))</f>
        <v>0</v>
      </c>
      <c r="E150" s="178">
        <f>IF(OR(D138=0,I141&lt;=0,E141=0,E59&gt;0),0,IF(AND(D141&lt;0,E141&gt;0,F141+G141&gt;=D138),D138/(F141-D141+G141)*E141,IF(AND(E141&gt;0,F141&lt;D138,D141&gt;0,F141+G141&gt;D138),D138/(F141+G141)*(E141+G141),IF(AND(E141&gt;0,F141&gt;D138),D138/(D141+E141)*E141,0))))</f>
        <v>0</v>
      </c>
      <c r="F150" s="178">
        <f>D150+E150</f>
        <v>0</v>
      </c>
      <c r="G150" s="178"/>
      <c r="H150" s="178">
        <f>IF(OR(E59&gt;=0,E141&lt;0),0,IF(AND(I141&gt;D138,F141&lt;D138,H141&lt;D138,F141+O168&gt;D138),D138/(F141+O168)*O168,IF(AND(F141&gt;0,F141+O168&lt;=D138),O168-(E144-E141),0)))</f>
        <v>0</v>
      </c>
      <c r="I150" s="178">
        <f>F150+H150</f>
        <v>0</v>
      </c>
      <c r="J150" s="179"/>
      <c r="K150" s="179"/>
    </row>
    <row r="151" spans="1:16">
      <c r="A151" s="5"/>
      <c r="B151" s="171" t="s">
        <v>207</v>
      </c>
      <c r="C151" s="171"/>
      <c r="D151" s="178">
        <f>IF(OR(D138=0,I141&lt;=0,E141&gt;=0,E59&gt;0),0,IF(AND(D141&lt;0,G141&gt;=0,G141+F141&gt;D138,E141&lt;=0),0,IF(AND(D141&gt;=0,E141&lt;0,D141&gt;D138,I141&gt;=D138),D138/(D141)*D141,IF(AND(D141&gt;0,E141&lt;0,F141&gt;0,F141+G141&gt;D138,H141=0),F141,0))))</f>
        <v>0</v>
      </c>
      <c r="E151" s="178">
        <f>IF(OR(D138=0,I141&lt;=0,E141=0,E59&gt;0,F141+G141&lt;D138),0,IF(AND(E141&lt;0,H141=0,G141&lt;0),0,IF(AND(E141&lt;0,F141&gt;=D138),0,IF(AND(E141&lt;0,G141&gt;0,F141+G141&gt;0,D141&gt;0),D138/(F141-E141+G141)*G141,0))))</f>
        <v>0</v>
      </c>
      <c r="F151" s="178">
        <f>D151+E151</f>
        <v>0</v>
      </c>
      <c r="G151" s="178"/>
      <c r="H151" s="178">
        <f>IF(OR(I141&lt;=0,H141&lt;=0,E59&gt;=0),0,IF(F141&gt;D138,D138/F141*H147,IF(AND(H147&lt;=D138,I141&gt;D138),D138,IF(AND(F141&lt;=D138,D141+E141&lt;0,F141+H141&gt;0),H141-O168,0))))</f>
        <v>0</v>
      </c>
      <c r="I151" s="178">
        <f>ROUND(D151+E151,2)</f>
        <v>0</v>
      </c>
      <c r="L151" s="176">
        <f>L58+L59</f>
        <v>0</v>
      </c>
      <c r="M151" s="176"/>
      <c r="N151" s="176"/>
      <c r="O151" s="179" t="e">
        <f>D138/(D141+O168)*D141</f>
        <v>#DIV/0!</v>
      </c>
      <c r="P151" s="1" t="s">
        <v>208</v>
      </c>
    </row>
    <row r="152" spans="1:16">
      <c r="A152" s="5"/>
      <c r="B152" s="45" t="s">
        <v>209</v>
      </c>
      <c r="D152" s="65">
        <f>D150/D57</f>
        <v>0</v>
      </c>
      <c r="E152" s="65">
        <f>E150/D58</f>
        <v>0</v>
      </c>
      <c r="F152" s="171"/>
      <c r="H152" s="65">
        <f>H150/D59</f>
        <v>0</v>
      </c>
      <c r="I152" s="171"/>
      <c r="L152" s="176"/>
      <c r="M152" s="176"/>
      <c r="N152" s="176"/>
    </row>
    <row r="153" spans="1:16">
      <c r="A153" s="5"/>
      <c r="B153" s="45" t="s">
        <v>210</v>
      </c>
      <c r="D153" s="65">
        <f>D151/D57</f>
        <v>0</v>
      </c>
      <c r="E153" s="65">
        <f>E151/D58</f>
        <v>0</v>
      </c>
      <c r="F153" s="65"/>
      <c r="H153" s="65">
        <f>H151/D59</f>
        <v>0</v>
      </c>
      <c r="I153" s="171"/>
      <c r="L153" s="176">
        <f>I16+I17-I11</f>
        <v>0</v>
      </c>
      <c r="M153" s="176"/>
      <c r="N153" s="176"/>
      <c r="O153" s="1" t="s">
        <v>213</v>
      </c>
    </row>
    <row r="154" spans="1:16">
      <c r="A154" s="5"/>
      <c r="B154" s="45"/>
      <c r="D154" s="65" t="e">
        <f>D138/I141*D141</f>
        <v>#DIV/0!</v>
      </c>
      <c r="E154" s="65"/>
      <c r="F154" s="65"/>
      <c r="H154" s="65"/>
      <c r="I154" s="171"/>
      <c r="L154" s="176"/>
      <c r="M154" s="176"/>
      <c r="N154" s="176"/>
    </row>
    <row r="155" spans="1:16">
      <c r="A155" s="5"/>
      <c r="B155" s="175" t="s">
        <v>214</v>
      </c>
      <c r="D155" s="176"/>
      <c r="E155" s="176"/>
      <c r="F155" s="171"/>
      <c r="H155" s="171">
        <f>IF(H147=0,0,L153*D64)</f>
        <v>0</v>
      </c>
      <c r="I155" s="171"/>
      <c r="L155" s="176"/>
      <c r="M155" s="176"/>
      <c r="N155" s="176"/>
    </row>
    <row r="156" spans="1:16">
      <c r="A156" s="5"/>
      <c r="B156" s="171" t="s">
        <v>206</v>
      </c>
      <c r="C156" s="171"/>
      <c r="D156" s="178">
        <f>IF(OR(D138=0,D141=0,I141&lt;=0,I141&lt;D138,E141&lt;0,E59=0),0,IF(AND(D141&lt;0,E141&gt;0,H141&gt;0,I141&gt;0),0,IF(AND(D141&gt;0,E141&gt;0,H141&gt;=0,I141&gt;D138),D138/I141*D141,IF(AND(D141&gt;0,E141&gt;0,H141&lt;0,I141&gt;D138),D138/(I141-H141)*D141,IF(AND(D141&lt;0,E141&gt;0,H141&lt;0,I141&gt;D138),0)))))</f>
        <v>0</v>
      </c>
      <c r="E156" s="178">
        <f>IF(OR(D138=0,I141&lt;=0,E141&lt;=0,E59=0),0,IF(AND(D141&gt;0,E141&gt;0,H141&gt;0,I141&gt;D138),D138/(I141)*E141,IF(AND(D141&gt;0,E141&gt;0,H141&lt;0,I141&gt;D138),D138/(I141-H141)*E141,IF(AND(D141&lt;0,E141&gt;0,H141&gt;=0,I141&gt;D138),D138/(I141-D141)*E141,IF(AND(D141&lt;0,E141&gt;0,H141&lt;0,I141&gt;D138),D138/(I141-D141-H141)*E141,0)))))</f>
        <v>0</v>
      </c>
      <c r="F156" s="178"/>
      <c r="G156" s="178"/>
      <c r="H156" s="178">
        <f>IF(OR(I141&lt;=0,E59=0,E141&lt;0),0,IF(AND(D141&gt;0,E141&gt;0,H141&gt;0,I141&gt;D138),D138/(I141)*H141,IF(AND(D141&gt;0,E141&gt;0,H141&lt;0,I141&gt;D138),0,IF(AND(D141&lt;0,E141&gt;D138,H141&gt;0,I141&gt;D138),D138/(I141-D141)*H141,IF(AND(D141&lt;0,E141&gt;0,H141&lt;0,I141&gt;D138),0,0)))))</f>
        <v>0</v>
      </c>
      <c r="I156" s="178">
        <f>D156+E156+H156</f>
        <v>0</v>
      </c>
      <c r="L156" s="176"/>
      <c r="M156" s="176"/>
      <c r="N156" s="176"/>
    </row>
    <row r="157" spans="1:16">
      <c r="A157" s="5"/>
      <c r="B157" s="171" t="s">
        <v>207</v>
      </c>
      <c r="C157" s="171"/>
      <c r="D157" s="178">
        <f>IF(OR(D138=0,D141=0,I141&lt;=0,E141&gt;=0,E59=0),0,IF(AND(D141&gt;0,E141&lt;0,H141&gt;0,I141&gt;D138),D138/(I141-E141)*D141,IF(AND(D141&gt;0,E141&lt;0,H141&lt;0,I141&gt;D138),D138/(I141-E141-H141)*D141,IF(AND(D141&lt;0,E141&lt;0,H141&gt;0,I141&gt;D138),0,))))</f>
        <v>0</v>
      </c>
      <c r="E157" s="178">
        <f>IF(OR(D138=0,I141&lt;=0,E141=0,E59=0),0,IF(AND(E141&lt;0,I141&gt;0,E59&gt;0),0,0))</f>
        <v>0</v>
      </c>
      <c r="F157" s="178">
        <f>D157+E157</f>
        <v>0</v>
      </c>
      <c r="G157" s="178"/>
      <c r="H157" s="178">
        <f>IF(OR(I141&lt;=0,H141=0,E59=0,E141&gt;=0),0,IF(AND(D141&gt;0,E141&lt;0,H141&gt;0,I141&gt;D138),D138/(I141-E141)*H141,IF(AND(D141&gt;0,E141&lt;0,H141&lt;0,I141&gt;D138,),0,IF(AND(D141&lt;0,E141&lt;0,H141&gt;0,I141&gt;D138),D138/(I141-E141-D141)*H141,0))))</f>
        <v>0</v>
      </c>
      <c r="I157" s="178">
        <f>ROUND(D157+E157+H157,2)</f>
        <v>0</v>
      </c>
      <c r="L157" s="176"/>
      <c r="M157" s="176"/>
      <c r="N157" s="176"/>
    </row>
    <row r="158" spans="1:16">
      <c r="A158" s="5"/>
      <c r="B158" s="45" t="s">
        <v>209</v>
      </c>
      <c r="D158" s="65">
        <f>D156/D57</f>
        <v>0</v>
      </c>
      <c r="E158" s="65">
        <f>E156/D58</f>
        <v>0</v>
      </c>
      <c r="F158" s="171"/>
      <c r="H158" s="65">
        <f>H156/D59</f>
        <v>0</v>
      </c>
      <c r="I158" s="171"/>
      <c r="L158" s="176"/>
      <c r="M158" s="176"/>
      <c r="N158" s="176"/>
    </row>
    <row r="159" spans="1:16">
      <c r="A159" s="5"/>
      <c r="B159" s="45" t="s">
        <v>210</v>
      </c>
      <c r="D159" s="65">
        <f>D157/D57</f>
        <v>0</v>
      </c>
      <c r="E159" s="65">
        <f>E157/D58</f>
        <v>0</v>
      </c>
      <c r="F159" s="65"/>
      <c r="H159" s="65">
        <f>H157/D59</f>
        <v>0</v>
      </c>
      <c r="I159" s="171"/>
      <c r="L159" s="176"/>
      <c r="M159" s="176"/>
      <c r="N159" s="176"/>
    </row>
    <row r="160" spans="1:16">
      <c r="A160" s="5"/>
      <c r="B160" s="45"/>
      <c r="D160" s="65"/>
      <c r="E160" s="65"/>
      <c r="F160" s="65"/>
      <c r="H160" s="65"/>
      <c r="I160" s="171"/>
      <c r="L160" s="176"/>
      <c r="M160" s="176"/>
      <c r="N160" s="176"/>
    </row>
    <row r="161" spans="1:16">
      <c r="A161" s="5"/>
      <c r="B161" s="175" t="s">
        <v>215</v>
      </c>
      <c r="C161" s="162"/>
      <c r="D161" s="180"/>
      <c r="E161" s="180"/>
      <c r="F161" s="114"/>
      <c r="G161" s="171"/>
      <c r="H161" s="177"/>
      <c r="I161" s="171"/>
      <c r="L161" s="176"/>
      <c r="M161" s="176"/>
      <c r="N161" s="176"/>
    </row>
    <row r="162" spans="1:16">
      <c r="A162" s="5"/>
      <c r="B162" s="171" t="s">
        <v>206</v>
      </c>
      <c r="C162" s="171"/>
      <c r="D162" s="178">
        <f>IF(OR(D138=0,D141=0,I141&lt;=0,E141&lt;0,E59=0),0,IF(AND(I141&lt;D138,D141&gt;0,E141&gt;0,H141&gt;=0),D141,IF(AND(I141&lt;D138,D141&gt;0,E141&gt;0,H141&lt;0),I141/(I141-H141)*D141,IF(AND(I141&lt;D138,D141&lt;0,E141&gt;0,H141&gt;0),0,IF(AND(I141&lt;D138,D141&lt;0,E141&gt;0,H141&lt;0),0,0)))))</f>
        <v>0</v>
      </c>
      <c r="E162" s="178">
        <f>IF(OR(D138=0,I141&lt;=0,E141&lt;=0,E59=0),0,IF(AND(I141&lt;D138,D141&gt;0,E141&gt;0,H141&gt;=0),E141,IF(AND(I141&lt;D138,D141&gt;0,E141&gt;0,H141&lt;0),I141/(I141-H141)*E141,IF(AND(I141&lt;D138,D141&lt;0,E141&gt;0,H141&gt;=0),I141/(I141-D141)*E141,IF(AND(I141&lt;D138,E141&gt;0,D141&lt;0,H141&lt;0),I141/(I141-D141-H141)*E141,0)))))</f>
        <v>0</v>
      </c>
      <c r="F162" s="178"/>
      <c r="G162" s="178"/>
      <c r="H162" s="178">
        <f>IF(OR(I141&lt;=0,E59=0,E141&lt;0,H141&lt;0),0,IF(AND(D141&lt;0,E141&gt;0,H141&gt;0,I141&lt;D138),I141/(I141-D141)*H141,IF(AND(D141&gt;0,E141&gt;0,H141&gt;0,I141&lt;D138),H141,IF(AND(I141&lt;D138,D141&lt;=0,E141&gt;D138,H141&lt;=0),0,IF(AND(I141&lt;D138,D141&gt;0,E141&gt;0,H141&lt;0),0,0)))))</f>
        <v>0</v>
      </c>
      <c r="I162" s="178">
        <f>D162+E162+H162</f>
        <v>0</v>
      </c>
      <c r="J162" s="179"/>
      <c r="K162" s="179"/>
      <c r="L162" s="176"/>
      <c r="M162" s="176"/>
      <c r="N162" s="176"/>
    </row>
    <row r="163" spans="1:16">
      <c r="A163" s="5"/>
      <c r="B163" s="171" t="s">
        <v>207</v>
      </c>
      <c r="C163" s="171"/>
      <c r="D163" s="178">
        <f>IF(OR(D138=0,D141=0,I141&lt;=0,E141&gt;=0,E59=0),0,IF(AND(D141&gt;0,E141&lt;0,H141&gt;0,I141&lt;D138),I141/(I141-E141)*D141,IF(AND(D141&gt;0,E141&lt;0,H141&lt;0,I141&lt;D138),I141/(I141-E141-H141)*D141,IF(AND(D141&lt;0,E141&lt;0,H141&gt;0,I141&lt;D138),0,0))))</f>
        <v>0</v>
      </c>
      <c r="E163" s="178">
        <f>IF(OR(D138=0,I141&lt;=0,E141=0,E59=0),0,IF(AND(E141&lt;0,I141&lt;D138),0,0))</f>
        <v>0</v>
      </c>
      <c r="F163" s="178">
        <f>D163+E163</f>
        <v>0</v>
      </c>
      <c r="G163" s="178"/>
      <c r="H163" s="178">
        <f>IF(OR(I141&lt;=0,H141=0,E59=0,E141&gt;=0,D138&lt;I141),0,IF(AND(D141&gt;0,E141&lt;0,H141&gt;0,I141&lt;D138),I141/(I141-E141)*H141,IF(AND(D141&gt;0,E141&lt;0,H141&lt;0,I141&lt;D138),0,IF(AND(D141&lt;0,E141&lt;0,H141&gt;0,I141&lt;D138),I141/(I141-D141-E141)*H141,0))))</f>
        <v>0</v>
      </c>
      <c r="I163" s="178">
        <f>ROUND(D163+E163+H163,2)</f>
        <v>0</v>
      </c>
      <c r="L163" s="176"/>
      <c r="M163" s="176"/>
      <c r="N163" s="176"/>
    </row>
    <row r="164" spans="1:16">
      <c r="A164" s="5"/>
      <c r="B164" s="45" t="s">
        <v>209</v>
      </c>
      <c r="D164" s="65">
        <f>D162/D57</f>
        <v>0</v>
      </c>
      <c r="E164" s="65">
        <f>E162/D58</f>
        <v>0</v>
      </c>
      <c r="F164" s="171"/>
      <c r="H164" s="65">
        <f>H162/D59</f>
        <v>0</v>
      </c>
      <c r="I164" s="171"/>
      <c r="L164" s="176"/>
      <c r="M164" s="176"/>
      <c r="N164" s="176"/>
    </row>
    <row r="165" spans="1:16">
      <c r="A165" s="5"/>
      <c r="B165" s="45" t="s">
        <v>210</v>
      </c>
      <c r="D165" s="65">
        <f>D163/D57</f>
        <v>0</v>
      </c>
      <c r="E165" s="65">
        <f>E163/D58</f>
        <v>0</v>
      </c>
      <c r="F165" s="65"/>
      <c r="H165" s="65">
        <f>H163/D59</f>
        <v>0</v>
      </c>
      <c r="I165" s="171"/>
      <c r="L165" s="176"/>
      <c r="M165" s="176"/>
      <c r="N165" s="176"/>
    </row>
    <row r="166" spans="1:16">
      <c r="A166" s="5"/>
      <c r="B166" s="45"/>
      <c r="D166" s="65"/>
      <c r="E166" s="65"/>
      <c r="F166" s="65"/>
      <c r="H166" s="65"/>
      <c r="I166" s="171"/>
      <c r="L166" s="176"/>
      <c r="M166" s="176"/>
      <c r="N166" s="176"/>
    </row>
    <row r="167" spans="1:16">
      <c r="A167" s="5"/>
      <c r="B167" s="111" t="s">
        <v>216</v>
      </c>
      <c r="D167" s="176"/>
      <c r="E167" s="171"/>
      <c r="F167" s="171"/>
      <c r="G167" s="181"/>
      <c r="I167" s="171"/>
      <c r="L167" s="182"/>
      <c r="M167" s="182"/>
      <c r="N167" s="182"/>
      <c r="O167" s="176">
        <f>I17-L147</f>
        <v>0</v>
      </c>
      <c r="P167" s="1" t="s">
        <v>217</v>
      </c>
    </row>
    <row r="168" spans="1:16">
      <c r="A168" s="5"/>
      <c r="B168" s="1" t="s">
        <v>218</v>
      </c>
      <c r="D168" s="183">
        <f>IF(I141&lt;=0,0,IF(AND(E59=0,I141&gt;0),D141-D144-D145-D150-D151,IF(AND(E59&gt;0,I141&gt;0),D141-D156-D158-D162-D163,0)))</f>
        <v>0</v>
      </c>
      <c r="E168" s="171">
        <f>IF(I141&lt;0,0,IF(AND(E59=0,I141&gt;=0),E141-E144-E145-E150-E151,IF(AND(E59&gt;0,I141&gt;=0),E141-E156-E157-E162-E163,0)))</f>
        <v>0</v>
      </c>
      <c r="F168" s="171"/>
      <c r="G168" s="171"/>
      <c r="H168" s="171">
        <f>IF(I141&lt;0,0,IF(AND(E59=0,I141&gt;=0),H141-H144-H145-H150-H151,IF(AND(E59&gt;0,I141&gt;=0),H141-H156-H157-H162-H163,0)))</f>
        <v>0</v>
      </c>
      <c r="I168" s="171">
        <f>IF(I141&gt;0,D168+E168+H168,0)</f>
        <v>0</v>
      </c>
      <c r="L168" s="184"/>
      <c r="M168" s="184"/>
      <c r="N168" s="184"/>
      <c r="O168" s="173">
        <f>L147*D58</f>
        <v>0</v>
      </c>
      <c r="P168" s="185" t="s">
        <v>219</v>
      </c>
    </row>
    <row r="169" spans="1:16">
      <c r="A169" s="5"/>
      <c r="B169" s="1" t="s">
        <v>220</v>
      </c>
      <c r="D169" s="65">
        <f>IF(D168=0,0,D168/D57)</f>
        <v>0</v>
      </c>
      <c r="E169" s="65">
        <f>IF(E168=0,0,IF(I141&lt;0,0,L58-H58-E58))</f>
        <v>0</v>
      </c>
      <c r="F169" s="65"/>
      <c r="G169" s="65"/>
      <c r="H169" s="65">
        <f>IF(AND(E59=0,H141-I145=0),0,IF(I141&lt;0,0,IF(E59=0,(H168)/D59,IF(E59&gt;0,(H141-H156-H157-H162-H163)/D59,0))))</f>
        <v>0</v>
      </c>
      <c r="I169" s="179"/>
      <c r="L169" s="115"/>
      <c r="M169" s="115"/>
      <c r="N169" s="115"/>
    </row>
    <row r="170" spans="1:16">
      <c r="A170" s="5"/>
      <c r="B170" s="1" t="s">
        <v>221</v>
      </c>
      <c r="F170" s="65"/>
      <c r="G170" s="65"/>
      <c r="I170" s="179"/>
      <c r="J170" s="186">
        <f>J141-G174</f>
        <v>0</v>
      </c>
      <c r="K170" s="186"/>
      <c r="L170" s="187" t="s">
        <v>222</v>
      </c>
      <c r="M170" s="187"/>
      <c r="N170" s="187"/>
    </row>
    <row r="171" spans="1:16">
      <c r="A171" s="5"/>
      <c r="B171" s="2"/>
      <c r="D171" s="171"/>
      <c r="E171" s="176">
        <f>E168/D58</f>
        <v>0</v>
      </c>
      <c r="F171" s="171"/>
      <c r="G171" s="171"/>
      <c r="H171" s="171"/>
      <c r="I171" s="188" t="s">
        <v>223</v>
      </c>
      <c r="J171" s="115">
        <f>I144+I145+I168</f>
        <v>0</v>
      </c>
      <c r="K171" s="115"/>
      <c r="L171" s="115">
        <f>L147+O167</f>
        <v>0</v>
      </c>
      <c r="M171" s="115"/>
      <c r="N171" s="115"/>
      <c r="O171" s="189">
        <f>O167*D58+L147*D59+O167*487.11</f>
        <v>0</v>
      </c>
    </row>
    <row r="172" spans="1:16">
      <c r="A172" s="5"/>
      <c r="B172" s="2" t="s">
        <v>224</v>
      </c>
      <c r="D172" s="65">
        <f>IF(I141&lt;0,D141/D57,0)</f>
        <v>0</v>
      </c>
      <c r="E172" s="65">
        <f>IF(I141&lt;0,E141/D58,0)</f>
        <v>0</v>
      </c>
      <c r="F172" s="65"/>
      <c r="G172" s="65"/>
      <c r="H172" s="65">
        <f>IF(I141&lt;0,H141/D59,0)</f>
        <v>0</v>
      </c>
      <c r="I172" s="190">
        <f>IF(AND(E59=0,L71&gt;0),-D172*D57-E172*D58-(H172+L147)*D58,IF(AND(E59&gt;0,L71&gt;0),-D172*D57-E172*D58-H172*D59,0))</f>
        <v>0</v>
      </c>
      <c r="J172" s="115"/>
      <c r="K172" s="115"/>
      <c r="L172" s="191">
        <f>O167*487.11</f>
        <v>0</v>
      </c>
      <c r="M172" s="87"/>
      <c r="N172" s="87"/>
      <c r="O172" s="116" t="s">
        <v>201</v>
      </c>
    </row>
    <row r="173" spans="1:16">
      <c r="A173" s="5"/>
      <c r="I173" s="179"/>
      <c r="J173" s="115"/>
      <c r="K173" s="115"/>
      <c r="L173" s="115">
        <f>J171+L172</f>
        <v>0</v>
      </c>
      <c r="M173" s="115"/>
      <c r="N173" s="115"/>
      <c r="O173" s="115">
        <f>L147*3232.0676</f>
        <v>0</v>
      </c>
      <c r="P173" s="1" t="s">
        <v>225</v>
      </c>
    </row>
    <row r="174" spans="1:16">
      <c r="A174" s="5"/>
      <c r="B174" s="2" t="s">
        <v>226</v>
      </c>
      <c r="D174" s="65"/>
      <c r="E174" s="115"/>
      <c r="F174" s="65"/>
      <c r="G174" s="171">
        <f>IF(OR(L59=0,E59&gt;0),0,IF(E58&lt;=L58-L59-I58,0,IF(L71&gt;0,L147*(D59-D58),IF(AND(E58&gt;L58,E58-L58&gt;L59),L59*(D59-D58),IF(AND(E58&gt;L58,E58-L58&lt;L59),L59*(D59-D58)-(L59+L58-E58)*(D59-D58),IF(AND(I12=0,I59&gt;0),(D59-D58)*(G59-L147),0))))))</f>
        <v>0</v>
      </c>
      <c r="H174" s="65"/>
      <c r="I174" s="179"/>
      <c r="O174" s="191">
        <f>O167*2744.9578</f>
        <v>0</v>
      </c>
      <c r="P174" s="1" t="s">
        <v>227</v>
      </c>
    </row>
    <row r="175" spans="1:16">
      <c r="A175" s="5"/>
      <c r="B175" s="2" t="s">
        <v>228</v>
      </c>
      <c r="D175" s="65"/>
      <c r="E175" s="115"/>
      <c r="F175" s="65"/>
      <c r="G175" s="171">
        <f>IF(OR(L59=0,E59&gt;0),0,IF(E58&lt;=L58-L59-I58,0,IF(L71&gt;0,L147*(D59-D58),IF(AND(E58&gt;L58,E58-L58&gt;L59),L59*(D59-D58),IF(AND(E58&gt;L58,E58-L58&lt;L59),L59*(D59-D58)-(L59+L58-E58)*(D59-D58),IF(AND(I12=0,I59&gt;0),(D59-D58)*(G59-L147),0))))))</f>
        <v>0</v>
      </c>
      <c r="H175" s="65"/>
      <c r="I175" s="179"/>
      <c r="L175" s="1">
        <f>O167*487.11</f>
        <v>0</v>
      </c>
      <c r="O175" s="115">
        <f>O173+O174</f>
        <v>0</v>
      </c>
    </row>
    <row r="176" spans="1:16">
      <c r="A176" s="5"/>
      <c r="L176" s="1">
        <f>98107/487.11</f>
        <v>201.40625320769436</v>
      </c>
    </row>
    <row r="177" spans="1:17">
      <c r="A177" s="5"/>
      <c r="B177" s="50" t="s">
        <v>229</v>
      </c>
      <c r="C177" s="111" t="s">
        <v>71</v>
      </c>
      <c r="D177" s="112">
        <f>D144+D145+D150+D151+D156+D157+D162+D163+D168</f>
        <v>0</v>
      </c>
      <c r="E177" s="112">
        <f>E144+E145+E150+E151+E162+E163+E156+E157+E168</f>
        <v>0</v>
      </c>
      <c r="F177" s="112"/>
      <c r="G177" s="112"/>
      <c r="H177" s="112">
        <f>H144+H145+H156+H157+H168</f>
        <v>0</v>
      </c>
      <c r="I177" s="171">
        <f>SUM(D175:H175)</f>
        <v>0</v>
      </c>
      <c r="J177" s="115"/>
      <c r="K177" s="115"/>
      <c r="L177" s="115"/>
      <c r="M177" s="115"/>
      <c r="N177" s="115"/>
    </row>
    <row r="178" spans="1:17">
      <c r="A178" s="5"/>
      <c r="B178" s="50"/>
      <c r="C178" s="111"/>
      <c r="D178" s="63"/>
      <c r="E178" s="63"/>
      <c r="F178" s="65" t="s">
        <v>230</v>
      </c>
      <c r="G178" s="115">
        <f>(G59-L147)*487.11</f>
        <v>0</v>
      </c>
      <c r="H178" s="115"/>
      <c r="I178" s="115"/>
      <c r="J178" s="115"/>
      <c r="K178" s="115"/>
      <c r="L178" s="115"/>
      <c r="M178" s="115"/>
      <c r="N178" s="115"/>
    </row>
    <row r="179" spans="1:17">
      <c r="A179" s="5"/>
      <c r="B179" s="50"/>
      <c r="C179" s="111"/>
      <c r="D179" s="65"/>
      <c r="E179" s="65"/>
      <c r="F179" s="192"/>
      <c r="G179" s="87">
        <f>G59*487.11</f>
        <v>0</v>
      </c>
      <c r="H179" s="115"/>
      <c r="I179" s="115"/>
      <c r="J179" s="115"/>
      <c r="K179" s="115"/>
      <c r="L179" s="115"/>
      <c r="M179" s="115"/>
      <c r="N179" s="115"/>
      <c r="Q179" s="115"/>
    </row>
    <row r="180" spans="1:17">
      <c r="A180" s="5"/>
      <c r="B180" s="50" t="s">
        <v>231</v>
      </c>
      <c r="C180" s="111" t="s">
        <v>71</v>
      </c>
      <c r="D180" s="171">
        <f>D141</f>
        <v>0</v>
      </c>
      <c r="E180" s="171">
        <f>E141</f>
        <v>0</v>
      </c>
      <c r="F180" s="171"/>
      <c r="G180" s="171">
        <f>G141</f>
        <v>0</v>
      </c>
      <c r="H180" s="171">
        <f>H141</f>
        <v>0</v>
      </c>
      <c r="I180" s="171">
        <f>I141</f>
        <v>0</v>
      </c>
      <c r="J180" s="115"/>
      <c r="K180" s="115"/>
      <c r="L180" s="115"/>
      <c r="M180" s="115"/>
      <c r="N180" s="115"/>
      <c r="Q180" s="115"/>
    </row>
    <row r="181" spans="1:17">
      <c r="A181" s="5"/>
      <c r="B181" s="45"/>
      <c r="D181" s="65"/>
      <c r="E181" s="65"/>
      <c r="F181" s="65"/>
      <c r="G181" s="193"/>
      <c r="H181" s="115"/>
      <c r="I181" s="115"/>
      <c r="J181" s="115"/>
      <c r="K181" s="115"/>
      <c r="L181" s="115"/>
      <c r="M181" s="115"/>
      <c r="N181" s="115"/>
      <c r="Q181" s="115"/>
    </row>
    <row r="182" spans="1:17">
      <c r="A182" s="5"/>
      <c r="B182" s="111"/>
      <c r="D182" s="176"/>
      <c r="E182" s="176"/>
      <c r="F182" s="176"/>
      <c r="G182" s="194"/>
      <c r="H182" s="115"/>
      <c r="I182" s="115"/>
      <c r="J182" s="115"/>
      <c r="K182" s="115"/>
      <c r="L182" s="115"/>
      <c r="M182" s="115"/>
      <c r="N182" s="115"/>
      <c r="O182" s="115"/>
      <c r="P182" s="115"/>
    </row>
    <row r="183" spans="1:17">
      <c r="A183" s="5"/>
      <c r="B183" s="45"/>
      <c r="D183" s="65"/>
      <c r="E183" s="65"/>
      <c r="F183" s="65"/>
      <c r="G183" s="65"/>
      <c r="H183" s="65"/>
      <c r="I183" s="195"/>
      <c r="L183" s="115"/>
      <c r="M183" s="115"/>
      <c r="N183" s="115"/>
      <c r="O183" s="115"/>
      <c r="P183" s="115"/>
    </row>
    <row r="184" spans="1:17">
      <c r="A184" s="5"/>
      <c r="B184" s="45"/>
      <c r="D184" s="65"/>
      <c r="E184" s="65"/>
      <c r="F184" s="65"/>
      <c r="G184" s="65"/>
      <c r="H184" s="65"/>
      <c r="I184" s="195"/>
      <c r="J184" s="196"/>
      <c r="K184" s="196"/>
      <c r="L184" s="115"/>
      <c r="M184" s="115"/>
      <c r="N184" s="115"/>
      <c r="O184" s="115"/>
      <c r="P184" s="115"/>
    </row>
    <row r="185" spans="1:17">
      <c r="A185" s="5"/>
      <c r="B185" s="111"/>
      <c r="D185" s="176"/>
      <c r="E185" s="176"/>
      <c r="F185" s="176"/>
      <c r="G185" s="65"/>
      <c r="H185" s="176"/>
      <c r="I185" s="195"/>
      <c r="J185" s="197"/>
      <c r="K185" s="197"/>
      <c r="L185" s="115"/>
      <c r="M185" s="115"/>
      <c r="N185" s="115"/>
      <c r="O185" s="115"/>
      <c r="P185" s="115"/>
    </row>
    <row r="186" spans="1:17">
      <c r="A186" s="5"/>
      <c r="B186" s="45"/>
      <c r="D186" s="65"/>
      <c r="E186" s="65"/>
      <c r="F186" s="65"/>
      <c r="G186" s="65"/>
      <c r="H186" s="176"/>
      <c r="I186" s="195"/>
      <c r="J186" s="197"/>
      <c r="K186" s="197"/>
      <c r="L186" s="115"/>
      <c r="M186" s="115"/>
      <c r="N186" s="115"/>
      <c r="O186" s="115"/>
      <c r="P186" s="115"/>
    </row>
    <row r="187" spans="1:17">
      <c r="A187" s="5"/>
      <c r="B187" s="111"/>
      <c r="D187" s="176"/>
      <c r="E187" s="176"/>
      <c r="F187" s="176"/>
      <c r="G187" s="176"/>
      <c r="H187" s="176"/>
      <c r="I187" s="195"/>
      <c r="J187" s="197"/>
      <c r="K187" s="197"/>
      <c r="L187" s="197"/>
      <c r="M187" s="197"/>
      <c r="N187" s="197"/>
    </row>
    <row r="188" spans="1:17">
      <c r="A188" s="5"/>
      <c r="B188" s="2"/>
      <c r="D188" s="176"/>
      <c r="E188" s="176"/>
      <c r="F188" s="176"/>
      <c r="G188" s="176"/>
      <c r="H188" s="176"/>
      <c r="I188" s="198"/>
    </row>
    <row r="189" spans="1:17">
      <c r="A189" s="5"/>
      <c r="D189" s="65"/>
      <c r="E189" s="65"/>
      <c r="F189" s="65"/>
      <c r="G189" s="65"/>
      <c r="H189" s="65"/>
      <c r="I189" s="198"/>
      <c r="J189" s="199"/>
      <c r="K189" s="199"/>
      <c r="L189" s="199"/>
      <c r="M189" s="199"/>
      <c r="N189" s="199"/>
    </row>
    <row r="190" spans="1:17">
      <c r="A190" s="5"/>
      <c r="L190" s="200"/>
      <c r="M190" s="200"/>
      <c r="N190" s="200"/>
    </row>
    <row r="191" spans="1:17">
      <c r="A191" s="5"/>
      <c r="L191" s="201"/>
      <c r="M191" s="201"/>
      <c r="N191" s="201"/>
    </row>
    <row r="192" spans="1:17">
      <c r="A192" s="5"/>
      <c r="L192" s="202"/>
      <c r="M192" s="202"/>
      <c r="N192" s="202"/>
      <c r="O192" s="176"/>
    </row>
    <row r="193" spans="1:14">
      <c r="A193" s="5"/>
      <c r="L193" s="203"/>
      <c r="M193" s="203"/>
      <c r="N193" s="203"/>
    </row>
    <row r="194" spans="1:14">
      <c r="A194" s="5"/>
    </row>
    <row r="195" spans="1:14">
      <c r="A195" s="5"/>
    </row>
    <row r="196" spans="1:14">
      <c r="A196" s="5"/>
    </row>
    <row r="197" spans="1:14">
      <c r="A197" s="5"/>
      <c r="D197" s="200"/>
      <c r="E197" s="200"/>
      <c r="F197" s="200"/>
      <c r="G197" s="200"/>
      <c r="H197" s="204"/>
      <c r="I197" s="65"/>
    </row>
    <row r="198" spans="1:14">
      <c r="A198" s="5"/>
      <c r="G198" s="1"/>
      <c r="I198" s="65"/>
    </row>
    <row r="199" spans="1:14">
      <c r="A199" s="5"/>
      <c r="D199" s="199"/>
    </row>
    <row r="200" spans="1:14">
      <c r="D200" s="200"/>
      <c r="E200" s="200"/>
      <c r="F200" s="200"/>
      <c r="G200" s="205"/>
      <c r="H200" s="200"/>
    </row>
    <row r="201" spans="1:14">
      <c r="D201" s="196"/>
    </row>
    <row r="202" spans="1:14">
      <c r="D202" s="196"/>
    </row>
  </sheetData>
  <mergeCells count="1">
    <mergeCell ref="D48:G48"/>
  </mergeCells>
  <phoneticPr fontId="5" type="noConversion"/>
  <pageMargins left="0.7" right="0.7" top="0.75" bottom="0.75" header="0.3" footer="0.3"/>
  <pageSetup scale="64" fitToHeight="5" orientation="landscape" horizontalDpi="4294967292" verticalDpi="4294967292"/>
  <legacy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Memo!!</vt:lpstr>
      <vt:lpstr>PBF Districts</vt:lpstr>
      <vt:lpstr>Centers</vt:lpstr>
      <vt:lpstr>Exhibit 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Blackwood, Kathy</dc:creator>
  <cp:lastModifiedBy>Jeff DeFranco</cp:lastModifiedBy>
  <cp:lastPrinted>2016-05-18T04:27:15Z</cp:lastPrinted>
  <dcterms:created xsi:type="dcterms:W3CDTF">2016-05-11T15:33:18Z</dcterms:created>
  <dcterms:modified xsi:type="dcterms:W3CDTF">2016-05-18T04:27:19Z</dcterms:modified>
</cp:coreProperties>
</file>