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519"/>
  <workbookPr codeName="ThisWorkbook" autoCompressPictures="0"/>
  <bookViews>
    <workbookView xWindow="120" yWindow="60" windowWidth="19840" windowHeight="13360" tabRatio="626"/>
  </bookViews>
  <sheets>
    <sheet name="Memo!!" sheetId="7" r:id="rId1"/>
    <sheet name="Tab #4 -  PBF Districts" sheetId="5" r:id="rId2"/>
    <sheet name="Tab #5 - Centers" sheetId="6" r:id="rId3"/>
    <sheet name="Allan Hancock" sheetId="10" r:id="rId4"/>
    <sheet name="Antelope" sheetId="11" r:id="rId5"/>
    <sheet name="Barstow" sheetId="13" r:id="rId6"/>
    <sheet name="Butte" sheetId="14" r:id="rId7"/>
    <sheet name="Cabrillo" sheetId="15" r:id="rId8"/>
    <sheet name="Cerritos" sheetId="16" r:id="rId9"/>
    <sheet name="Chabot" sheetId="17" r:id="rId10"/>
    <sheet name="Chaffey" sheetId="20" r:id="rId11"/>
    <sheet name="Citrus" sheetId="21" r:id="rId12"/>
    <sheet name="Coast" sheetId="22" r:id="rId13"/>
    <sheet name="Compton" sheetId="23" r:id="rId14"/>
    <sheet name="Contra Costa" sheetId="24" r:id="rId15"/>
    <sheet name="Copper Mtn" sheetId="25" r:id="rId16"/>
    <sheet name="Desert" sheetId="26" r:id="rId17"/>
    <sheet name="El Camino" sheetId="27" r:id="rId18"/>
    <sheet name="Feather" sheetId="28" r:id="rId19"/>
    <sheet name="Foothill" sheetId="29" r:id="rId20"/>
    <sheet name="Gavilan" sheetId="30" r:id="rId21"/>
    <sheet name="Glendale" sheetId="31" r:id="rId22"/>
    <sheet name="Grossmont" sheetId="32" r:id="rId23"/>
    <sheet name="Hartnell" sheetId="33" r:id="rId24"/>
    <sheet name="Imperial" sheetId="34" r:id="rId25"/>
    <sheet name="Kern" sheetId="35" r:id="rId26"/>
    <sheet name="Lake Tahoe" sheetId="18" r:id="rId27"/>
    <sheet name="Lassen" sheetId="37" r:id="rId28"/>
    <sheet name="Long Beach" sheetId="19" r:id="rId29"/>
    <sheet name="Los Angeles" sheetId="36" r:id="rId30"/>
    <sheet name="Los Rios" sheetId="38" r:id="rId31"/>
    <sheet name="Marin" sheetId="39" r:id="rId32"/>
    <sheet name="Mendocino" sheetId="40" r:id="rId33"/>
    <sheet name="Merced" sheetId="41" r:id="rId34"/>
    <sheet name="Miracosta" sheetId="42" r:id="rId35"/>
    <sheet name="Monterey" sheetId="43" r:id="rId36"/>
    <sheet name="Mt SAC" sheetId="44" r:id="rId37"/>
    <sheet name="Mt San Jacinto" sheetId="45" r:id="rId38"/>
    <sheet name="Napa" sheetId="46" r:id="rId39"/>
    <sheet name="No Orange" sheetId="47" r:id="rId40"/>
    <sheet name="Ohlone" sheetId="48" r:id="rId41"/>
    <sheet name="Palo Verde" sheetId="49" r:id="rId42"/>
    <sheet name="Palomar" sheetId="50" r:id="rId43"/>
    <sheet name="Pasadena" sheetId="51" r:id="rId44"/>
    <sheet name="Peralta" sheetId="52" r:id="rId45"/>
    <sheet name="Rancho Santiago" sheetId="53" r:id="rId46"/>
    <sheet name="Redwoods" sheetId="54" r:id="rId47"/>
    <sheet name="Rio Hondo" sheetId="55" r:id="rId48"/>
    <sheet name="Riverside" sheetId="56" r:id="rId49"/>
    <sheet name="San Bernadino" sheetId="57" r:id="rId50"/>
    <sheet name="San Diego" sheetId="58" r:id="rId51"/>
    <sheet name="San Francisco" sheetId="59" r:id="rId52"/>
    <sheet name="San Joaquin Delta" sheetId="60" r:id="rId53"/>
    <sheet name="SJE" sheetId="61" r:id="rId54"/>
    <sheet name="SLO" sheetId="62" r:id="rId55"/>
    <sheet name="San Mateo" sheetId="63" r:id="rId56"/>
    <sheet name="Santa Barbara" sheetId="64" r:id="rId57"/>
    <sheet name="Santa Clarita" sheetId="65" r:id="rId58"/>
    <sheet name="Santa Monica" sheetId="66" r:id="rId59"/>
    <sheet name="Sequoias" sheetId="67" r:id="rId60"/>
    <sheet name="Shasta" sheetId="68" r:id="rId61"/>
    <sheet name="Sierra" sheetId="69" r:id="rId62"/>
    <sheet name="Siskiyou" sheetId="70" r:id="rId63"/>
    <sheet name="Solano" sheetId="71" r:id="rId64"/>
    <sheet name="Sonoma" sheetId="72" r:id="rId65"/>
    <sheet name="So Orange" sheetId="73" r:id="rId66"/>
    <sheet name="Southwestern" sheetId="74" r:id="rId67"/>
    <sheet name="State Ctr" sheetId="75" r:id="rId68"/>
    <sheet name="Ventura" sheetId="76" r:id="rId69"/>
    <sheet name="Victor Valley" sheetId="77" r:id="rId70"/>
    <sheet name="West Hills" sheetId="78" r:id="rId71"/>
    <sheet name="West Kern" sheetId="79" r:id="rId72"/>
    <sheet name="West Valley" sheetId="80" r:id="rId73"/>
    <sheet name="Yosemite" sheetId="81" r:id="rId74"/>
    <sheet name="Yuba" sheetId="82" r:id="rId75"/>
    <sheet name="Statewide" sheetId="83" r:id="rId76"/>
  </sheets>
  <definedNames>
    <definedName name="_xlnm.Print_Area" localSheetId="3">'Allan Hancock'!$A$51:$L$131</definedName>
    <definedName name="_xlnm.Print_Area" localSheetId="4">Antelope!$A$1:$J$204</definedName>
    <definedName name="_xlnm.Print_Area" localSheetId="5">Barstow!$A$1:$J$204</definedName>
    <definedName name="_xlnm.Print_Area" localSheetId="6">Butte!$A$1:$J$204</definedName>
    <definedName name="_xlnm.Print_Area" localSheetId="7">Cabrillo!$A$1:$J$204</definedName>
    <definedName name="_xlnm.Print_Area" localSheetId="8">Cerritos!$A$1:$J$204</definedName>
    <definedName name="_xlnm.Print_Area" localSheetId="9">Chabot!$A$1:$J$204</definedName>
    <definedName name="_xlnm.Print_Area" localSheetId="10">Chaffey!$A$1:$J$204</definedName>
    <definedName name="_xlnm.Print_Area" localSheetId="11">Citrus!$A$1:$J$204</definedName>
    <definedName name="_xlnm.Print_Area" localSheetId="12">Coast!$A$1:$J$204</definedName>
    <definedName name="_xlnm.Print_Area" localSheetId="13">Compton!$A$1:$J$204</definedName>
    <definedName name="_xlnm.Print_Area" localSheetId="14">'Contra Costa'!$A$1:$J$204</definedName>
    <definedName name="_xlnm.Print_Area" localSheetId="15">'Copper Mtn'!$A$1:$J$204</definedName>
    <definedName name="_xlnm.Print_Area" localSheetId="16">Desert!$A$1:$J$204</definedName>
    <definedName name="_xlnm.Print_Area" localSheetId="17">'El Camino'!$A$1:$J$204</definedName>
    <definedName name="_xlnm.Print_Area" localSheetId="18">Feather!$A$1:$J$204</definedName>
    <definedName name="_xlnm.Print_Area" localSheetId="19">Foothill!$A$1:$J$204</definedName>
    <definedName name="_xlnm.Print_Area" localSheetId="20">Gavilan!$A$1:$J$204</definedName>
    <definedName name="_xlnm.Print_Area" localSheetId="21">Glendale!$A$1:$J$204</definedName>
    <definedName name="_xlnm.Print_Area" localSheetId="22">Grossmont!$A$1:$J$204</definedName>
    <definedName name="_xlnm.Print_Area" localSheetId="23">Hartnell!$A$1:$J$204</definedName>
    <definedName name="_xlnm.Print_Area" localSheetId="24">Imperial!$A$1:$J$204</definedName>
    <definedName name="_xlnm.Print_Area" localSheetId="25">Kern!$A$1:$J$204</definedName>
    <definedName name="_xlnm.Print_Area" localSheetId="26">'Lake Tahoe'!$A$1:$J$204</definedName>
    <definedName name="_xlnm.Print_Area" localSheetId="28">'Long Beach'!$A$1:$J$204</definedName>
    <definedName name="_xlnm.Print_Area" localSheetId="42">Palomar!$B$137:$P$180</definedName>
    <definedName name="_xlnm.Print_Area" localSheetId="46">Redwoods!$B$137:$P$180</definedName>
    <definedName name="_xlnm.Print_Area" localSheetId="1">'Tab #4 -  PBF Districts'!$A$1:$F$24</definedName>
    <definedName name="_xlnm.Print_Area" localSheetId="2">'Tab #5 - Centers'!$B$1:$I$88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84" i="82" l="1"/>
  <c r="B110" i="82"/>
  <c r="B113" i="82"/>
  <c r="C110" i="82"/>
  <c r="C113" i="82"/>
  <c r="D110" i="82"/>
  <c r="D113" i="82"/>
  <c r="E110" i="82"/>
  <c r="E113" i="82"/>
  <c r="G110" i="82"/>
  <c r="G113" i="82"/>
  <c r="H110" i="82"/>
  <c r="H113" i="82"/>
  <c r="I110" i="82"/>
  <c r="I113" i="82"/>
  <c r="J113" i="82"/>
  <c r="B117" i="82"/>
  <c r="H118" i="82"/>
  <c r="B124" i="82"/>
  <c r="B127" i="82"/>
  <c r="C124" i="82"/>
  <c r="C127" i="82"/>
  <c r="D124" i="82"/>
  <c r="D127" i="82"/>
  <c r="E124" i="82"/>
  <c r="E127" i="82"/>
  <c r="F124" i="82"/>
  <c r="F127" i="82"/>
  <c r="H127" i="82"/>
  <c r="J127" i="82"/>
  <c r="J131" i="82"/>
  <c r="F65" i="82"/>
  <c r="E57" i="82"/>
  <c r="C57" i="82"/>
  <c r="E69" i="82"/>
  <c r="E58" i="82"/>
  <c r="E70" i="82"/>
  <c r="E59" i="82"/>
  <c r="E71" i="82"/>
  <c r="F68" i="82"/>
  <c r="L57" i="82"/>
  <c r="D141" i="82"/>
  <c r="L58" i="82"/>
  <c r="E141" i="82"/>
  <c r="L59" i="82"/>
  <c r="H141" i="82"/>
  <c r="I141" i="82"/>
  <c r="D172" i="82"/>
  <c r="I57" i="82"/>
  <c r="E172" i="82"/>
  <c r="I58" i="82"/>
  <c r="H172" i="82"/>
  <c r="I59" i="82"/>
  <c r="F72" i="82"/>
  <c r="F74" i="82"/>
  <c r="E78" i="82"/>
  <c r="F79" i="82"/>
  <c r="F83" i="82"/>
  <c r="F84" i="82"/>
  <c r="L99" i="82"/>
  <c r="I27" i="82"/>
  <c r="D138" i="82"/>
  <c r="F141" i="82"/>
  <c r="L147" i="82"/>
  <c r="O168" i="82"/>
  <c r="G141" i="82"/>
  <c r="D145" i="82"/>
  <c r="E145" i="82"/>
  <c r="I145" i="82"/>
  <c r="D151" i="82"/>
  <c r="E151" i="82"/>
  <c r="I151" i="82"/>
  <c r="F85" i="82"/>
  <c r="F88" i="82"/>
  <c r="D144" i="82"/>
  <c r="D150" i="82"/>
  <c r="D168" i="82"/>
  <c r="E95" i="82"/>
  <c r="E144" i="82"/>
  <c r="E150" i="82"/>
  <c r="E168" i="82"/>
  <c r="E96" i="82"/>
  <c r="H144" i="82"/>
  <c r="H145" i="82"/>
  <c r="H150" i="82"/>
  <c r="H151" i="82"/>
  <c r="H168" i="82"/>
  <c r="E97" i="82"/>
  <c r="F99" i="82"/>
  <c r="L69" i="82"/>
  <c r="L71" i="82"/>
  <c r="L73" i="82"/>
  <c r="L84" i="82"/>
  <c r="J84" i="81"/>
  <c r="B110" i="81"/>
  <c r="B113" i="81"/>
  <c r="C110" i="81"/>
  <c r="C113" i="81"/>
  <c r="D110" i="81"/>
  <c r="D113" i="81"/>
  <c r="E110" i="81"/>
  <c r="E113" i="81"/>
  <c r="G110" i="81"/>
  <c r="G113" i="81"/>
  <c r="H110" i="81"/>
  <c r="H113" i="81"/>
  <c r="I110" i="81"/>
  <c r="I113" i="81"/>
  <c r="J113" i="81"/>
  <c r="B117" i="81"/>
  <c r="H118" i="81"/>
  <c r="B124" i="81"/>
  <c r="B127" i="81"/>
  <c r="C124" i="81"/>
  <c r="C127" i="81"/>
  <c r="D124" i="81"/>
  <c r="D127" i="81"/>
  <c r="E124" i="81"/>
  <c r="E127" i="81"/>
  <c r="F124" i="81"/>
  <c r="F127" i="81"/>
  <c r="H127" i="81"/>
  <c r="J127" i="81"/>
  <c r="J131" i="81"/>
  <c r="F65" i="81"/>
  <c r="E57" i="81"/>
  <c r="C57" i="81"/>
  <c r="E69" i="81"/>
  <c r="E58" i="81"/>
  <c r="E70" i="81"/>
  <c r="E59" i="81"/>
  <c r="E71" i="81"/>
  <c r="F68" i="81"/>
  <c r="L57" i="81"/>
  <c r="D141" i="81"/>
  <c r="L58" i="81"/>
  <c r="E141" i="81"/>
  <c r="L59" i="81"/>
  <c r="H141" i="81"/>
  <c r="I141" i="81"/>
  <c r="D172" i="81"/>
  <c r="I57" i="81"/>
  <c r="E172" i="81"/>
  <c r="I58" i="81"/>
  <c r="H172" i="81"/>
  <c r="I59" i="81"/>
  <c r="F72" i="81"/>
  <c r="F74" i="81"/>
  <c r="E78" i="81"/>
  <c r="F79" i="81"/>
  <c r="F83" i="81"/>
  <c r="F84" i="81"/>
  <c r="L99" i="81"/>
  <c r="I27" i="81"/>
  <c r="D138" i="81"/>
  <c r="D157" i="81"/>
  <c r="E157" i="81"/>
  <c r="H157" i="81"/>
  <c r="I157" i="81"/>
  <c r="D163" i="81"/>
  <c r="E163" i="81"/>
  <c r="H163" i="81"/>
  <c r="I163" i="81"/>
  <c r="F85" i="81"/>
  <c r="F88" i="81"/>
  <c r="D156" i="81"/>
  <c r="D162" i="81"/>
  <c r="D168" i="81"/>
  <c r="E95" i="81"/>
  <c r="E156" i="81"/>
  <c r="E162" i="81"/>
  <c r="E168" i="81"/>
  <c r="E96" i="81"/>
  <c r="H156" i="81"/>
  <c r="H162" i="81"/>
  <c r="H168" i="81"/>
  <c r="E97" i="81"/>
  <c r="F99" i="81"/>
  <c r="L69" i="81"/>
  <c r="L71" i="81"/>
  <c r="L73" i="81"/>
  <c r="L84" i="81"/>
  <c r="J84" i="80"/>
  <c r="B110" i="80"/>
  <c r="B113" i="80"/>
  <c r="C110" i="80"/>
  <c r="C113" i="80"/>
  <c r="D110" i="80"/>
  <c r="D113" i="80"/>
  <c r="E110" i="80"/>
  <c r="E113" i="80"/>
  <c r="G110" i="80"/>
  <c r="G113" i="80"/>
  <c r="H110" i="80"/>
  <c r="H113" i="80"/>
  <c r="I110" i="80"/>
  <c r="I113" i="80"/>
  <c r="J113" i="80"/>
  <c r="B117" i="80"/>
  <c r="H118" i="80"/>
  <c r="B124" i="80"/>
  <c r="B127" i="80"/>
  <c r="C124" i="80"/>
  <c r="C127" i="80"/>
  <c r="D124" i="80"/>
  <c r="D127" i="80"/>
  <c r="E124" i="80"/>
  <c r="E127" i="80"/>
  <c r="F124" i="80"/>
  <c r="F127" i="80"/>
  <c r="H127" i="80"/>
  <c r="J127" i="80"/>
  <c r="J131" i="80"/>
  <c r="F65" i="80"/>
  <c r="E57" i="80"/>
  <c r="C57" i="80"/>
  <c r="E69" i="80"/>
  <c r="E58" i="80"/>
  <c r="E70" i="80"/>
  <c r="E59" i="80"/>
  <c r="E71" i="80"/>
  <c r="F68" i="80"/>
  <c r="L57" i="80"/>
  <c r="D141" i="80"/>
  <c r="L58" i="80"/>
  <c r="E141" i="80"/>
  <c r="L59" i="80"/>
  <c r="H141" i="80"/>
  <c r="I141" i="80"/>
  <c r="D172" i="80"/>
  <c r="I57" i="80"/>
  <c r="E172" i="80"/>
  <c r="I58" i="80"/>
  <c r="H172" i="80"/>
  <c r="I59" i="80"/>
  <c r="F72" i="80"/>
  <c r="F74" i="80"/>
  <c r="E78" i="80"/>
  <c r="F79" i="80"/>
  <c r="F83" i="80"/>
  <c r="F84" i="80"/>
  <c r="L99" i="80"/>
  <c r="I27" i="80"/>
  <c r="D138" i="80"/>
  <c r="F141" i="80"/>
  <c r="L147" i="80"/>
  <c r="O168" i="80"/>
  <c r="G141" i="80"/>
  <c r="D144" i="80"/>
  <c r="E144" i="80"/>
  <c r="F144" i="80"/>
  <c r="H144" i="80"/>
  <c r="I144" i="80"/>
  <c r="D150" i="80"/>
  <c r="E150" i="80"/>
  <c r="F150" i="80"/>
  <c r="H150" i="80"/>
  <c r="I150" i="80"/>
  <c r="F85" i="80"/>
  <c r="F88" i="80"/>
  <c r="D145" i="80"/>
  <c r="D151" i="80"/>
  <c r="D168" i="80"/>
  <c r="E95" i="80"/>
  <c r="G174" i="80"/>
  <c r="E145" i="80"/>
  <c r="E151" i="80"/>
  <c r="E168" i="80"/>
  <c r="E96" i="80"/>
  <c r="H145" i="80"/>
  <c r="H151" i="80"/>
  <c r="H168" i="80"/>
  <c r="E97" i="80"/>
  <c r="F99" i="80"/>
  <c r="L69" i="80"/>
  <c r="L71" i="80"/>
  <c r="L73" i="80"/>
  <c r="L84" i="80"/>
  <c r="J84" i="79"/>
  <c r="B110" i="79"/>
  <c r="B113" i="79"/>
  <c r="C110" i="79"/>
  <c r="C113" i="79"/>
  <c r="D110" i="79"/>
  <c r="D113" i="79"/>
  <c r="E110" i="79"/>
  <c r="E113" i="79"/>
  <c r="G110" i="79"/>
  <c r="G113" i="79"/>
  <c r="H110" i="79"/>
  <c r="H113" i="79"/>
  <c r="I110" i="79"/>
  <c r="I113" i="79"/>
  <c r="J113" i="79"/>
  <c r="B117" i="79"/>
  <c r="H118" i="79"/>
  <c r="B124" i="79"/>
  <c r="B127" i="79"/>
  <c r="C124" i="79"/>
  <c r="C127" i="79"/>
  <c r="D124" i="79"/>
  <c r="D127" i="79"/>
  <c r="E124" i="79"/>
  <c r="E127" i="79"/>
  <c r="F124" i="79"/>
  <c r="F127" i="79"/>
  <c r="H127" i="79"/>
  <c r="J127" i="79"/>
  <c r="J131" i="79"/>
  <c r="F65" i="79"/>
  <c r="E57" i="79"/>
  <c r="C57" i="79"/>
  <c r="E69" i="79"/>
  <c r="E58" i="79"/>
  <c r="E70" i="79"/>
  <c r="E59" i="79"/>
  <c r="E71" i="79"/>
  <c r="F68" i="79"/>
  <c r="L57" i="79"/>
  <c r="D141" i="79"/>
  <c r="L58" i="79"/>
  <c r="E141" i="79"/>
  <c r="L59" i="79"/>
  <c r="H141" i="79"/>
  <c r="I141" i="79"/>
  <c r="D172" i="79"/>
  <c r="I57" i="79"/>
  <c r="E172" i="79"/>
  <c r="I58" i="79"/>
  <c r="H172" i="79"/>
  <c r="I59" i="79"/>
  <c r="F72" i="79"/>
  <c r="F74" i="79"/>
  <c r="E78" i="79"/>
  <c r="F79" i="79"/>
  <c r="F83" i="79"/>
  <c r="F84" i="79"/>
  <c r="L99" i="79"/>
  <c r="I27" i="79"/>
  <c r="D138" i="79"/>
  <c r="F141" i="79"/>
  <c r="L147" i="79"/>
  <c r="O168" i="79"/>
  <c r="G141" i="79"/>
  <c r="D145" i="79"/>
  <c r="E145" i="79"/>
  <c r="I145" i="79"/>
  <c r="D151" i="79"/>
  <c r="E151" i="79"/>
  <c r="I151" i="79"/>
  <c r="F85" i="79"/>
  <c r="F88" i="79"/>
  <c r="D144" i="79"/>
  <c r="D150" i="79"/>
  <c r="D168" i="79"/>
  <c r="E95" i="79"/>
  <c r="E144" i="79"/>
  <c r="E150" i="79"/>
  <c r="E168" i="79"/>
  <c r="E96" i="79"/>
  <c r="H144" i="79"/>
  <c r="H145" i="79"/>
  <c r="H150" i="79"/>
  <c r="H151" i="79"/>
  <c r="H168" i="79"/>
  <c r="E97" i="79"/>
  <c r="F99" i="79"/>
  <c r="L69" i="79"/>
  <c r="L71" i="79"/>
  <c r="L73" i="79"/>
  <c r="L84" i="79"/>
  <c r="J84" i="78"/>
  <c r="B110" i="78"/>
  <c r="B113" i="78"/>
  <c r="C110" i="78"/>
  <c r="C113" i="78"/>
  <c r="D110" i="78"/>
  <c r="D113" i="78"/>
  <c r="E110" i="78"/>
  <c r="E113" i="78"/>
  <c r="G110" i="78"/>
  <c r="G113" i="78"/>
  <c r="H110" i="78"/>
  <c r="H113" i="78"/>
  <c r="I110" i="78"/>
  <c r="I113" i="78"/>
  <c r="J113" i="78"/>
  <c r="B117" i="78"/>
  <c r="H118" i="78"/>
  <c r="B124" i="78"/>
  <c r="B127" i="78"/>
  <c r="C124" i="78"/>
  <c r="C127" i="78"/>
  <c r="D124" i="78"/>
  <c r="D127" i="78"/>
  <c r="E124" i="78"/>
  <c r="E127" i="78"/>
  <c r="F124" i="78"/>
  <c r="F127" i="78"/>
  <c r="H127" i="78"/>
  <c r="J127" i="78"/>
  <c r="J131" i="78"/>
  <c r="F65" i="78"/>
  <c r="E57" i="78"/>
  <c r="C57" i="78"/>
  <c r="E69" i="78"/>
  <c r="E58" i="78"/>
  <c r="E70" i="78"/>
  <c r="E59" i="78"/>
  <c r="E71" i="78"/>
  <c r="F68" i="78"/>
  <c r="L57" i="78"/>
  <c r="D141" i="78"/>
  <c r="L58" i="78"/>
  <c r="E141" i="78"/>
  <c r="L59" i="78"/>
  <c r="H141" i="78"/>
  <c r="I141" i="78"/>
  <c r="D172" i="78"/>
  <c r="I57" i="78"/>
  <c r="E172" i="78"/>
  <c r="I58" i="78"/>
  <c r="H172" i="78"/>
  <c r="I59" i="78"/>
  <c r="F72" i="78"/>
  <c r="F74" i="78"/>
  <c r="E78" i="78"/>
  <c r="F79" i="78"/>
  <c r="F83" i="78"/>
  <c r="F84" i="78"/>
  <c r="L99" i="78"/>
  <c r="I27" i="78"/>
  <c r="D138" i="78"/>
  <c r="F141" i="78"/>
  <c r="L147" i="78"/>
  <c r="O168" i="78"/>
  <c r="G141" i="78"/>
  <c r="D145" i="78"/>
  <c r="E145" i="78"/>
  <c r="I145" i="78"/>
  <c r="D151" i="78"/>
  <c r="E151" i="78"/>
  <c r="I151" i="78"/>
  <c r="F85" i="78"/>
  <c r="F88" i="78"/>
  <c r="D144" i="78"/>
  <c r="D150" i="78"/>
  <c r="D168" i="78"/>
  <c r="E95" i="78"/>
  <c r="E144" i="78"/>
  <c r="E150" i="78"/>
  <c r="E168" i="78"/>
  <c r="E96" i="78"/>
  <c r="H144" i="78"/>
  <c r="H145" i="78"/>
  <c r="H150" i="78"/>
  <c r="H151" i="78"/>
  <c r="H168" i="78"/>
  <c r="E97" i="78"/>
  <c r="F99" i="78"/>
  <c r="L69" i="78"/>
  <c r="L71" i="78"/>
  <c r="L73" i="78"/>
  <c r="L84" i="78"/>
  <c r="J84" i="77"/>
  <c r="B110" i="77"/>
  <c r="B113" i="77"/>
  <c r="C110" i="77"/>
  <c r="C113" i="77"/>
  <c r="D110" i="77"/>
  <c r="D113" i="77"/>
  <c r="E110" i="77"/>
  <c r="E113" i="77"/>
  <c r="G110" i="77"/>
  <c r="G113" i="77"/>
  <c r="H110" i="77"/>
  <c r="H113" i="77"/>
  <c r="I110" i="77"/>
  <c r="I113" i="77"/>
  <c r="J113" i="77"/>
  <c r="B117" i="77"/>
  <c r="H118" i="77"/>
  <c r="B124" i="77"/>
  <c r="B127" i="77"/>
  <c r="C124" i="77"/>
  <c r="C127" i="77"/>
  <c r="D124" i="77"/>
  <c r="D127" i="77"/>
  <c r="E124" i="77"/>
  <c r="E127" i="77"/>
  <c r="F124" i="77"/>
  <c r="F127" i="77"/>
  <c r="H127" i="77"/>
  <c r="J127" i="77"/>
  <c r="J131" i="77"/>
  <c r="F65" i="77"/>
  <c r="E57" i="77"/>
  <c r="C57" i="77"/>
  <c r="E69" i="77"/>
  <c r="E58" i="77"/>
  <c r="E70" i="77"/>
  <c r="E59" i="77"/>
  <c r="E71" i="77"/>
  <c r="F68" i="77"/>
  <c r="L57" i="77"/>
  <c r="D141" i="77"/>
  <c r="L58" i="77"/>
  <c r="E141" i="77"/>
  <c r="L59" i="77"/>
  <c r="H141" i="77"/>
  <c r="I141" i="77"/>
  <c r="D172" i="77"/>
  <c r="I57" i="77"/>
  <c r="E172" i="77"/>
  <c r="I58" i="77"/>
  <c r="H172" i="77"/>
  <c r="I59" i="77"/>
  <c r="F72" i="77"/>
  <c r="F74" i="77"/>
  <c r="E78" i="77"/>
  <c r="F79" i="77"/>
  <c r="F83" i="77"/>
  <c r="F84" i="77"/>
  <c r="L99" i="77"/>
  <c r="I27" i="77"/>
  <c r="D138" i="77"/>
  <c r="F141" i="77"/>
  <c r="L147" i="77"/>
  <c r="O168" i="77"/>
  <c r="G141" i="77"/>
  <c r="D145" i="77"/>
  <c r="E145" i="77"/>
  <c r="I145" i="77"/>
  <c r="D151" i="77"/>
  <c r="E151" i="77"/>
  <c r="I151" i="77"/>
  <c r="F85" i="77"/>
  <c r="F88" i="77"/>
  <c r="D144" i="77"/>
  <c r="D150" i="77"/>
  <c r="D168" i="77"/>
  <c r="E95" i="77"/>
  <c r="E144" i="77"/>
  <c r="E150" i="77"/>
  <c r="E168" i="77"/>
  <c r="E96" i="77"/>
  <c r="H144" i="77"/>
  <c r="H145" i="77"/>
  <c r="H150" i="77"/>
  <c r="H151" i="77"/>
  <c r="H168" i="77"/>
  <c r="E97" i="77"/>
  <c r="F99" i="77"/>
  <c r="L69" i="77"/>
  <c r="L71" i="77"/>
  <c r="L73" i="77"/>
  <c r="L84" i="77"/>
  <c r="J84" i="76"/>
  <c r="B110" i="76"/>
  <c r="B113" i="76"/>
  <c r="C110" i="76"/>
  <c r="C113" i="76"/>
  <c r="D110" i="76"/>
  <c r="D113" i="76"/>
  <c r="E110" i="76"/>
  <c r="E113" i="76"/>
  <c r="G110" i="76"/>
  <c r="G113" i="76"/>
  <c r="H110" i="76"/>
  <c r="H113" i="76"/>
  <c r="I110" i="76"/>
  <c r="I113" i="76"/>
  <c r="J113" i="76"/>
  <c r="B117" i="76"/>
  <c r="H118" i="76"/>
  <c r="B124" i="76"/>
  <c r="B127" i="76"/>
  <c r="C124" i="76"/>
  <c r="C127" i="76"/>
  <c r="D124" i="76"/>
  <c r="D127" i="76"/>
  <c r="E124" i="76"/>
  <c r="E127" i="76"/>
  <c r="F124" i="76"/>
  <c r="F127" i="76"/>
  <c r="H127" i="76"/>
  <c r="J127" i="76"/>
  <c r="J131" i="76"/>
  <c r="F65" i="76"/>
  <c r="E57" i="76"/>
  <c r="C57" i="76"/>
  <c r="E69" i="76"/>
  <c r="E58" i="76"/>
  <c r="E70" i="76"/>
  <c r="E59" i="76"/>
  <c r="E71" i="76"/>
  <c r="F68" i="76"/>
  <c r="L57" i="76"/>
  <c r="D141" i="76"/>
  <c r="L58" i="76"/>
  <c r="E141" i="76"/>
  <c r="L59" i="76"/>
  <c r="H141" i="76"/>
  <c r="I141" i="76"/>
  <c r="D172" i="76"/>
  <c r="I57" i="76"/>
  <c r="E172" i="76"/>
  <c r="I58" i="76"/>
  <c r="H172" i="76"/>
  <c r="I59" i="76"/>
  <c r="F72" i="76"/>
  <c r="F74" i="76"/>
  <c r="E78" i="76"/>
  <c r="F79" i="76"/>
  <c r="F83" i="76"/>
  <c r="F84" i="76"/>
  <c r="L99" i="76"/>
  <c r="I27" i="76"/>
  <c r="D138" i="76"/>
  <c r="F141" i="76"/>
  <c r="L147" i="76"/>
  <c r="O168" i="76"/>
  <c r="G141" i="76"/>
  <c r="D145" i="76"/>
  <c r="E145" i="76"/>
  <c r="I145" i="76"/>
  <c r="D151" i="76"/>
  <c r="E151" i="76"/>
  <c r="I151" i="76"/>
  <c r="F85" i="76"/>
  <c r="F88" i="76"/>
  <c r="D144" i="76"/>
  <c r="D150" i="76"/>
  <c r="D168" i="76"/>
  <c r="E95" i="76"/>
  <c r="E144" i="76"/>
  <c r="E150" i="76"/>
  <c r="E168" i="76"/>
  <c r="E96" i="76"/>
  <c r="H144" i="76"/>
  <c r="H145" i="76"/>
  <c r="H150" i="76"/>
  <c r="H151" i="76"/>
  <c r="H168" i="76"/>
  <c r="E97" i="76"/>
  <c r="F99" i="76"/>
  <c r="L69" i="76"/>
  <c r="L71" i="76"/>
  <c r="L73" i="76"/>
  <c r="L84" i="76"/>
  <c r="J84" i="75"/>
  <c r="B110" i="75"/>
  <c r="B113" i="75"/>
  <c r="C110" i="75"/>
  <c r="C113" i="75"/>
  <c r="D110" i="75"/>
  <c r="D113" i="75"/>
  <c r="E110" i="75"/>
  <c r="E113" i="75"/>
  <c r="G110" i="75"/>
  <c r="G113" i="75"/>
  <c r="H110" i="75"/>
  <c r="H113" i="75"/>
  <c r="I110" i="75"/>
  <c r="I113" i="75"/>
  <c r="J113" i="75"/>
  <c r="B117" i="75"/>
  <c r="H118" i="75"/>
  <c r="B124" i="75"/>
  <c r="B127" i="75"/>
  <c r="C124" i="75"/>
  <c r="C127" i="75"/>
  <c r="D124" i="75"/>
  <c r="D127" i="75"/>
  <c r="E124" i="75"/>
  <c r="E127" i="75"/>
  <c r="F124" i="75"/>
  <c r="F127" i="75"/>
  <c r="H127" i="75"/>
  <c r="J127" i="75"/>
  <c r="J131" i="75"/>
  <c r="F65" i="75"/>
  <c r="E57" i="75"/>
  <c r="C57" i="75"/>
  <c r="E69" i="75"/>
  <c r="E58" i="75"/>
  <c r="E70" i="75"/>
  <c r="E59" i="75"/>
  <c r="E71" i="75"/>
  <c r="F68" i="75"/>
  <c r="L57" i="75"/>
  <c r="D141" i="75"/>
  <c r="L58" i="75"/>
  <c r="E141" i="75"/>
  <c r="L59" i="75"/>
  <c r="H141" i="75"/>
  <c r="I141" i="75"/>
  <c r="D172" i="75"/>
  <c r="I57" i="75"/>
  <c r="E172" i="75"/>
  <c r="I58" i="75"/>
  <c r="H172" i="75"/>
  <c r="I59" i="75"/>
  <c r="F72" i="75"/>
  <c r="F74" i="75"/>
  <c r="E78" i="75"/>
  <c r="F79" i="75"/>
  <c r="F84" i="75"/>
  <c r="L99" i="75"/>
  <c r="I27" i="75"/>
  <c r="D138" i="75"/>
  <c r="D157" i="75"/>
  <c r="E157" i="75"/>
  <c r="H157" i="75"/>
  <c r="I157" i="75"/>
  <c r="D163" i="75"/>
  <c r="E163" i="75"/>
  <c r="H163" i="75"/>
  <c r="I163" i="75"/>
  <c r="F85" i="75"/>
  <c r="F88" i="75"/>
  <c r="D156" i="75"/>
  <c r="D158" i="75"/>
  <c r="D162" i="75"/>
  <c r="D168" i="75"/>
  <c r="E95" i="75"/>
  <c r="E156" i="75"/>
  <c r="E162" i="75"/>
  <c r="E168" i="75"/>
  <c r="E96" i="75"/>
  <c r="H156" i="75"/>
  <c r="H162" i="75"/>
  <c r="H168" i="75"/>
  <c r="E97" i="75"/>
  <c r="F99" i="75"/>
  <c r="L69" i="75"/>
  <c r="L71" i="75"/>
  <c r="L73" i="75"/>
  <c r="L84" i="75"/>
  <c r="J84" i="74"/>
  <c r="B110" i="74"/>
  <c r="B113" i="74"/>
  <c r="C110" i="74"/>
  <c r="C113" i="74"/>
  <c r="D110" i="74"/>
  <c r="D113" i="74"/>
  <c r="E110" i="74"/>
  <c r="E113" i="74"/>
  <c r="G110" i="74"/>
  <c r="G113" i="74"/>
  <c r="H110" i="74"/>
  <c r="H113" i="74"/>
  <c r="I110" i="74"/>
  <c r="I113" i="74"/>
  <c r="J113" i="74"/>
  <c r="B117" i="74"/>
  <c r="H118" i="74"/>
  <c r="B124" i="74"/>
  <c r="B127" i="74"/>
  <c r="C124" i="74"/>
  <c r="C127" i="74"/>
  <c r="D124" i="74"/>
  <c r="D127" i="74"/>
  <c r="E124" i="74"/>
  <c r="E127" i="74"/>
  <c r="F124" i="74"/>
  <c r="F127" i="74"/>
  <c r="H127" i="74"/>
  <c r="J127" i="74"/>
  <c r="J131" i="74"/>
  <c r="F65" i="74"/>
  <c r="E57" i="74"/>
  <c r="C57" i="74"/>
  <c r="E69" i="74"/>
  <c r="E58" i="74"/>
  <c r="E70" i="74"/>
  <c r="E59" i="74"/>
  <c r="E71" i="74"/>
  <c r="F68" i="74"/>
  <c r="L57" i="74"/>
  <c r="D141" i="74"/>
  <c r="L58" i="74"/>
  <c r="E141" i="74"/>
  <c r="L59" i="74"/>
  <c r="H141" i="74"/>
  <c r="I141" i="74"/>
  <c r="D172" i="74"/>
  <c r="I57" i="74"/>
  <c r="E172" i="74"/>
  <c r="I58" i="74"/>
  <c r="H172" i="74"/>
  <c r="I59" i="74"/>
  <c r="F72" i="74"/>
  <c r="F74" i="74"/>
  <c r="E78" i="74"/>
  <c r="F79" i="74"/>
  <c r="F83" i="74"/>
  <c r="F84" i="74"/>
  <c r="L99" i="74"/>
  <c r="I27" i="74"/>
  <c r="D138" i="74"/>
  <c r="D157" i="74"/>
  <c r="E157" i="74"/>
  <c r="H157" i="74"/>
  <c r="I157" i="74"/>
  <c r="D163" i="74"/>
  <c r="E163" i="74"/>
  <c r="H163" i="74"/>
  <c r="I163" i="74"/>
  <c r="F85" i="74"/>
  <c r="F88" i="74"/>
  <c r="D156" i="74"/>
  <c r="D158" i="74"/>
  <c r="D162" i="74"/>
  <c r="D168" i="74"/>
  <c r="E95" i="74"/>
  <c r="E156" i="74"/>
  <c r="E162" i="74"/>
  <c r="E168" i="74"/>
  <c r="E96" i="74"/>
  <c r="H156" i="74"/>
  <c r="H162" i="74"/>
  <c r="H168" i="74"/>
  <c r="E97" i="74"/>
  <c r="F99" i="74"/>
  <c r="L69" i="74"/>
  <c r="L71" i="74"/>
  <c r="L73" i="74"/>
  <c r="L84" i="74"/>
  <c r="J84" i="73"/>
  <c r="B110" i="73"/>
  <c r="B113" i="73"/>
  <c r="C110" i="73"/>
  <c r="C113" i="73"/>
  <c r="D110" i="73"/>
  <c r="D113" i="73"/>
  <c r="E110" i="73"/>
  <c r="E113" i="73"/>
  <c r="G110" i="73"/>
  <c r="G113" i="73"/>
  <c r="H110" i="73"/>
  <c r="H113" i="73"/>
  <c r="I110" i="73"/>
  <c r="I113" i="73"/>
  <c r="J113" i="73"/>
  <c r="B117" i="73"/>
  <c r="H118" i="73"/>
  <c r="B124" i="73"/>
  <c r="B127" i="73"/>
  <c r="C124" i="73"/>
  <c r="C127" i="73"/>
  <c r="D124" i="73"/>
  <c r="D127" i="73"/>
  <c r="E124" i="73"/>
  <c r="E127" i="73"/>
  <c r="F124" i="73"/>
  <c r="F127" i="73"/>
  <c r="H127" i="73"/>
  <c r="J127" i="73"/>
  <c r="J131" i="73"/>
  <c r="F65" i="73"/>
  <c r="E57" i="73"/>
  <c r="C57" i="73"/>
  <c r="E69" i="73"/>
  <c r="E58" i="73"/>
  <c r="E70" i="73"/>
  <c r="E59" i="73"/>
  <c r="E71" i="73"/>
  <c r="F68" i="73"/>
  <c r="L57" i="73"/>
  <c r="D141" i="73"/>
  <c r="L58" i="73"/>
  <c r="E141" i="73"/>
  <c r="L59" i="73"/>
  <c r="H141" i="73"/>
  <c r="I141" i="73"/>
  <c r="D172" i="73"/>
  <c r="I57" i="73"/>
  <c r="E172" i="73"/>
  <c r="I58" i="73"/>
  <c r="H172" i="73"/>
  <c r="I59" i="73"/>
  <c r="F72" i="73"/>
  <c r="F74" i="73"/>
  <c r="E78" i="73"/>
  <c r="F79" i="73"/>
  <c r="F83" i="73"/>
  <c r="F84" i="73"/>
  <c r="L99" i="73"/>
  <c r="I27" i="73"/>
  <c r="D138" i="73"/>
  <c r="D156" i="73"/>
  <c r="E156" i="73"/>
  <c r="H156" i="73"/>
  <c r="I156" i="73"/>
  <c r="D162" i="73"/>
  <c r="E162" i="73"/>
  <c r="H162" i="73"/>
  <c r="I162" i="73"/>
  <c r="F85" i="73"/>
  <c r="F88" i="73"/>
  <c r="D168" i="73"/>
  <c r="E95" i="73"/>
  <c r="E168" i="73"/>
  <c r="E96" i="73"/>
  <c r="E97" i="73"/>
  <c r="F99" i="73"/>
  <c r="L69" i="73"/>
  <c r="L71" i="73"/>
  <c r="L73" i="73"/>
  <c r="L84" i="73"/>
  <c r="J84" i="72"/>
  <c r="B110" i="72"/>
  <c r="B113" i="72"/>
  <c r="C110" i="72"/>
  <c r="C113" i="72"/>
  <c r="D110" i="72"/>
  <c r="D113" i="72"/>
  <c r="E110" i="72"/>
  <c r="E113" i="72"/>
  <c r="G110" i="72"/>
  <c r="G113" i="72"/>
  <c r="H110" i="72"/>
  <c r="H113" i="72"/>
  <c r="I110" i="72"/>
  <c r="I113" i="72"/>
  <c r="J113" i="72"/>
  <c r="B117" i="72"/>
  <c r="H118" i="72"/>
  <c r="B124" i="72"/>
  <c r="B127" i="72"/>
  <c r="C124" i="72"/>
  <c r="C127" i="72"/>
  <c r="D124" i="72"/>
  <c r="D127" i="72"/>
  <c r="E124" i="72"/>
  <c r="E127" i="72"/>
  <c r="F124" i="72"/>
  <c r="F127" i="72"/>
  <c r="H127" i="72"/>
  <c r="J127" i="72"/>
  <c r="J131" i="72"/>
  <c r="F65" i="72"/>
  <c r="E57" i="72"/>
  <c r="C57" i="72"/>
  <c r="E69" i="72"/>
  <c r="E58" i="72"/>
  <c r="E70" i="72"/>
  <c r="E59" i="72"/>
  <c r="E71" i="72"/>
  <c r="F68" i="72"/>
  <c r="L57" i="72"/>
  <c r="D141" i="72"/>
  <c r="L58" i="72"/>
  <c r="E141" i="72"/>
  <c r="L59" i="72"/>
  <c r="H141" i="72"/>
  <c r="I141" i="72"/>
  <c r="D172" i="72"/>
  <c r="I57" i="72"/>
  <c r="E172" i="72"/>
  <c r="I58" i="72"/>
  <c r="H172" i="72"/>
  <c r="I59" i="72"/>
  <c r="F72" i="72"/>
  <c r="F74" i="72"/>
  <c r="E78" i="72"/>
  <c r="F79" i="72"/>
  <c r="F83" i="72"/>
  <c r="F84" i="72"/>
  <c r="L99" i="72"/>
  <c r="I27" i="72"/>
  <c r="D138" i="72"/>
  <c r="D156" i="72"/>
  <c r="E156" i="72"/>
  <c r="H156" i="72"/>
  <c r="I156" i="72"/>
  <c r="D162" i="72"/>
  <c r="E162" i="72"/>
  <c r="H162" i="72"/>
  <c r="I162" i="72"/>
  <c r="F85" i="72"/>
  <c r="F88" i="72"/>
  <c r="D158" i="72"/>
  <c r="D163" i="72"/>
  <c r="D168" i="72"/>
  <c r="E95" i="72"/>
  <c r="E157" i="72"/>
  <c r="E163" i="72"/>
  <c r="E168" i="72"/>
  <c r="E96" i="72"/>
  <c r="H157" i="72"/>
  <c r="H163" i="72"/>
  <c r="H168" i="72"/>
  <c r="E97" i="72"/>
  <c r="F99" i="72"/>
  <c r="L69" i="72"/>
  <c r="L71" i="72"/>
  <c r="L73" i="72"/>
  <c r="L84" i="72"/>
  <c r="J84" i="71"/>
  <c r="B110" i="71"/>
  <c r="B113" i="71"/>
  <c r="C110" i="71"/>
  <c r="C113" i="71"/>
  <c r="D110" i="71"/>
  <c r="D113" i="71"/>
  <c r="E110" i="71"/>
  <c r="E113" i="71"/>
  <c r="G110" i="71"/>
  <c r="G113" i="71"/>
  <c r="H110" i="71"/>
  <c r="H113" i="71"/>
  <c r="I110" i="71"/>
  <c r="I113" i="71"/>
  <c r="J113" i="71"/>
  <c r="B117" i="71"/>
  <c r="H118" i="71"/>
  <c r="B124" i="71"/>
  <c r="B127" i="71"/>
  <c r="C124" i="71"/>
  <c r="C127" i="71"/>
  <c r="D124" i="71"/>
  <c r="D127" i="71"/>
  <c r="E124" i="71"/>
  <c r="E127" i="71"/>
  <c r="F124" i="71"/>
  <c r="F127" i="71"/>
  <c r="H127" i="71"/>
  <c r="J127" i="71"/>
  <c r="J131" i="71"/>
  <c r="F65" i="71"/>
  <c r="E57" i="71"/>
  <c r="C57" i="71"/>
  <c r="E69" i="71"/>
  <c r="E58" i="71"/>
  <c r="E70" i="71"/>
  <c r="E59" i="71"/>
  <c r="E71" i="71"/>
  <c r="F68" i="71"/>
  <c r="L57" i="71"/>
  <c r="D141" i="71"/>
  <c r="L58" i="71"/>
  <c r="E141" i="71"/>
  <c r="L59" i="71"/>
  <c r="H141" i="71"/>
  <c r="I141" i="71"/>
  <c r="D172" i="71"/>
  <c r="I57" i="71"/>
  <c r="E172" i="71"/>
  <c r="I58" i="71"/>
  <c r="H172" i="71"/>
  <c r="I59" i="71"/>
  <c r="F72" i="71"/>
  <c r="F74" i="71"/>
  <c r="E78" i="71"/>
  <c r="F79" i="71"/>
  <c r="F83" i="71"/>
  <c r="F84" i="71"/>
  <c r="L99" i="71"/>
  <c r="I27" i="71"/>
  <c r="D138" i="71"/>
  <c r="F141" i="71"/>
  <c r="L147" i="71"/>
  <c r="O168" i="71"/>
  <c r="G141" i="71"/>
  <c r="D145" i="71"/>
  <c r="E145" i="71"/>
  <c r="I145" i="71"/>
  <c r="D151" i="71"/>
  <c r="E151" i="71"/>
  <c r="I151" i="71"/>
  <c r="F85" i="71"/>
  <c r="F88" i="71"/>
  <c r="D144" i="71"/>
  <c r="D150" i="71"/>
  <c r="D168" i="71"/>
  <c r="E95" i="71"/>
  <c r="E144" i="71"/>
  <c r="E150" i="71"/>
  <c r="E168" i="71"/>
  <c r="E96" i="71"/>
  <c r="H144" i="71"/>
  <c r="H145" i="71"/>
  <c r="H150" i="71"/>
  <c r="H151" i="71"/>
  <c r="H168" i="71"/>
  <c r="E97" i="71"/>
  <c r="F99" i="71"/>
  <c r="L69" i="71"/>
  <c r="L71" i="71"/>
  <c r="L73" i="71"/>
  <c r="L84" i="71"/>
  <c r="J84" i="70"/>
  <c r="B110" i="70"/>
  <c r="B113" i="70"/>
  <c r="C110" i="70"/>
  <c r="C113" i="70"/>
  <c r="D110" i="70"/>
  <c r="D113" i="70"/>
  <c r="E110" i="70"/>
  <c r="E113" i="70"/>
  <c r="G110" i="70"/>
  <c r="G113" i="70"/>
  <c r="H110" i="70"/>
  <c r="H113" i="70"/>
  <c r="I110" i="70"/>
  <c r="I113" i="70"/>
  <c r="J113" i="70"/>
  <c r="B117" i="70"/>
  <c r="H118" i="70"/>
  <c r="B124" i="70"/>
  <c r="B127" i="70"/>
  <c r="C124" i="70"/>
  <c r="C127" i="70"/>
  <c r="D124" i="70"/>
  <c r="D127" i="70"/>
  <c r="E124" i="70"/>
  <c r="E127" i="70"/>
  <c r="F124" i="70"/>
  <c r="F127" i="70"/>
  <c r="H127" i="70"/>
  <c r="J127" i="70"/>
  <c r="J131" i="70"/>
  <c r="F65" i="70"/>
  <c r="E57" i="70"/>
  <c r="C57" i="70"/>
  <c r="E69" i="70"/>
  <c r="E58" i="70"/>
  <c r="E70" i="70"/>
  <c r="E59" i="70"/>
  <c r="E71" i="70"/>
  <c r="F68" i="70"/>
  <c r="L57" i="70"/>
  <c r="D141" i="70"/>
  <c r="L58" i="70"/>
  <c r="E141" i="70"/>
  <c r="L59" i="70"/>
  <c r="H141" i="70"/>
  <c r="I141" i="70"/>
  <c r="D172" i="70"/>
  <c r="I57" i="70"/>
  <c r="E172" i="70"/>
  <c r="I58" i="70"/>
  <c r="H172" i="70"/>
  <c r="I59" i="70"/>
  <c r="F72" i="70"/>
  <c r="F74" i="70"/>
  <c r="E78" i="70"/>
  <c r="F79" i="70"/>
  <c r="F83" i="70"/>
  <c r="F84" i="70"/>
  <c r="L99" i="70"/>
  <c r="I27" i="70"/>
  <c r="D138" i="70"/>
  <c r="D156" i="70"/>
  <c r="E156" i="70"/>
  <c r="H156" i="70"/>
  <c r="I156" i="70"/>
  <c r="D162" i="70"/>
  <c r="E162" i="70"/>
  <c r="H162" i="70"/>
  <c r="I162" i="70"/>
  <c r="F85" i="70"/>
  <c r="F88" i="70"/>
  <c r="D158" i="70"/>
  <c r="D163" i="70"/>
  <c r="D168" i="70"/>
  <c r="E95" i="70"/>
  <c r="E157" i="70"/>
  <c r="E163" i="70"/>
  <c r="E168" i="70"/>
  <c r="E96" i="70"/>
  <c r="H157" i="70"/>
  <c r="H163" i="70"/>
  <c r="H168" i="70"/>
  <c r="E97" i="70"/>
  <c r="F99" i="70"/>
  <c r="L69" i="70"/>
  <c r="L71" i="70"/>
  <c r="L73" i="70"/>
  <c r="L84" i="70"/>
  <c r="J84" i="69"/>
  <c r="B110" i="69"/>
  <c r="B113" i="69"/>
  <c r="C110" i="69"/>
  <c r="C113" i="69"/>
  <c r="D110" i="69"/>
  <c r="D113" i="69"/>
  <c r="E110" i="69"/>
  <c r="E113" i="69"/>
  <c r="G110" i="69"/>
  <c r="G113" i="69"/>
  <c r="H110" i="69"/>
  <c r="H113" i="69"/>
  <c r="I110" i="69"/>
  <c r="I113" i="69"/>
  <c r="J113" i="69"/>
  <c r="B117" i="69"/>
  <c r="H118" i="69"/>
  <c r="B124" i="69"/>
  <c r="B127" i="69"/>
  <c r="C124" i="69"/>
  <c r="C127" i="69"/>
  <c r="D124" i="69"/>
  <c r="D127" i="69"/>
  <c r="E124" i="69"/>
  <c r="E127" i="69"/>
  <c r="F124" i="69"/>
  <c r="F127" i="69"/>
  <c r="H127" i="69"/>
  <c r="J127" i="69"/>
  <c r="J131" i="69"/>
  <c r="F65" i="69"/>
  <c r="E57" i="69"/>
  <c r="C57" i="69"/>
  <c r="E69" i="69"/>
  <c r="E58" i="69"/>
  <c r="E70" i="69"/>
  <c r="E59" i="69"/>
  <c r="E71" i="69"/>
  <c r="F68" i="69"/>
  <c r="L57" i="69"/>
  <c r="D141" i="69"/>
  <c r="L58" i="69"/>
  <c r="E141" i="69"/>
  <c r="L59" i="69"/>
  <c r="H141" i="69"/>
  <c r="I141" i="69"/>
  <c r="D172" i="69"/>
  <c r="I57" i="69"/>
  <c r="E172" i="69"/>
  <c r="I58" i="69"/>
  <c r="H172" i="69"/>
  <c r="I59" i="69"/>
  <c r="F72" i="69"/>
  <c r="F74" i="69"/>
  <c r="E78" i="69"/>
  <c r="F79" i="69"/>
  <c r="F83" i="69"/>
  <c r="F84" i="69"/>
  <c r="L99" i="69"/>
  <c r="I27" i="69"/>
  <c r="D138" i="69"/>
  <c r="F141" i="69"/>
  <c r="L147" i="69"/>
  <c r="O168" i="69"/>
  <c r="G141" i="69"/>
  <c r="D145" i="69"/>
  <c r="E145" i="69"/>
  <c r="I145" i="69"/>
  <c r="D151" i="69"/>
  <c r="E151" i="69"/>
  <c r="I151" i="69"/>
  <c r="F85" i="69"/>
  <c r="F88" i="69"/>
  <c r="D144" i="69"/>
  <c r="D150" i="69"/>
  <c r="D168" i="69"/>
  <c r="E95" i="69"/>
  <c r="E144" i="69"/>
  <c r="E150" i="69"/>
  <c r="E168" i="69"/>
  <c r="E96" i="69"/>
  <c r="H144" i="69"/>
  <c r="H145" i="69"/>
  <c r="H150" i="69"/>
  <c r="H151" i="69"/>
  <c r="H168" i="69"/>
  <c r="E97" i="69"/>
  <c r="F99" i="69"/>
  <c r="L69" i="69"/>
  <c r="L71" i="69"/>
  <c r="L73" i="69"/>
  <c r="L84" i="69"/>
  <c r="J84" i="68"/>
  <c r="B110" i="68"/>
  <c r="B113" i="68"/>
  <c r="C110" i="68"/>
  <c r="C113" i="68"/>
  <c r="D110" i="68"/>
  <c r="D113" i="68"/>
  <c r="E110" i="68"/>
  <c r="E113" i="68"/>
  <c r="G110" i="68"/>
  <c r="G113" i="68"/>
  <c r="H110" i="68"/>
  <c r="H113" i="68"/>
  <c r="I110" i="68"/>
  <c r="I113" i="68"/>
  <c r="J113" i="68"/>
  <c r="B117" i="68"/>
  <c r="H118" i="68"/>
  <c r="B124" i="68"/>
  <c r="B127" i="68"/>
  <c r="C124" i="68"/>
  <c r="C127" i="68"/>
  <c r="D124" i="68"/>
  <c r="D127" i="68"/>
  <c r="E124" i="68"/>
  <c r="E127" i="68"/>
  <c r="F124" i="68"/>
  <c r="F127" i="68"/>
  <c r="H127" i="68"/>
  <c r="J127" i="68"/>
  <c r="J131" i="68"/>
  <c r="F65" i="68"/>
  <c r="E57" i="68"/>
  <c r="C57" i="68"/>
  <c r="E69" i="68"/>
  <c r="E58" i="68"/>
  <c r="E70" i="68"/>
  <c r="E59" i="68"/>
  <c r="E71" i="68"/>
  <c r="F68" i="68"/>
  <c r="L57" i="68"/>
  <c r="D141" i="68"/>
  <c r="L58" i="68"/>
  <c r="E141" i="68"/>
  <c r="L59" i="68"/>
  <c r="H141" i="68"/>
  <c r="I141" i="68"/>
  <c r="D172" i="68"/>
  <c r="I57" i="68"/>
  <c r="E172" i="68"/>
  <c r="I58" i="68"/>
  <c r="H172" i="68"/>
  <c r="I59" i="68"/>
  <c r="F72" i="68"/>
  <c r="F74" i="68"/>
  <c r="E78" i="68"/>
  <c r="F79" i="68"/>
  <c r="F83" i="68"/>
  <c r="F84" i="68"/>
  <c r="L99" i="68"/>
  <c r="I27" i="68"/>
  <c r="D138" i="68"/>
  <c r="D156" i="68"/>
  <c r="E156" i="68"/>
  <c r="H156" i="68"/>
  <c r="I156" i="68"/>
  <c r="D162" i="68"/>
  <c r="E162" i="68"/>
  <c r="H162" i="68"/>
  <c r="I162" i="68"/>
  <c r="F85" i="68"/>
  <c r="F88" i="68"/>
  <c r="D168" i="68"/>
  <c r="E95" i="68"/>
  <c r="E168" i="68"/>
  <c r="E96" i="68"/>
  <c r="E97" i="68"/>
  <c r="F99" i="68"/>
  <c r="L69" i="68"/>
  <c r="L71" i="68"/>
  <c r="L73" i="68"/>
  <c r="L84" i="68"/>
  <c r="J84" i="67"/>
  <c r="B110" i="67"/>
  <c r="B113" i="67"/>
  <c r="C110" i="67"/>
  <c r="C113" i="67"/>
  <c r="D110" i="67"/>
  <c r="D113" i="67"/>
  <c r="E110" i="67"/>
  <c r="E113" i="67"/>
  <c r="G110" i="67"/>
  <c r="G113" i="67"/>
  <c r="H110" i="67"/>
  <c r="H113" i="67"/>
  <c r="I110" i="67"/>
  <c r="I113" i="67"/>
  <c r="J113" i="67"/>
  <c r="B117" i="67"/>
  <c r="H118" i="67"/>
  <c r="B124" i="67"/>
  <c r="B127" i="67"/>
  <c r="C124" i="67"/>
  <c r="C127" i="67"/>
  <c r="D124" i="67"/>
  <c r="D127" i="67"/>
  <c r="E124" i="67"/>
  <c r="E127" i="67"/>
  <c r="F124" i="67"/>
  <c r="F127" i="67"/>
  <c r="H127" i="67"/>
  <c r="J127" i="67"/>
  <c r="J131" i="67"/>
  <c r="F65" i="67"/>
  <c r="E57" i="67"/>
  <c r="C57" i="67"/>
  <c r="E69" i="67"/>
  <c r="E58" i="67"/>
  <c r="E70" i="67"/>
  <c r="E59" i="67"/>
  <c r="E71" i="67"/>
  <c r="F68" i="67"/>
  <c r="L57" i="67"/>
  <c r="D141" i="67"/>
  <c r="L58" i="67"/>
  <c r="E141" i="67"/>
  <c r="L59" i="67"/>
  <c r="H141" i="67"/>
  <c r="I141" i="67"/>
  <c r="D172" i="67"/>
  <c r="I57" i="67"/>
  <c r="E172" i="67"/>
  <c r="I58" i="67"/>
  <c r="H172" i="67"/>
  <c r="I59" i="67"/>
  <c r="F72" i="67"/>
  <c r="F74" i="67"/>
  <c r="E78" i="67"/>
  <c r="F79" i="67"/>
  <c r="F83" i="67"/>
  <c r="F84" i="67"/>
  <c r="L99" i="67"/>
  <c r="I27" i="67"/>
  <c r="D138" i="67"/>
  <c r="D156" i="67"/>
  <c r="E156" i="67"/>
  <c r="H156" i="67"/>
  <c r="I156" i="67"/>
  <c r="D162" i="67"/>
  <c r="E162" i="67"/>
  <c r="H162" i="67"/>
  <c r="I162" i="67"/>
  <c r="F85" i="67"/>
  <c r="F88" i="67"/>
  <c r="D158" i="67"/>
  <c r="D163" i="67"/>
  <c r="D168" i="67"/>
  <c r="E95" i="67"/>
  <c r="E157" i="67"/>
  <c r="E163" i="67"/>
  <c r="E168" i="67"/>
  <c r="E96" i="67"/>
  <c r="H157" i="67"/>
  <c r="H163" i="67"/>
  <c r="H168" i="67"/>
  <c r="E97" i="67"/>
  <c r="F99" i="67"/>
  <c r="L69" i="67"/>
  <c r="L71" i="67"/>
  <c r="L73" i="67"/>
  <c r="L84" i="67"/>
  <c r="J84" i="66"/>
  <c r="B110" i="66"/>
  <c r="B113" i="66"/>
  <c r="C110" i="66"/>
  <c r="C113" i="66"/>
  <c r="D110" i="66"/>
  <c r="D113" i="66"/>
  <c r="E110" i="66"/>
  <c r="E113" i="66"/>
  <c r="G110" i="66"/>
  <c r="G113" i="66"/>
  <c r="H110" i="66"/>
  <c r="H113" i="66"/>
  <c r="I110" i="66"/>
  <c r="I113" i="66"/>
  <c r="J113" i="66"/>
  <c r="B117" i="66"/>
  <c r="H118" i="66"/>
  <c r="B124" i="66"/>
  <c r="B127" i="66"/>
  <c r="C124" i="66"/>
  <c r="C127" i="66"/>
  <c r="D124" i="66"/>
  <c r="D127" i="66"/>
  <c r="E124" i="66"/>
  <c r="E127" i="66"/>
  <c r="F124" i="66"/>
  <c r="F127" i="66"/>
  <c r="H127" i="66"/>
  <c r="J127" i="66"/>
  <c r="J131" i="66"/>
  <c r="F65" i="66"/>
  <c r="E57" i="66"/>
  <c r="C57" i="66"/>
  <c r="E69" i="66"/>
  <c r="E58" i="66"/>
  <c r="E70" i="66"/>
  <c r="E59" i="66"/>
  <c r="E71" i="66"/>
  <c r="F68" i="66"/>
  <c r="L57" i="66"/>
  <c r="D141" i="66"/>
  <c r="L58" i="66"/>
  <c r="E141" i="66"/>
  <c r="L59" i="66"/>
  <c r="H141" i="66"/>
  <c r="I141" i="66"/>
  <c r="D172" i="66"/>
  <c r="I57" i="66"/>
  <c r="E172" i="66"/>
  <c r="I58" i="66"/>
  <c r="H172" i="66"/>
  <c r="I59" i="66"/>
  <c r="F72" i="66"/>
  <c r="F74" i="66"/>
  <c r="E78" i="66"/>
  <c r="F79" i="66"/>
  <c r="F83" i="66"/>
  <c r="F84" i="66"/>
  <c r="L99" i="66"/>
  <c r="I27" i="66"/>
  <c r="D138" i="66"/>
  <c r="D156" i="66"/>
  <c r="E156" i="66"/>
  <c r="H156" i="66"/>
  <c r="I156" i="66"/>
  <c r="D162" i="66"/>
  <c r="E162" i="66"/>
  <c r="H162" i="66"/>
  <c r="I162" i="66"/>
  <c r="F85" i="66"/>
  <c r="F88" i="66"/>
  <c r="D158" i="66"/>
  <c r="D163" i="66"/>
  <c r="D168" i="66"/>
  <c r="E95" i="66"/>
  <c r="E157" i="66"/>
  <c r="E163" i="66"/>
  <c r="E168" i="66"/>
  <c r="E96" i="66"/>
  <c r="H157" i="66"/>
  <c r="H163" i="66"/>
  <c r="H168" i="66"/>
  <c r="E97" i="66"/>
  <c r="F99" i="66"/>
  <c r="L69" i="66"/>
  <c r="L71" i="66"/>
  <c r="L73" i="66"/>
  <c r="L84" i="66"/>
  <c r="J84" i="65"/>
  <c r="B110" i="65"/>
  <c r="B113" i="65"/>
  <c r="C110" i="65"/>
  <c r="C113" i="65"/>
  <c r="D110" i="65"/>
  <c r="D113" i="65"/>
  <c r="E110" i="65"/>
  <c r="E113" i="65"/>
  <c r="G110" i="65"/>
  <c r="G113" i="65"/>
  <c r="H110" i="65"/>
  <c r="H113" i="65"/>
  <c r="I110" i="65"/>
  <c r="I113" i="65"/>
  <c r="J113" i="65"/>
  <c r="B117" i="65"/>
  <c r="H118" i="65"/>
  <c r="B124" i="65"/>
  <c r="B127" i="65"/>
  <c r="C124" i="65"/>
  <c r="C127" i="65"/>
  <c r="D124" i="65"/>
  <c r="D127" i="65"/>
  <c r="E124" i="65"/>
  <c r="E127" i="65"/>
  <c r="F124" i="65"/>
  <c r="F127" i="65"/>
  <c r="H127" i="65"/>
  <c r="J127" i="65"/>
  <c r="J131" i="65"/>
  <c r="F65" i="65"/>
  <c r="E57" i="65"/>
  <c r="C57" i="65"/>
  <c r="E69" i="65"/>
  <c r="E58" i="65"/>
  <c r="E70" i="65"/>
  <c r="E59" i="65"/>
  <c r="E71" i="65"/>
  <c r="F68" i="65"/>
  <c r="L57" i="65"/>
  <c r="D141" i="65"/>
  <c r="L58" i="65"/>
  <c r="E141" i="65"/>
  <c r="L59" i="65"/>
  <c r="H141" i="65"/>
  <c r="I141" i="65"/>
  <c r="D172" i="65"/>
  <c r="I57" i="65"/>
  <c r="E172" i="65"/>
  <c r="I58" i="65"/>
  <c r="H172" i="65"/>
  <c r="I59" i="65"/>
  <c r="F72" i="65"/>
  <c r="F74" i="65"/>
  <c r="E78" i="65"/>
  <c r="F79" i="65"/>
  <c r="F83" i="65"/>
  <c r="F84" i="65"/>
  <c r="L99" i="65"/>
  <c r="I27" i="65"/>
  <c r="D138" i="65"/>
  <c r="D156" i="65"/>
  <c r="E156" i="65"/>
  <c r="H156" i="65"/>
  <c r="I156" i="65"/>
  <c r="D162" i="65"/>
  <c r="E162" i="65"/>
  <c r="H162" i="65"/>
  <c r="I162" i="65"/>
  <c r="F85" i="65"/>
  <c r="F88" i="65"/>
  <c r="D158" i="65"/>
  <c r="D163" i="65"/>
  <c r="D168" i="65"/>
  <c r="E95" i="65"/>
  <c r="E157" i="65"/>
  <c r="E163" i="65"/>
  <c r="E168" i="65"/>
  <c r="E96" i="65"/>
  <c r="H157" i="65"/>
  <c r="H163" i="65"/>
  <c r="H168" i="65"/>
  <c r="E97" i="65"/>
  <c r="F99" i="65"/>
  <c r="L69" i="65"/>
  <c r="L71" i="65"/>
  <c r="L73" i="65"/>
  <c r="L84" i="65"/>
  <c r="J84" i="64"/>
  <c r="B110" i="64"/>
  <c r="B113" i="64"/>
  <c r="C110" i="64"/>
  <c r="C113" i="64"/>
  <c r="D110" i="64"/>
  <c r="D113" i="64"/>
  <c r="E110" i="64"/>
  <c r="E113" i="64"/>
  <c r="G110" i="64"/>
  <c r="G113" i="64"/>
  <c r="H110" i="64"/>
  <c r="H113" i="64"/>
  <c r="I110" i="64"/>
  <c r="I113" i="64"/>
  <c r="J113" i="64"/>
  <c r="B117" i="64"/>
  <c r="H118" i="64"/>
  <c r="B124" i="64"/>
  <c r="B127" i="64"/>
  <c r="C124" i="64"/>
  <c r="C127" i="64"/>
  <c r="D124" i="64"/>
  <c r="D127" i="64"/>
  <c r="E124" i="64"/>
  <c r="E127" i="64"/>
  <c r="F124" i="64"/>
  <c r="F127" i="64"/>
  <c r="H127" i="64"/>
  <c r="J127" i="64"/>
  <c r="J131" i="64"/>
  <c r="F65" i="64"/>
  <c r="E57" i="64"/>
  <c r="C57" i="64"/>
  <c r="E69" i="64"/>
  <c r="E58" i="64"/>
  <c r="E70" i="64"/>
  <c r="E59" i="64"/>
  <c r="E71" i="64"/>
  <c r="F68" i="64"/>
  <c r="L57" i="64"/>
  <c r="D141" i="64"/>
  <c r="L58" i="64"/>
  <c r="E141" i="64"/>
  <c r="L59" i="64"/>
  <c r="H141" i="64"/>
  <c r="I141" i="64"/>
  <c r="D172" i="64"/>
  <c r="I57" i="64"/>
  <c r="E172" i="64"/>
  <c r="I58" i="64"/>
  <c r="H172" i="64"/>
  <c r="I59" i="64"/>
  <c r="F72" i="64"/>
  <c r="F74" i="64"/>
  <c r="E78" i="64"/>
  <c r="F79" i="64"/>
  <c r="F83" i="64"/>
  <c r="F84" i="64"/>
  <c r="L99" i="64"/>
  <c r="I27" i="64"/>
  <c r="D138" i="64"/>
  <c r="D157" i="64"/>
  <c r="E157" i="64"/>
  <c r="H157" i="64"/>
  <c r="I157" i="64"/>
  <c r="D163" i="64"/>
  <c r="E163" i="64"/>
  <c r="H163" i="64"/>
  <c r="I163" i="64"/>
  <c r="F85" i="64"/>
  <c r="F88" i="64"/>
  <c r="D168" i="64"/>
  <c r="E95" i="64"/>
  <c r="E168" i="64"/>
  <c r="E96" i="64"/>
  <c r="E97" i="64"/>
  <c r="F99" i="64"/>
  <c r="L69" i="64"/>
  <c r="L71" i="64"/>
  <c r="L73" i="64"/>
  <c r="L84" i="64"/>
  <c r="J84" i="63"/>
  <c r="B110" i="63"/>
  <c r="B113" i="63"/>
  <c r="C110" i="63"/>
  <c r="C113" i="63"/>
  <c r="D110" i="63"/>
  <c r="D113" i="63"/>
  <c r="E110" i="63"/>
  <c r="E113" i="63"/>
  <c r="G110" i="63"/>
  <c r="G113" i="63"/>
  <c r="H110" i="63"/>
  <c r="H113" i="63"/>
  <c r="I110" i="63"/>
  <c r="I113" i="63"/>
  <c r="J113" i="63"/>
  <c r="B117" i="63"/>
  <c r="H118" i="63"/>
  <c r="B124" i="63"/>
  <c r="B127" i="63"/>
  <c r="C124" i="63"/>
  <c r="C127" i="63"/>
  <c r="D124" i="63"/>
  <c r="D127" i="63"/>
  <c r="E124" i="63"/>
  <c r="E127" i="63"/>
  <c r="F124" i="63"/>
  <c r="F127" i="63"/>
  <c r="H127" i="63"/>
  <c r="J127" i="63"/>
  <c r="J131" i="63"/>
  <c r="F65" i="63"/>
  <c r="E57" i="63"/>
  <c r="C57" i="63"/>
  <c r="E69" i="63"/>
  <c r="E58" i="63"/>
  <c r="E70" i="63"/>
  <c r="E59" i="63"/>
  <c r="E71" i="63"/>
  <c r="F68" i="63"/>
  <c r="L57" i="63"/>
  <c r="D141" i="63"/>
  <c r="L58" i="63"/>
  <c r="E141" i="63"/>
  <c r="L59" i="63"/>
  <c r="H141" i="63"/>
  <c r="I141" i="63"/>
  <c r="D172" i="63"/>
  <c r="I57" i="63"/>
  <c r="E172" i="63"/>
  <c r="I58" i="63"/>
  <c r="H172" i="63"/>
  <c r="I59" i="63"/>
  <c r="F72" i="63"/>
  <c r="F74" i="63"/>
  <c r="E78" i="63"/>
  <c r="F79" i="63"/>
  <c r="F83" i="63"/>
  <c r="F84" i="63"/>
  <c r="L99" i="63"/>
  <c r="I27" i="63"/>
  <c r="D138" i="63"/>
  <c r="F141" i="63"/>
  <c r="L147" i="63"/>
  <c r="O168" i="63"/>
  <c r="G141" i="63"/>
  <c r="D145" i="63"/>
  <c r="E145" i="63"/>
  <c r="I145" i="63"/>
  <c r="D151" i="63"/>
  <c r="E151" i="63"/>
  <c r="I151" i="63"/>
  <c r="F85" i="63"/>
  <c r="F88" i="63"/>
  <c r="D168" i="63"/>
  <c r="E95" i="63"/>
  <c r="E168" i="63"/>
  <c r="E96" i="63"/>
  <c r="E97" i="63"/>
  <c r="F99" i="63"/>
  <c r="L69" i="63"/>
  <c r="L71" i="63"/>
  <c r="L73" i="63"/>
  <c r="L84" i="63"/>
  <c r="J84" i="62"/>
  <c r="B110" i="62"/>
  <c r="B113" i="62"/>
  <c r="C110" i="62"/>
  <c r="C113" i="62"/>
  <c r="D110" i="62"/>
  <c r="D113" i="62"/>
  <c r="E110" i="62"/>
  <c r="E113" i="62"/>
  <c r="G110" i="62"/>
  <c r="G113" i="62"/>
  <c r="H110" i="62"/>
  <c r="H113" i="62"/>
  <c r="I110" i="62"/>
  <c r="I113" i="62"/>
  <c r="J113" i="62"/>
  <c r="B117" i="62"/>
  <c r="H118" i="62"/>
  <c r="B124" i="62"/>
  <c r="B127" i="62"/>
  <c r="C124" i="62"/>
  <c r="C127" i="62"/>
  <c r="D124" i="62"/>
  <c r="D127" i="62"/>
  <c r="E124" i="62"/>
  <c r="E127" i="62"/>
  <c r="F124" i="62"/>
  <c r="F127" i="62"/>
  <c r="H127" i="62"/>
  <c r="J127" i="62"/>
  <c r="J131" i="62"/>
  <c r="F65" i="62"/>
  <c r="E57" i="62"/>
  <c r="C57" i="62"/>
  <c r="E69" i="62"/>
  <c r="E58" i="62"/>
  <c r="E70" i="62"/>
  <c r="E59" i="62"/>
  <c r="E71" i="62"/>
  <c r="F68" i="62"/>
  <c r="L57" i="62"/>
  <c r="D141" i="62"/>
  <c r="L58" i="62"/>
  <c r="E141" i="62"/>
  <c r="L59" i="62"/>
  <c r="H141" i="62"/>
  <c r="I141" i="62"/>
  <c r="D172" i="62"/>
  <c r="I57" i="62"/>
  <c r="E172" i="62"/>
  <c r="I58" i="62"/>
  <c r="H172" i="62"/>
  <c r="I59" i="62"/>
  <c r="F72" i="62"/>
  <c r="F74" i="62"/>
  <c r="E78" i="62"/>
  <c r="F79" i="62"/>
  <c r="F83" i="62"/>
  <c r="F84" i="62"/>
  <c r="L99" i="62"/>
  <c r="I27" i="62"/>
  <c r="D138" i="62"/>
  <c r="D156" i="62"/>
  <c r="E156" i="62"/>
  <c r="H156" i="62"/>
  <c r="I156" i="62"/>
  <c r="D162" i="62"/>
  <c r="E162" i="62"/>
  <c r="H162" i="62"/>
  <c r="I162" i="62"/>
  <c r="F85" i="62"/>
  <c r="F88" i="62"/>
  <c r="D158" i="62"/>
  <c r="D163" i="62"/>
  <c r="D168" i="62"/>
  <c r="E95" i="62"/>
  <c r="E157" i="62"/>
  <c r="E163" i="62"/>
  <c r="E168" i="62"/>
  <c r="E96" i="62"/>
  <c r="H157" i="62"/>
  <c r="H163" i="62"/>
  <c r="H168" i="62"/>
  <c r="E97" i="62"/>
  <c r="F99" i="62"/>
  <c r="L69" i="62"/>
  <c r="L71" i="62"/>
  <c r="L73" i="62"/>
  <c r="L84" i="62"/>
  <c r="J84" i="61"/>
  <c r="B110" i="61"/>
  <c r="B113" i="61"/>
  <c r="C110" i="61"/>
  <c r="C113" i="61"/>
  <c r="D110" i="61"/>
  <c r="D113" i="61"/>
  <c r="E110" i="61"/>
  <c r="E113" i="61"/>
  <c r="G110" i="61"/>
  <c r="G113" i="61"/>
  <c r="H110" i="61"/>
  <c r="H113" i="61"/>
  <c r="I110" i="61"/>
  <c r="I113" i="61"/>
  <c r="J113" i="61"/>
  <c r="B117" i="61"/>
  <c r="H118" i="61"/>
  <c r="B124" i="61"/>
  <c r="B127" i="61"/>
  <c r="C124" i="61"/>
  <c r="C127" i="61"/>
  <c r="D124" i="61"/>
  <c r="D127" i="61"/>
  <c r="E124" i="61"/>
  <c r="E127" i="61"/>
  <c r="F124" i="61"/>
  <c r="F127" i="61"/>
  <c r="H127" i="61"/>
  <c r="J127" i="61"/>
  <c r="J131" i="61"/>
  <c r="F65" i="61"/>
  <c r="E57" i="61"/>
  <c r="C57" i="61"/>
  <c r="E69" i="61"/>
  <c r="E58" i="61"/>
  <c r="E70" i="61"/>
  <c r="E59" i="61"/>
  <c r="E71" i="61"/>
  <c r="F68" i="61"/>
  <c r="L57" i="61"/>
  <c r="D141" i="61"/>
  <c r="L58" i="61"/>
  <c r="E141" i="61"/>
  <c r="L59" i="61"/>
  <c r="H141" i="61"/>
  <c r="I141" i="61"/>
  <c r="D172" i="61"/>
  <c r="I57" i="61"/>
  <c r="E172" i="61"/>
  <c r="I58" i="61"/>
  <c r="H172" i="61"/>
  <c r="I59" i="61"/>
  <c r="F72" i="61"/>
  <c r="F74" i="61"/>
  <c r="E78" i="61"/>
  <c r="F79" i="61"/>
  <c r="F83" i="61"/>
  <c r="F84" i="61"/>
  <c r="L99" i="61"/>
  <c r="I27" i="61"/>
  <c r="D138" i="61"/>
  <c r="F141" i="61"/>
  <c r="L147" i="61"/>
  <c r="O168" i="61"/>
  <c r="G141" i="61"/>
  <c r="D145" i="61"/>
  <c r="E145" i="61"/>
  <c r="I145" i="61"/>
  <c r="D151" i="61"/>
  <c r="E151" i="61"/>
  <c r="I151" i="61"/>
  <c r="F85" i="61"/>
  <c r="F88" i="61"/>
  <c r="D168" i="61"/>
  <c r="E95" i="61"/>
  <c r="E168" i="61"/>
  <c r="E96" i="61"/>
  <c r="E97" i="61"/>
  <c r="F99" i="61"/>
  <c r="L69" i="61"/>
  <c r="L71" i="61"/>
  <c r="L73" i="61"/>
  <c r="L84" i="61"/>
  <c r="J84" i="60"/>
  <c r="B110" i="60"/>
  <c r="B113" i="60"/>
  <c r="C110" i="60"/>
  <c r="C113" i="60"/>
  <c r="D110" i="60"/>
  <c r="D113" i="60"/>
  <c r="E110" i="60"/>
  <c r="E113" i="60"/>
  <c r="G110" i="60"/>
  <c r="G113" i="60"/>
  <c r="H110" i="60"/>
  <c r="H113" i="60"/>
  <c r="I110" i="60"/>
  <c r="I113" i="60"/>
  <c r="J113" i="60"/>
  <c r="B117" i="60"/>
  <c r="H118" i="60"/>
  <c r="B124" i="60"/>
  <c r="B127" i="60"/>
  <c r="C124" i="60"/>
  <c r="C127" i="60"/>
  <c r="D124" i="60"/>
  <c r="D127" i="60"/>
  <c r="E124" i="60"/>
  <c r="E127" i="60"/>
  <c r="F124" i="60"/>
  <c r="F127" i="60"/>
  <c r="H127" i="60"/>
  <c r="J127" i="60"/>
  <c r="J131" i="60"/>
  <c r="F65" i="60"/>
  <c r="E57" i="60"/>
  <c r="C57" i="60"/>
  <c r="E69" i="60"/>
  <c r="E58" i="60"/>
  <c r="E70" i="60"/>
  <c r="E59" i="60"/>
  <c r="E71" i="60"/>
  <c r="F68" i="60"/>
  <c r="L57" i="60"/>
  <c r="D141" i="60"/>
  <c r="L58" i="60"/>
  <c r="E141" i="60"/>
  <c r="L59" i="60"/>
  <c r="H141" i="60"/>
  <c r="I141" i="60"/>
  <c r="D172" i="60"/>
  <c r="I57" i="60"/>
  <c r="E172" i="60"/>
  <c r="I58" i="60"/>
  <c r="H172" i="60"/>
  <c r="I59" i="60"/>
  <c r="F72" i="60"/>
  <c r="F74" i="60"/>
  <c r="E78" i="60"/>
  <c r="F79" i="60"/>
  <c r="F83" i="60"/>
  <c r="F84" i="60"/>
  <c r="L99" i="60"/>
  <c r="I27" i="60"/>
  <c r="D138" i="60"/>
  <c r="F141" i="60"/>
  <c r="L147" i="60"/>
  <c r="O168" i="60"/>
  <c r="G141" i="60"/>
  <c r="D144" i="60"/>
  <c r="E144" i="60"/>
  <c r="F144" i="60"/>
  <c r="H144" i="60"/>
  <c r="I144" i="60"/>
  <c r="D150" i="60"/>
  <c r="E150" i="60"/>
  <c r="F150" i="60"/>
  <c r="H150" i="60"/>
  <c r="I150" i="60"/>
  <c r="F85" i="60"/>
  <c r="F88" i="60"/>
  <c r="D145" i="60"/>
  <c r="D151" i="60"/>
  <c r="D168" i="60"/>
  <c r="E95" i="60"/>
  <c r="E145" i="60"/>
  <c r="E151" i="60"/>
  <c r="E168" i="60"/>
  <c r="E96" i="60"/>
  <c r="H145" i="60"/>
  <c r="H151" i="60"/>
  <c r="H168" i="60"/>
  <c r="E97" i="60"/>
  <c r="F99" i="60"/>
  <c r="L69" i="60"/>
  <c r="L71" i="60"/>
  <c r="L73" i="60"/>
  <c r="L84" i="60"/>
  <c r="J84" i="59"/>
  <c r="B110" i="59"/>
  <c r="B113" i="59"/>
  <c r="C110" i="59"/>
  <c r="C113" i="59"/>
  <c r="D110" i="59"/>
  <c r="D113" i="59"/>
  <c r="E110" i="59"/>
  <c r="E113" i="59"/>
  <c r="G110" i="59"/>
  <c r="G113" i="59"/>
  <c r="H110" i="59"/>
  <c r="H113" i="59"/>
  <c r="I110" i="59"/>
  <c r="I113" i="59"/>
  <c r="J113" i="59"/>
  <c r="B117" i="59"/>
  <c r="H118" i="59"/>
  <c r="B124" i="59"/>
  <c r="B127" i="59"/>
  <c r="C124" i="59"/>
  <c r="C127" i="59"/>
  <c r="D124" i="59"/>
  <c r="D127" i="59"/>
  <c r="E124" i="59"/>
  <c r="E127" i="59"/>
  <c r="F124" i="59"/>
  <c r="F127" i="59"/>
  <c r="H127" i="59"/>
  <c r="J127" i="59"/>
  <c r="J131" i="59"/>
  <c r="F65" i="59"/>
  <c r="E57" i="59"/>
  <c r="C57" i="59"/>
  <c r="E69" i="59"/>
  <c r="E58" i="59"/>
  <c r="E70" i="59"/>
  <c r="E59" i="59"/>
  <c r="E71" i="59"/>
  <c r="F68" i="59"/>
  <c r="L57" i="59"/>
  <c r="D141" i="59"/>
  <c r="L58" i="59"/>
  <c r="E141" i="59"/>
  <c r="L59" i="59"/>
  <c r="H141" i="59"/>
  <c r="I141" i="59"/>
  <c r="D172" i="59"/>
  <c r="I57" i="59"/>
  <c r="E172" i="59"/>
  <c r="I58" i="59"/>
  <c r="H172" i="59"/>
  <c r="I59" i="59"/>
  <c r="F72" i="59"/>
  <c r="F74" i="59"/>
  <c r="E78" i="59"/>
  <c r="F79" i="59"/>
  <c r="F83" i="59"/>
  <c r="F84" i="59"/>
  <c r="L99" i="59"/>
  <c r="I27" i="59"/>
  <c r="D138" i="59"/>
  <c r="D157" i="59"/>
  <c r="E157" i="59"/>
  <c r="H157" i="59"/>
  <c r="I157" i="59"/>
  <c r="D163" i="59"/>
  <c r="E163" i="59"/>
  <c r="H163" i="59"/>
  <c r="I163" i="59"/>
  <c r="F85" i="59"/>
  <c r="F88" i="59"/>
  <c r="D168" i="59"/>
  <c r="E95" i="59"/>
  <c r="E168" i="59"/>
  <c r="E96" i="59"/>
  <c r="E97" i="59"/>
  <c r="F99" i="59"/>
  <c r="L69" i="59"/>
  <c r="L71" i="59"/>
  <c r="L73" i="59"/>
  <c r="L84" i="59"/>
  <c r="J84" i="58"/>
  <c r="B110" i="58"/>
  <c r="B113" i="58"/>
  <c r="C110" i="58"/>
  <c r="C113" i="58"/>
  <c r="D110" i="58"/>
  <c r="D113" i="58"/>
  <c r="E110" i="58"/>
  <c r="E113" i="58"/>
  <c r="G110" i="58"/>
  <c r="G113" i="58"/>
  <c r="H110" i="58"/>
  <c r="H113" i="58"/>
  <c r="I110" i="58"/>
  <c r="I113" i="58"/>
  <c r="J113" i="58"/>
  <c r="B117" i="58"/>
  <c r="H118" i="58"/>
  <c r="B124" i="58"/>
  <c r="B127" i="58"/>
  <c r="C124" i="58"/>
  <c r="C127" i="58"/>
  <c r="D124" i="58"/>
  <c r="D127" i="58"/>
  <c r="E124" i="58"/>
  <c r="E127" i="58"/>
  <c r="F124" i="58"/>
  <c r="F127" i="58"/>
  <c r="H127" i="58"/>
  <c r="J127" i="58"/>
  <c r="J131" i="58"/>
  <c r="F65" i="58"/>
  <c r="E57" i="58"/>
  <c r="C57" i="58"/>
  <c r="E69" i="58"/>
  <c r="E58" i="58"/>
  <c r="E70" i="58"/>
  <c r="E59" i="58"/>
  <c r="E71" i="58"/>
  <c r="F68" i="58"/>
  <c r="L57" i="58"/>
  <c r="D141" i="58"/>
  <c r="L58" i="58"/>
  <c r="E141" i="58"/>
  <c r="L59" i="58"/>
  <c r="H141" i="58"/>
  <c r="I141" i="58"/>
  <c r="D172" i="58"/>
  <c r="I57" i="58"/>
  <c r="E172" i="58"/>
  <c r="I58" i="58"/>
  <c r="H172" i="58"/>
  <c r="I59" i="58"/>
  <c r="F72" i="58"/>
  <c r="F74" i="58"/>
  <c r="E78" i="58"/>
  <c r="F79" i="58"/>
  <c r="F83" i="58"/>
  <c r="F84" i="58"/>
  <c r="L99" i="58"/>
  <c r="I27" i="58"/>
  <c r="D138" i="58"/>
  <c r="D156" i="58"/>
  <c r="E156" i="58"/>
  <c r="H156" i="58"/>
  <c r="I156" i="58"/>
  <c r="D162" i="58"/>
  <c r="E162" i="58"/>
  <c r="H162" i="58"/>
  <c r="I162" i="58"/>
  <c r="F85" i="58"/>
  <c r="F88" i="58"/>
  <c r="D158" i="58"/>
  <c r="D163" i="58"/>
  <c r="D168" i="58"/>
  <c r="E95" i="58"/>
  <c r="E157" i="58"/>
  <c r="E163" i="58"/>
  <c r="E168" i="58"/>
  <c r="E96" i="58"/>
  <c r="H157" i="58"/>
  <c r="H163" i="58"/>
  <c r="H168" i="58"/>
  <c r="E97" i="58"/>
  <c r="F99" i="58"/>
  <c r="L69" i="58"/>
  <c r="L71" i="58"/>
  <c r="L73" i="58"/>
  <c r="L84" i="58"/>
  <c r="J84" i="57"/>
  <c r="B110" i="57"/>
  <c r="B113" i="57"/>
  <c r="C110" i="57"/>
  <c r="C113" i="57"/>
  <c r="D110" i="57"/>
  <c r="D113" i="57"/>
  <c r="E110" i="57"/>
  <c r="E113" i="57"/>
  <c r="G110" i="57"/>
  <c r="G113" i="57"/>
  <c r="H110" i="57"/>
  <c r="H113" i="57"/>
  <c r="I110" i="57"/>
  <c r="I113" i="57"/>
  <c r="J113" i="57"/>
  <c r="B117" i="57"/>
  <c r="H118" i="57"/>
  <c r="B124" i="57"/>
  <c r="B127" i="57"/>
  <c r="C124" i="57"/>
  <c r="C127" i="57"/>
  <c r="D124" i="57"/>
  <c r="D127" i="57"/>
  <c r="E124" i="57"/>
  <c r="E127" i="57"/>
  <c r="F124" i="57"/>
  <c r="F127" i="57"/>
  <c r="H127" i="57"/>
  <c r="J127" i="57"/>
  <c r="J131" i="57"/>
  <c r="F65" i="57"/>
  <c r="E57" i="57"/>
  <c r="C57" i="57"/>
  <c r="E69" i="57"/>
  <c r="E58" i="57"/>
  <c r="E70" i="57"/>
  <c r="E59" i="57"/>
  <c r="E71" i="57"/>
  <c r="F68" i="57"/>
  <c r="L57" i="57"/>
  <c r="D141" i="57"/>
  <c r="L58" i="57"/>
  <c r="E141" i="57"/>
  <c r="L59" i="57"/>
  <c r="H141" i="57"/>
  <c r="I141" i="57"/>
  <c r="D172" i="57"/>
  <c r="I57" i="57"/>
  <c r="E172" i="57"/>
  <c r="I58" i="57"/>
  <c r="H172" i="57"/>
  <c r="I59" i="57"/>
  <c r="F72" i="57"/>
  <c r="F74" i="57"/>
  <c r="E78" i="57"/>
  <c r="F79" i="57"/>
  <c r="F83" i="57"/>
  <c r="F84" i="57"/>
  <c r="L99" i="57"/>
  <c r="I27" i="57"/>
  <c r="D138" i="57"/>
  <c r="F141" i="57"/>
  <c r="L147" i="57"/>
  <c r="O168" i="57"/>
  <c r="G141" i="57"/>
  <c r="D145" i="57"/>
  <c r="E145" i="57"/>
  <c r="I145" i="57"/>
  <c r="D151" i="57"/>
  <c r="E151" i="57"/>
  <c r="I151" i="57"/>
  <c r="F85" i="57"/>
  <c r="F88" i="57"/>
  <c r="D144" i="57"/>
  <c r="D150" i="57"/>
  <c r="D168" i="57"/>
  <c r="E95" i="57"/>
  <c r="E144" i="57"/>
  <c r="E150" i="57"/>
  <c r="E168" i="57"/>
  <c r="E96" i="57"/>
  <c r="H144" i="57"/>
  <c r="H145" i="57"/>
  <c r="H150" i="57"/>
  <c r="H151" i="57"/>
  <c r="H168" i="57"/>
  <c r="E97" i="57"/>
  <c r="F99" i="57"/>
  <c r="L69" i="57"/>
  <c r="L71" i="57"/>
  <c r="L73" i="57"/>
  <c r="L84" i="57"/>
  <c r="J84" i="56"/>
  <c r="B110" i="56"/>
  <c r="B113" i="56"/>
  <c r="C110" i="56"/>
  <c r="C113" i="56"/>
  <c r="D110" i="56"/>
  <c r="D113" i="56"/>
  <c r="E110" i="56"/>
  <c r="E113" i="56"/>
  <c r="G110" i="56"/>
  <c r="G113" i="56"/>
  <c r="H110" i="56"/>
  <c r="H113" i="56"/>
  <c r="I110" i="56"/>
  <c r="I113" i="56"/>
  <c r="J113" i="56"/>
  <c r="B117" i="56"/>
  <c r="H118" i="56"/>
  <c r="B124" i="56"/>
  <c r="B127" i="56"/>
  <c r="C124" i="56"/>
  <c r="C127" i="56"/>
  <c r="D124" i="56"/>
  <c r="D127" i="56"/>
  <c r="E124" i="56"/>
  <c r="E127" i="56"/>
  <c r="F124" i="56"/>
  <c r="F127" i="56"/>
  <c r="H127" i="56"/>
  <c r="J127" i="56"/>
  <c r="J131" i="56"/>
  <c r="F65" i="56"/>
  <c r="E57" i="56"/>
  <c r="C57" i="56"/>
  <c r="E69" i="56"/>
  <c r="E58" i="56"/>
  <c r="E70" i="56"/>
  <c r="E59" i="56"/>
  <c r="E71" i="56"/>
  <c r="F68" i="56"/>
  <c r="L57" i="56"/>
  <c r="D141" i="56"/>
  <c r="L58" i="56"/>
  <c r="E141" i="56"/>
  <c r="L59" i="56"/>
  <c r="H141" i="56"/>
  <c r="I141" i="56"/>
  <c r="D172" i="56"/>
  <c r="I57" i="56"/>
  <c r="E172" i="56"/>
  <c r="I58" i="56"/>
  <c r="H172" i="56"/>
  <c r="I59" i="56"/>
  <c r="F72" i="56"/>
  <c r="F74" i="56"/>
  <c r="E78" i="56"/>
  <c r="F79" i="56"/>
  <c r="F83" i="56"/>
  <c r="F84" i="56"/>
  <c r="L99" i="56"/>
  <c r="I27" i="56"/>
  <c r="D138" i="56"/>
  <c r="F141" i="56"/>
  <c r="L147" i="56"/>
  <c r="O168" i="56"/>
  <c r="G141" i="56"/>
  <c r="D145" i="56"/>
  <c r="E145" i="56"/>
  <c r="I145" i="56"/>
  <c r="D151" i="56"/>
  <c r="E151" i="56"/>
  <c r="I151" i="56"/>
  <c r="F85" i="56"/>
  <c r="F88" i="56"/>
  <c r="D144" i="56"/>
  <c r="D150" i="56"/>
  <c r="D168" i="56"/>
  <c r="E95" i="56"/>
  <c r="E144" i="56"/>
  <c r="E150" i="56"/>
  <c r="E168" i="56"/>
  <c r="E96" i="56"/>
  <c r="H144" i="56"/>
  <c r="H145" i="56"/>
  <c r="H150" i="56"/>
  <c r="H151" i="56"/>
  <c r="H168" i="56"/>
  <c r="E97" i="56"/>
  <c r="F99" i="56"/>
  <c r="L69" i="56"/>
  <c r="L71" i="56"/>
  <c r="L73" i="56"/>
  <c r="L84" i="56"/>
  <c r="J84" i="55"/>
  <c r="B110" i="55"/>
  <c r="B113" i="55"/>
  <c r="C110" i="55"/>
  <c r="C113" i="55"/>
  <c r="D110" i="55"/>
  <c r="D113" i="55"/>
  <c r="E110" i="55"/>
  <c r="E113" i="55"/>
  <c r="G110" i="55"/>
  <c r="G113" i="55"/>
  <c r="H110" i="55"/>
  <c r="H113" i="55"/>
  <c r="I110" i="55"/>
  <c r="I113" i="55"/>
  <c r="J113" i="55"/>
  <c r="B117" i="55"/>
  <c r="H118" i="55"/>
  <c r="B124" i="55"/>
  <c r="B127" i="55"/>
  <c r="C124" i="55"/>
  <c r="C127" i="55"/>
  <c r="D124" i="55"/>
  <c r="D127" i="55"/>
  <c r="E124" i="55"/>
  <c r="E127" i="55"/>
  <c r="F124" i="55"/>
  <c r="F127" i="55"/>
  <c r="H127" i="55"/>
  <c r="J127" i="55"/>
  <c r="J131" i="55"/>
  <c r="F65" i="55"/>
  <c r="E57" i="55"/>
  <c r="C57" i="55"/>
  <c r="E69" i="55"/>
  <c r="E58" i="55"/>
  <c r="E70" i="55"/>
  <c r="E59" i="55"/>
  <c r="E71" i="55"/>
  <c r="F68" i="55"/>
  <c r="L57" i="55"/>
  <c r="D141" i="55"/>
  <c r="L58" i="55"/>
  <c r="E141" i="55"/>
  <c r="L59" i="55"/>
  <c r="H141" i="55"/>
  <c r="I141" i="55"/>
  <c r="D172" i="55"/>
  <c r="I57" i="55"/>
  <c r="E172" i="55"/>
  <c r="I58" i="55"/>
  <c r="H172" i="55"/>
  <c r="I59" i="55"/>
  <c r="F72" i="55"/>
  <c r="F74" i="55"/>
  <c r="E78" i="55"/>
  <c r="F79" i="55"/>
  <c r="F83" i="55"/>
  <c r="F84" i="55"/>
  <c r="L99" i="55"/>
  <c r="I27" i="55"/>
  <c r="D138" i="55"/>
  <c r="D157" i="55"/>
  <c r="E157" i="55"/>
  <c r="H157" i="55"/>
  <c r="I157" i="55"/>
  <c r="D163" i="55"/>
  <c r="E163" i="55"/>
  <c r="H163" i="55"/>
  <c r="I163" i="55"/>
  <c r="F85" i="55"/>
  <c r="F88" i="55"/>
  <c r="D156" i="55"/>
  <c r="D158" i="55"/>
  <c r="D162" i="55"/>
  <c r="D168" i="55"/>
  <c r="E95" i="55"/>
  <c r="E156" i="55"/>
  <c r="E162" i="55"/>
  <c r="E168" i="55"/>
  <c r="E96" i="55"/>
  <c r="H156" i="55"/>
  <c r="H162" i="55"/>
  <c r="H168" i="55"/>
  <c r="E97" i="55"/>
  <c r="F99" i="55"/>
  <c r="L69" i="55"/>
  <c r="L71" i="55"/>
  <c r="L73" i="55"/>
  <c r="L84" i="55"/>
  <c r="J84" i="54"/>
  <c r="B110" i="54"/>
  <c r="B113" i="54"/>
  <c r="C110" i="54"/>
  <c r="C113" i="54"/>
  <c r="D110" i="54"/>
  <c r="D113" i="54"/>
  <c r="E110" i="54"/>
  <c r="E113" i="54"/>
  <c r="G110" i="54"/>
  <c r="G113" i="54"/>
  <c r="H110" i="54"/>
  <c r="H113" i="54"/>
  <c r="I110" i="54"/>
  <c r="I113" i="54"/>
  <c r="J113" i="54"/>
  <c r="B117" i="54"/>
  <c r="H118" i="54"/>
  <c r="B124" i="54"/>
  <c r="B127" i="54"/>
  <c r="C124" i="54"/>
  <c r="C127" i="54"/>
  <c r="D124" i="54"/>
  <c r="D127" i="54"/>
  <c r="E124" i="54"/>
  <c r="E127" i="54"/>
  <c r="F124" i="54"/>
  <c r="F127" i="54"/>
  <c r="H127" i="54"/>
  <c r="J127" i="54"/>
  <c r="J131" i="54"/>
  <c r="F65" i="54"/>
  <c r="E57" i="54"/>
  <c r="C57" i="54"/>
  <c r="E69" i="54"/>
  <c r="E58" i="54"/>
  <c r="E70" i="54"/>
  <c r="E59" i="54"/>
  <c r="E71" i="54"/>
  <c r="F68" i="54"/>
  <c r="L57" i="54"/>
  <c r="D141" i="54"/>
  <c r="L58" i="54"/>
  <c r="E141" i="54"/>
  <c r="L59" i="54"/>
  <c r="H141" i="54"/>
  <c r="I141" i="54"/>
  <c r="D172" i="54"/>
  <c r="I57" i="54"/>
  <c r="E172" i="54"/>
  <c r="I58" i="54"/>
  <c r="H172" i="54"/>
  <c r="I59" i="54"/>
  <c r="F72" i="54"/>
  <c r="F74" i="54"/>
  <c r="E78" i="54"/>
  <c r="F79" i="54"/>
  <c r="F83" i="54"/>
  <c r="F84" i="54"/>
  <c r="L99" i="54"/>
  <c r="I27" i="54"/>
  <c r="D138" i="54"/>
  <c r="F141" i="54"/>
  <c r="L147" i="54"/>
  <c r="O168" i="54"/>
  <c r="G141" i="54"/>
  <c r="D145" i="54"/>
  <c r="E145" i="54"/>
  <c r="I145" i="54"/>
  <c r="D151" i="54"/>
  <c r="E151" i="54"/>
  <c r="I151" i="54"/>
  <c r="F85" i="54"/>
  <c r="F88" i="54"/>
  <c r="D168" i="54"/>
  <c r="E95" i="54"/>
  <c r="E168" i="54"/>
  <c r="E96" i="54"/>
  <c r="E97" i="54"/>
  <c r="F99" i="54"/>
  <c r="L69" i="54"/>
  <c r="L71" i="54"/>
  <c r="L73" i="54"/>
  <c r="L84" i="54"/>
  <c r="J84" i="53"/>
  <c r="B110" i="53"/>
  <c r="B113" i="53"/>
  <c r="C110" i="53"/>
  <c r="C113" i="53"/>
  <c r="D110" i="53"/>
  <c r="D113" i="53"/>
  <c r="E110" i="53"/>
  <c r="E113" i="53"/>
  <c r="G110" i="53"/>
  <c r="G113" i="53"/>
  <c r="H110" i="53"/>
  <c r="H113" i="53"/>
  <c r="I110" i="53"/>
  <c r="I113" i="53"/>
  <c r="J113" i="53"/>
  <c r="B117" i="53"/>
  <c r="H118" i="53"/>
  <c r="B124" i="53"/>
  <c r="B127" i="53"/>
  <c r="C124" i="53"/>
  <c r="C127" i="53"/>
  <c r="D124" i="53"/>
  <c r="D127" i="53"/>
  <c r="E124" i="53"/>
  <c r="E127" i="53"/>
  <c r="F124" i="53"/>
  <c r="F127" i="53"/>
  <c r="H127" i="53"/>
  <c r="J127" i="53"/>
  <c r="J131" i="53"/>
  <c r="F65" i="53"/>
  <c r="E57" i="53"/>
  <c r="C57" i="53"/>
  <c r="E69" i="53"/>
  <c r="E58" i="53"/>
  <c r="E70" i="53"/>
  <c r="E59" i="53"/>
  <c r="E71" i="53"/>
  <c r="F68" i="53"/>
  <c r="L57" i="53"/>
  <c r="D141" i="53"/>
  <c r="L58" i="53"/>
  <c r="E141" i="53"/>
  <c r="L59" i="53"/>
  <c r="H141" i="53"/>
  <c r="I141" i="53"/>
  <c r="D172" i="53"/>
  <c r="I57" i="53"/>
  <c r="E172" i="53"/>
  <c r="I58" i="53"/>
  <c r="H172" i="53"/>
  <c r="I59" i="53"/>
  <c r="F72" i="53"/>
  <c r="F74" i="53"/>
  <c r="E78" i="53"/>
  <c r="F79" i="53"/>
  <c r="F83" i="53"/>
  <c r="F84" i="53"/>
  <c r="L99" i="53"/>
  <c r="I27" i="53"/>
  <c r="D138" i="53"/>
  <c r="D156" i="53"/>
  <c r="E156" i="53"/>
  <c r="H156" i="53"/>
  <c r="I156" i="53"/>
  <c r="D162" i="53"/>
  <c r="E162" i="53"/>
  <c r="H162" i="53"/>
  <c r="I162" i="53"/>
  <c r="F85" i="53"/>
  <c r="F88" i="53"/>
  <c r="D158" i="53"/>
  <c r="D163" i="53"/>
  <c r="D168" i="53"/>
  <c r="E95" i="53"/>
  <c r="E157" i="53"/>
  <c r="E163" i="53"/>
  <c r="E168" i="53"/>
  <c r="E96" i="53"/>
  <c r="H157" i="53"/>
  <c r="H163" i="53"/>
  <c r="H168" i="53"/>
  <c r="E97" i="53"/>
  <c r="F99" i="53"/>
  <c r="L69" i="53"/>
  <c r="L71" i="53"/>
  <c r="L73" i="53"/>
  <c r="L84" i="53"/>
  <c r="J84" i="52"/>
  <c r="B110" i="52"/>
  <c r="B113" i="52"/>
  <c r="C110" i="52"/>
  <c r="C113" i="52"/>
  <c r="D110" i="52"/>
  <c r="D113" i="52"/>
  <c r="E110" i="52"/>
  <c r="E113" i="52"/>
  <c r="G110" i="52"/>
  <c r="G113" i="52"/>
  <c r="H110" i="52"/>
  <c r="H113" i="52"/>
  <c r="I110" i="52"/>
  <c r="I113" i="52"/>
  <c r="J113" i="52"/>
  <c r="B117" i="52"/>
  <c r="H118" i="52"/>
  <c r="B124" i="52"/>
  <c r="B127" i="52"/>
  <c r="C124" i="52"/>
  <c r="C127" i="52"/>
  <c r="D124" i="52"/>
  <c r="D127" i="52"/>
  <c r="E124" i="52"/>
  <c r="E127" i="52"/>
  <c r="F124" i="52"/>
  <c r="F127" i="52"/>
  <c r="H127" i="52"/>
  <c r="J127" i="52"/>
  <c r="J131" i="52"/>
  <c r="F65" i="52"/>
  <c r="E57" i="52"/>
  <c r="C57" i="52"/>
  <c r="E69" i="52"/>
  <c r="E58" i="52"/>
  <c r="E70" i="52"/>
  <c r="E59" i="52"/>
  <c r="E71" i="52"/>
  <c r="F68" i="52"/>
  <c r="L57" i="52"/>
  <c r="D141" i="52"/>
  <c r="L58" i="52"/>
  <c r="E141" i="52"/>
  <c r="L59" i="52"/>
  <c r="H141" i="52"/>
  <c r="I141" i="52"/>
  <c r="D172" i="52"/>
  <c r="I57" i="52"/>
  <c r="E172" i="52"/>
  <c r="I58" i="52"/>
  <c r="H172" i="52"/>
  <c r="I59" i="52"/>
  <c r="F72" i="52"/>
  <c r="F74" i="52"/>
  <c r="E78" i="52"/>
  <c r="F79" i="52"/>
  <c r="F83" i="52"/>
  <c r="F84" i="52"/>
  <c r="L99" i="52"/>
  <c r="I27" i="52"/>
  <c r="D138" i="52"/>
  <c r="F141" i="52"/>
  <c r="L147" i="52"/>
  <c r="O168" i="52"/>
  <c r="G141" i="52"/>
  <c r="D144" i="52"/>
  <c r="E144" i="52"/>
  <c r="F144" i="52"/>
  <c r="H144" i="52"/>
  <c r="I144" i="52"/>
  <c r="D150" i="52"/>
  <c r="E150" i="52"/>
  <c r="F150" i="52"/>
  <c r="H150" i="52"/>
  <c r="I150" i="52"/>
  <c r="F85" i="52"/>
  <c r="F88" i="52"/>
  <c r="D145" i="52"/>
  <c r="D151" i="52"/>
  <c r="D168" i="52"/>
  <c r="E95" i="52"/>
  <c r="E145" i="52"/>
  <c r="E151" i="52"/>
  <c r="E168" i="52"/>
  <c r="E96" i="52"/>
  <c r="H145" i="52"/>
  <c r="H151" i="52"/>
  <c r="H168" i="52"/>
  <c r="E97" i="52"/>
  <c r="F99" i="52"/>
  <c r="L69" i="52"/>
  <c r="L71" i="52"/>
  <c r="L73" i="52"/>
  <c r="L84" i="52"/>
  <c r="J84" i="51"/>
  <c r="B110" i="51"/>
  <c r="B113" i="51"/>
  <c r="C110" i="51"/>
  <c r="C113" i="51"/>
  <c r="D110" i="51"/>
  <c r="D113" i="51"/>
  <c r="E110" i="51"/>
  <c r="E113" i="51"/>
  <c r="G110" i="51"/>
  <c r="G113" i="51"/>
  <c r="H110" i="51"/>
  <c r="H113" i="51"/>
  <c r="I110" i="51"/>
  <c r="I113" i="51"/>
  <c r="J113" i="51"/>
  <c r="B117" i="51"/>
  <c r="H118" i="51"/>
  <c r="B124" i="51"/>
  <c r="B127" i="51"/>
  <c r="C124" i="51"/>
  <c r="C127" i="51"/>
  <c r="D124" i="51"/>
  <c r="D127" i="51"/>
  <c r="E124" i="51"/>
  <c r="E127" i="51"/>
  <c r="F124" i="51"/>
  <c r="F127" i="51"/>
  <c r="H127" i="51"/>
  <c r="J127" i="51"/>
  <c r="J131" i="51"/>
  <c r="F65" i="51"/>
  <c r="E57" i="51"/>
  <c r="C57" i="51"/>
  <c r="E69" i="51"/>
  <c r="E58" i="51"/>
  <c r="E70" i="51"/>
  <c r="E59" i="51"/>
  <c r="E71" i="51"/>
  <c r="F68" i="51"/>
  <c r="L57" i="51"/>
  <c r="D141" i="51"/>
  <c r="L58" i="51"/>
  <c r="E141" i="51"/>
  <c r="L59" i="51"/>
  <c r="H141" i="51"/>
  <c r="I141" i="51"/>
  <c r="D172" i="51"/>
  <c r="I57" i="51"/>
  <c r="E172" i="51"/>
  <c r="I58" i="51"/>
  <c r="H172" i="51"/>
  <c r="I59" i="51"/>
  <c r="F72" i="51"/>
  <c r="F74" i="51"/>
  <c r="E78" i="51"/>
  <c r="F79" i="51"/>
  <c r="F83" i="51"/>
  <c r="F84" i="51"/>
  <c r="L99" i="51"/>
  <c r="I27" i="51"/>
  <c r="D138" i="51"/>
  <c r="D157" i="51"/>
  <c r="E157" i="51"/>
  <c r="H157" i="51"/>
  <c r="I157" i="51"/>
  <c r="D163" i="51"/>
  <c r="E163" i="51"/>
  <c r="H163" i="51"/>
  <c r="I163" i="51"/>
  <c r="F85" i="51"/>
  <c r="F88" i="51"/>
  <c r="D156" i="51"/>
  <c r="D158" i="51"/>
  <c r="D162" i="51"/>
  <c r="D168" i="51"/>
  <c r="E95" i="51"/>
  <c r="E156" i="51"/>
  <c r="E162" i="51"/>
  <c r="E168" i="51"/>
  <c r="E96" i="51"/>
  <c r="H156" i="51"/>
  <c r="H162" i="51"/>
  <c r="H168" i="51"/>
  <c r="E97" i="51"/>
  <c r="F99" i="51"/>
  <c r="L69" i="51"/>
  <c r="L71" i="51"/>
  <c r="L73" i="51"/>
  <c r="L84" i="51"/>
  <c r="J84" i="50"/>
  <c r="B110" i="50"/>
  <c r="B113" i="50"/>
  <c r="C110" i="50"/>
  <c r="C113" i="50"/>
  <c r="D110" i="50"/>
  <c r="D113" i="50"/>
  <c r="E110" i="50"/>
  <c r="E113" i="50"/>
  <c r="G110" i="50"/>
  <c r="G113" i="50"/>
  <c r="H110" i="50"/>
  <c r="H113" i="50"/>
  <c r="I110" i="50"/>
  <c r="I113" i="50"/>
  <c r="J113" i="50"/>
  <c r="B117" i="50"/>
  <c r="H118" i="50"/>
  <c r="B124" i="50"/>
  <c r="B127" i="50"/>
  <c r="C124" i="50"/>
  <c r="C127" i="50"/>
  <c r="D124" i="50"/>
  <c r="D127" i="50"/>
  <c r="E124" i="50"/>
  <c r="E127" i="50"/>
  <c r="F124" i="50"/>
  <c r="F127" i="50"/>
  <c r="H127" i="50"/>
  <c r="J127" i="50"/>
  <c r="J131" i="50"/>
  <c r="F65" i="50"/>
  <c r="E57" i="50"/>
  <c r="C57" i="50"/>
  <c r="E69" i="50"/>
  <c r="E58" i="50"/>
  <c r="E70" i="50"/>
  <c r="E59" i="50"/>
  <c r="E71" i="50"/>
  <c r="F68" i="50"/>
  <c r="L57" i="50"/>
  <c r="D141" i="50"/>
  <c r="L58" i="50"/>
  <c r="E141" i="50"/>
  <c r="L59" i="50"/>
  <c r="H141" i="50"/>
  <c r="I141" i="50"/>
  <c r="D172" i="50"/>
  <c r="I57" i="50"/>
  <c r="E172" i="50"/>
  <c r="I58" i="50"/>
  <c r="H172" i="50"/>
  <c r="I59" i="50"/>
  <c r="F72" i="50"/>
  <c r="F74" i="50"/>
  <c r="E78" i="50"/>
  <c r="F79" i="50"/>
  <c r="F83" i="50"/>
  <c r="F84" i="50"/>
  <c r="L99" i="50"/>
  <c r="I27" i="50"/>
  <c r="D138" i="50"/>
  <c r="D157" i="50"/>
  <c r="E157" i="50"/>
  <c r="H157" i="50"/>
  <c r="I157" i="50"/>
  <c r="D163" i="50"/>
  <c r="E163" i="50"/>
  <c r="H163" i="50"/>
  <c r="I163" i="50"/>
  <c r="F85" i="50"/>
  <c r="F88" i="50"/>
  <c r="D168" i="50"/>
  <c r="E95" i="50"/>
  <c r="E168" i="50"/>
  <c r="E96" i="50"/>
  <c r="E97" i="50"/>
  <c r="F99" i="50"/>
  <c r="L69" i="50"/>
  <c r="L71" i="50"/>
  <c r="L73" i="50"/>
  <c r="L84" i="50"/>
  <c r="J84" i="49"/>
  <c r="B110" i="49"/>
  <c r="B113" i="49"/>
  <c r="C110" i="49"/>
  <c r="C113" i="49"/>
  <c r="D110" i="49"/>
  <c r="D113" i="49"/>
  <c r="E110" i="49"/>
  <c r="E113" i="49"/>
  <c r="G110" i="49"/>
  <c r="G113" i="49"/>
  <c r="H110" i="49"/>
  <c r="H113" i="49"/>
  <c r="I110" i="49"/>
  <c r="I113" i="49"/>
  <c r="J113" i="49"/>
  <c r="B117" i="49"/>
  <c r="H118" i="49"/>
  <c r="B124" i="49"/>
  <c r="B127" i="49"/>
  <c r="C124" i="49"/>
  <c r="C127" i="49"/>
  <c r="D124" i="49"/>
  <c r="D127" i="49"/>
  <c r="E124" i="49"/>
  <c r="E127" i="49"/>
  <c r="F124" i="49"/>
  <c r="F127" i="49"/>
  <c r="H127" i="49"/>
  <c r="J127" i="49"/>
  <c r="J131" i="49"/>
  <c r="F65" i="49"/>
  <c r="E57" i="49"/>
  <c r="C57" i="49"/>
  <c r="E69" i="49"/>
  <c r="E58" i="49"/>
  <c r="E70" i="49"/>
  <c r="E59" i="49"/>
  <c r="E71" i="49"/>
  <c r="F68" i="49"/>
  <c r="L57" i="49"/>
  <c r="D141" i="49"/>
  <c r="L58" i="49"/>
  <c r="E141" i="49"/>
  <c r="L59" i="49"/>
  <c r="H141" i="49"/>
  <c r="I141" i="49"/>
  <c r="D172" i="49"/>
  <c r="I57" i="49"/>
  <c r="E172" i="49"/>
  <c r="I58" i="49"/>
  <c r="H172" i="49"/>
  <c r="I59" i="49"/>
  <c r="F72" i="49"/>
  <c r="F74" i="49"/>
  <c r="E78" i="49"/>
  <c r="F79" i="49"/>
  <c r="F83" i="49"/>
  <c r="F84" i="49"/>
  <c r="L99" i="49"/>
  <c r="I27" i="49"/>
  <c r="D138" i="49"/>
  <c r="F141" i="49"/>
  <c r="L147" i="49"/>
  <c r="O168" i="49"/>
  <c r="G141" i="49"/>
  <c r="D144" i="49"/>
  <c r="E144" i="49"/>
  <c r="F144" i="49"/>
  <c r="H144" i="49"/>
  <c r="I144" i="49"/>
  <c r="D150" i="49"/>
  <c r="E150" i="49"/>
  <c r="F150" i="49"/>
  <c r="H150" i="49"/>
  <c r="I150" i="49"/>
  <c r="F85" i="49"/>
  <c r="F88" i="49"/>
  <c r="D145" i="49"/>
  <c r="D151" i="49"/>
  <c r="D168" i="49"/>
  <c r="E95" i="49"/>
  <c r="E145" i="49"/>
  <c r="E151" i="49"/>
  <c r="E168" i="49"/>
  <c r="E96" i="49"/>
  <c r="H145" i="49"/>
  <c r="H151" i="49"/>
  <c r="H168" i="49"/>
  <c r="E97" i="49"/>
  <c r="F99" i="49"/>
  <c r="L69" i="49"/>
  <c r="L71" i="49"/>
  <c r="L73" i="49"/>
  <c r="L84" i="49"/>
  <c r="J84" i="48"/>
  <c r="B110" i="48"/>
  <c r="B113" i="48"/>
  <c r="C110" i="48"/>
  <c r="C113" i="48"/>
  <c r="D110" i="48"/>
  <c r="D113" i="48"/>
  <c r="E110" i="48"/>
  <c r="E113" i="48"/>
  <c r="G110" i="48"/>
  <c r="G113" i="48"/>
  <c r="H110" i="48"/>
  <c r="H113" i="48"/>
  <c r="I110" i="48"/>
  <c r="I113" i="48"/>
  <c r="J113" i="48"/>
  <c r="B117" i="48"/>
  <c r="H118" i="48"/>
  <c r="B124" i="48"/>
  <c r="B127" i="48"/>
  <c r="C124" i="48"/>
  <c r="C127" i="48"/>
  <c r="D124" i="48"/>
  <c r="D127" i="48"/>
  <c r="E124" i="48"/>
  <c r="E127" i="48"/>
  <c r="F124" i="48"/>
  <c r="F127" i="48"/>
  <c r="H127" i="48"/>
  <c r="J127" i="48"/>
  <c r="J131" i="48"/>
  <c r="F65" i="48"/>
  <c r="E57" i="48"/>
  <c r="C57" i="48"/>
  <c r="E69" i="48"/>
  <c r="E58" i="48"/>
  <c r="E70" i="48"/>
  <c r="E59" i="48"/>
  <c r="E71" i="48"/>
  <c r="F68" i="48"/>
  <c r="L57" i="48"/>
  <c r="D141" i="48"/>
  <c r="L58" i="48"/>
  <c r="E141" i="48"/>
  <c r="L59" i="48"/>
  <c r="H141" i="48"/>
  <c r="I141" i="48"/>
  <c r="D172" i="48"/>
  <c r="I57" i="48"/>
  <c r="E172" i="48"/>
  <c r="I58" i="48"/>
  <c r="H172" i="48"/>
  <c r="I59" i="48"/>
  <c r="F72" i="48"/>
  <c r="F74" i="48"/>
  <c r="E78" i="48"/>
  <c r="F79" i="48"/>
  <c r="F83" i="48"/>
  <c r="F84" i="48"/>
  <c r="L99" i="48"/>
  <c r="I27" i="48"/>
  <c r="D138" i="48"/>
  <c r="F141" i="48"/>
  <c r="L147" i="48"/>
  <c r="O168" i="48"/>
  <c r="G141" i="48"/>
  <c r="D144" i="48"/>
  <c r="E144" i="48"/>
  <c r="F144" i="48"/>
  <c r="H144" i="48"/>
  <c r="I144" i="48"/>
  <c r="D150" i="48"/>
  <c r="E150" i="48"/>
  <c r="F150" i="48"/>
  <c r="H150" i="48"/>
  <c r="I150" i="48"/>
  <c r="F85" i="48"/>
  <c r="F88" i="48"/>
  <c r="D168" i="48"/>
  <c r="E95" i="48"/>
  <c r="E168" i="48"/>
  <c r="E96" i="48"/>
  <c r="E97" i="48"/>
  <c r="F99" i="48"/>
  <c r="L69" i="48"/>
  <c r="L71" i="48"/>
  <c r="L73" i="48"/>
  <c r="L84" i="48"/>
  <c r="J84" i="47"/>
  <c r="B110" i="47"/>
  <c r="B113" i="47"/>
  <c r="C110" i="47"/>
  <c r="C113" i="47"/>
  <c r="D110" i="47"/>
  <c r="D113" i="47"/>
  <c r="E110" i="47"/>
  <c r="E113" i="47"/>
  <c r="G110" i="47"/>
  <c r="G113" i="47"/>
  <c r="H110" i="47"/>
  <c r="H113" i="47"/>
  <c r="I110" i="47"/>
  <c r="I113" i="47"/>
  <c r="J113" i="47"/>
  <c r="B117" i="47"/>
  <c r="H118" i="47"/>
  <c r="B124" i="47"/>
  <c r="B127" i="47"/>
  <c r="C124" i="47"/>
  <c r="C127" i="47"/>
  <c r="D124" i="47"/>
  <c r="D127" i="47"/>
  <c r="E124" i="47"/>
  <c r="E127" i="47"/>
  <c r="F124" i="47"/>
  <c r="F127" i="47"/>
  <c r="H127" i="47"/>
  <c r="J127" i="47"/>
  <c r="J131" i="47"/>
  <c r="F65" i="47"/>
  <c r="E57" i="47"/>
  <c r="C57" i="47"/>
  <c r="E69" i="47"/>
  <c r="E58" i="47"/>
  <c r="E70" i="47"/>
  <c r="E59" i="47"/>
  <c r="E71" i="47"/>
  <c r="F68" i="47"/>
  <c r="L57" i="47"/>
  <c r="D141" i="47"/>
  <c r="L58" i="47"/>
  <c r="E141" i="47"/>
  <c r="L59" i="47"/>
  <c r="H141" i="47"/>
  <c r="I141" i="47"/>
  <c r="D172" i="47"/>
  <c r="I57" i="47"/>
  <c r="E172" i="47"/>
  <c r="I58" i="47"/>
  <c r="H172" i="47"/>
  <c r="I59" i="47"/>
  <c r="F72" i="47"/>
  <c r="F74" i="47"/>
  <c r="E78" i="47"/>
  <c r="F79" i="47"/>
  <c r="F83" i="47"/>
  <c r="F84" i="47"/>
  <c r="L99" i="47"/>
  <c r="I27" i="47"/>
  <c r="D138" i="47"/>
  <c r="D156" i="47"/>
  <c r="E156" i="47"/>
  <c r="H156" i="47"/>
  <c r="I156" i="47"/>
  <c r="D162" i="47"/>
  <c r="E162" i="47"/>
  <c r="H162" i="47"/>
  <c r="I162" i="47"/>
  <c r="F85" i="47"/>
  <c r="F88" i="47"/>
  <c r="D158" i="47"/>
  <c r="D163" i="47"/>
  <c r="D168" i="47"/>
  <c r="E95" i="47"/>
  <c r="E157" i="47"/>
  <c r="E163" i="47"/>
  <c r="E168" i="47"/>
  <c r="E96" i="47"/>
  <c r="H157" i="47"/>
  <c r="H163" i="47"/>
  <c r="H168" i="47"/>
  <c r="E97" i="47"/>
  <c r="F99" i="47"/>
  <c r="L69" i="47"/>
  <c r="L71" i="47"/>
  <c r="L73" i="47"/>
  <c r="L84" i="47"/>
  <c r="J84" i="46"/>
  <c r="B110" i="46"/>
  <c r="B113" i="46"/>
  <c r="C110" i="46"/>
  <c r="C113" i="46"/>
  <c r="D110" i="46"/>
  <c r="D113" i="46"/>
  <c r="E110" i="46"/>
  <c r="E113" i="46"/>
  <c r="G110" i="46"/>
  <c r="G113" i="46"/>
  <c r="H110" i="46"/>
  <c r="H113" i="46"/>
  <c r="I110" i="46"/>
  <c r="I113" i="46"/>
  <c r="J113" i="46"/>
  <c r="B117" i="46"/>
  <c r="H118" i="46"/>
  <c r="B124" i="46"/>
  <c r="B127" i="46"/>
  <c r="C124" i="46"/>
  <c r="C127" i="46"/>
  <c r="D124" i="46"/>
  <c r="D127" i="46"/>
  <c r="E124" i="46"/>
  <c r="E127" i="46"/>
  <c r="F124" i="46"/>
  <c r="F127" i="46"/>
  <c r="H127" i="46"/>
  <c r="J127" i="46"/>
  <c r="J131" i="46"/>
  <c r="F65" i="46"/>
  <c r="E57" i="46"/>
  <c r="C57" i="46"/>
  <c r="E69" i="46"/>
  <c r="E58" i="46"/>
  <c r="E70" i="46"/>
  <c r="E59" i="46"/>
  <c r="E71" i="46"/>
  <c r="F68" i="46"/>
  <c r="L57" i="46"/>
  <c r="D141" i="46"/>
  <c r="L58" i="46"/>
  <c r="E141" i="46"/>
  <c r="L59" i="46"/>
  <c r="H141" i="46"/>
  <c r="I141" i="46"/>
  <c r="D172" i="46"/>
  <c r="I57" i="46"/>
  <c r="E172" i="46"/>
  <c r="I58" i="46"/>
  <c r="H172" i="46"/>
  <c r="I59" i="46"/>
  <c r="F72" i="46"/>
  <c r="F74" i="46"/>
  <c r="E78" i="46"/>
  <c r="F79" i="46"/>
  <c r="F83" i="46"/>
  <c r="F84" i="46"/>
  <c r="L99" i="46"/>
  <c r="I27" i="46"/>
  <c r="D138" i="46"/>
  <c r="D156" i="46"/>
  <c r="E156" i="46"/>
  <c r="H156" i="46"/>
  <c r="I156" i="46"/>
  <c r="D162" i="46"/>
  <c r="E162" i="46"/>
  <c r="H162" i="46"/>
  <c r="I162" i="46"/>
  <c r="F85" i="46"/>
  <c r="F88" i="46"/>
  <c r="D168" i="46"/>
  <c r="E95" i="46"/>
  <c r="E168" i="46"/>
  <c r="E96" i="46"/>
  <c r="E97" i="46"/>
  <c r="F99" i="46"/>
  <c r="L69" i="46"/>
  <c r="L71" i="46"/>
  <c r="L73" i="46"/>
  <c r="L84" i="46"/>
  <c r="J84" i="45"/>
  <c r="B110" i="45"/>
  <c r="B113" i="45"/>
  <c r="C110" i="45"/>
  <c r="C113" i="45"/>
  <c r="D110" i="45"/>
  <c r="D113" i="45"/>
  <c r="E110" i="45"/>
  <c r="E113" i="45"/>
  <c r="G110" i="45"/>
  <c r="G113" i="45"/>
  <c r="H110" i="45"/>
  <c r="H113" i="45"/>
  <c r="I110" i="45"/>
  <c r="I113" i="45"/>
  <c r="J113" i="45"/>
  <c r="B117" i="45"/>
  <c r="H118" i="45"/>
  <c r="B124" i="45"/>
  <c r="B127" i="45"/>
  <c r="C124" i="45"/>
  <c r="C127" i="45"/>
  <c r="D124" i="45"/>
  <c r="D127" i="45"/>
  <c r="E124" i="45"/>
  <c r="E127" i="45"/>
  <c r="F124" i="45"/>
  <c r="F127" i="45"/>
  <c r="H127" i="45"/>
  <c r="J127" i="45"/>
  <c r="J131" i="45"/>
  <c r="F65" i="45"/>
  <c r="E57" i="45"/>
  <c r="C57" i="45"/>
  <c r="E69" i="45"/>
  <c r="E58" i="45"/>
  <c r="E70" i="45"/>
  <c r="E59" i="45"/>
  <c r="E71" i="45"/>
  <c r="F68" i="45"/>
  <c r="L57" i="45"/>
  <c r="D141" i="45"/>
  <c r="L58" i="45"/>
  <c r="E141" i="45"/>
  <c r="L59" i="45"/>
  <c r="H141" i="45"/>
  <c r="I141" i="45"/>
  <c r="D172" i="45"/>
  <c r="I57" i="45"/>
  <c r="E172" i="45"/>
  <c r="I58" i="45"/>
  <c r="H172" i="45"/>
  <c r="I59" i="45"/>
  <c r="F72" i="45"/>
  <c r="F74" i="45"/>
  <c r="E78" i="45"/>
  <c r="F79" i="45"/>
  <c r="F83" i="45"/>
  <c r="F84" i="45"/>
  <c r="L99" i="45"/>
  <c r="I27" i="45"/>
  <c r="D138" i="45"/>
  <c r="D157" i="45"/>
  <c r="E157" i="45"/>
  <c r="H157" i="45"/>
  <c r="I157" i="45"/>
  <c r="D163" i="45"/>
  <c r="E163" i="45"/>
  <c r="H163" i="45"/>
  <c r="I163" i="45"/>
  <c r="F85" i="45"/>
  <c r="F88" i="45"/>
  <c r="D156" i="45"/>
  <c r="D158" i="45"/>
  <c r="D162" i="45"/>
  <c r="D168" i="45"/>
  <c r="E95" i="45"/>
  <c r="E156" i="45"/>
  <c r="E162" i="45"/>
  <c r="E168" i="45"/>
  <c r="E96" i="45"/>
  <c r="H156" i="45"/>
  <c r="H162" i="45"/>
  <c r="H168" i="45"/>
  <c r="E97" i="45"/>
  <c r="F99" i="45"/>
  <c r="L69" i="45"/>
  <c r="L71" i="45"/>
  <c r="L73" i="45"/>
  <c r="L84" i="45"/>
  <c r="J84" i="44"/>
  <c r="B110" i="44"/>
  <c r="B113" i="44"/>
  <c r="C110" i="44"/>
  <c r="C113" i="44"/>
  <c r="D110" i="44"/>
  <c r="D113" i="44"/>
  <c r="E110" i="44"/>
  <c r="E113" i="44"/>
  <c r="G110" i="44"/>
  <c r="G113" i="44"/>
  <c r="H110" i="44"/>
  <c r="H113" i="44"/>
  <c r="I110" i="44"/>
  <c r="I113" i="44"/>
  <c r="J113" i="44"/>
  <c r="B117" i="44"/>
  <c r="H118" i="44"/>
  <c r="B124" i="44"/>
  <c r="B127" i="44"/>
  <c r="C124" i="44"/>
  <c r="C127" i="44"/>
  <c r="D124" i="44"/>
  <c r="D127" i="44"/>
  <c r="E124" i="44"/>
  <c r="E127" i="44"/>
  <c r="F124" i="44"/>
  <c r="F127" i="44"/>
  <c r="H127" i="44"/>
  <c r="J127" i="44"/>
  <c r="J131" i="44"/>
  <c r="F65" i="44"/>
  <c r="E57" i="44"/>
  <c r="C57" i="44"/>
  <c r="E69" i="44"/>
  <c r="E58" i="44"/>
  <c r="E70" i="44"/>
  <c r="E59" i="44"/>
  <c r="E71" i="44"/>
  <c r="F68" i="44"/>
  <c r="L57" i="44"/>
  <c r="D141" i="44"/>
  <c r="L58" i="44"/>
  <c r="E141" i="44"/>
  <c r="L59" i="44"/>
  <c r="H141" i="44"/>
  <c r="I141" i="44"/>
  <c r="D172" i="44"/>
  <c r="I57" i="44"/>
  <c r="E172" i="44"/>
  <c r="I58" i="44"/>
  <c r="H172" i="44"/>
  <c r="I59" i="44"/>
  <c r="F72" i="44"/>
  <c r="F74" i="44"/>
  <c r="E78" i="44"/>
  <c r="F79" i="44"/>
  <c r="F83" i="44"/>
  <c r="F84" i="44"/>
  <c r="L99" i="44"/>
  <c r="I27" i="44"/>
  <c r="D138" i="44"/>
  <c r="D157" i="44"/>
  <c r="E157" i="44"/>
  <c r="H157" i="44"/>
  <c r="I157" i="44"/>
  <c r="D163" i="44"/>
  <c r="E163" i="44"/>
  <c r="H163" i="44"/>
  <c r="I163" i="44"/>
  <c r="F85" i="44"/>
  <c r="F88" i="44"/>
  <c r="D156" i="44"/>
  <c r="D158" i="44"/>
  <c r="D162" i="44"/>
  <c r="D168" i="44"/>
  <c r="E95" i="44"/>
  <c r="E156" i="44"/>
  <c r="E162" i="44"/>
  <c r="E168" i="44"/>
  <c r="E96" i="44"/>
  <c r="H156" i="44"/>
  <c r="H162" i="44"/>
  <c r="H168" i="44"/>
  <c r="E97" i="44"/>
  <c r="F99" i="44"/>
  <c r="L69" i="44"/>
  <c r="L71" i="44"/>
  <c r="L73" i="44"/>
  <c r="L84" i="44"/>
  <c r="J84" i="43"/>
  <c r="B110" i="43"/>
  <c r="B113" i="43"/>
  <c r="C110" i="43"/>
  <c r="C113" i="43"/>
  <c r="D110" i="43"/>
  <c r="D113" i="43"/>
  <c r="E110" i="43"/>
  <c r="E113" i="43"/>
  <c r="G110" i="43"/>
  <c r="G113" i="43"/>
  <c r="H110" i="43"/>
  <c r="H113" i="43"/>
  <c r="I110" i="43"/>
  <c r="I113" i="43"/>
  <c r="J113" i="43"/>
  <c r="B117" i="43"/>
  <c r="H118" i="43"/>
  <c r="B124" i="43"/>
  <c r="B127" i="43"/>
  <c r="C124" i="43"/>
  <c r="C127" i="43"/>
  <c r="D124" i="43"/>
  <c r="D127" i="43"/>
  <c r="E124" i="43"/>
  <c r="E127" i="43"/>
  <c r="F124" i="43"/>
  <c r="F127" i="43"/>
  <c r="H127" i="43"/>
  <c r="J127" i="43"/>
  <c r="J131" i="43"/>
  <c r="F65" i="43"/>
  <c r="E57" i="43"/>
  <c r="C57" i="43"/>
  <c r="E69" i="43"/>
  <c r="E58" i="43"/>
  <c r="E70" i="43"/>
  <c r="E59" i="43"/>
  <c r="E71" i="43"/>
  <c r="F68" i="43"/>
  <c r="L57" i="43"/>
  <c r="D141" i="43"/>
  <c r="L58" i="43"/>
  <c r="E141" i="43"/>
  <c r="L59" i="43"/>
  <c r="H141" i="43"/>
  <c r="I141" i="43"/>
  <c r="D172" i="43"/>
  <c r="I57" i="43"/>
  <c r="E172" i="43"/>
  <c r="I58" i="43"/>
  <c r="H172" i="43"/>
  <c r="I59" i="43"/>
  <c r="F72" i="43"/>
  <c r="F74" i="43"/>
  <c r="E78" i="43"/>
  <c r="F79" i="43"/>
  <c r="F83" i="43"/>
  <c r="F84" i="43"/>
  <c r="L99" i="43"/>
  <c r="I27" i="43"/>
  <c r="D138" i="43"/>
  <c r="D157" i="43"/>
  <c r="E157" i="43"/>
  <c r="H157" i="43"/>
  <c r="I157" i="43"/>
  <c r="D163" i="43"/>
  <c r="E163" i="43"/>
  <c r="H163" i="43"/>
  <c r="I163" i="43"/>
  <c r="F85" i="43"/>
  <c r="F88" i="43"/>
  <c r="D168" i="43"/>
  <c r="E95" i="43"/>
  <c r="E168" i="43"/>
  <c r="E96" i="43"/>
  <c r="E97" i="43"/>
  <c r="F99" i="43"/>
  <c r="L69" i="43"/>
  <c r="L71" i="43"/>
  <c r="L73" i="43"/>
  <c r="L84" i="43"/>
  <c r="J84" i="42"/>
  <c r="B110" i="42"/>
  <c r="B113" i="42"/>
  <c r="C110" i="42"/>
  <c r="C113" i="42"/>
  <c r="D110" i="42"/>
  <c r="D113" i="42"/>
  <c r="E110" i="42"/>
  <c r="E113" i="42"/>
  <c r="G110" i="42"/>
  <c r="G113" i="42"/>
  <c r="H110" i="42"/>
  <c r="H113" i="42"/>
  <c r="I110" i="42"/>
  <c r="I113" i="42"/>
  <c r="J113" i="42"/>
  <c r="B117" i="42"/>
  <c r="H118" i="42"/>
  <c r="B124" i="42"/>
  <c r="B127" i="42"/>
  <c r="C124" i="42"/>
  <c r="C127" i="42"/>
  <c r="D124" i="42"/>
  <c r="D127" i="42"/>
  <c r="E124" i="42"/>
  <c r="E127" i="42"/>
  <c r="F124" i="42"/>
  <c r="F127" i="42"/>
  <c r="H127" i="42"/>
  <c r="J127" i="42"/>
  <c r="J131" i="42"/>
  <c r="F65" i="42"/>
  <c r="E57" i="42"/>
  <c r="C57" i="42"/>
  <c r="E69" i="42"/>
  <c r="E58" i="42"/>
  <c r="E70" i="42"/>
  <c r="E59" i="42"/>
  <c r="E71" i="42"/>
  <c r="F68" i="42"/>
  <c r="L57" i="42"/>
  <c r="D141" i="42"/>
  <c r="L58" i="42"/>
  <c r="E141" i="42"/>
  <c r="L59" i="42"/>
  <c r="H141" i="42"/>
  <c r="I141" i="42"/>
  <c r="D172" i="42"/>
  <c r="I57" i="42"/>
  <c r="E172" i="42"/>
  <c r="I58" i="42"/>
  <c r="H172" i="42"/>
  <c r="I59" i="42"/>
  <c r="F72" i="42"/>
  <c r="F74" i="42"/>
  <c r="E78" i="42"/>
  <c r="F79" i="42"/>
  <c r="F83" i="42"/>
  <c r="F84" i="42"/>
  <c r="L99" i="42"/>
  <c r="I27" i="42"/>
  <c r="D138" i="42"/>
  <c r="F141" i="42"/>
  <c r="L147" i="42"/>
  <c r="O168" i="42"/>
  <c r="G141" i="42"/>
  <c r="D145" i="42"/>
  <c r="E145" i="42"/>
  <c r="I145" i="42"/>
  <c r="D151" i="42"/>
  <c r="E151" i="42"/>
  <c r="I151" i="42"/>
  <c r="F85" i="42"/>
  <c r="F88" i="42"/>
  <c r="D144" i="42"/>
  <c r="D150" i="42"/>
  <c r="D168" i="42"/>
  <c r="E95" i="42"/>
  <c r="E144" i="42"/>
  <c r="E150" i="42"/>
  <c r="E168" i="42"/>
  <c r="E96" i="42"/>
  <c r="H144" i="42"/>
  <c r="H145" i="42"/>
  <c r="H150" i="42"/>
  <c r="H151" i="42"/>
  <c r="H168" i="42"/>
  <c r="E97" i="42"/>
  <c r="F99" i="42"/>
  <c r="L69" i="42"/>
  <c r="L71" i="42"/>
  <c r="L73" i="42"/>
  <c r="L84" i="42"/>
  <c r="J84" i="41"/>
  <c r="B110" i="41"/>
  <c r="B113" i="41"/>
  <c r="C110" i="41"/>
  <c r="C113" i="41"/>
  <c r="D110" i="41"/>
  <c r="D113" i="41"/>
  <c r="E110" i="41"/>
  <c r="E113" i="41"/>
  <c r="G110" i="41"/>
  <c r="G113" i="41"/>
  <c r="H110" i="41"/>
  <c r="H113" i="41"/>
  <c r="I110" i="41"/>
  <c r="I113" i="41"/>
  <c r="J113" i="41"/>
  <c r="B117" i="41"/>
  <c r="H118" i="41"/>
  <c r="B124" i="41"/>
  <c r="B127" i="41"/>
  <c r="C124" i="41"/>
  <c r="C127" i="41"/>
  <c r="D124" i="41"/>
  <c r="D127" i="41"/>
  <c r="E124" i="41"/>
  <c r="E127" i="41"/>
  <c r="F124" i="41"/>
  <c r="F127" i="41"/>
  <c r="H127" i="41"/>
  <c r="J127" i="41"/>
  <c r="J131" i="41"/>
  <c r="F65" i="41"/>
  <c r="E57" i="41"/>
  <c r="C57" i="41"/>
  <c r="E69" i="41"/>
  <c r="E58" i="41"/>
  <c r="E70" i="41"/>
  <c r="E59" i="41"/>
  <c r="E71" i="41"/>
  <c r="F68" i="41"/>
  <c r="L57" i="41"/>
  <c r="D141" i="41"/>
  <c r="L58" i="41"/>
  <c r="E141" i="41"/>
  <c r="L59" i="41"/>
  <c r="H141" i="41"/>
  <c r="I141" i="41"/>
  <c r="D172" i="41"/>
  <c r="I57" i="41"/>
  <c r="E172" i="41"/>
  <c r="I58" i="41"/>
  <c r="H172" i="41"/>
  <c r="I59" i="41"/>
  <c r="F72" i="41"/>
  <c r="F74" i="41"/>
  <c r="E78" i="41"/>
  <c r="F79" i="41"/>
  <c r="F83" i="41"/>
  <c r="F84" i="41"/>
  <c r="L99" i="41"/>
  <c r="I27" i="41"/>
  <c r="D138" i="41"/>
  <c r="D156" i="41"/>
  <c r="E156" i="41"/>
  <c r="H156" i="41"/>
  <c r="I156" i="41"/>
  <c r="D162" i="41"/>
  <c r="E162" i="41"/>
  <c r="H162" i="41"/>
  <c r="I162" i="41"/>
  <c r="F85" i="41"/>
  <c r="F88" i="41"/>
  <c r="D168" i="41"/>
  <c r="E95" i="41"/>
  <c r="E168" i="41"/>
  <c r="E96" i="41"/>
  <c r="E97" i="41"/>
  <c r="F99" i="41"/>
  <c r="L69" i="41"/>
  <c r="L71" i="41"/>
  <c r="L73" i="41"/>
  <c r="L84" i="41"/>
  <c r="J84" i="40"/>
  <c r="B110" i="40"/>
  <c r="B113" i="40"/>
  <c r="C110" i="40"/>
  <c r="C113" i="40"/>
  <c r="D110" i="40"/>
  <c r="D113" i="40"/>
  <c r="E110" i="40"/>
  <c r="E113" i="40"/>
  <c r="G110" i="40"/>
  <c r="G113" i="40"/>
  <c r="H110" i="40"/>
  <c r="H113" i="40"/>
  <c r="I110" i="40"/>
  <c r="I113" i="40"/>
  <c r="J113" i="40"/>
  <c r="B117" i="40"/>
  <c r="H118" i="40"/>
  <c r="B124" i="40"/>
  <c r="B127" i="40"/>
  <c r="C124" i="40"/>
  <c r="C127" i="40"/>
  <c r="D124" i="40"/>
  <c r="D127" i="40"/>
  <c r="E124" i="40"/>
  <c r="E127" i="40"/>
  <c r="F124" i="40"/>
  <c r="F127" i="40"/>
  <c r="H127" i="40"/>
  <c r="J127" i="40"/>
  <c r="J131" i="40"/>
  <c r="F65" i="40"/>
  <c r="E57" i="40"/>
  <c r="C57" i="40"/>
  <c r="E69" i="40"/>
  <c r="E58" i="40"/>
  <c r="E70" i="40"/>
  <c r="E59" i="40"/>
  <c r="E71" i="40"/>
  <c r="F68" i="40"/>
  <c r="L57" i="40"/>
  <c r="D141" i="40"/>
  <c r="L58" i="40"/>
  <c r="E141" i="40"/>
  <c r="L59" i="40"/>
  <c r="H141" i="40"/>
  <c r="I141" i="40"/>
  <c r="D172" i="40"/>
  <c r="I57" i="40"/>
  <c r="E172" i="40"/>
  <c r="I58" i="40"/>
  <c r="H172" i="40"/>
  <c r="I59" i="40"/>
  <c r="F72" i="40"/>
  <c r="F74" i="40"/>
  <c r="E78" i="40"/>
  <c r="F79" i="40"/>
  <c r="F83" i="40"/>
  <c r="F84" i="40"/>
  <c r="L99" i="40"/>
  <c r="I27" i="40"/>
  <c r="D138" i="40"/>
  <c r="D157" i="40"/>
  <c r="E157" i="40"/>
  <c r="H157" i="40"/>
  <c r="I157" i="40"/>
  <c r="D163" i="40"/>
  <c r="E163" i="40"/>
  <c r="H163" i="40"/>
  <c r="I163" i="40"/>
  <c r="F85" i="40"/>
  <c r="F88" i="40"/>
  <c r="D168" i="40"/>
  <c r="E95" i="40"/>
  <c r="E168" i="40"/>
  <c r="E96" i="40"/>
  <c r="E97" i="40"/>
  <c r="F99" i="40"/>
  <c r="L69" i="40"/>
  <c r="L71" i="40"/>
  <c r="L73" i="40"/>
  <c r="L84" i="40"/>
  <c r="J84" i="39"/>
  <c r="B110" i="39"/>
  <c r="B113" i="39"/>
  <c r="C110" i="39"/>
  <c r="C113" i="39"/>
  <c r="D110" i="39"/>
  <c r="D113" i="39"/>
  <c r="E110" i="39"/>
  <c r="E113" i="39"/>
  <c r="G110" i="39"/>
  <c r="G113" i="39"/>
  <c r="H110" i="39"/>
  <c r="H113" i="39"/>
  <c r="I110" i="39"/>
  <c r="I113" i="39"/>
  <c r="J113" i="39"/>
  <c r="B117" i="39"/>
  <c r="H118" i="39"/>
  <c r="B124" i="39"/>
  <c r="B127" i="39"/>
  <c r="C124" i="39"/>
  <c r="C127" i="39"/>
  <c r="D124" i="39"/>
  <c r="D127" i="39"/>
  <c r="E124" i="39"/>
  <c r="E127" i="39"/>
  <c r="F124" i="39"/>
  <c r="F127" i="39"/>
  <c r="H127" i="39"/>
  <c r="J127" i="39"/>
  <c r="J131" i="39"/>
  <c r="F65" i="39"/>
  <c r="E57" i="39"/>
  <c r="C57" i="39"/>
  <c r="E69" i="39"/>
  <c r="E58" i="39"/>
  <c r="E70" i="39"/>
  <c r="E59" i="39"/>
  <c r="E71" i="39"/>
  <c r="F68" i="39"/>
  <c r="L57" i="39"/>
  <c r="D141" i="39"/>
  <c r="L58" i="39"/>
  <c r="E141" i="39"/>
  <c r="L59" i="39"/>
  <c r="H141" i="39"/>
  <c r="I141" i="39"/>
  <c r="D172" i="39"/>
  <c r="I57" i="39"/>
  <c r="E172" i="39"/>
  <c r="I58" i="39"/>
  <c r="H172" i="39"/>
  <c r="I59" i="39"/>
  <c r="F72" i="39"/>
  <c r="F74" i="39"/>
  <c r="E78" i="39"/>
  <c r="F79" i="39"/>
  <c r="F83" i="39"/>
  <c r="F84" i="39"/>
  <c r="L99" i="39"/>
  <c r="I27" i="39"/>
  <c r="D138" i="39"/>
  <c r="F141" i="39"/>
  <c r="L147" i="39"/>
  <c r="O168" i="39"/>
  <c r="G141" i="39"/>
  <c r="D145" i="39"/>
  <c r="E145" i="39"/>
  <c r="I145" i="39"/>
  <c r="D151" i="39"/>
  <c r="E151" i="39"/>
  <c r="I151" i="39"/>
  <c r="F85" i="39"/>
  <c r="F88" i="39"/>
  <c r="D168" i="39"/>
  <c r="E95" i="39"/>
  <c r="E168" i="39"/>
  <c r="E96" i="39"/>
  <c r="E97" i="39"/>
  <c r="F99" i="39"/>
  <c r="L69" i="39"/>
  <c r="L71" i="39"/>
  <c r="L73" i="39"/>
  <c r="L84" i="39"/>
  <c r="J84" i="38"/>
  <c r="B110" i="38"/>
  <c r="B113" i="38"/>
  <c r="C110" i="38"/>
  <c r="C113" i="38"/>
  <c r="D110" i="38"/>
  <c r="D113" i="38"/>
  <c r="E110" i="38"/>
  <c r="E113" i="38"/>
  <c r="G110" i="38"/>
  <c r="G113" i="38"/>
  <c r="H110" i="38"/>
  <c r="H113" i="38"/>
  <c r="I110" i="38"/>
  <c r="I113" i="38"/>
  <c r="J113" i="38"/>
  <c r="B117" i="38"/>
  <c r="H118" i="38"/>
  <c r="B124" i="38"/>
  <c r="B127" i="38"/>
  <c r="C124" i="38"/>
  <c r="C127" i="38"/>
  <c r="D124" i="38"/>
  <c r="D127" i="38"/>
  <c r="E124" i="38"/>
  <c r="E127" i="38"/>
  <c r="F124" i="38"/>
  <c r="F127" i="38"/>
  <c r="H127" i="38"/>
  <c r="J127" i="38"/>
  <c r="J131" i="38"/>
  <c r="F65" i="38"/>
  <c r="E57" i="38"/>
  <c r="C57" i="38"/>
  <c r="E69" i="38"/>
  <c r="E58" i="38"/>
  <c r="E70" i="38"/>
  <c r="E59" i="38"/>
  <c r="E71" i="38"/>
  <c r="F68" i="38"/>
  <c r="L57" i="38"/>
  <c r="D141" i="38"/>
  <c r="L58" i="38"/>
  <c r="E141" i="38"/>
  <c r="L59" i="38"/>
  <c r="H141" i="38"/>
  <c r="I141" i="38"/>
  <c r="D172" i="38"/>
  <c r="I57" i="38"/>
  <c r="E172" i="38"/>
  <c r="I58" i="38"/>
  <c r="H172" i="38"/>
  <c r="I59" i="38"/>
  <c r="F72" i="38"/>
  <c r="F74" i="38"/>
  <c r="E78" i="38"/>
  <c r="F79" i="38"/>
  <c r="F83" i="38"/>
  <c r="F84" i="38"/>
  <c r="L99" i="38"/>
  <c r="I27" i="38"/>
  <c r="D138" i="38"/>
  <c r="F141" i="38"/>
  <c r="L147" i="38"/>
  <c r="O168" i="38"/>
  <c r="G141" i="38"/>
  <c r="D145" i="38"/>
  <c r="E145" i="38"/>
  <c r="I145" i="38"/>
  <c r="D151" i="38"/>
  <c r="E151" i="38"/>
  <c r="I151" i="38"/>
  <c r="F85" i="38"/>
  <c r="F88" i="38"/>
  <c r="D144" i="38"/>
  <c r="D150" i="38"/>
  <c r="D168" i="38"/>
  <c r="E95" i="38"/>
  <c r="E144" i="38"/>
  <c r="E150" i="38"/>
  <c r="E168" i="38"/>
  <c r="E96" i="38"/>
  <c r="H144" i="38"/>
  <c r="H145" i="38"/>
  <c r="H150" i="38"/>
  <c r="H151" i="38"/>
  <c r="H168" i="38"/>
  <c r="E97" i="38"/>
  <c r="F99" i="38"/>
  <c r="L69" i="38"/>
  <c r="L71" i="38"/>
  <c r="L73" i="38"/>
  <c r="L84" i="38"/>
  <c r="J84" i="36"/>
  <c r="B110" i="36"/>
  <c r="B113" i="36"/>
  <c r="C110" i="36"/>
  <c r="C113" i="36"/>
  <c r="D110" i="36"/>
  <c r="D113" i="36"/>
  <c r="E110" i="36"/>
  <c r="E113" i="36"/>
  <c r="G110" i="36"/>
  <c r="G113" i="36"/>
  <c r="H110" i="36"/>
  <c r="H113" i="36"/>
  <c r="I110" i="36"/>
  <c r="I113" i="36"/>
  <c r="J113" i="36"/>
  <c r="B117" i="36"/>
  <c r="H118" i="36"/>
  <c r="B124" i="36"/>
  <c r="B127" i="36"/>
  <c r="C124" i="36"/>
  <c r="C127" i="36"/>
  <c r="D124" i="36"/>
  <c r="D127" i="36"/>
  <c r="E124" i="36"/>
  <c r="E127" i="36"/>
  <c r="F124" i="36"/>
  <c r="F127" i="36"/>
  <c r="H127" i="36"/>
  <c r="J127" i="36"/>
  <c r="J131" i="36"/>
  <c r="F65" i="36"/>
  <c r="E57" i="36"/>
  <c r="C57" i="36"/>
  <c r="E69" i="36"/>
  <c r="E58" i="36"/>
  <c r="E70" i="36"/>
  <c r="E59" i="36"/>
  <c r="E71" i="36"/>
  <c r="F68" i="36"/>
  <c r="L57" i="36"/>
  <c r="D141" i="36"/>
  <c r="L58" i="36"/>
  <c r="E141" i="36"/>
  <c r="L59" i="36"/>
  <c r="H141" i="36"/>
  <c r="I141" i="36"/>
  <c r="D172" i="36"/>
  <c r="I57" i="36"/>
  <c r="E172" i="36"/>
  <c r="I58" i="36"/>
  <c r="H172" i="36"/>
  <c r="I59" i="36"/>
  <c r="F72" i="36"/>
  <c r="F74" i="36"/>
  <c r="E78" i="36"/>
  <c r="F79" i="36"/>
  <c r="F83" i="36"/>
  <c r="F84" i="36"/>
  <c r="L99" i="36"/>
  <c r="I27" i="36"/>
  <c r="D138" i="36"/>
  <c r="D157" i="36"/>
  <c r="E157" i="36"/>
  <c r="H157" i="36"/>
  <c r="I157" i="36"/>
  <c r="D163" i="36"/>
  <c r="E163" i="36"/>
  <c r="H163" i="36"/>
  <c r="I163" i="36"/>
  <c r="F85" i="36"/>
  <c r="F88" i="36"/>
  <c r="D156" i="36"/>
  <c r="D158" i="36"/>
  <c r="D162" i="36"/>
  <c r="D168" i="36"/>
  <c r="E95" i="36"/>
  <c r="E156" i="36"/>
  <c r="E162" i="36"/>
  <c r="E168" i="36"/>
  <c r="E96" i="36"/>
  <c r="H156" i="36"/>
  <c r="H162" i="36"/>
  <c r="H168" i="36"/>
  <c r="E97" i="36"/>
  <c r="F99" i="36"/>
  <c r="L69" i="36"/>
  <c r="L71" i="36"/>
  <c r="L73" i="36"/>
  <c r="L84" i="36"/>
  <c r="J84" i="19"/>
  <c r="B110" i="19"/>
  <c r="B113" i="19"/>
  <c r="C110" i="19"/>
  <c r="C113" i="19"/>
  <c r="D110" i="19"/>
  <c r="D113" i="19"/>
  <c r="E110" i="19"/>
  <c r="E113" i="19"/>
  <c r="G110" i="19"/>
  <c r="G113" i="19"/>
  <c r="H110" i="19"/>
  <c r="H113" i="19"/>
  <c r="I110" i="19"/>
  <c r="I113" i="19"/>
  <c r="J113" i="19"/>
  <c r="B117" i="19"/>
  <c r="H118" i="19"/>
  <c r="B124" i="19"/>
  <c r="B127" i="19"/>
  <c r="C124" i="19"/>
  <c r="C127" i="19"/>
  <c r="D124" i="19"/>
  <c r="D127" i="19"/>
  <c r="E124" i="19"/>
  <c r="E127" i="19"/>
  <c r="F124" i="19"/>
  <c r="F127" i="19"/>
  <c r="H127" i="19"/>
  <c r="J127" i="19"/>
  <c r="J131" i="19"/>
  <c r="F65" i="19"/>
  <c r="E57" i="19"/>
  <c r="C57" i="19"/>
  <c r="E69" i="19"/>
  <c r="E58" i="19"/>
  <c r="E70" i="19"/>
  <c r="E59" i="19"/>
  <c r="E71" i="19"/>
  <c r="F68" i="19"/>
  <c r="L57" i="19"/>
  <c r="D141" i="19"/>
  <c r="L58" i="19"/>
  <c r="E141" i="19"/>
  <c r="L59" i="19"/>
  <c r="H141" i="19"/>
  <c r="I141" i="19"/>
  <c r="D172" i="19"/>
  <c r="I57" i="19"/>
  <c r="E172" i="19"/>
  <c r="I58" i="19"/>
  <c r="H172" i="19"/>
  <c r="I59" i="19"/>
  <c r="F72" i="19"/>
  <c r="F74" i="19"/>
  <c r="E78" i="19"/>
  <c r="F79" i="19"/>
  <c r="F83" i="19"/>
  <c r="F84" i="19"/>
  <c r="L99" i="19"/>
  <c r="I27" i="19"/>
  <c r="D138" i="19"/>
  <c r="D157" i="19"/>
  <c r="E157" i="19"/>
  <c r="H157" i="19"/>
  <c r="I157" i="19"/>
  <c r="D163" i="19"/>
  <c r="E163" i="19"/>
  <c r="H163" i="19"/>
  <c r="I163" i="19"/>
  <c r="F85" i="19"/>
  <c r="F88" i="19"/>
  <c r="D156" i="19"/>
  <c r="D158" i="19"/>
  <c r="D162" i="19"/>
  <c r="D168" i="19"/>
  <c r="E95" i="19"/>
  <c r="E156" i="19"/>
  <c r="E162" i="19"/>
  <c r="E168" i="19"/>
  <c r="E96" i="19"/>
  <c r="H156" i="19"/>
  <c r="H162" i="19"/>
  <c r="H168" i="19"/>
  <c r="E97" i="19"/>
  <c r="F99" i="19"/>
  <c r="L69" i="19"/>
  <c r="L71" i="19"/>
  <c r="L73" i="19"/>
  <c r="L84" i="19"/>
  <c r="J84" i="37"/>
  <c r="B110" i="37"/>
  <c r="B113" i="37"/>
  <c r="C110" i="37"/>
  <c r="C113" i="37"/>
  <c r="D110" i="37"/>
  <c r="D113" i="37"/>
  <c r="E110" i="37"/>
  <c r="E113" i="37"/>
  <c r="G110" i="37"/>
  <c r="G113" i="37"/>
  <c r="H110" i="37"/>
  <c r="H113" i="37"/>
  <c r="I110" i="37"/>
  <c r="I113" i="37"/>
  <c r="J113" i="37"/>
  <c r="B117" i="37"/>
  <c r="H118" i="37"/>
  <c r="B124" i="37"/>
  <c r="B127" i="37"/>
  <c r="C124" i="37"/>
  <c r="C127" i="37"/>
  <c r="D124" i="37"/>
  <c r="D127" i="37"/>
  <c r="E124" i="37"/>
  <c r="E127" i="37"/>
  <c r="F124" i="37"/>
  <c r="F127" i="37"/>
  <c r="H127" i="37"/>
  <c r="J127" i="37"/>
  <c r="J131" i="37"/>
  <c r="F65" i="37"/>
  <c r="E57" i="37"/>
  <c r="C57" i="37"/>
  <c r="E69" i="37"/>
  <c r="E58" i="37"/>
  <c r="E70" i="37"/>
  <c r="E59" i="37"/>
  <c r="E71" i="37"/>
  <c r="F68" i="37"/>
  <c r="L57" i="37"/>
  <c r="D141" i="37"/>
  <c r="L58" i="37"/>
  <c r="E141" i="37"/>
  <c r="L59" i="37"/>
  <c r="H141" i="37"/>
  <c r="I141" i="37"/>
  <c r="D172" i="37"/>
  <c r="I57" i="37"/>
  <c r="E172" i="37"/>
  <c r="I58" i="37"/>
  <c r="H172" i="37"/>
  <c r="I59" i="37"/>
  <c r="F72" i="37"/>
  <c r="F74" i="37"/>
  <c r="E78" i="37"/>
  <c r="F79" i="37"/>
  <c r="F83" i="37"/>
  <c r="F84" i="37"/>
  <c r="L99" i="37"/>
  <c r="I27" i="37"/>
  <c r="D138" i="37"/>
  <c r="F141" i="37"/>
  <c r="L147" i="37"/>
  <c r="O168" i="37"/>
  <c r="G141" i="37"/>
  <c r="D145" i="37"/>
  <c r="E145" i="37"/>
  <c r="I145" i="37"/>
  <c r="D151" i="37"/>
  <c r="E151" i="37"/>
  <c r="I151" i="37"/>
  <c r="F85" i="37"/>
  <c r="F88" i="37"/>
  <c r="D168" i="37"/>
  <c r="E95" i="37"/>
  <c r="E168" i="37"/>
  <c r="E96" i="37"/>
  <c r="E97" i="37"/>
  <c r="F99" i="37"/>
  <c r="L69" i="37"/>
  <c r="L71" i="37"/>
  <c r="L73" i="37"/>
  <c r="L84" i="37"/>
  <c r="J84" i="18"/>
  <c r="B110" i="18"/>
  <c r="B113" i="18"/>
  <c r="C110" i="18"/>
  <c r="C113" i="18"/>
  <c r="D110" i="18"/>
  <c r="D113" i="18"/>
  <c r="E110" i="18"/>
  <c r="E113" i="18"/>
  <c r="G110" i="18"/>
  <c r="G113" i="18"/>
  <c r="H110" i="18"/>
  <c r="H113" i="18"/>
  <c r="I110" i="18"/>
  <c r="I113" i="18"/>
  <c r="J113" i="18"/>
  <c r="B117" i="18"/>
  <c r="H118" i="18"/>
  <c r="B124" i="18"/>
  <c r="B127" i="18"/>
  <c r="C124" i="18"/>
  <c r="C127" i="18"/>
  <c r="D124" i="18"/>
  <c r="D127" i="18"/>
  <c r="E124" i="18"/>
  <c r="E127" i="18"/>
  <c r="F124" i="18"/>
  <c r="F127" i="18"/>
  <c r="H127" i="18"/>
  <c r="J127" i="18"/>
  <c r="J131" i="18"/>
  <c r="F65" i="18"/>
  <c r="E57" i="18"/>
  <c r="C57" i="18"/>
  <c r="E69" i="18"/>
  <c r="E58" i="18"/>
  <c r="E70" i="18"/>
  <c r="E59" i="18"/>
  <c r="E71" i="18"/>
  <c r="F68" i="18"/>
  <c r="L57" i="18"/>
  <c r="D141" i="18"/>
  <c r="L58" i="18"/>
  <c r="E141" i="18"/>
  <c r="L59" i="18"/>
  <c r="H141" i="18"/>
  <c r="I141" i="18"/>
  <c r="D172" i="18"/>
  <c r="I57" i="18"/>
  <c r="E172" i="18"/>
  <c r="I58" i="18"/>
  <c r="H172" i="18"/>
  <c r="I59" i="18"/>
  <c r="F72" i="18"/>
  <c r="F74" i="18"/>
  <c r="E78" i="18"/>
  <c r="F79" i="18"/>
  <c r="F83" i="18"/>
  <c r="F84" i="18"/>
  <c r="L99" i="18"/>
  <c r="I27" i="18"/>
  <c r="D138" i="18"/>
  <c r="D157" i="18"/>
  <c r="E157" i="18"/>
  <c r="H157" i="18"/>
  <c r="I157" i="18"/>
  <c r="D163" i="18"/>
  <c r="E163" i="18"/>
  <c r="H163" i="18"/>
  <c r="I163" i="18"/>
  <c r="F85" i="18"/>
  <c r="F88" i="18"/>
  <c r="D156" i="18"/>
  <c r="D158" i="18"/>
  <c r="D162" i="18"/>
  <c r="D168" i="18"/>
  <c r="E95" i="18"/>
  <c r="E156" i="18"/>
  <c r="E162" i="18"/>
  <c r="E168" i="18"/>
  <c r="E96" i="18"/>
  <c r="H156" i="18"/>
  <c r="H162" i="18"/>
  <c r="H168" i="18"/>
  <c r="E97" i="18"/>
  <c r="F99" i="18"/>
  <c r="L69" i="18"/>
  <c r="L71" i="18"/>
  <c r="L73" i="18"/>
  <c r="L84" i="18"/>
  <c r="J84" i="35"/>
  <c r="B110" i="35"/>
  <c r="B113" i="35"/>
  <c r="C110" i="35"/>
  <c r="C113" i="35"/>
  <c r="D110" i="35"/>
  <c r="D113" i="35"/>
  <c r="E110" i="35"/>
  <c r="E113" i="35"/>
  <c r="G110" i="35"/>
  <c r="G113" i="35"/>
  <c r="H110" i="35"/>
  <c r="H113" i="35"/>
  <c r="I110" i="35"/>
  <c r="I113" i="35"/>
  <c r="J113" i="35"/>
  <c r="B117" i="35"/>
  <c r="H118" i="35"/>
  <c r="B124" i="35"/>
  <c r="B127" i="35"/>
  <c r="C124" i="35"/>
  <c r="C127" i="35"/>
  <c r="D124" i="35"/>
  <c r="D127" i="35"/>
  <c r="E124" i="35"/>
  <c r="E127" i="35"/>
  <c r="F124" i="35"/>
  <c r="F127" i="35"/>
  <c r="H127" i="35"/>
  <c r="J127" i="35"/>
  <c r="J131" i="35"/>
  <c r="F65" i="35"/>
  <c r="E57" i="35"/>
  <c r="C57" i="35"/>
  <c r="E69" i="35"/>
  <c r="E58" i="35"/>
  <c r="E70" i="35"/>
  <c r="E59" i="35"/>
  <c r="E71" i="35"/>
  <c r="F68" i="35"/>
  <c r="L57" i="35"/>
  <c r="D141" i="35"/>
  <c r="L58" i="35"/>
  <c r="E141" i="35"/>
  <c r="L59" i="35"/>
  <c r="H141" i="35"/>
  <c r="I141" i="35"/>
  <c r="D172" i="35"/>
  <c r="I57" i="35"/>
  <c r="E172" i="35"/>
  <c r="I58" i="35"/>
  <c r="H172" i="35"/>
  <c r="I59" i="35"/>
  <c r="F72" i="35"/>
  <c r="F74" i="35"/>
  <c r="E78" i="35"/>
  <c r="F79" i="35"/>
  <c r="F83" i="35"/>
  <c r="F84" i="35"/>
  <c r="L99" i="35"/>
  <c r="I27" i="35"/>
  <c r="D138" i="35"/>
  <c r="F141" i="35"/>
  <c r="L147" i="35"/>
  <c r="O168" i="35"/>
  <c r="G141" i="35"/>
  <c r="D144" i="35"/>
  <c r="E144" i="35"/>
  <c r="F144" i="35"/>
  <c r="H144" i="35"/>
  <c r="I144" i="35"/>
  <c r="D150" i="35"/>
  <c r="E150" i="35"/>
  <c r="F150" i="35"/>
  <c r="H150" i="35"/>
  <c r="I150" i="35"/>
  <c r="F85" i="35"/>
  <c r="F88" i="35"/>
  <c r="D145" i="35"/>
  <c r="D151" i="35"/>
  <c r="D168" i="35"/>
  <c r="E95" i="35"/>
  <c r="E145" i="35"/>
  <c r="E151" i="35"/>
  <c r="E168" i="35"/>
  <c r="E96" i="35"/>
  <c r="H145" i="35"/>
  <c r="H151" i="35"/>
  <c r="H168" i="35"/>
  <c r="E97" i="35"/>
  <c r="F99" i="35"/>
  <c r="L69" i="35"/>
  <c r="L71" i="35"/>
  <c r="L73" i="35"/>
  <c r="L84" i="35"/>
  <c r="J84" i="34"/>
  <c r="B110" i="34"/>
  <c r="B113" i="34"/>
  <c r="C110" i="34"/>
  <c r="C113" i="34"/>
  <c r="D110" i="34"/>
  <c r="D113" i="34"/>
  <c r="E110" i="34"/>
  <c r="E113" i="34"/>
  <c r="G110" i="34"/>
  <c r="G113" i="34"/>
  <c r="H110" i="34"/>
  <c r="H113" i="34"/>
  <c r="I110" i="34"/>
  <c r="I113" i="34"/>
  <c r="J113" i="34"/>
  <c r="B117" i="34"/>
  <c r="H118" i="34"/>
  <c r="B124" i="34"/>
  <c r="B127" i="34"/>
  <c r="C124" i="34"/>
  <c r="C127" i="34"/>
  <c r="D124" i="34"/>
  <c r="D127" i="34"/>
  <c r="E124" i="34"/>
  <c r="E127" i="34"/>
  <c r="F124" i="34"/>
  <c r="F127" i="34"/>
  <c r="H127" i="34"/>
  <c r="J127" i="34"/>
  <c r="J131" i="34"/>
  <c r="F65" i="34"/>
  <c r="E57" i="34"/>
  <c r="C57" i="34"/>
  <c r="E69" i="34"/>
  <c r="E58" i="34"/>
  <c r="E70" i="34"/>
  <c r="E59" i="34"/>
  <c r="E71" i="34"/>
  <c r="F68" i="34"/>
  <c r="L57" i="34"/>
  <c r="D141" i="34"/>
  <c r="L58" i="34"/>
  <c r="E141" i="34"/>
  <c r="L59" i="34"/>
  <c r="H141" i="34"/>
  <c r="I141" i="34"/>
  <c r="D172" i="34"/>
  <c r="I57" i="34"/>
  <c r="E172" i="34"/>
  <c r="I58" i="34"/>
  <c r="H172" i="34"/>
  <c r="I59" i="34"/>
  <c r="F72" i="34"/>
  <c r="F74" i="34"/>
  <c r="E78" i="34"/>
  <c r="F79" i="34"/>
  <c r="F83" i="34"/>
  <c r="F84" i="34"/>
  <c r="L99" i="34"/>
  <c r="I27" i="34"/>
  <c r="D138" i="34"/>
  <c r="D157" i="34"/>
  <c r="E157" i="34"/>
  <c r="H157" i="34"/>
  <c r="I157" i="34"/>
  <c r="D163" i="34"/>
  <c r="E163" i="34"/>
  <c r="H163" i="34"/>
  <c r="I163" i="34"/>
  <c r="F85" i="34"/>
  <c r="F88" i="34"/>
  <c r="D156" i="34"/>
  <c r="D158" i="34"/>
  <c r="D162" i="34"/>
  <c r="D168" i="34"/>
  <c r="E95" i="34"/>
  <c r="E156" i="34"/>
  <c r="E162" i="34"/>
  <c r="E168" i="34"/>
  <c r="E96" i="34"/>
  <c r="H156" i="34"/>
  <c r="H162" i="34"/>
  <c r="H168" i="34"/>
  <c r="E97" i="34"/>
  <c r="F99" i="34"/>
  <c r="L69" i="34"/>
  <c r="L71" i="34"/>
  <c r="L73" i="34"/>
  <c r="L84" i="34"/>
  <c r="J84" i="33"/>
  <c r="B110" i="33"/>
  <c r="B113" i="33"/>
  <c r="C110" i="33"/>
  <c r="C113" i="33"/>
  <c r="D110" i="33"/>
  <c r="D113" i="33"/>
  <c r="E110" i="33"/>
  <c r="E113" i="33"/>
  <c r="G110" i="33"/>
  <c r="G113" i="33"/>
  <c r="H110" i="33"/>
  <c r="H113" i="33"/>
  <c r="I110" i="33"/>
  <c r="I113" i="33"/>
  <c r="J113" i="33"/>
  <c r="B117" i="33"/>
  <c r="H118" i="33"/>
  <c r="B124" i="33"/>
  <c r="B127" i="33"/>
  <c r="C124" i="33"/>
  <c r="C127" i="33"/>
  <c r="D124" i="33"/>
  <c r="D127" i="33"/>
  <c r="E124" i="33"/>
  <c r="E127" i="33"/>
  <c r="F124" i="33"/>
  <c r="F127" i="33"/>
  <c r="H127" i="33"/>
  <c r="J127" i="33"/>
  <c r="J131" i="33"/>
  <c r="F65" i="33"/>
  <c r="E57" i="33"/>
  <c r="C57" i="33"/>
  <c r="E69" i="33"/>
  <c r="E58" i="33"/>
  <c r="E70" i="33"/>
  <c r="E59" i="33"/>
  <c r="E71" i="33"/>
  <c r="F68" i="33"/>
  <c r="L57" i="33"/>
  <c r="D141" i="33"/>
  <c r="L58" i="33"/>
  <c r="E141" i="33"/>
  <c r="L59" i="33"/>
  <c r="H141" i="33"/>
  <c r="I141" i="33"/>
  <c r="D172" i="33"/>
  <c r="I57" i="33"/>
  <c r="E172" i="33"/>
  <c r="I58" i="33"/>
  <c r="H172" i="33"/>
  <c r="I59" i="33"/>
  <c r="F72" i="33"/>
  <c r="F74" i="33"/>
  <c r="E78" i="33"/>
  <c r="F79" i="33"/>
  <c r="F83" i="33"/>
  <c r="F84" i="33"/>
  <c r="L99" i="33"/>
  <c r="I27" i="33"/>
  <c r="D138" i="33"/>
  <c r="F141" i="33"/>
  <c r="L147" i="33"/>
  <c r="O168" i="33"/>
  <c r="G141" i="33"/>
  <c r="D144" i="33"/>
  <c r="E144" i="33"/>
  <c r="F144" i="33"/>
  <c r="H144" i="33"/>
  <c r="I144" i="33"/>
  <c r="D150" i="33"/>
  <c r="E150" i="33"/>
  <c r="F150" i="33"/>
  <c r="H150" i="33"/>
  <c r="I150" i="33"/>
  <c r="F85" i="33"/>
  <c r="F88" i="33"/>
  <c r="D145" i="33"/>
  <c r="D151" i="33"/>
  <c r="D168" i="33"/>
  <c r="E95" i="33"/>
  <c r="E145" i="33"/>
  <c r="E151" i="33"/>
  <c r="E168" i="33"/>
  <c r="E96" i="33"/>
  <c r="H145" i="33"/>
  <c r="H151" i="33"/>
  <c r="H168" i="33"/>
  <c r="E97" i="33"/>
  <c r="F99" i="33"/>
  <c r="L69" i="33"/>
  <c r="L71" i="33"/>
  <c r="L73" i="33"/>
  <c r="L84" i="33"/>
  <c r="J84" i="32"/>
  <c r="B110" i="32"/>
  <c r="B113" i="32"/>
  <c r="C110" i="32"/>
  <c r="C113" i="32"/>
  <c r="D110" i="32"/>
  <c r="D113" i="32"/>
  <c r="E110" i="32"/>
  <c r="E113" i="32"/>
  <c r="G110" i="32"/>
  <c r="G113" i="32"/>
  <c r="H110" i="32"/>
  <c r="H113" i="32"/>
  <c r="I110" i="32"/>
  <c r="I113" i="32"/>
  <c r="J113" i="32"/>
  <c r="B117" i="32"/>
  <c r="H118" i="32"/>
  <c r="B124" i="32"/>
  <c r="B127" i="32"/>
  <c r="C124" i="32"/>
  <c r="C127" i="32"/>
  <c r="D124" i="32"/>
  <c r="D127" i="32"/>
  <c r="E124" i="32"/>
  <c r="E127" i="32"/>
  <c r="F124" i="32"/>
  <c r="F127" i="32"/>
  <c r="H127" i="32"/>
  <c r="J127" i="32"/>
  <c r="J131" i="32"/>
  <c r="F65" i="32"/>
  <c r="E57" i="32"/>
  <c r="C57" i="32"/>
  <c r="E69" i="32"/>
  <c r="E58" i="32"/>
  <c r="E70" i="32"/>
  <c r="E59" i="32"/>
  <c r="E71" i="32"/>
  <c r="F68" i="32"/>
  <c r="L57" i="32"/>
  <c r="D141" i="32"/>
  <c r="L58" i="32"/>
  <c r="E141" i="32"/>
  <c r="L59" i="32"/>
  <c r="H141" i="32"/>
  <c r="I141" i="32"/>
  <c r="D172" i="32"/>
  <c r="I57" i="32"/>
  <c r="E172" i="32"/>
  <c r="I58" i="32"/>
  <c r="H172" i="32"/>
  <c r="I59" i="32"/>
  <c r="F72" i="32"/>
  <c r="F74" i="32"/>
  <c r="E78" i="32"/>
  <c r="F79" i="32"/>
  <c r="F83" i="32"/>
  <c r="F84" i="32"/>
  <c r="L99" i="32"/>
  <c r="I27" i="32"/>
  <c r="D138" i="32"/>
  <c r="F141" i="32"/>
  <c r="L147" i="32"/>
  <c r="O168" i="32"/>
  <c r="G141" i="32"/>
  <c r="D145" i="32"/>
  <c r="E145" i="32"/>
  <c r="I145" i="32"/>
  <c r="D151" i="32"/>
  <c r="E151" i="32"/>
  <c r="I151" i="32"/>
  <c r="F85" i="32"/>
  <c r="F88" i="32"/>
  <c r="D144" i="32"/>
  <c r="D150" i="32"/>
  <c r="D168" i="32"/>
  <c r="E95" i="32"/>
  <c r="E144" i="32"/>
  <c r="E150" i="32"/>
  <c r="E168" i="32"/>
  <c r="E96" i="32"/>
  <c r="H144" i="32"/>
  <c r="H145" i="32"/>
  <c r="H150" i="32"/>
  <c r="H151" i="32"/>
  <c r="H168" i="32"/>
  <c r="E97" i="32"/>
  <c r="F99" i="32"/>
  <c r="L69" i="32"/>
  <c r="L71" i="32"/>
  <c r="L73" i="32"/>
  <c r="L84" i="32"/>
  <c r="J84" i="31"/>
  <c r="B110" i="31"/>
  <c r="B113" i="31"/>
  <c r="C110" i="31"/>
  <c r="C113" i="31"/>
  <c r="D110" i="31"/>
  <c r="D113" i="31"/>
  <c r="E110" i="31"/>
  <c r="E113" i="31"/>
  <c r="G110" i="31"/>
  <c r="G113" i="31"/>
  <c r="H110" i="31"/>
  <c r="H113" i="31"/>
  <c r="I110" i="31"/>
  <c r="I113" i="31"/>
  <c r="J113" i="31"/>
  <c r="B117" i="31"/>
  <c r="H118" i="31"/>
  <c r="B124" i="31"/>
  <c r="B127" i="31"/>
  <c r="C124" i="31"/>
  <c r="C127" i="31"/>
  <c r="D124" i="31"/>
  <c r="D127" i="31"/>
  <c r="E124" i="31"/>
  <c r="E127" i="31"/>
  <c r="F124" i="31"/>
  <c r="F127" i="31"/>
  <c r="H127" i="31"/>
  <c r="J127" i="31"/>
  <c r="J131" i="31"/>
  <c r="F65" i="31"/>
  <c r="E57" i="31"/>
  <c r="C57" i="31"/>
  <c r="E69" i="31"/>
  <c r="E58" i="31"/>
  <c r="E70" i="31"/>
  <c r="E59" i="31"/>
  <c r="E71" i="31"/>
  <c r="F68" i="31"/>
  <c r="L57" i="31"/>
  <c r="D141" i="31"/>
  <c r="L58" i="31"/>
  <c r="E141" i="31"/>
  <c r="L59" i="31"/>
  <c r="H141" i="31"/>
  <c r="I141" i="31"/>
  <c r="D172" i="31"/>
  <c r="I57" i="31"/>
  <c r="E172" i="31"/>
  <c r="I58" i="31"/>
  <c r="H172" i="31"/>
  <c r="I59" i="31"/>
  <c r="F72" i="31"/>
  <c r="F74" i="31"/>
  <c r="E78" i="31"/>
  <c r="F79" i="31"/>
  <c r="F83" i="31"/>
  <c r="F84" i="31"/>
  <c r="L99" i="31"/>
  <c r="I27" i="31"/>
  <c r="D138" i="31"/>
  <c r="D156" i="31"/>
  <c r="E156" i="31"/>
  <c r="H156" i="31"/>
  <c r="I156" i="31"/>
  <c r="D162" i="31"/>
  <c r="E162" i="31"/>
  <c r="H162" i="31"/>
  <c r="I162" i="31"/>
  <c r="F85" i="31"/>
  <c r="F88" i="31"/>
  <c r="D168" i="31"/>
  <c r="E95" i="31"/>
  <c r="E168" i="31"/>
  <c r="E96" i="31"/>
  <c r="E97" i="31"/>
  <c r="F99" i="31"/>
  <c r="L69" i="31"/>
  <c r="L71" i="31"/>
  <c r="L73" i="31"/>
  <c r="L84" i="31"/>
  <c r="J84" i="30"/>
  <c r="B110" i="30"/>
  <c r="B113" i="30"/>
  <c r="C110" i="30"/>
  <c r="C113" i="30"/>
  <c r="D110" i="30"/>
  <c r="D113" i="30"/>
  <c r="E110" i="30"/>
  <c r="E113" i="30"/>
  <c r="G110" i="30"/>
  <c r="G113" i="30"/>
  <c r="H110" i="30"/>
  <c r="H113" i="30"/>
  <c r="I110" i="30"/>
  <c r="I113" i="30"/>
  <c r="J113" i="30"/>
  <c r="B117" i="30"/>
  <c r="H118" i="30"/>
  <c r="B124" i="30"/>
  <c r="B127" i="30"/>
  <c r="C124" i="30"/>
  <c r="C127" i="30"/>
  <c r="D124" i="30"/>
  <c r="D127" i="30"/>
  <c r="E124" i="30"/>
  <c r="E127" i="30"/>
  <c r="F124" i="30"/>
  <c r="F127" i="30"/>
  <c r="H127" i="30"/>
  <c r="J127" i="30"/>
  <c r="J131" i="30"/>
  <c r="F65" i="30"/>
  <c r="E57" i="30"/>
  <c r="C57" i="30"/>
  <c r="E69" i="30"/>
  <c r="E58" i="30"/>
  <c r="E70" i="30"/>
  <c r="E59" i="30"/>
  <c r="E71" i="30"/>
  <c r="F68" i="30"/>
  <c r="L57" i="30"/>
  <c r="D141" i="30"/>
  <c r="L58" i="30"/>
  <c r="E141" i="30"/>
  <c r="L59" i="30"/>
  <c r="H141" i="30"/>
  <c r="I141" i="30"/>
  <c r="D172" i="30"/>
  <c r="I57" i="30"/>
  <c r="E172" i="30"/>
  <c r="I58" i="30"/>
  <c r="H172" i="30"/>
  <c r="I59" i="30"/>
  <c r="F72" i="30"/>
  <c r="F74" i="30"/>
  <c r="E78" i="30"/>
  <c r="F79" i="30"/>
  <c r="F83" i="30"/>
  <c r="F84" i="30"/>
  <c r="L99" i="30"/>
  <c r="I27" i="30"/>
  <c r="D138" i="30"/>
  <c r="D157" i="30"/>
  <c r="E157" i="30"/>
  <c r="H157" i="30"/>
  <c r="I157" i="30"/>
  <c r="D163" i="30"/>
  <c r="E163" i="30"/>
  <c r="H163" i="30"/>
  <c r="I163" i="30"/>
  <c r="F85" i="30"/>
  <c r="F88" i="30"/>
  <c r="D156" i="30"/>
  <c r="D158" i="30"/>
  <c r="D162" i="30"/>
  <c r="D168" i="30"/>
  <c r="E95" i="30"/>
  <c r="E156" i="30"/>
  <c r="E162" i="30"/>
  <c r="E168" i="30"/>
  <c r="E96" i="30"/>
  <c r="H156" i="30"/>
  <c r="H162" i="30"/>
  <c r="H168" i="30"/>
  <c r="E97" i="30"/>
  <c r="F99" i="30"/>
  <c r="L69" i="30"/>
  <c r="L71" i="30"/>
  <c r="L73" i="30"/>
  <c r="L84" i="30"/>
  <c r="J84" i="29"/>
  <c r="B110" i="29"/>
  <c r="B113" i="29"/>
  <c r="C110" i="29"/>
  <c r="C113" i="29"/>
  <c r="D110" i="29"/>
  <c r="D113" i="29"/>
  <c r="E110" i="29"/>
  <c r="E113" i="29"/>
  <c r="G110" i="29"/>
  <c r="G113" i="29"/>
  <c r="H110" i="29"/>
  <c r="H113" i="29"/>
  <c r="I110" i="29"/>
  <c r="I113" i="29"/>
  <c r="J113" i="29"/>
  <c r="B117" i="29"/>
  <c r="H118" i="29"/>
  <c r="B124" i="29"/>
  <c r="B127" i="29"/>
  <c r="C124" i="29"/>
  <c r="C127" i="29"/>
  <c r="D124" i="29"/>
  <c r="D127" i="29"/>
  <c r="E124" i="29"/>
  <c r="E127" i="29"/>
  <c r="F124" i="29"/>
  <c r="F127" i="29"/>
  <c r="H127" i="29"/>
  <c r="J127" i="29"/>
  <c r="J131" i="29"/>
  <c r="F65" i="29"/>
  <c r="E57" i="29"/>
  <c r="C57" i="29"/>
  <c r="E69" i="29"/>
  <c r="E58" i="29"/>
  <c r="E70" i="29"/>
  <c r="E59" i="29"/>
  <c r="E71" i="29"/>
  <c r="F68" i="29"/>
  <c r="L57" i="29"/>
  <c r="D141" i="29"/>
  <c r="L58" i="29"/>
  <c r="E141" i="29"/>
  <c r="L59" i="29"/>
  <c r="H141" i="29"/>
  <c r="I141" i="29"/>
  <c r="D172" i="29"/>
  <c r="I57" i="29"/>
  <c r="E172" i="29"/>
  <c r="I58" i="29"/>
  <c r="H172" i="29"/>
  <c r="I59" i="29"/>
  <c r="F72" i="29"/>
  <c r="F74" i="29"/>
  <c r="E78" i="29"/>
  <c r="F79" i="29"/>
  <c r="F83" i="29"/>
  <c r="F84" i="29"/>
  <c r="L99" i="29"/>
  <c r="I27" i="29"/>
  <c r="D138" i="29"/>
  <c r="D157" i="29"/>
  <c r="E157" i="29"/>
  <c r="H157" i="29"/>
  <c r="I157" i="29"/>
  <c r="D163" i="29"/>
  <c r="E163" i="29"/>
  <c r="H163" i="29"/>
  <c r="I163" i="29"/>
  <c r="F85" i="29"/>
  <c r="F88" i="29"/>
  <c r="D168" i="29"/>
  <c r="E95" i="29"/>
  <c r="E168" i="29"/>
  <c r="E96" i="29"/>
  <c r="E97" i="29"/>
  <c r="F99" i="29"/>
  <c r="L69" i="29"/>
  <c r="L71" i="29"/>
  <c r="L73" i="29"/>
  <c r="L84" i="29"/>
  <c r="J84" i="28"/>
  <c r="B110" i="28"/>
  <c r="B113" i="28"/>
  <c r="C110" i="28"/>
  <c r="C113" i="28"/>
  <c r="D110" i="28"/>
  <c r="D113" i="28"/>
  <c r="E110" i="28"/>
  <c r="E113" i="28"/>
  <c r="G110" i="28"/>
  <c r="G113" i="28"/>
  <c r="H110" i="28"/>
  <c r="H113" i="28"/>
  <c r="I110" i="28"/>
  <c r="I113" i="28"/>
  <c r="J113" i="28"/>
  <c r="B117" i="28"/>
  <c r="H118" i="28"/>
  <c r="B124" i="28"/>
  <c r="B127" i="28"/>
  <c r="C124" i="28"/>
  <c r="C127" i="28"/>
  <c r="D124" i="28"/>
  <c r="D127" i="28"/>
  <c r="E124" i="28"/>
  <c r="E127" i="28"/>
  <c r="F124" i="28"/>
  <c r="F127" i="28"/>
  <c r="H127" i="28"/>
  <c r="J127" i="28"/>
  <c r="J131" i="28"/>
  <c r="F65" i="28"/>
  <c r="E57" i="28"/>
  <c r="C57" i="28"/>
  <c r="E69" i="28"/>
  <c r="E58" i="28"/>
  <c r="E70" i="28"/>
  <c r="E59" i="28"/>
  <c r="E71" i="28"/>
  <c r="F68" i="28"/>
  <c r="L57" i="28"/>
  <c r="D141" i="28"/>
  <c r="L58" i="28"/>
  <c r="E141" i="28"/>
  <c r="L59" i="28"/>
  <c r="H141" i="28"/>
  <c r="I141" i="28"/>
  <c r="D172" i="28"/>
  <c r="I57" i="28"/>
  <c r="E172" i="28"/>
  <c r="I58" i="28"/>
  <c r="H172" i="28"/>
  <c r="I59" i="28"/>
  <c r="F72" i="28"/>
  <c r="F74" i="28"/>
  <c r="E78" i="28"/>
  <c r="F79" i="28"/>
  <c r="F83" i="28"/>
  <c r="F84" i="28"/>
  <c r="L99" i="28"/>
  <c r="I27" i="28"/>
  <c r="D138" i="28"/>
  <c r="D156" i="28"/>
  <c r="E156" i="28"/>
  <c r="H156" i="28"/>
  <c r="I156" i="28"/>
  <c r="D162" i="28"/>
  <c r="E162" i="28"/>
  <c r="H162" i="28"/>
  <c r="I162" i="28"/>
  <c r="F85" i="28"/>
  <c r="F88" i="28"/>
  <c r="D158" i="28"/>
  <c r="D163" i="28"/>
  <c r="D168" i="28"/>
  <c r="E95" i="28"/>
  <c r="E157" i="28"/>
  <c r="E163" i="28"/>
  <c r="E168" i="28"/>
  <c r="E96" i="28"/>
  <c r="H157" i="28"/>
  <c r="H163" i="28"/>
  <c r="H168" i="28"/>
  <c r="E97" i="28"/>
  <c r="F99" i="28"/>
  <c r="L69" i="28"/>
  <c r="L71" i="28"/>
  <c r="L73" i="28"/>
  <c r="L84" i="28"/>
  <c r="J84" i="27"/>
  <c r="B110" i="27"/>
  <c r="B113" i="27"/>
  <c r="C110" i="27"/>
  <c r="C113" i="27"/>
  <c r="D110" i="27"/>
  <c r="D113" i="27"/>
  <c r="E110" i="27"/>
  <c r="E113" i="27"/>
  <c r="G110" i="27"/>
  <c r="G113" i="27"/>
  <c r="H110" i="27"/>
  <c r="H113" i="27"/>
  <c r="I110" i="27"/>
  <c r="I113" i="27"/>
  <c r="J113" i="27"/>
  <c r="B117" i="27"/>
  <c r="H118" i="27"/>
  <c r="B124" i="27"/>
  <c r="B127" i="27"/>
  <c r="C124" i="27"/>
  <c r="C127" i="27"/>
  <c r="D124" i="27"/>
  <c r="D127" i="27"/>
  <c r="E124" i="27"/>
  <c r="E127" i="27"/>
  <c r="F124" i="27"/>
  <c r="F127" i="27"/>
  <c r="H127" i="27"/>
  <c r="J127" i="27"/>
  <c r="J131" i="27"/>
  <c r="F65" i="27"/>
  <c r="E57" i="27"/>
  <c r="C57" i="27"/>
  <c r="E69" i="27"/>
  <c r="E58" i="27"/>
  <c r="E70" i="27"/>
  <c r="E59" i="27"/>
  <c r="E71" i="27"/>
  <c r="F68" i="27"/>
  <c r="L57" i="27"/>
  <c r="D141" i="27"/>
  <c r="L58" i="27"/>
  <c r="E141" i="27"/>
  <c r="L59" i="27"/>
  <c r="H141" i="27"/>
  <c r="I141" i="27"/>
  <c r="D172" i="27"/>
  <c r="I57" i="27"/>
  <c r="E172" i="27"/>
  <c r="I58" i="27"/>
  <c r="H172" i="27"/>
  <c r="I59" i="27"/>
  <c r="F72" i="27"/>
  <c r="F74" i="27"/>
  <c r="E78" i="27"/>
  <c r="F79" i="27"/>
  <c r="F83" i="27"/>
  <c r="F84" i="27"/>
  <c r="L99" i="27"/>
  <c r="I27" i="27"/>
  <c r="D138" i="27"/>
  <c r="F141" i="27"/>
  <c r="L147" i="27"/>
  <c r="O168" i="27"/>
  <c r="G141" i="27"/>
  <c r="D145" i="27"/>
  <c r="E145" i="27"/>
  <c r="I145" i="27"/>
  <c r="D151" i="27"/>
  <c r="E151" i="27"/>
  <c r="I151" i="27"/>
  <c r="F85" i="27"/>
  <c r="F88" i="27"/>
  <c r="D144" i="27"/>
  <c r="D150" i="27"/>
  <c r="D168" i="27"/>
  <c r="E95" i="27"/>
  <c r="E144" i="27"/>
  <c r="E150" i="27"/>
  <c r="E168" i="27"/>
  <c r="E96" i="27"/>
  <c r="H144" i="27"/>
  <c r="H145" i="27"/>
  <c r="H150" i="27"/>
  <c r="H151" i="27"/>
  <c r="H168" i="27"/>
  <c r="E97" i="27"/>
  <c r="F99" i="27"/>
  <c r="L69" i="27"/>
  <c r="L71" i="27"/>
  <c r="L73" i="27"/>
  <c r="L84" i="27"/>
  <c r="J84" i="26"/>
  <c r="B110" i="26"/>
  <c r="B113" i="26"/>
  <c r="C110" i="26"/>
  <c r="C113" i="26"/>
  <c r="D110" i="26"/>
  <c r="D113" i="26"/>
  <c r="E110" i="26"/>
  <c r="E113" i="26"/>
  <c r="G110" i="26"/>
  <c r="G113" i="26"/>
  <c r="H110" i="26"/>
  <c r="H113" i="26"/>
  <c r="I110" i="26"/>
  <c r="I113" i="26"/>
  <c r="J113" i="26"/>
  <c r="B117" i="26"/>
  <c r="H118" i="26"/>
  <c r="B124" i="26"/>
  <c r="B127" i="26"/>
  <c r="C124" i="26"/>
  <c r="C127" i="26"/>
  <c r="D124" i="26"/>
  <c r="D127" i="26"/>
  <c r="E124" i="26"/>
  <c r="E127" i="26"/>
  <c r="F124" i="26"/>
  <c r="F127" i="26"/>
  <c r="H127" i="26"/>
  <c r="J127" i="26"/>
  <c r="J131" i="26"/>
  <c r="F65" i="26"/>
  <c r="E57" i="26"/>
  <c r="C57" i="26"/>
  <c r="E69" i="26"/>
  <c r="E58" i="26"/>
  <c r="E70" i="26"/>
  <c r="E59" i="26"/>
  <c r="E71" i="26"/>
  <c r="F68" i="26"/>
  <c r="L57" i="26"/>
  <c r="D141" i="26"/>
  <c r="L58" i="26"/>
  <c r="E141" i="26"/>
  <c r="L59" i="26"/>
  <c r="H141" i="26"/>
  <c r="I141" i="26"/>
  <c r="D172" i="26"/>
  <c r="I57" i="26"/>
  <c r="E172" i="26"/>
  <c r="I58" i="26"/>
  <c r="H172" i="26"/>
  <c r="I59" i="26"/>
  <c r="F72" i="26"/>
  <c r="F74" i="26"/>
  <c r="E78" i="26"/>
  <c r="F79" i="26"/>
  <c r="F83" i="26"/>
  <c r="F84" i="26"/>
  <c r="L99" i="26"/>
  <c r="I27" i="26"/>
  <c r="D138" i="26"/>
  <c r="D156" i="26"/>
  <c r="E156" i="26"/>
  <c r="H156" i="26"/>
  <c r="I156" i="26"/>
  <c r="D162" i="26"/>
  <c r="E162" i="26"/>
  <c r="H162" i="26"/>
  <c r="I162" i="26"/>
  <c r="F85" i="26"/>
  <c r="F88" i="26"/>
  <c r="D158" i="26"/>
  <c r="D163" i="26"/>
  <c r="D168" i="26"/>
  <c r="E95" i="26"/>
  <c r="E157" i="26"/>
  <c r="E163" i="26"/>
  <c r="E168" i="26"/>
  <c r="E96" i="26"/>
  <c r="H157" i="26"/>
  <c r="H163" i="26"/>
  <c r="H168" i="26"/>
  <c r="E97" i="26"/>
  <c r="F99" i="26"/>
  <c r="L69" i="26"/>
  <c r="L71" i="26"/>
  <c r="L73" i="26"/>
  <c r="L84" i="26"/>
  <c r="J84" i="25"/>
  <c r="B110" i="25"/>
  <c r="B113" i="25"/>
  <c r="C110" i="25"/>
  <c r="C113" i="25"/>
  <c r="D110" i="25"/>
  <c r="D113" i="25"/>
  <c r="E110" i="25"/>
  <c r="E113" i="25"/>
  <c r="G110" i="25"/>
  <c r="G113" i="25"/>
  <c r="H110" i="25"/>
  <c r="H113" i="25"/>
  <c r="I110" i="25"/>
  <c r="I113" i="25"/>
  <c r="J113" i="25"/>
  <c r="B117" i="25"/>
  <c r="H118" i="25"/>
  <c r="B124" i="25"/>
  <c r="B127" i="25"/>
  <c r="C124" i="25"/>
  <c r="C127" i="25"/>
  <c r="D124" i="25"/>
  <c r="D127" i="25"/>
  <c r="E124" i="25"/>
  <c r="E127" i="25"/>
  <c r="F124" i="25"/>
  <c r="F127" i="25"/>
  <c r="H127" i="25"/>
  <c r="J127" i="25"/>
  <c r="J131" i="25"/>
  <c r="F65" i="25"/>
  <c r="E57" i="25"/>
  <c r="C57" i="25"/>
  <c r="E69" i="25"/>
  <c r="E58" i="25"/>
  <c r="E70" i="25"/>
  <c r="E59" i="25"/>
  <c r="E71" i="25"/>
  <c r="F68" i="25"/>
  <c r="L57" i="25"/>
  <c r="D141" i="25"/>
  <c r="L58" i="25"/>
  <c r="E141" i="25"/>
  <c r="L59" i="25"/>
  <c r="H141" i="25"/>
  <c r="I141" i="25"/>
  <c r="D172" i="25"/>
  <c r="I57" i="25"/>
  <c r="E172" i="25"/>
  <c r="I58" i="25"/>
  <c r="H172" i="25"/>
  <c r="I59" i="25"/>
  <c r="F72" i="25"/>
  <c r="F74" i="25"/>
  <c r="E78" i="25"/>
  <c r="F79" i="25"/>
  <c r="F83" i="25"/>
  <c r="F84" i="25"/>
  <c r="L99" i="25"/>
  <c r="I27" i="25"/>
  <c r="D138" i="25"/>
  <c r="D156" i="25"/>
  <c r="E156" i="25"/>
  <c r="H156" i="25"/>
  <c r="I156" i="25"/>
  <c r="D162" i="25"/>
  <c r="E162" i="25"/>
  <c r="H162" i="25"/>
  <c r="I162" i="25"/>
  <c r="F85" i="25"/>
  <c r="F88" i="25"/>
  <c r="D158" i="25"/>
  <c r="D163" i="25"/>
  <c r="D168" i="25"/>
  <c r="E95" i="25"/>
  <c r="E157" i="25"/>
  <c r="E163" i="25"/>
  <c r="E168" i="25"/>
  <c r="E96" i="25"/>
  <c r="H157" i="25"/>
  <c r="H163" i="25"/>
  <c r="H168" i="25"/>
  <c r="E97" i="25"/>
  <c r="F99" i="25"/>
  <c r="L69" i="25"/>
  <c r="L71" i="25"/>
  <c r="L73" i="25"/>
  <c r="L84" i="25"/>
  <c r="J84" i="24"/>
  <c r="B110" i="24"/>
  <c r="B113" i="24"/>
  <c r="C110" i="24"/>
  <c r="C113" i="24"/>
  <c r="D110" i="24"/>
  <c r="D113" i="24"/>
  <c r="E110" i="24"/>
  <c r="E113" i="24"/>
  <c r="G110" i="24"/>
  <c r="G113" i="24"/>
  <c r="H110" i="24"/>
  <c r="H113" i="24"/>
  <c r="I110" i="24"/>
  <c r="I113" i="24"/>
  <c r="J113" i="24"/>
  <c r="B117" i="24"/>
  <c r="H118" i="24"/>
  <c r="B124" i="24"/>
  <c r="B127" i="24"/>
  <c r="C124" i="24"/>
  <c r="C127" i="24"/>
  <c r="D124" i="24"/>
  <c r="D127" i="24"/>
  <c r="E124" i="24"/>
  <c r="E127" i="24"/>
  <c r="F124" i="24"/>
  <c r="F127" i="24"/>
  <c r="H127" i="24"/>
  <c r="J127" i="24"/>
  <c r="J131" i="24"/>
  <c r="F65" i="24"/>
  <c r="E57" i="24"/>
  <c r="C57" i="24"/>
  <c r="E69" i="24"/>
  <c r="E58" i="24"/>
  <c r="E70" i="24"/>
  <c r="E59" i="24"/>
  <c r="E71" i="24"/>
  <c r="F68" i="24"/>
  <c r="L57" i="24"/>
  <c r="D141" i="24"/>
  <c r="L58" i="24"/>
  <c r="E141" i="24"/>
  <c r="L59" i="24"/>
  <c r="H141" i="24"/>
  <c r="I141" i="24"/>
  <c r="D172" i="24"/>
  <c r="I57" i="24"/>
  <c r="E172" i="24"/>
  <c r="I58" i="24"/>
  <c r="H172" i="24"/>
  <c r="I59" i="24"/>
  <c r="F72" i="24"/>
  <c r="F74" i="24"/>
  <c r="E78" i="24"/>
  <c r="F79" i="24"/>
  <c r="F83" i="24"/>
  <c r="F84" i="24"/>
  <c r="L99" i="24"/>
  <c r="I27" i="24"/>
  <c r="D138" i="24"/>
  <c r="F141" i="24"/>
  <c r="L147" i="24"/>
  <c r="O168" i="24"/>
  <c r="G141" i="24"/>
  <c r="D144" i="24"/>
  <c r="E144" i="24"/>
  <c r="F144" i="24"/>
  <c r="H144" i="24"/>
  <c r="I144" i="24"/>
  <c r="D150" i="24"/>
  <c r="E150" i="24"/>
  <c r="F150" i="24"/>
  <c r="H150" i="24"/>
  <c r="I150" i="24"/>
  <c r="F85" i="24"/>
  <c r="F88" i="24"/>
  <c r="D145" i="24"/>
  <c r="D151" i="24"/>
  <c r="D168" i="24"/>
  <c r="E95" i="24"/>
  <c r="G174" i="24"/>
  <c r="E145" i="24"/>
  <c r="E151" i="24"/>
  <c r="E168" i="24"/>
  <c r="E96" i="24"/>
  <c r="H145" i="24"/>
  <c r="H151" i="24"/>
  <c r="H168" i="24"/>
  <c r="E97" i="24"/>
  <c r="F99" i="24"/>
  <c r="L69" i="24"/>
  <c r="L71" i="24"/>
  <c r="L73" i="24"/>
  <c r="L84" i="24"/>
  <c r="J84" i="23"/>
  <c r="B110" i="23"/>
  <c r="B113" i="23"/>
  <c r="C110" i="23"/>
  <c r="C113" i="23"/>
  <c r="D110" i="23"/>
  <c r="D113" i="23"/>
  <c r="E110" i="23"/>
  <c r="E113" i="23"/>
  <c r="G110" i="23"/>
  <c r="G113" i="23"/>
  <c r="H110" i="23"/>
  <c r="H113" i="23"/>
  <c r="I110" i="23"/>
  <c r="I113" i="23"/>
  <c r="J113" i="23"/>
  <c r="B117" i="23"/>
  <c r="H118" i="23"/>
  <c r="B124" i="23"/>
  <c r="B127" i="23"/>
  <c r="C124" i="23"/>
  <c r="C127" i="23"/>
  <c r="D124" i="23"/>
  <c r="D127" i="23"/>
  <c r="E124" i="23"/>
  <c r="E127" i="23"/>
  <c r="F124" i="23"/>
  <c r="F127" i="23"/>
  <c r="H127" i="23"/>
  <c r="J127" i="23"/>
  <c r="J131" i="23"/>
  <c r="F65" i="23"/>
  <c r="E57" i="23"/>
  <c r="C57" i="23"/>
  <c r="E69" i="23"/>
  <c r="E58" i="23"/>
  <c r="E70" i="23"/>
  <c r="E59" i="23"/>
  <c r="E71" i="23"/>
  <c r="F68" i="23"/>
  <c r="L57" i="23"/>
  <c r="D141" i="23"/>
  <c r="L58" i="23"/>
  <c r="E141" i="23"/>
  <c r="L59" i="23"/>
  <c r="H141" i="23"/>
  <c r="I141" i="23"/>
  <c r="D172" i="23"/>
  <c r="I57" i="23"/>
  <c r="E172" i="23"/>
  <c r="I58" i="23"/>
  <c r="H172" i="23"/>
  <c r="I59" i="23"/>
  <c r="F72" i="23"/>
  <c r="F74" i="23"/>
  <c r="E78" i="23"/>
  <c r="F79" i="23"/>
  <c r="F83" i="23"/>
  <c r="F84" i="23"/>
  <c r="L99" i="23"/>
  <c r="I27" i="23"/>
  <c r="D138" i="23"/>
  <c r="F141" i="23"/>
  <c r="L147" i="23"/>
  <c r="O168" i="23"/>
  <c r="G141" i="23"/>
  <c r="D144" i="23"/>
  <c r="E144" i="23"/>
  <c r="F144" i="23"/>
  <c r="H144" i="23"/>
  <c r="I144" i="23"/>
  <c r="D150" i="23"/>
  <c r="E150" i="23"/>
  <c r="F150" i="23"/>
  <c r="H150" i="23"/>
  <c r="I150" i="23"/>
  <c r="F85" i="23"/>
  <c r="F88" i="23"/>
  <c r="D145" i="23"/>
  <c r="D151" i="23"/>
  <c r="D168" i="23"/>
  <c r="E95" i="23"/>
  <c r="G174" i="23"/>
  <c r="E145" i="23"/>
  <c r="E151" i="23"/>
  <c r="E168" i="23"/>
  <c r="E96" i="23"/>
  <c r="H145" i="23"/>
  <c r="H151" i="23"/>
  <c r="H168" i="23"/>
  <c r="E97" i="23"/>
  <c r="F99" i="23"/>
  <c r="L69" i="23"/>
  <c r="L71" i="23"/>
  <c r="L73" i="23"/>
  <c r="L84" i="23"/>
  <c r="J84" i="22"/>
  <c r="B110" i="22"/>
  <c r="B113" i="22"/>
  <c r="C110" i="22"/>
  <c r="C113" i="22"/>
  <c r="D110" i="22"/>
  <c r="D113" i="22"/>
  <c r="E110" i="22"/>
  <c r="E113" i="22"/>
  <c r="G110" i="22"/>
  <c r="G113" i="22"/>
  <c r="H110" i="22"/>
  <c r="H113" i="22"/>
  <c r="I110" i="22"/>
  <c r="I113" i="22"/>
  <c r="J113" i="22"/>
  <c r="B117" i="22"/>
  <c r="H118" i="22"/>
  <c r="B124" i="22"/>
  <c r="B127" i="22"/>
  <c r="C124" i="22"/>
  <c r="C127" i="22"/>
  <c r="D124" i="22"/>
  <c r="D127" i="22"/>
  <c r="E124" i="22"/>
  <c r="E127" i="22"/>
  <c r="F124" i="22"/>
  <c r="F127" i="22"/>
  <c r="H127" i="22"/>
  <c r="J127" i="22"/>
  <c r="J131" i="22"/>
  <c r="F65" i="22"/>
  <c r="E57" i="22"/>
  <c r="C57" i="22"/>
  <c r="E69" i="22"/>
  <c r="E58" i="22"/>
  <c r="E70" i="22"/>
  <c r="E59" i="22"/>
  <c r="E71" i="22"/>
  <c r="F68" i="22"/>
  <c r="L57" i="22"/>
  <c r="D141" i="22"/>
  <c r="L58" i="22"/>
  <c r="E141" i="22"/>
  <c r="L59" i="22"/>
  <c r="H141" i="22"/>
  <c r="I141" i="22"/>
  <c r="D172" i="22"/>
  <c r="I57" i="22"/>
  <c r="E172" i="22"/>
  <c r="I58" i="22"/>
  <c r="H172" i="22"/>
  <c r="I59" i="22"/>
  <c r="F72" i="22"/>
  <c r="F74" i="22"/>
  <c r="E78" i="22"/>
  <c r="F79" i="22"/>
  <c r="F83" i="22"/>
  <c r="F84" i="22"/>
  <c r="L99" i="22"/>
  <c r="I27" i="22"/>
  <c r="D138" i="22"/>
  <c r="F141" i="22"/>
  <c r="L147" i="22"/>
  <c r="O168" i="22"/>
  <c r="G141" i="22"/>
  <c r="D144" i="22"/>
  <c r="E144" i="22"/>
  <c r="F144" i="22"/>
  <c r="H144" i="22"/>
  <c r="I144" i="22"/>
  <c r="D150" i="22"/>
  <c r="E150" i="22"/>
  <c r="F150" i="22"/>
  <c r="H150" i="22"/>
  <c r="I150" i="22"/>
  <c r="F85" i="22"/>
  <c r="F88" i="22"/>
  <c r="D145" i="22"/>
  <c r="D151" i="22"/>
  <c r="D168" i="22"/>
  <c r="E95" i="22"/>
  <c r="E145" i="22"/>
  <c r="E151" i="22"/>
  <c r="E168" i="22"/>
  <c r="E96" i="22"/>
  <c r="H145" i="22"/>
  <c r="H151" i="22"/>
  <c r="H168" i="22"/>
  <c r="E97" i="22"/>
  <c r="F99" i="22"/>
  <c r="L69" i="22"/>
  <c r="L71" i="22"/>
  <c r="L73" i="22"/>
  <c r="L84" i="22"/>
  <c r="J84" i="21"/>
  <c r="B110" i="21"/>
  <c r="B113" i="21"/>
  <c r="C110" i="21"/>
  <c r="C113" i="21"/>
  <c r="D110" i="21"/>
  <c r="D113" i="21"/>
  <c r="E110" i="21"/>
  <c r="E113" i="21"/>
  <c r="G110" i="21"/>
  <c r="G113" i="21"/>
  <c r="H110" i="21"/>
  <c r="H113" i="21"/>
  <c r="I110" i="21"/>
  <c r="I113" i="21"/>
  <c r="J113" i="21"/>
  <c r="B117" i="21"/>
  <c r="H118" i="21"/>
  <c r="B124" i="21"/>
  <c r="B127" i="21"/>
  <c r="C124" i="21"/>
  <c r="C127" i="21"/>
  <c r="D124" i="21"/>
  <c r="D127" i="21"/>
  <c r="E124" i="21"/>
  <c r="E127" i="21"/>
  <c r="F124" i="21"/>
  <c r="F127" i="21"/>
  <c r="H127" i="21"/>
  <c r="J127" i="21"/>
  <c r="J131" i="21"/>
  <c r="F65" i="21"/>
  <c r="E57" i="21"/>
  <c r="C57" i="21"/>
  <c r="E69" i="21"/>
  <c r="E58" i="21"/>
  <c r="E70" i="21"/>
  <c r="E59" i="21"/>
  <c r="E71" i="21"/>
  <c r="F68" i="21"/>
  <c r="L57" i="21"/>
  <c r="D141" i="21"/>
  <c r="L58" i="21"/>
  <c r="E141" i="21"/>
  <c r="L59" i="21"/>
  <c r="H141" i="21"/>
  <c r="I141" i="21"/>
  <c r="D172" i="21"/>
  <c r="I57" i="21"/>
  <c r="E172" i="21"/>
  <c r="I58" i="21"/>
  <c r="H172" i="21"/>
  <c r="I59" i="21"/>
  <c r="F72" i="21"/>
  <c r="F74" i="21"/>
  <c r="E78" i="21"/>
  <c r="F79" i="21"/>
  <c r="F83" i="21"/>
  <c r="F84" i="21"/>
  <c r="L99" i="21"/>
  <c r="I27" i="21"/>
  <c r="D138" i="21"/>
  <c r="D156" i="21"/>
  <c r="E156" i="21"/>
  <c r="H156" i="21"/>
  <c r="I156" i="21"/>
  <c r="D162" i="21"/>
  <c r="E162" i="21"/>
  <c r="H162" i="21"/>
  <c r="I162" i="21"/>
  <c r="F85" i="21"/>
  <c r="F88" i="21"/>
  <c r="D158" i="21"/>
  <c r="D163" i="21"/>
  <c r="D168" i="21"/>
  <c r="E95" i="21"/>
  <c r="E157" i="21"/>
  <c r="E163" i="21"/>
  <c r="E168" i="21"/>
  <c r="E96" i="21"/>
  <c r="H157" i="21"/>
  <c r="H163" i="21"/>
  <c r="H168" i="21"/>
  <c r="E97" i="21"/>
  <c r="F99" i="21"/>
  <c r="L69" i="21"/>
  <c r="L71" i="21"/>
  <c r="L73" i="21"/>
  <c r="L84" i="21"/>
  <c r="J84" i="20"/>
  <c r="B110" i="20"/>
  <c r="B113" i="20"/>
  <c r="C110" i="20"/>
  <c r="C113" i="20"/>
  <c r="D110" i="20"/>
  <c r="D113" i="20"/>
  <c r="E110" i="20"/>
  <c r="E113" i="20"/>
  <c r="G110" i="20"/>
  <c r="G113" i="20"/>
  <c r="H110" i="20"/>
  <c r="H113" i="20"/>
  <c r="I110" i="20"/>
  <c r="I113" i="20"/>
  <c r="J113" i="20"/>
  <c r="B117" i="20"/>
  <c r="H118" i="20"/>
  <c r="B124" i="20"/>
  <c r="B127" i="20"/>
  <c r="C124" i="20"/>
  <c r="C127" i="20"/>
  <c r="D124" i="20"/>
  <c r="D127" i="20"/>
  <c r="E124" i="20"/>
  <c r="E127" i="20"/>
  <c r="F124" i="20"/>
  <c r="F127" i="20"/>
  <c r="H127" i="20"/>
  <c r="J127" i="20"/>
  <c r="J131" i="20"/>
  <c r="F65" i="20"/>
  <c r="E57" i="20"/>
  <c r="C57" i="20"/>
  <c r="E69" i="20"/>
  <c r="E58" i="20"/>
  <c r="E70" i="20"/>
  <c r="E59" i="20"/>
  <c r="E71" i="20"/>
  <c r="F68" i="20"/>
  <c r="L57" i="20"/>
  <c r="D141" i="20"/>
  <c r="L58" i="20"/>
  <c r="E141" i="20"/>
  <c r="L59" i="20"/>
  <c r="H141" i="20"/>
  <c r="I141" i="20"/>
  <c r="D172" i="20"/>
  <c r="I57" i="20"/>
  <c r="E172" i="20"/>
  <c r="I58" i="20"/>
  <c r="H172" i="20"/>
  <c r="I59" i="20"/>
  <c r="F72" i="20"/>
  <c r="F74" i="20"/>
  <c r="E78" i="20"/>
  <c r="F79" i="20"/>
  <c r="F83" i="20"/>
  <c r="F84" i="20"/>
  <c r="L99" i="20"/>
  <c r="I27" i="20"/>
  <c r="D138" i="20"/>
  <c r="F141" i="20"/>
  <c r="L147" i="20"/>
  <c r="O168" i="20"/>
  <c r="G141" i="20"/>
  <c r="D144" i="20"/>
  <c r="E144" i="20"/>
  <c r="F144" i="20"/>
  <c r="H144" i="20"/>
  <c r="I144" i="20"/>
  <c r="D150" i="20"/>
  <c r="E150" i="20"/>
  <c r="F150" i="20"/>
  <c r="H150" i="20"/>
  <c r="I150" i="20"/>
  <c r="F85" i="20"/>
  <c r="F88" i="20"/>
  <c r="D145" i="20"/>
  <c r="D151" i="20"/>
  <c r="D168" i="20"/>
  <c r="E95" i="20"/>
  <c r="E145" i="20"/>
  <c r="E151" i="20"/>
  <c r="E168" i="20"/>
  <c r="E96" i="20"/>
  <c r="H145" i="20"/>
  <c r="H151" i="20"/>
  <c r="H168" i="20"/>
  <c r="E97" i="20"/>
  <c r="F99" i="20"/>
  <c r="L69" i="20"/>
  <c r="L71" i="20"/>
  <c r="L73" i="20"/>
  <c r="L84" i="20"/>
  <c r="J84" i="17"/>
  <c r="B110" i="17"/>
  <c r="B113" i="17"/>
  <c r="C110" i="17"/>
  <c r="C113" i="17"/>
  <c r="D110" i="17"/>
  <c r="D113" i="17"/>
  <c r="E110" i="17"/>
  <c r="E113" i="17"/>
  <c r="G110" i="17"/>
  <c r="G113" i="17"/>
  <c r="H110" i="17"/>
  <c r="H113" i="17"/>
  <c r="I110" i="17"/>
  <c r="I113" i="17"/>
  <c r="J113" i="17"/>
  <c r="B117" i="17"/>
  <c r="H118" i="17"/>
  <c r="B124" i="17"/>
  <c r="B127" i="17"/>
  <c r="C124" i="17"/>
  <c r="C127" i="17"/>
  <c r="D124" i="17"/>
  <c r="D127" i="17"/>
  <c r="E124" i="17"/>
  <c r="E127" i="17"/>
  <c r="F124" i="17"/>
  <c r="F127" i="17"/>
  <c r="H127" i="17"/>
  <c r="J127" i="17"/>
  <c r="J131" i="17"/>
  <c r="F65" i="17"/>
  <c r="E57" i="17"/>
  <c r="C57" i="17"/>
  <c r="E69" i="17"/>
  <c r="E58" i="17"/>
  <c r="E70" i="17"/>
  <c r="E59" i="17"/>
  <c r="E71" i="17"/>
  <c r="F68" i="17"/>
  <c r="L57" i="17"/>
  <c r="D141" i="17"/>
  <c r="L58" i="17"/>
  <c r="E141" i="17"/>
  <c r="L59" i="17"/>
  <c r="H141" i="17"/>
  <c r="I141" i="17"/>
  <c r="D172" i="17"/>
  <c r="I57" i="17"/>
  <c r="E172" i="17"/>
  <c r="I58" i="17"/>
  <c r="H172" i="17"/>
  <c r="I59" i="17"/>
  <c r="F72" i="17"/>
  <c r="F74" i="17"/>
  <c r="E78" i="17"/>
  <c r="F79" i="17"/>
  <c r="F83" i="17"/>
  <c r="F84" i="17"/>
  <c r="L99" i="17"/>
  <c r="I27" i="17"/>
  <c r="D138" i="17"/>
  <c r="F141" i="17"/>
  <c r="L147" i="17"/>
  <c r="O168" i="17"/>
  <c r="G141" i="17"/>
  <c r="D145" i="17"/>
  <c r="E145" i="17"/>
  <c r="I145" i="17"/>
  <c r="D151" i="17"/>
  <c r="E151" i="17"/>
  <c r="I151" i="17"/>
  <c r="F85" i="17"/>
  <c r="F88" i="17"/>
  <c r="D168" i="17"/>
  <c r="E95" i="17"/>
  <c r="E168" i="17"/>
  <c r="E96" i="17"/>
  <c r="E97" i="17"/>
  <c r="F99" i="17"/>
  <c r="L69" i="17"/>
  <c r="L71" i="17"/>
  <c r="L73" i="17"/>
  <c r="L84" i="17"/>
  <c r="J84" i="16"/>
  <c r="B110" i="16"/>
  <c r="B113" i="16"/>
  <c r="C110" i="16"/>
  <c r="C113" i="16"/>
  <c r="D110" i="16"/>
  <c r="D113" i="16"/>
  <c r="E110" i="16"/>
  <c r="E113" i="16"/>
  <c r="G110" i="16"/>
  <c r="G113" i="16"/>
  <c r="H110" i="16"/>
  <c r="H113" i="16"/>
  <c r="I110" i="16"/>
  <c r="I113" i="16"/>
  <c r="J113" i="16"/>
  <c r="B117" i="16"/>
  <c r="H118" i="16"/>
  <c r="B124" i="16"/>
  <c r="B127" i="16"/>
  <c r="C124" i="16"/>
  <c r="C127" i="16"/>
  <c r="D124" i="16"/>
  <c r="D127" i="16"/>
  <c r="E124" i="16"/>
  <c r="E127" i="16"/>
  <c r="F124" i="16"/>
  <c r="F127" i="16"/>
  <c r="H127" i="16"/>
  <c r="J127" i="16"/>
  <c r="J131" i="16"/>
  <c r="F65" i="16"/>
  <c r="E57" i="16"/>
  <c r="C57" i="16"/>
  <c r="E69" i="16"/>
  <c r="E58" i="16"/>
  <c r="E70" i="16"/>
  <c r="E59" i="16"/>
  <c r="E71" i="16"/>
  <c r="F68" i="16"/>
  <c r="L57" i="16"/>
  <c r="D141" i="16"/>
  <c r="L58" i="16"/>
  <c r="E141" i="16"/>
  <c r="L59" i="16"/>
  <c r="H141" i="16"/>
  <c r="I141" i="16"/>
  <c r="D172" i="16"/>
  <c r="I57" i="16"/>
  <c r="E172" i="16"/>
  <c r="I58" i="16"/>
  <c r="H172" i="16"/>
  <c r="I59" i="16"/>
  <c r="F72" i="16"/>
  <c r="F74" i="16"/>
  <c r="E78" i="16"/>
  <c r="F79" i="16"/>
  <c r="F83" i="16"/>
  <c r="F84" i="16"/>
  <c r="L99" i="16"/>
  <c r="I27" i="16"/>
  <c r="D138" i="16"/>
  <c r="D157" i="16"/>
  <c r="E157" i="16"/>
  <c r="H157" i="16"/>
  <c r="I157" i="16"/>
  <c r="D163" i="16"/>
  <c r="E163" i="16"/>
  <c r="H163" i="16"/>
  <c r="I163" i="16"/>
  <c r="F85" i="16"/>
  <c r="F88" i="16"/>
  <c r="D156" i="16"/>
  <c r="D158" i="16"/>
  <c r="D162" i="16"/>
  <c r="D168" i="16"/>
  <c r="E95" i="16"/>
  <c r="E156" i="16"/>
  <c r="E162" i="16"/>
  <c r="E168" i="16"/>
  <c r="E96" i="16"/>
  <c r="H156" i="16"/>
  <c r="H162" i="16"/>
  <c r="H168" i="16"/>
  <c r="E97" i="16"/>
  <c r="F99" i="16"/>
  <c r="L69" i="16"/>
  <c r="L71" i="16"/>
  <c r="L73" i="16"/>
  <c r="L84" i="16"/>
  <c r="J84" i="15"/>
  <c r="B110" i="15"/>
  <c r="B113" i="15"/>
  <c r="C110" i="15"/>
  <c r="C113" i="15"/>
  <c r="D110" i="15"/>
  <c r="D113" i="15"/>
  <c r="E110" i="15"/>
  <c r="E113" i="15"/>
  <c r="G110" i="15"/>
  <c r="G113" i="15"/>
  <c r="H110" i="15"/>
  <c r="H113" i="15"/>
  <c r="I110" i="15"/>
  <c r="I113" i="15"/>
  <c r="J113" i="15"/>
  <c r="B117" i="15"/>
  <c r="H118" i="15"/>
  <c r="B124" i="15"/>
  <c r="B127" i="15"/>
  <c r="C124" i="15"/>
  <c r="C127" i="15"/>
  <c r="D124" i="15"/>
  <c r="D127" i="15"/>
  <c r="E124" i="15"/>
  <c r="E127" i="15"/>
  <c r="F124" i="15"/>
  <c r="F127" i="15"/>
  <c r="H127" i="15"/>
  <c r="J127" i="15"/>
  <c r="J131" i="15"/>
  <c r="F65" i="15"/>
  <c r="E57" i="15"/>
  <c r="C57" i="15"/>
  <c r="E69" i="15"/>
  <c r="E58" i="15"/>
  <c r="E70" i="15"/>
  <c r="E59" i="15"/>
  <c r="E71" i="15"/>
  <c r="F68" i="15"/>
  <c r="L57" i="15"/>
  <c r="D141" i="15"/>
  <c r="L58" i="15"/>
  <c r="E141" i="15"/>
  <c r="L59" i="15"/>
  <c r="H141" i="15"/>
  <c r="I141" i="15"/>
  <c r="D172" i="15"/>
  <c r="I57" i="15"/>
  <c r="E172" i="15"/>
  <c r="I58" i="15"/>
  <c r="H172" i="15"/>
  <c r="I59" i="15"/>
  <c r="F72" i="15"/>
  <c r="F74" i="15"/>
  <c r="E78" i="15"/>
  <c r="F79" i="15"/>
  <c r="F83" i="15"/>
  <c r="F84" i="15"/>
  <c r="L99" i="15"/>
  <c r="I27" i="15"/>
  <c r="D138" i="15"/>
  <c r="F141" i="15"/>
  <c r="L147" i="15"/>
  <c r="O168" i="15"/>
  <c r="G141" i="15"/>
  <c r="D144" i="15"/>
  <c r="E144" i="15"/>
  <c r="F144" i="15"/>
  <c r="H144" i="15"/>
  <c r="I144" i="15"/>
  <c r="D150" i="15"/>
  <c r="E150" i="15"/>
  <c r="F150" i="15"/>
  <c r="H150" i="15"/>
  <c r="I150" i="15"/>
  <c r="F85" i="15"/>
  <c r="F88" i="15"/>
  <c r="D168" i="15"/>
  <c r="E95" i="15"/>
  <c r="E168" i="15"/>
  <c r="E96" i="15"/>
  <c r="E97" i="15"/>
  <c r="F99" i="15"/>
  <c r="L69" i="15"/>
  <c r="L71" i="15"/>
  <c r="L73" i="15"/>
  <c r="L84" i="15"/>
  <c r="J84" i="14"/>
  <c r="B110" i="14"/>
  <c r="B113" i="14"/>
  <c r="C110" i="14"/>
  <c r="C113" i="14"/>
  <c r="D110" i="14"/>
  <c r="D113" i="14"/>
  <c r="E110" i="14"/>
  <c r="E113" i="14"/>
  <c r="G110" i="14"/>
  <c r="G113" i="14"/>
  <c r="H110" i="14"/>
  <c r="H113" i="14"/>
  <c r="I110" i="14"/>
  <c r="I113" i="14"/>
  <c r="J113" i="14"/>
  <c r="B117" i="14"/>
  <c r="H118" i="14"/>
  <c r="B124" i="14"/>
  <c r="B127" i="14"/>
  <c r="C124" i="14"/>
  <c r="C127" i="14"/>
  <c r="D124" i="14"/>
  <c r="D127" i="14"/>
  <c r="E124" i="14"/>
  <c r="E127" i="14"/>
  <c r="F124" i="14"/>
  <c r="F127" i="14"/>
  <c r="H127" i="14"/>
  <c r="J127" i="14"/>
  <c r="J131" i="14"/>
  <c r="F65" i="14"/>
  <c r="E57" i="14"/>
  <c r="C57" i="14"/>
  <c r="E69" i="14"/>
  <c r="E58" i="14"/>
  <c r="E70" i="14"/>
  <c r="E59" i="14"/>
  <c r="E71" i="14"/>
  <c r="F68" i="14"/>
  <c r="L57" i="14"/>
  <c r="D141" i="14"/>
  <c r="L58" i="14"/>
  <c r="E141" i="14"/>
  <c r="L59" i="14"/>
  <c r="H141" i="14"/>
  <c r="I141" i="14"/>
  <c r="D172" i="14"/>
  <c r="I57" i="14"/>
  <c r="E172" i="14"/>
  <c r="I58" i="14"/>
  <c r="H172" i="14"/>
  <c r="I59" i="14"/>
  <c r="F72" i="14"/>
  <c r="F74" i="14"/>
  <c r="E78" i="14"/>
  <c r="F79" i="14"/>
  <c r="F83" i="14"/>
  <c r="F84" i="14"/>
  <c r="L99" i="14"/>
  <c r="I27" i="14"/>
  <c r="D138" i="14"/>
  <c r="D156" i="14"/>
  <c r="E156" i="14"/>
  <c r="H156" i="14"/>
  <c r="I156" i="14"/>
  <c r="D162" i="14"/>
  <c r="E162" i="14"/>
  <c r="H162" i="14"/>
  <c r="I162" i="14"/>
  <c r="F85" i="14"/>
  <c r="F88" i="14"/>
  <c r="D158" i="14"/>
  <c r="D163" i="14"/>
  <c r="D168" i="14"/>
  <c r="E95" i="14"/>
  <c r="E157" i="14"/>
  <c r="E163" i="14"/>
  <c r="E168" i="14"/>
  <c r="E96" i="14"/>
  <c r="H157" i="14"/>
  <c r="H163" i="14"/>
  <c r="H168" i="14"/>
  <c r="E97" i="14"/>
  <c r="F99" i="14"/>
  <c r="L69" i="14"/>
  <c r="L71" i="14"/>
  <c r="L73" i="14"/>
  <c r="L84" i="14"/>
  <c r="J84" i="13"/>
  <c r="B110" i="13"/>
  <c r="B113" i="13"/>
  <c r="C110" i="13"/>
  <c r="C113" i="13"/>
  <c r="D110" i="13"/>
  <c r="D113" i="13"/>
  <c r="E110" i="13"/>
  <c r="E113" i="13"/>
  <c r="G110" i="13"/>
  <c r="G113" i="13"/>
  <c r="H110" i="13"/>
  <c r="H113" i="13"/>
  <c r="I110" i="13"/>
  <c r="I113" i="13"/>
  <c r="J113" i="13"/>
  <c r="B117" i="13"/>
  <c r="H118" i="13"/>
  <c r="B124" i="13"/>
  <c r="B127" i="13"/>
  <c r="C124" i="13"/>
  <c r="C127" i="13"/>
  <c r="D124" i="13"/>
  <c r="D127" i="13"/>
  <c r="E124" i="13"/>
  <c r="E127" i="13"/>
  <c r="F124" i="13"/>
  <c r="F127" i="13"/>
  <c r="H127" i="13"/>
  <c r="J127" i="13"/>
  <c r="J131" i="13"/>
  <c r="F65" i="13"/>
  <c r="E57" i="13"/>
  <c r="C57" i="13"/>
  <c r="E69" i="13"/>
  <c r="E58" i="13"/>
  <c r="E70" i="13"/>
  <c r="E59" i="13"/>
  <c r="E71" i="13"/>
  <c r="F68" i="13"/>
  <c r="L57" i="13"/>
  <c r="D141" i="13"/>
  <c r="L58" i="13"/>
  <c r="E141" i="13"/>
  <c r="L59" i="13"/>
  <c r="H141" i="13"/>
  <c r="I141" i="13"/>
  <c r="D172" i="13"/>
  <c r="I57" i="13"/>
  <c r="E172" i="13"/>
  <c r="I58" i="13"/>
  <c r="H172" i="13"/>
  <c r="I59" i="13"/>
  <c r="F72" i="13"/>
  <c r="F74" i="13"/>
  <c r="E78" i="13"/>
  <c r="F79" i="13"/>
  <c r="F83" i="13"/>
  <c r="F84" i="13"/>
  <c r="L99" i="13"/>
  <c r="I27" i="13"/>
  <c r="D138" i="13"/>
  <c r="F141" i="13"/>
  <c r="L147" i="13"/>
  <c r="O168" i="13"/>
  <c r="G141" i="13"/>
  <c r="D145" i="13"/>
  <c r="E145" i="13"/>
  <c r="I145" i="13"/>
  <c r="D151" i="13"/>
  <c r="E151" i="13"/>
  <c r="I151" i="13"/>
  <c r="F85" i="13"/>
  <c r="F88" i="13"/>
  <c r="D144" i="13"/>
  <c r="D150" i="13"/>
  <c r="D168" i="13"/>
  <c r="E95" i="13"/>
  <c r="E144" i="13"/>
  <c r="E150" i="13"/>
  <c r="E168" i="13"/>
  <c r="E96" i="13"/>
  <c r="H144" i="13"/>
  <c r="H145" i="13"/>
  <c r="H150" i="13"/>
  <c r="H151" i="13"/>
  <c r="H168" i="13"/>
  <c r="E97" i="13"/>
  <c r="F99" i="13"/>
  <c r="L69" i="13"/>
  <c r="L71" i="13"/>
  <c r="L73" i="13"/>
  <c r="L84" i="13"/>
  <c r="J84" i="11"/>
  <c r="B110" i="11"/>
  <c r="B113" i="11"/>
  <c r="C110" i="11"/>
  <c r="C113" i="11"/>
  <c r="D110" i="11"/>
  <c r="D113" i="11"/>
  <c r="E110" i="11"/>
  <c r="E113" i="11"/>
  <c r="G110" i="11"/>
  <c r="G113" i="11"/>
  <c r="H110" i="11"/>
  <c r="H113" i="11"/>
  <c r="I110" i="11"/>
  <c r="I113" i="11"/>
  <c r="J113" i="11"/>
  <c r="B117" i="11"/>
  <c r="H118" i="11"/>
  <c r="B124" i="11"/>
  <c r="B127" i="11"/>
  <c r="C124" i="11"/>
  <c r="C127" i="11"/>
  <c r="D124" i="11"/>
  <c r="D127" i="11"/>
  <c r="E124" i="11"/>
  <c r="E127" i="11"/>
  <c r="F124" i="11"/>
  <c r="F127" i="11"/>
  <c r="H127" i="11"/>
  <c r="J127" i="11"/>
  <c r="J131" i="11"/>
  <c r="F65" i="11"/>
  <c r="E57" i="11"/>
  <c r="C57" i="11"/>
  <c r="E69" i="11"/>
  <c r="E58" i="11"/>
  <c r="E70" i="11"/>
  <c r="E59" i="11"/>
  <c r="E71" i="11"/>
  <c r="F68" i="11"/>
  <c r="L57" i="11"/>
  <c r="D141" i="11"/>
  <c r="L58" i="11"/>
  <c r="E141" i="11"/>
  <c r="L59" i="11"/>
  <c r="H141" i="11"/>
  <c r="I141" i="11"/>
  <c r="D172" i="11"/>
  <c r="I57" i="11"/>
  <c r="E172" i="11"/>
  <c r="I58" i="11"/>
  <c r="H172" i="11"/>
  <c r="I59" i="11"/>
  <c r="F72" i="11"/>
  <c r="F74" i="11"/>
  <c r="E78" i="11"/>
  <c r="F79" i="11"/>
  <c r="F83" i="11"/>
  <c r="F84" i="11"/>
  <c r="L99" i="11"/>
  <c r="I27" i="11"/>
  <c r="D138" i="11"/>
  <c r="F141" i="11"/>
  <c r="L147" i="11"/>
  <c r="O168" i="11"/>
  <c r="G141" i="11"/>
  <c r="D144" i="11"/>
  <c r="E144" i="11"/>
  <c r="F144" i="11"/>
  <c r="H144" i="11"/>
  <c r="I144" i="11"/>
  <c r="D150" i="11"/>
  <c r="E150" i="11"/>
  <c r="F150" i="11"/>
  <c r="H150" i="11"/>
  <c r="I150" i="11"/>
  <c r="F85" i="11"/>
  <c r="F88" i="11"/>
  <c r="D145" i="11"/>
  <c r="D151" i="11"/>
  <c r="D168" i="11"/>
  <c r="E95" i="11"/>
  <c r="E145" i="11"/>
  <c r="E151" i="11"/>
  <c r="E168" i="11"/>
  <c r="E96" i="11"/>
  <c r="H145" i="11"/>
  <c r="H151" i="11"/>
  <c r="H168" i="11"/>
  <c r="E97" i="11"/>
  <c r="F99" i="11"/>
  <c r="L69" i="11"/>
  <c r="L71" i="11"/>
  <c r="L73" i="11"/>
  <c r="L84" i="11"/>
  <c r="J84" i="10"/>
  <c r="B110" i="10"/>
  <c r="B113" i="10"/>
  <c r="C110" i="10"/>
  <c r="C113" i="10"/>
  <c r="D110" i="10"/>
  <c r="D113" i="10"/>
  <c r="E110" i="10"/>
  <c r="E113" i="10"/>
  <c r="G110" i="10"/>
  <c r="G113" i="10"/>
  <c r="H110" i="10"/>
  <c r="H113" i="10"/>
  <c r="I110" i="10"/>
  <c r="I113" i="10"/>
  <c r="J113" i="10"/>
  <c r="B117" i="10"/>
  <c r="H118" i="10"/>
  <c r="B124" i="10"/>
  <c r="B127" i="10"/>
  <c r="C124" i="10"/>
  <c r="C127" i="10"/>
  <c r="D124" i="10"/>
  <c r="D127" i="10"/>
  <c r="E124" i="10"/>
  <c r="E127" i="10"/>
  <c r="F124" i="10"/>
  <c r="F127" i="10"/>
  <c r="H127" i="10"/>
  <c r="J127" i="10"/>
  <c r="J131" i="10"/>
  <c r="F65" i="10"/>
  <c r="E57" i="10"/>
  <c r="C57" i="10"/>
  <c r="E69" i="10"/>
  <c r="E58" i="10"/>
  <c r="E70" i="10"/>
  <c r="E59" i="10"/>
  <c r="E71" i="10"/>
  <c r="F68" i="10"/>
  <c r="L57" i="10"/>
  <c r="D141" i="10"/>
  <c r="L58" i="10"/>
  <c r="E141" i="10"/>
  <c r="L59" i="10"/>
  <c r="H141" i="10"/>
  <c r="I141" i="10"/>
  <c r="D172" i="10"/>
  <c r="I57" i="10"/>
  <c r="E172" i="10"/>
  <c r="I58" i="10"/>
  <c r="H172" i="10"/>
  <c r="I59" i="10"/>
  <c r="F72" i="10"/>
  <c r="F74" i="10"/>
  <c r="E78" i="10"/>
  <c r="F79" i="10"/>
  <c r="F83" i="10"/>
  <c r="F84" i="10"/>
  <c r="L99" i="10"/>
  <c r="I27" i="10"/>
  <c r="D138" i="10"/>
  <c r="D156" i="10"/>
  <c r="E156" i="10"/>
  <c r="H156" i="10"/>
  <c r="I156" i="10"/>
  <c r="D162" i="10"/>
  <c r="E162" i="10"/>
  <c r="H162" i="10"/>
  <c r="I162" i="10"/>
  <c r="F85" i="10"/>
  <c r="F88" i="10"/>
  <c r="D168" i="10"/>
  <c r="E95" i="10"/>
  <c r="E168" i="10"/>
  <c r="E96" i="10"/>
  <c r="E97" i="10"/>
  <c r="F99" i="10"/>
  <c r="L69" i="10"/>
  <c r="L71" i="10"/>
  <c r="L73" i="10"/>
  <c r="L84" i="10"/>
  <c r="L84" i="83"/>
  <c r="I20" i="83"/>
  <c r="L77" i="83"/>
  <c r="L78" i="83"/>
  <c r="I23" i="83"/>
  <c r="L79" i="83"/>
  <c r="G37" i="83"/>
  <c r="B110" i="83"/>
  <c r="B113" i="83"/>
  <c r="G36" i="83"/>
  <c r="C110" i="83"/>
  <c r="C113" i="83"/>
  <c r="G35" i="83"/>
  <c r="D110" i="83"/>
  <c r="D113" i="83"/>
  <c r="G38" i="83"/>
  <c r="E110" i="83"/>
  <c r="E113" i="83"/>
  <c r="H37" i="83"/>
  <c r="G110" i="83"/>
  <c r="G113" i="83"/>
  <c r="H36" i="83"/>
  <c r="H110" i="83"/>
  <c r="H113" i="83"/>
  <c r="H35" i="83"/>
  <c r="I110" i="83"/>
  <c r="I113" i="83"/>
  <c r="J113" i="83"/>
  <c r="J35" i="83"/>
  <c r="B117" i="83"/>
  <c r="H118" i="83"/>
  <c r="J36" i="83"/>
  <c r="B124" i="83"/>
  <c r="B127" i="83"/>
  <c r="J37" i="83"/>
  <c r="C124" i="83"/>
  <c r="C127" i="83"/>
  <c r="J38" i="83"/>
  <c r="D124" i="83"/>
  <c r="D127" i="83"/>
  <c r="J39" i="83"/>
  <c r="E124" i="83"/>
  <c r="E127" i="83"/>
  <c r="J40" i="83"/>
  <c r="F124" i="83"/>
  <c r="F127" i="83"/>
  <c r="H127" i="83"/>
  <c r="J127" i="83"/>
  <c r="J131" i="83"/>
  <c r="F83" i="83"/>
  <c r="F65" i="83"/>
  <c r="E69" i="83"/>
  <c r="E70" i="83"/>
  <c r="E71" i="83"/>
  <c r="F68" i="83"/>
  <c r="I57" i="83"/>
  <c r="I58" i="83"/>
  <c r="I59" i="83"/>
  <c r="F72" i="83"/>
  <c r="F74" i="83"/>
  <c r="E78" i="83"/>
  <c r="F79" i="83"/>
  <c r="F84" i="83"/>
  <c r="F85" i="83"/>
  <c r="F88" i="83"/>
  <c r="E95" i="83"/>
  <c r="E96" i="83"/>
  <c r="E97" i="83"/>
  <c r="F99" i="83"/>
  <c r="L65" i="83"/>
  <c r="L66" i="83"/>
  <c r="L67" i="83"/>
  <c r="L69" i="83"/>
  <c r="I15" i="83"/>
  <c r="L57" i="83"/>
  <c r="I10" i="83"/>
  <c r="E57" i="83"/>
  <c r="D141" i="83"/>
  <c r="I16" i="83"/>
  <c r="L58" i="83"/>
  <c r="I11" i="83"/>
  <c r="E58" i="83"/>
  <c r="E141" i="83"/>
  <c r="I17" i="83"/>
  <c r="L59" i="83"/>
  <c r="I12" i="83"/>
  <c r="E59" i="83"/>
  <c r="H141" i="83"/>
  <c r="I141" i="83"/>
  <c r="L71" i="83"/>
  <c r="L73" i="83"/>
  <c r="L81" i="83"/>
  <c r="L80" i="83"/>
  <c r="L83" i="83"/>
  <c r="J84" i="83"/>
  <c r="D169" i="82"/>
  <c r="G57" i="82"/>
  <c r="E147" i="82"/>
  <c r="E153" i="82"/>
  <c r="H58" i="82"/>
  <c r="E169" i="82"/>
  <c r="G58" i="82"/>
  <c r="H169" i="82"/>
  <c r="G59" i="82"/>
  <c r="G174" i="82"/>
  <c r="E94" i="82"/>
  <c r="D169" i="81"/>
  <c r="G57" i="81"/>
  <c r="E159" i="81"/>
  <c r="E165" i="81"/>
  <c r="H58" i="81"/>
  <c r="E169" i="81"/>
  <c r="G58" i="81"/>
  <c r="F141" i="81"/>
  <c r="G141" i="81"/>
  <c r="D145" i="81"/>
  <c r="E145" i="81"/>
  <c r="I145" i="81"/>
  <c r="H169" i="81"/>
  <c r="G59" i="81"/>
  <c r="E94" i="81"/>
  <c r="D169" i="80"/>
  <c r="G57" i="80"/>
  <c r="E169" i="80"/>
  <c r="G58" i="80"/>
  <c r="I145" i="80"/>
  <c r="H169" i="80"/>
  <c r="G59" i="80"/>
  <c r="E94" i="80"/>
  <c r="D169" i="79"/>
  <c r="G57" i="79"/>
  <c r="E147" i="79"/>
  <c r="E153" i="79"/>
  <c r="H58" i="79"/>
  <c r="E169" i="79"/>
  <c r="G58" i="79"/>
  <c r="H169" i="79"/>
  <c r="G59" i="79"/>
  <c r="G174" i="79"/>
  <c r="E94" i="79"/>
  <c r="D169" i="78"/>
  <c r="G57" i="78"/>
  <c r="E147" i="78"/>
  <c r="E153" i="78"/>
  <c r="H58" i="78"/>
  <c r="E169" i="78"/>
  <c r="G58" i="78"/>
  <c r="H169" i="78"/>
  <c r="G59" i="78"/>
  <c r="G174" i="78"/>
  <c r="E94" i="78"/>
  <c r="D169" i="77"/>
  <c r="G57" i="77"/>
  <c r="E147" i="77"/>
  <c r="E153" i="77"/>
  <c r="H58" i="77"/>
  <c r="E169" i="77"/>
  <c r="G58" i="77"/>
  <c r="H169" i="77"/>
  <c r="G59" i="77"/>
  <c r="G174" i="77"/>
  <c r="E94" i="77"/>
  <c r="D169" i="76"/>
  <c r="G57" i="76"/>
  <c r="E147" i="76"/>
  <c r="E153" i="76"/>
  <c r="H58" i="76"/>
  <c r="E169" i="76"/>
  <c r="G58" i="76"/>
  <c r="H169" i="76"/>
  <c r="G59" i="76"/>
  <c r="G174" i="76"/>
  <c r="E94" i="76"/>
  <c r="D169" i="75"/>
  <c r="G57" i="75"/>
  <c r="E159" i="75"/>
  <c r="E165" i="75"/>
  <c r="H58" i="75"/>
  <c r="E169" i="75"/>
  <c r="G58" i="75"/>
  <c r="F141" i="75"/>
  <c r="G141" i="75"/>
  <c r="D145" i="75"/>
  <c r="E145" i="75"/>
  <c r="I145" i="75"/>
  <c r="H169" i="75"/>
  <c r="G59" i="75"/>
  <c r="E94" i="75"/>
  <c r="D169" i="74"/>
  <c r="G57" i="74"/>
  <c r="E159" i="74"/>
  <c r="E165" i="74"/>
  <c r="H58" i="74"/>
  <c r="E169" i="74"/>
  <c r="G58" i="74"/>
  <c r="F141" i="74"/>
  <c r="G141" i="74"/>
  <c r="D145" i="74"/>
  <c r="E145" i="74"/>
  <c r="I145" i="74"/>
  <c r="H169" i="74"/>
  <c r="G59" i="74"/>
  <c r="E94" i="74"/>
  <c r="E94" i="73"/>
  <c r="D169" i="72"/>
  <c r="G57" i="72"/>
  <c r="E158" i="72"/>
  <c r="E164" i="72"/>
  <c r="H58" i="72"/>
  <c r="E169" i="72"/>
  <c r="G58" i="72"/>
  <c r="F141" i="72"/>
  <c r="G141" i="72"/>
  <c r="D145" i="72"/>
  <c r="E145" i="72"/>
  <c r="I145" i="72"/>
  <c r="H169" i="72"/>
  <c r="G59" i="72"/>
  <c r="E94" i="72"/>
  <c r="D169" i="71"/>
  <c r="G57" i="71"/>
  <c r="E147" i="71"/>
  <c r="E153" i="71"/>
  <c r="H58" i="71"/>
  <c r="E169" i="71"/>
  <c r="G58" i="71"/>
  <c r="H169" i="71"/>
  <c r="G59" i="71"/>
  <c r="G174" i="71"/>
  <c r="E94" i="71"/>
  <c r="D169" i="70"/>
  <c r="G57" i="70"/>
  <c r="E158" i="70"/>
  <c r="E164" i="70"/>
  <c r="H58" i="70"/>
  <c r="E169" i="70"/>
  <c r="G58" i="70"/>
  <c r="F141" i="70"/>
  <c r="G141" i="70"/>
  <c r="D145" i="70"/>
  <c r="E145" i="70"/>
  <c r="I145" i="70"/>
  <c r="H169" i="70"/>
  <c r="G59" i="70"/>
  <c r="E94" i="70"/>
  <c r="D169" i="69"/>
  <c r="G57" i="69"/>
  <c r="E147" i="69"/>
  <c r="E153" i="69"/>
  <c r="H58" i="69"/>
  <c r="E169" i="69"/>
  <c r="G58" i="69"/>
  <c r="H169" i="69"/>
  <c r="G59" i="69"/>
  <c r="G174" i="69"/>
  <c r="E94" i="69"/>
  <c r="E94" i="68"/>
  <c r="D169" i="67"/>
  <c r="G57" i="67"/>
  <c r="E158" i="67"/>
  <c r="E164" i="67"/>
  <c r="H58" i="67"/>
  <c r="E169" i="67"/>
  <c r="G58" i="67"/>
  <c r="F141" i="67"/>
  <c r="G141" i="67"/>
  <c r="D145" i="67"/>
  <c r="E145" i="67"/>
  <c r="I145" i="67"/>
  <c r="H169" i="67"/>
  <c r="G59" i="67"/>
  <c r="E94" i="67"/>
  <c r="D169" i="66"/>
  <c r="G57" i="66"/>
  <c r="E158" i="66"/>
  <c r="E164" i="66"/>
  <c r="H58" i="66"/>
  <c r="E169" i="66"/>
  <c r="G58" i="66"/>
  <c r="F141" i="66"/>
  <c r="G141" i="66"/>
  <c r="D145" i="66"/>
  <c r="E145" i="66"/>
  <c r="I145" i="66"/>
  <c r="H169" i="66"/>
  <c r="G59" i="66"/>
  <c r="E94" i="66"/>
  <c r="D169" i="65"/>
  <c r="G57" i="65"/>
  <c r="E158" i="65"/>
  <c r="E164" i="65"/>
  <c r="H58" i="65"/>
  <c r="E169" i="65"/>
  <c r="G58" i="65"/>
  <c r="F141" i="65"/>
  <c r="G141" i="65"/>
  <c r="D145" i="65"/>
  <c r="E145" i="65"/>
  <c r="I145" i="65"/>
  <c r="H169" i="65"/>
  <c r="G59" i="65"/>
  <c r="E94" i="65"/>
  <c r="E94" i="64"/>
  <c r="E94" i="63"/>
  <c r="D169" i="62"/>
  <c r="G57" i="62"/>
  <c r="E169" i="62"/>
  <c r="G58" i="62"/>
  <c r="F141" i="62"/>
  <c r="G141" i="62"/>
  <c r="D145" i="62"/>
  <c r="E145" i="62"/>
  <c r="I145" i="62"/>
  <c r="H169" i="62"/>
  <c r="G59" i="62"/>
  <c r="E94" i="62"/>
  <c r="E94" i="61"/>
  <c r="D169" i="60"/>
  <c r="G57" i="60"/>
  <c r="E146" i="60"/>
  <c r="E152" i="60"/>
  <c r="H58" i="60"/>
  <c r="E169" i="60"/>
  <c r="G58" i="60"/>
  <c r="I145" i="60"/>
  <c r="H169" i="60"/>
  <c r="G59" i="60"/>
  <c r="G174" i="60"/>
  <c r="E94" i="60"/>
  <c r="E94" i="59"/>
  <c r="D169" i="58"/>
  <c r="G57" i="58"/>
  <c r="E158" i="58"/>
  <c r="E164" i="58"/>
  <c r="H58" i="58"/>
  <c r="E169" i="58"/>
  <c r="G58" i="58"/>
  <c r="F141" i="58"/>
  <c r="G141" i="58"/>
  <c r="D145" i="58"/>
  <c r="E145" i="58"/>
  <c r="I145" i="58"/>
  <c r="H169" i="58"/>
  <c r="G59" i="58"/>
  <c r="E94" i="58"/>
  <c r="D169" i="57"/>
  <c r="G57" i="57"/>
  <c r="E147" i="57"/>
  <c r="E153" i="57"/>
  <c r="H58" i="57"/>
  <c r="E169" i="57"/>
  <c r="G58" i="57"/>
  <c r="H169" i="57"/>
  <c r="G59" i="57"/>
  <c r="G174" i="57"/>
  <c r="E94" i="57"/>
  <c r="D169" i="56"/>
  <c r="G57" i="56"/>
  <c r="E147" i="56"/>
  <c r="E153" i="56"/>
  <c r="H58" i="56"/>
  <c r="E169" i="56"/>
  <c r="G58" i="56"/>
  <c r="H169" i="56"/>
  <c r="G59" i="56"/>
  <c r="G174" i="56"/>
  <c r="E94" i="56"/>
  <c r="D169" i="55"/>
  <c r="G57" i="55"/>
  <c r="E159" i="55"/>
  <c r="E165" i="55"/>
  <c r="H58" i="55"/>
  <c r="E169" i="55"/>
  <c r="G58" i="55"/>
  <c r="F141" i="55"/>
  <c r="G141" i="55"/>
  <c r="D145" i="55"/>
  <c r="E145" i="55"/>
  <c r="I145" i="55"/>
  <c r="H169" i="55"/>
  <c r="G59" i="55"/>
  <c r="E94" i="55"/>
  <c r="E94" i="54"/>
  <c r="D169" i="53"/>
  <c r="G57" i="53"/>
  <c r="E158" i="53"/>
  <c r="E164" i="53"/>
  <c r="H58" i="53"/>
  <c r="E169" i="53"/>
  <c r="G58" i="53"/>
  <c r="F141" i="53"/>
  <c r="G141" i="53"/>
  <c r="D145" i="53"/>
  <c r="E145" i="53"/>
  <c r="I145" i="53"/>
  <c r="H169" i="53"/>
  <c r="G59" i="53"/>
  <c r="E94" i="53"/>
  <c r="D169" i="52"/>
  <c r="G57" i="52"/>
  <c r="E146" i="52"/>
  <c r="E152" i="52"/>
  <c r="H58" i="52"/>
  <c r="E169" i="52"/>
  <c r="G58" i="52"/>
  <c r="I145" i="52"/>
  <c r="H169" i="52"/>
  <c r="G59" i="52"/>
  <c r="G174" i="52"/>
  <c r="E94" i="52"/>
  <c r="D169" i="51"/>
  <c r="G57" i="51"/>
  <c r="E159" i="51"/>
  <c r="E165" i="51"/>
  <c r="H58" i="51"/>
  <c r="E169" i="51"/>
  <c r="G58" i="51"/>
  <c r="F141" i="51"/>
  <c r="G141" i="51"/>
  <c r="D145" i="51"/>
  <c r="E145" i="51"/>
  <c r="I145" i="51"/>
  <c r="H169" i="51"/>
  <c r="G59" i="51"/>
  <c r="E94" i="51"/>
  <c r="E94" i="50"/>
  <c r="D169" i="49"/>
  <c r="G57" i="49"/>
  <c r="E146" i="49"/>
  <c r="E152" i="49"/>
  <c r="H58" i="49"/>
  <c r="E169" i="49"/>
  <c r="G58" i="49"/>
  <c r="I145" i="49"/>
  <c r="H169" i="49"/>
  <c r="G59" i="49"/>
  <c r="G174" i="49"/>
  <c r="E94" i="49"/>
  <c r="E94" i="48"/>
  <c r="D169" i="47"/>
  <c r="G57" i="47"/>
  <c r="E158" i="47"/>
  <c r="E164" i="47"/>
  <c r="H58" i="47"/>
  <c r="E169" i="47"/>
  <c r="G58" i="47"/>
  <c r="F141" i="47"/>
  <c r="G141" i="47"/>
  <c r="D145" i="47"/>
  <c r="E145" i="47"/>
  <c r="I145" i="47"/>
  <c r="H169" i="47"/>
  <c r="G59" i="47"/>
  <c r="E94" i="47"/>
  <c r="E94" i="46"/>
  <c r="D169" i="45"/>
  <c r="G57" i="45"/>
  <c r="E159" i="45"/>
  <c r="E165" i="45"/>
  <c r="H58" i="45"/>
  <c r="E169" i="45"/>
  <c r="G58" i="45"/>
  <c r="F141" i="45"/>
  <c r="G141" i="45"/>
  <c r="D145" i="45"/>
  <c r="E145" i="45"/>
  <c r="I145" i="45"/>
  <c r="H169" i="45"/>
  <c r="G59" i="45"/>
  <c r="E94" i="45"/>
  <c r="D169" i="44"/>
  <c r="G57" i="44"/>
  <c r="E159" i="44"/>
  <c r="E165" i="44"/>
  <c r="H58" i="44"/>
  <c r="E169" i="44"/>
  <c r="G58" i="44"/>
  <c r="F141" i="44"/>
  <c r="G141" i="44"/>
  <c r="D145" i="44"/>
  <c r="E145" i="44"/>
  <c r="I145" i="44"/>
  <c r="H169" i="44"/>
  <c r="G59" i="44"/>
  <c r="E94" i="44"/>
  <c r="E94" i="43"/>
  <c r="D169" i="42"/>
  <c r="G57" i="42"/>
  <c r="E147" i="42"/>
  <c r="E153" i="42"/>
  <c r="H58" i="42"/>
  <c r="E169" i="42"/>
  <c r="G58" i="42"/>
  <c r="H169" i="42"/>
  <c r="G59" i="42"/>
  <c r="G174" i="42"/>
  <c r="E94" i="42"/>
  <c r="E94" i="41"/>
  <c r="E94" i="40"/>
  <c r="E94" i="39"/>
  <c r="D169" i="38"/>
  <c r="G57" i="38"/>
  <c r="E147" i="38"/>
  <c r="E153" i="38"/>
  <c r="H58" i="38"/>
  <c r="E169" i="38"/>
  <c r="G58" i="38"/>
  <c r="H169" i="38"/>
  <c r="G59" i="38"/>
  <c r="G174" i="38"/>
  <c r="E94" i="38"/>
  <c r="D169" i="36"/>
  <c r="G57" i="36"/>
  <c r="E159" i="36"/>
  <c r="E165" i="36"/>
  <c r="H58" i="36"/>
  <c r="E169" i="36"/>
  <c r="G58" i="36"/>
  <c r="F141" i="36"/>
  <c r="G141" i="36"/>
  <c r="D145" i="36"/>
  <c r="E145" i="36"/>
  <c r="I145" i="36"/>
  <c r="H169" i="36"/>
  <c r="G59" i="36"/>
  <c r="E94" i="36"/>
  <c r="D169" i="19"/>
  <c r="G57" i="19"/>
  <c r="E159" i="19"/>
  <c r="E165" i="19"/>
  <c r="H58" i="19"/>
  <c r="E169" i="19"/>
  <c r="G58" i="19"/>
  <c r="F141" i="19"/>
  <c r="G141" i="19"/>
  <c r="D145" i="19"/>
  <c r="E145" i="19"/>
  <c r="I145" i="19"/>
  <c r="H169" i="19"/>
  <c r="G59" i="19"/>
  <c r="E94" i="19"/>
  <c r="E94" i="37"/>
  <c r="D169" i="18"/>
  <c r="G57" i="18"/>
  <c r="E159" i="18"/>
  <c r="E165" i="18"/>
  <c r="H58" i="18"/>
  <c r="E169" i="18"/>
  <c r="G58" i="18"/>
  <c r="F141" i="18"/>
  <c r="G141" i="18"/>
  <c r="D145" i="18"/>
  <c r="E145" i="18"/>
  <c r="I145" i="18"/>
  <c r="H169" i="18"/>
  <c r="G59" i="18"/>
  <c r="E94" i="18"/>
  <c r="D169" i="35"/>
  <c r="G57" i="35"/>
  <c r="E146" i="35"/>
  <c r="E152" i="35"/>
  <c r="H58" i="35"/>
  <c r="E169" i="35"/>
  <c r="G58" i="35"/>
  <c r="I145" i="35"/>
  <c r="H169" i="35"/>
  <c r="G59" i="35"/>
  <c r="G174" i="35"/>
  <c r="E94" i="35"/>
  <c r="D169" i="34"/>
  <c r="G57" i="34"/>
  <c r="E159" i="34"/>
  <c r="E165" i="34"/>
  <c r="H58" i="34"/>
  <c r="E169" i="34"/>
  <c r="G58" i="34"/>
  <c r="F141" i="34"/>
  <c r="G141" i="34"/>
  <c r="D145" i="34"/>
  <c r="E145" i="34"/>
  <c r="I145" i="34"/>
  <c r="H169" i="34"/>
  <c r="G59" i="34"/>
  <c r="E94" i="34"/>
  <c r="D169" i="33"/>
  <c r="G57" i="33"/>
  <c r="E146" i="33"/>
  <c r="E152" i="33"/>
  <c r="H58" i="33"/>
  <c r="E169" i="33"/>
  <c r="G58" i="33"/>
  <c r="I145" i="33"/>
  <c r="H169" i="33"/>
  <c r="G59" i="33"/>
  <c r="G174" i="33"/>
  <c r="E94" i="33"/>
  <c r="D169" i="32"/>
  <c r="G57" i="32"/>
  <c r="E147" i="32"/>
  <c r="E153" i="32"/>
  <c r="H58" i="32"/>
  <c r="E169" i="32"/>
  <c r="G58" i="32"/>
  <c r="H169" i="32"/>
  <c r="G59" i="32"/>
  <c r="G174" i="32"/>
  <c r="E94" i="32"/>
  <c r="E94" i="31"/>
  <c r="D169" i="30"/>
  <c r="G57" i="30"/>
  <c r="E159" i="30"/>
  <c r="E165" i="30"/>
  <c r="H58" i="30"/>
  <c r="E169" i="30"/>
  <c r="G58" i="30"/>
  <c r="F141" i="30"/>
  <c r="G141" i="30"/>
  <c r="D145" i="30"/>
  <c r="E145" i="30"/>
  <c r="I145" i="30"/>
  <c r="H169" i="30"/>
  <c r="G59" i="30"/>
  <c r="E94" i="30"/>
  <c r="E94" i="29"/>
  <c r="D169" i="28"/>
  <c r="G57" i="28"/>
  <c r="E158" i="28"/>
  <c r="E164" i="28"/>
  <c r="H58" i="28"/>
  <c r="E169" i="28"/>
  <c r="G58" i="28"/>
  <c r="F141" i="28"/>
  <c r="G141" i="28"/>
  <c r="D145" i="28"/>
  <c r="E145" i="28"/>
  <c r="I145" i="28"/>
  <c r="H169" i="28"/>
  <c r="G59" i="28"/>
  <c r="E94" i="28"/>
  <c r="D169" i="27"/>
  <c r="G57" i="27"/>
  <c r="E147" i="27"/>
  <c r="E153" i="27"/>
  <c r="H58" i="27"/>
  <c r="E169" i="27"/>
  <c r="G58" i="27"/>
  <c r="H169" i="27"/>
  <c r="G59" i="27"/>
  <c r="G174" i="27"/>
  <c r="E94" i="27"/>
  <c r="D169" i="26"/>
  <c r="G57" i="26"/>
  <c r="E158" i="26"/>
  <c r="E164" i="26"/>
  <c r="H58" i="26"/>
  <c r="E169" i="26"/>
  <c r="G58" i="26"/>
  <c r="F141" i="26"/>
  <c r="G141" i="26"/>
  <c r="D145" i="26"/>
  <c r="E145" i="26"/>
  <c r="I145" i="26"/>
  <c r="H169" i="26"/>
  <c r="G59" i="26"/>
  <c r="E94" i="26"/>
  <c r="D169" i="25"/>
  <c r="G57" i="25"/>
  <c r="E158" i="25"/>
  <c r="E164" i="25"/>
  <c r="H58" i="25"/>
  <c r="E169" i="25"/>
  <c r="G58" i="25"/>
  <c r="F141" i="25"/>
  <c r="G141" i="25"/>
  <c r="D145" i="25"/>
  <c r="E145" i="25"/>
  <c r="I145" i="25"/>
  <c r="H169" i="25"/>
  <c r="G59" i="25"/>
  <c r="E94" i="25"/>
  <c r="D169" i="24"/>
  <c r="G57" i="24"/>
  <c r="E169" i="24"/>
  <c r="G58" i="24"/>
  <c r="I145" i="24"/>
  <c r="H169" i="24"/>
  <c r="G59" i="24"/>
  <c r="E94" i="24"/>
  <c r="D169" i="23"/>
  <c r="G57" i="23"/>
  <c r="E169" i="23"/>
  <c r="G58" i="23"/>
  <c r="I145" i="23"/>
  <c r="H169" i="23"/>
  <c r="G59" i="23"/>
  <c r="E94" i="23"/>
  <c r="D169" i="22"/>
  <c r="G57" i="22"/>
  <c r="E146" i="22"/>
  <c r="E152" i="22"/>
  <c r="H58" i="22"/>
  <c r="E169" i="22"/>
  <c r="G58" i="22"/>
  <c r="I145" i="22"/>
  <c r="H169" i="22"/>
  <c r="G59" i="22"/>
  <c r="G174" i="22"/>
  <c r="E94" i="22"/>
  <c r="D169" i="21"/>
  <c r="G57" i="21"/>
  <c r="E158" i="21"/>
  <c r="E164" i="21"/>
  <c r="H58" i="21"/>
  <c r="E169" i="21"/>
  <c r="G58" i="21"/>
  <c r="F141" i="21"/>
  <c r="G141" i="21"/>
  <c r="D145" i="21"/>
  <c r="E145" i="21"/>
  <c r="I145" i="21"/>
  <c r="H169" i="21"/>
  <c r="G59" i="21"/>
  <c r="E94" i="21"/>
  <c r="D169" i="20"/>
  <c r="G57" i="20"/>
  <c r="E146" i="20"/>
  <c r="E152" i="20"/>
  <c r="H58" i="20"/>
  <c r="E169" i="20"/>
  <c r="G58" i="20"/>
  <c r="I145" i="20"/>
  <c r="H169" i="20"/>
  <c r="G59" i="20"/>
  <c r="G174" i="20"/>
  <c r="E94" i="20"/>
  <c r="E94" i="17"/>
  <c r="D169" i="16"/>
  <c r="G57" i="16"/>
  <c r="E159" i="16"/>
  <c r="E165" i="16"/>
  <c r="H58" i="16"/>
  <c r="E169" i="16"/>
  <c r="G58" i="16"/>
  <c r="F141" i="16"/>
  <c r="G141" i="16"/>
  <c r="D145" i="16"/>
  <c r="E145" i="16"/>
  <c r="I145" i="16"/>
  <c r="H169" i="16"/>
  <c r="G59" i="16"/>
  <c r="E94" i="16"/>
  <c r="E94" i="15"/>
  <c r="D169" i="14"/>
  <c r="G57" i="14"/>
  <c r="E169" i="14"/>
  <c r="G58" i="14"/>
  <c r="F141" i="14"/>
  <c r="G141" i="14"/>
  <c r="D145" i="14"/>
  <c r="E145" i="14"/>
  <c r="I145" i="14"/>
  <c r="H169" i="14"/>
  <c r="G59" i="14"/>
  <c r="E94" i="14"/>
  <c r="D169" i="13"/>
  <c r="G57" i="13"/>
  <c r="E147" i="13"/>
  <c r="E153" i="13"/>
  <c r="H58" i="13"/>
  <c r="E169" i="13"/>
  <c r="G58" i="13"/>
  <c r="H169" i="13"/>
  <c r="G59" i="13"/>
  <c r="G174" i="13"/>
  <c r="E94" i="13"/>
  <c r="D169" i="11"/>
  <c r="G57" i="11"/>
  <c r="E146" i="11"/>
  <c r="E152" i="11"/>
  <c r="H58" i="11"/>
  <c r="E169" i="11"/>
  <c r="G58" i="11"/>
  <c r="I145" i="11"/>
  <c r="H169" i="11"/>
  <c r="G59" i="11"/>
  <c r="G174" i="11"/>
  <c r="E94" i="11"/>
  <c r="E94" i="10"/>
  <c r="E94" i="83"/>
  <c r="E66" i="82"/>
  <c r="E66" i="81"/>
  <c r="E66" i="80"/>
  <c r="E66" i="79"/>
  <c r="E66" i="78"/>
  <c r="E66" i="77"/>
  <c r="E66" i="76"/>
  <c r="E66" i="75"/>
  <c r="E66" i="74"/>
  <c r="E66" i="73"/>
  <c r="E66" i="72"/>
  <c r="E66" i="71"/>
  <c r="E66" i="70"/>
  <c r="E66" i="69"/>
  <c r="E66" i="68"/>
  <c r="E66" i="67"/>
  <c r="E66" i="66"/>
  <c r="E66" i="65"/>
  <c r="E66" i="64"/>
  <c r="E66" i="63"/>
  <c r="E66" i="62"/>
  <c r="E66" i="61"/>
  <c r="E66" i="60"/>
  <c r="E66" i="59"/>
  <c r="E66" i="58"/>
  <c r="E66" i="57"/>
  <c r="E66" i="56"/>
  <c r="E66" i="55"/>
  <c r="E66" i="54"/>
  <c r="E66" i="53"/>
  <c r="E66" i="52"/>
  <c r="E66" i="51"/>
  <c r="E66" i="50"/>
  <c r="E66" i="49"/>
  <c r="E66" i="48"/>
  <c r="E66" i="47"/>
  <c r="E66" i="46"/>
  <c r="E66" i="45"/>
  <c r="E66" i="44"/>
  <c r="E66" i="43"/>
  <c r="E66" i="42"/>
  <c r="E66" i="41"/>
  <c r="E66" i="40"/>
  <c r="E66" i="39"/>
  <c r="E66" i="38"/>
  <c r="E66" i="36"/>
  <c r="E66" i="19"/>
  <c r="E66" i="37"/>
  <c r="E66" i="18"/>
  <c r="E66" i="35"/>
  <c r="E66" i="34"/>
  <c r="E66" i="33"/>
  <c r="E66" i="32"/>
  <c r="E66" i="31"/>
  <c r="E66" i="30"/>
  <c r="E66" i="29"/>
  <c r="E66" i="28"/>
  <c r="E66" i="27"/>
  <c r="E66" i="26"/>
  <c r="E66" i="25"/>
  <c r="E66" i="24"/>
  <c r="E66" i="23"/>
  <c r="E66" i="22"/>
  <c r="E66" i="21"/>
  <c r="E66" i="20"/>
  <c r="E66" i="17"/>
  <c r="E66" i="16"/>
  <c r="E66" i="15"/>
  <c r="E66" i="14"/>
  <c r="E66" i="13"/>
  <c r="E66" i="11"/>
  <c r="E66" i="10"/>
  <c r="E66" i="83"/>
  <c r="J110" i="83"/>
  <c r="O66" i="83"/>
  <c r="L98" i="83"/>
  <c r="L97" i="83"/>
  <c r="L96" i="83"/>
  <c r="L176" i="83"/>
  <c r="L147" i="83"/>
  <c r="O168" i="83"/>
  <c r="E92" i="83"/>
  <c r="L91" i="83"/>
  <c r="E91" i="83"/>
  <c r="C57" i="83"/>
  <c r="L176" i="82"/>
  <c r="L153" i="82"/>
  <c r="H124" i="82"/>
  <c r="J110" i="82"/>
  <c r="E92" i="82"/>
  <c r="L91" i="82"/>
  <c r="E91" i="82"/>
  <c r="L79" i="82"/>
  <c r="L77" i="82"/>
  <c r="O66" i="82"/>
  <c r="E61" i="82"/>
  <c r="L176" i="81"/>
  <c r="L153" i="81"/>
  <c r="L147" i="81"/>
  <c r="O168" i="81"/>
  <c r="E92" i="81"/>
  <c r="L91" i="81"/>
  <c r="E91" i="81"/>
  <c r="L79" i="81"/>
  <c r="L77" i="81"/>
  <c r="O66" i="81"/>
  <c r="L176" i="80"/>
  <c r="L153" i="80"/>
  <c r="C129" i="80"/>
  <c r="J110" i="80"/>
  <c r="E92" i="80"/>
  <c r="L91" i="80"/>
  <c r="E91" i="80"/>
  <c r="L79" i="80"/>
  <c r="L77" i="80"/>
  <c r="O66" i="80"/>
  <c r="L176" i="79"/>
  <c r="L153" i="79"/>
  <c r="E92" i="79"/>
  <c r="L91" i="79"/>
  <c r="E91" i="79"/>
  <c r="L79" i="79"/>
  <c r="L77" i="79"/>
  <c r="O66" i="79"/>
  <c r="L176" i="78"/>
  <c r="L153" i="78"/>
  <c r="H124" i="78"/>
  <c r="J110" i="78"/>
  <c r="E92" i="78"/>
  <c r="L91" i="78"/>
  <c r="E91" i="78"/>
  <c r="L79" i="78"/>
  <c r="L77" i="78"/>
  <c r="O66" i="78"/>
  <c r="E61" i="78"/>
  <c r="L176" i="77"/>
  <c r="L153" i="77"/>
  <c r="E92" i="77"/>
  <c r="L91" i="77"/>
  <c r="E91" i="77"/>
  <c r="L79" i="77"/>
  <c r="L77" i="77"/>
  <c r="O66" i="77"/>
  <c r="O59" i="77"/>
  <c r="L176" i="76"/>
  <c r="L153" i="76"/>
  <c r="H124" i="76"/>
  <c r="J110" i="76"/>
  <c r="E92" i="76"/>
  <c r="L91" i="76"/>
  <c r="E91" i="76"/>
  <c r="L79" i="76"/>
  <c r="L77" i="76"/>
  <c r="O66" i="76"/>
  <c r="E61" i="76"/>
  <c r="L176" i="75"/>
  <c r="L153" i="75"/>
  <c r="L147" i="75"/>
  <c r="O168" i="75"/>
  <c r="E92" i="75"/>
  <c r="L91" i="75"/>
  <c r="E91" i="75"/>
  <c r="L79" i="75"/>
  <c r="L77" i="75"/>
  <c r="O66" i="75"/>
  <c r="L176" i="74"/>
  <c r="L153" i="74"/>
  <c r="L147" i="74"/>
  <c r="O168" i="74"/>
  <c r="H124" i="74"/>
  <c r="J110" i="74"/>
  <c r="E92" i="74"/>
  <c r="L91" i="74"/>
  <c r="E91" i="74"/>
  <c r="L79" i="74"/>
  <c r="L77" i="74"/>
  <c r="O66" i="74"/>
  <c r="L176" i="73"/>
  <c r="L153" i="73"/>
  <c r="L147" i="73"/>
  <c r="O168" i="73"/>
  <c r="C129" i="73"/>
  <c r="J110" i="73"/>
  <c r="E92" i="73"/>
  <c r="L91" i="73"/>
  <c r="E91" i="73"/>
  <c r="L79" i="73"/>
  <c r="L77" i="73"/>
  <c r="O66" i="73"/>
  <c r="O59" i="73"/>
  <c r="L176" i="72"/>
  <c r="L153" i="72"/>
  <c r="L147" i="72"/>
  <c r="O168" i="72"/>
  <c r="E92" i="72"/>
  <c r="L91" i="72"/>
  <c r="E91" i="72"/>
  <c r="L79" i="72"/>
  <c r="L77" i="72"/>
  <c r="O66" i="72"/>
  <c r="L176" i="71"/>
  <c r="L153" i="71"/>
  <c r="C129" i="71"/>
  <c r="J110" i="71"/>
  <c r="E92" i="71"/>
  <c r="L91" i="71"/>
  <c r="E91" i="71"/>
  <c r="L79" i="71"/>
  <c r="L77" i="71"/>
  <c r="O66" i="71"/>
  <c r="E61" i="71"/>
  <c r="L176" i="70"/>
  <c r="L153" i="70"/>
  <c r="L147" i="70"/>
  <c r="O168" i="70"/>
  <c r="J110" i="70"/>
  <c r="E92" i="70"/>
  <c r="L91" i="70"/>
  <c r="E91" i="70"/>
  <c r="L79" i="70"/>
  <c r="L77" i="70"/>
  <c r="O66" i="70"/>
  <c r="O59" i="70"/>
  <c r="L145" i="70"/>
  <c r="L176" i="69"/>
  <c r="L153" i="69"/>
  <c r="E92" i="69"/>
  <c r="L91" i="69"/>
  <c r="E91" i="69"/>
  <c r="L79" i="69"/>
  <c r="L77" i="69"/>
  <c r="O66" i="69"/>
  <c r="L176" i="68"/>
  <c r="L153" i="68"/>
  <c r="L147" i="68"/>
  <c r="O168" i="68"/>
  <c r="C129" i="68"/>
  <c r="J110" i="68"/>
  <c r="E92" i="68"/>
  <c r="L91" i="68"/>
  <c r="E91" i="68"/>
  <c r="L79" i="68"/>
  <c r="L77" i="68"/>
  <c r="O66" i="68"/>
  <c r="L176" i="67"/>
  <c r="L153" i="67"/>
  <c r="L147" i="67"/>
  <c r="O168" i="67"/>
  <c r="H124" i="67"/>
  <c r="J110" i="67"/>
  <c r="E92" i="67"/>
  <c r="L91" i="67"/>
  <c r="E91" i="67"/>
  <c r="L79" i="67"/>
  <c r="L77" i="67"/>
  <c r="O66" i="67"/>
  <c r="O59" i="67"/>
  <c r="L176" i="66"/>
  <c r="L153" i="66"/>
  <c r="L147" i="66"/>
  <c r="O168" i="66"/>
  <c r="E92" i="66"/>
  <c r="L91" i="66"/>
  <c r="E91" i="66"/>
  <c r="L79" i="66"/>
  <c r="L77" i="66"/>
  <c r="O66" i="66"/>
  <c r="O59" i="66"/>
  <c r="L176" i="65"/>
  <c r="L153" i="65"/>
  <c r="L147" i="65"/>
  <c r="O168" i="65"/>
  <c r="E92" i="65"/>
  <c r="L91" i="65"/>
  <c r="E91" i="65"/>
  <c r="L79" i="65"/>
  <c r="L77" i="65"/>
  <c r="O66" i="65"/>
  <c r="L176" i="64"/>
  <c r="L153" i="64"/>
  <c r="L147" i="64"/>
  <c r="O168" i="64"/>
  <c r="C129" i="64"/>
  <c r="J110" i="64"/>
  <c r="E92" i="64"/>
  <c r="L91" i="64"/>
  <c r="E91" i="64"/>
  <c r="L79" i="64"/>
  <c r="L77" i="64"/>
  <c r="O66" i="64"/>
  <c r="O59" i="64"/>
  <c r="L176" i="63"/>
  <c r="L153" i="63"/>
  <c r="E92" i="63"/>
  <c r="L91" i="63"/>
  <c r="E91" i="63"/>
  <c r="L79" i="63"/>
  <c r="L77" i="63"/>
  <c r="O66" i="63"/>
  <c r="L176" i="62"/>
  <c r="L153" i="62"/>
  <c r="L147" i="62"/>
  <c r="O168" i="62"/>
  <c r="H124" i="62"/>
  <c r="J110" i="62"/>
  <c r="E92" i="62"/>
  <c r="L91" i="62"/>
  <c r="E91" i="62"/>
  <c r="L79" i="62"/>
  <c r="L77" i="62"/>
  <c r="O66" i="62"/>
  <c r="L176" i="61"/>
  <c r="L153" i="61"/>
  <c r="C129" i="61"/>
  <c r="J110" i="61"/>
  <c r="E92" i="61"/>
  <c r="L91" i="61"/>
  <c r="E91" i="61"/>
  <c r="L79" i="61"/>
  <c r="L77" i="61"/>
  <c r="O66" i="61"/>
  <c r="L176" i="60"/>
  <c r="L153" i="60"/>
  <c r="E92" i="60"/>
  <c r="L91" i="60"/>
  <c r="E91" i="60"/>
  <c r="L79" i="60"/>
  <c r="L77" i="60"/>
  <c r="O66" i="60"/>
  <c r="L176" i="59"/>
  <c r="L153" i="59"/>
  <c r="L147" i="59"/>
  <c r="O168" i="59"/>
  <c r="H124" i="59"/>
  <c r="J110" i="59"/>
  <c r="E92" i="59"/>
  <c r="L91" i="59"/>
  <c r="E91" i="59"/>
  <c r="L79" i="59"/>
  <c r="L77" i="59"/>
  <c r="O66" i="59"/>
  <c r="L176" i="58"/>
  <c r="L153" i="58"/>
  <c r="L147" i="58"/>
  <c r="O168" i="58"/>
  <c r="C129" i="58"/>
  <c r="J110" i="58"/>
  <c r="E92" i="58"/>
  <c r="L91" i="58"/>
  <c r="E91" i="58"/>
  <c r="L79" i="58"/>
  <c r="L77" i="58"/>
  <c r="O66" i="58"/>
  <c r="E61" i="58"/>
  <c r="L176" i="57"/>
  <c r="L153" i="57"/>
  <c r="E92" i="57"/>
  <c r="L91" i="57"/>
  <c r="E91" i="57"/>
  <c r="L79" i="57"/>
  <c r="L77" i="57"/>
  <c r="O66" i="57"/>
  <c r="L176" i="56"/>
  <c r="L153" i="56"/>
  <c r="C129" i="56"/>
  <c r="J110" i="56"/>
  <c r="E92" i="56"/>
  <c r="L91" i="56"/>
  <c r="E91" i="56"/>
  <c r="L79" i="56"/>
  <c r="L77" i="56"/>
  <c r="O66" i="56"/>
  <c r="L176" i="55"/>
  <c r="L153" i="55"/>
  <c r="L147" i="55"/>
  <c r="O168" i="55"/>
  <c r="E92" i="55"/>
  <c r="L91" i="55"/>
  <c r="E91" i="55"/>
  <c r="L79" i="55"/>
  <c r="L77" i="55"/>
  <c r="O66" i="55"/>
  <c r="L61" i="55"/>
  <c r="C129" i="83"/>
  <c r="C129" i="60"/>
  <c r="H124" i="61"/>
  <c r="H124" i="64"/>
  <c r="C129" i="65"/>
  <c r="C129" i="69"/>
  <c r="C129" i="75"/>
  <c r="C129" i="79"/>
  <c r="H124" i="80"/>
  <c r="C129" i="81"/>
  <c r="E61" i="83"/>
  <c r="L153" i="83"/>
  <c r="C129" i="57"/>
  <c r="J110" i="60"/>
  <c r="H124" i="60"/>
  <c r="O59" i="63"/>
  <c r="C129" i="63"/>
  <c r="J110" i="65"/>
  <c r="H124" i="65"/>
  <c r="C129" i="66"/>
  <c r="O59" i="68"/>
  <c r="J110" i="69"/>
  <c r="H124" i="69"/>
  <c r="E61" i="72"/>
  <c r="J110" i="72"/>
  <c r="H124" i="72"/>
  <c r="J110" i="75"/>
  <c r="H124" i="75"/>
  <c r="E61" i="77"/>
  <c r="C129" i="77"/>
  <c r="E61" i="79"/>
  <c r="J110" i="79"/>
  <c r="H124" i="56"/>
  <c r="H124" i="58"/>
  <c r="H124" i="68"/>
  <c r="H124" i="71"/>
  <c r="C129" i="72"/>
  <c r="H124" i="73"/>
  <c r="E61" i="55"/>
  <c r="J110" i="55"/>
  <c r="H124" i="55"/>
  <c r="E61" i="57"/>
  <c r="J110" i="57"/>
  <c r="H124" i="57"/>
  <c r="O59" i="59"/>
  <c r="C129" i="59"/>
  <c r="C129" i="62"/>
  <c r="J110" i="63"/>
  <c r="H124" i="63"/>
  <c r="J110" i="66"/>
  <c r="H124" i="66"/>
  <c r="C129" i="67"/>
  <c r="H124" i="70"/>
  <c r="O59" i="74"/>
  <c r="C129" i="74"/>
  <c r="C129" i="76"/>
  <c r="J110" i="77"/>
  <c r="H124" i="77"/>
  <c r="C129" i="78"/>
  <c r="O59" i="80"/>
  <c r="H124" i="81"/>
  <c r="C129" i="82"/>
  <c r="H124" i="83"/>
  <c r="L99" i="83"/>
  <c r="I27" i="83"/>
  <c r="D138" i="83"/>
  <c r="L151" i="83"/>
  <c r="L145" i="83"/>
  <c r="P58" i="83"/>
  <c r="G141" i="83"/>
  <c r="G180" i="83"/>
  <c r="G175" i="83"/>
  <c r="I177" i="83"/>
  <c r="G174" i="83"/>
  <c r="H180" i="83"/>
  <c r="P59" i="83"/>
  <c r="P64" i="83"/>
  <c r="E93" i="83"/>
  <c r="P57" i="83"/>
  <c r="Q58" i="83"/>
  <c r="O59" i="83"/>
  <c r="L61" i="83"/>
  <c r="O167" i="83"/>
  <c r="O173" i="83"/>
  <c r="L151" i="82"/>
  <c r="H152" i="82"/>
  <c r="L145" i="82"/>
  <c r="P58" i="82"/>
  <c r="Q58" i="82"/>
  <c r="G180" i="82"/>
  <c r="H180" i="82"/>
  <c r="P59" i="82"/>
  <c r="P64" i="82"/>
  <c r="E93" i="82"/>
  <c r="P57" i="82"/>
  <c r="O59" i="82"/>
  <c r="L61" i="82"/>
  <c r="O167" i="82"/>
  <c r="L171" i="82"/>
  <c r="O173" i="82"/>
  <c r="L151" i="81"/>
  <c r="H150" i="81"/>
  <c r="H152" i="81"/>
  <c r="L145" i="81"/>
  <c r="P58" i="81"/>
  <c r="G180" i="81"/>
  <c r="G175" i="81"/>
  <c r="I177" i="81"/>
  <c r="G174" i="81"/>
  <c r="H180" i="81"/>
  <c r="P59" i="81"/>
  <c r="P64" i="81"/>
  <c r="P57" i="81"/>
  <c r="Q58" i="81"/>
  <c r="O59" i="81"/>
  <c r="E61" i="81"/>
  <c r="L61" i="81"/>
  <c r="E93" i="81"/>
  <c r="O167" i="81"/>
  <c r="L171" i="81"/>
  <c r="O173" i="81"/>
  <c r="J110" i="81"/>
  <c r="P57" i="80"/>
  <c r="E61" i="80"/>
  <c r="L61" i="80"/>
  <c r="E93" i="80"/>
  <c r="L151" i="80"/>
  <c r="L145" i="80"/>
  <c r="P58" i="80"/>
  <c r="Q58" i="80"/>
  <c r="G180" i="80"/>
  <c r="G175" i="80"/>
  <c r="I177" i="80"/>
  <c r="H180" i="80"/>
  <c r="P59" i="80"/>
  <c r="P64" i="80"/>
  <c r="O167" i="80"/>
  <c r="O173" i="80"/>
  <c r="H124" i="79"/>
  <c r="L151" i="79"/>
  <c r="L145" i="79"/>
  <c r="P58" i="79"/>
  <c r="Q58" i="79"/>
  <c r="G180" i="79"/>
  <c r="H152" i="79"/>
  <c r="G175" i="79"/>
  <c r="I177" i="79"/>
  <c r="H180" i="79"/>
  <c r="P59" i="79"/>
  <c r="P64" i="79"/>
  <c r="E93" i="79"/>
  <c r="P57" i="79"/>
  <c r="O59" i="79"/>
  <c r="L61" i="79"/>
  <c r="O167" i="79"/>
  <c r="L171" i="79"/>
  <c r="O173" i="79"/>
  <c r="L151" i="78"/>
  <c r="L145" i="78"/>
  <c r="P58" i="78"/>
  <c r="Q58" i="78"/>
  <c r="G180" i="78"/>
  <c r="H152" i="78"/>
  <c r="G175" i="78"/>
  <c r="I177" i="78"/>
  <c r="H180" i="78"/>
  <c r="P59" i="78"/>
  <c r="P64" i="78"/>
  <c r="E93" i="78"/>
  <c r="P57" i="78"/>
  <c r="O59" i="78"/>
  <c r="L61" i="78"/>
  <c r="O167" i="78"/>
  <c r="O173" i="78"/>
  <c r="L151" i="77"/>
  <c r="L145" i="77"/>
  <c r="P58" i="77"/>
  <c r="Q58" i="77"/>
  <c r="G180" i="77"/>
  <c r="H152" i="77"/>
  <c r="G175" i="77"/>
  <c r="I177" i="77"/>
  <c r="H180" i="77"/>
  <c r="P59" i="77"/>
  <c r="P64" i="77"/>
  <c r="E93" i="77"/>
  <c r="P57" i="77"/>
  <c r="L61" i="77"/>
  <c r="O167" i="77"/>
  <c r="L171" i="77"/>
  <c r="O173" i="77"/>
  <c r="O59" i="76"/>
  <c r="L151" i="76"/>
  <c r="L145" i="76"/>
  <c r="P58" i="76"/>
  <c r="Q58" i="76"/>
  <c r="G180" i="76"/>
  <c r="H152" i="76"/>
  <c r="H180" i="76"/>
  <c r="P59" i="76"/>
  <c r="P64" i="76"/>
  <c r="E93" i="76"/>
  <c r="P57" i="76"/>
  <c r="L61" i="76"/>
  <c r="O167" i="76"/>
  <c r="L171" i="76"/>
  <c r="O173" i="76"/>
  <c r="O59" i="75"/>
  <c r="P57" i="75"/>
  <c r="E61" i="75"/>
  <c r="L61" i="75"/>
  <c r="E93" i="75"/>
  <c r="L151" i="75"/>
  <c r="H150" i="75"/>
  <c r="H152" i="75"/>
  <c r="L145" i="75"/>
  <c r="P58" i="75"/>
  <c r="Q58" i="75"/>
  <c r="G180" i="75"/>
  <c r="G175" i="75"/>
  <c r="I177" i="75"/>
  <c r="G174" i="75"/>
  <c r="H180" i="75"/>
  <c r="P59" i="75"/>
  <c r="P64" i="75"/>
  <c r="O167" i="75"/>
  <c r="L171" i="75"/>
  <c r="O173" i="75"/>
  <c r="P57" i="74"/>
  <c r="E61" i="74"/>
  <c r="L61" i="74"/>
  <c r="E93" i="74"/>
  <c r="L151" i="74"/>
  <c r="H150" i="74"/>
  <c r="H152" i="74"/>
  <c r="L145" i="74"/>
  <c r="P58" i="74"/>
  <c r="Q58" i="74"/>
  <c r="G180" i="74"/>
  <c r="G175" i="74"/>
  <c r="I177" i="74"/>
  <c r="G174" i="74"/>
  <c r="H180" i="74"/>
  <c r="P59" i="74"/>
  <c r="P64" i="74"/>
  <c r="O167" i="74"/>
  <c r="L171" i="74"/>
  <c r="O173" i="74"/>
  <c r="P57" i="73"/>
  <c r="E61" i="73"/>
  <c r="L61" i="73"/>
  <c r="L151" i="73"/>
  <c r="H150" i="73"/>
  <c r="H152" i="73"/>
  <c r="L145" i="73"/>
  <c r="P58" i="73"/>
  <c r="Q58" i="73"/>
  <c r="G141" i="73"/>
  <c r="G180" i="73"/>
  <c r="G175" i="73"/>
  <c r="I177" i="73"/>
  <c r="G174" i="73"/>
  <c r="H180" i="73"/>
  <c r="P59" i="73"/>
  <c r="P64" i="73"/>
  <c r="E93" i="73"/>
  <c r="O167" i="73"/>
  <c r="L171" i="73"/>
  <c r="O173" i="73"/>
  <c r="L151" i="72"/>
  <c r="H150" i="72"/>
  <c r="H152" i="72"/>
  <c r="L145" i="72"/>
  <c r="P58" i="72"/>
  <c r="Q58" i="72"/>
  <c r="G180" i="72"/>
  <c r="G175" i="72"/>
  <c r="I177" i="72"/>
  <c r="G174" i="72"/>
  <c r="H180" i="72"/>
  <c r="P59" i="72"/>
  <c r="P64" i="72"/>
  <c r="E93" i="72"/>
  <c r="P57" i="72"/>
  <c r="O59" i="72"/>
  <c r="L61" i="72"/>
  <c r="O167" i="72"/>
  <c r="O173" i="72"/>
  <c r="L151" i="71"/>
  <c r="H152" i="71"/>
  <c r="L145" i="71"/>
  <c r="P58" i="71"/>
  <c r="G180" i="71"/>
  <c r="H180" i="71"/>
  <c r="P59" i="71"/>
  <c r="P64" i="71"/>
  <c r="E93" i="71"/>
  <c r="P57" i="71"/>
  <c r="Q58" i="71"/>
  <c r="O59" i="71"/>
  <c r="L61" i="71"/>
  <c r="O167" i="71"/>
  <c r="O173" i="71"/>
  <c r="D180" i="70"/>
  <c r="P57" i="70"/>
  <c r="E61" i="70"/>
  <c r="L61" i="70"/>
  <c r="C129" i="70"/>
  <c r="L151" i="70"/>
  <c r="P58" i="70"/>
  <c r="Q58" i="70"/>
  <c r="G180" i="70"/>
  <c r="G175" i="70"/>
  <c r="I177" i="70"/>
  <c r="G174" i="70"/>
  <c r="P59" i="70"/>
  <c r="P64" i="70"/>
  <c r="E93" i="70"/>
  <c r="H180" i="70"/>
  <c r="O167" i="70"/>
  <c r="L171" i="70"/>
  <c r="O173" i="70"/>
  <c r="L151" i="69"/>
  <c r="L145" i="69"/>
  <c r="P58" i="69"/>
  <c r="Q58" i="69"/>
  <c r="G180" i="69"/>
  <c r="H152" i="69"/>
  <c r="H180" i="69"/>
  <c r="P59" i="69"/>
  <c r="P64" i="69"/>
  <c r="E93" i="69"/>
  <c r="P57" i="69"/>
  <c r="O59" i="69"/>
  <c r="E61" i="69"/>
  <c r="L61" i="69"/>
  <c r="O167" i="69"/>
  <c r="L171" i="69"/>
  <c r="O173" i="69"/>
  <c r="P57" i="68"/>
  <c r="E61" i="68"/>
  <c r="L61" i="68"/>
  <c r="E93" i="68"/>
  <c r="L151" i="68"/>
  <c r="L145" i="68"/>
  <c r="P58" i="68"/>
  <c r="Q58" i="68"/>
  <c r="G141" i="68"/>
  <c r="G180" i="68"/>
  <c r="H150" i="68"/>
  <c r="H152" i="68"/>
  <c r="G175" i="68"/>
  <c r="I177" i="68"/>
  <c r="G174" i="68"/>
  <c r="H180" i="68"/>
  <c r="P59" i="68"/>
  <c r="P64" i="68"/>
  <c r="O167" i="68"/>
  <c r="L171" i="68"/>
  <c r="O173" i="68"/>
  <c r="P57" i="67"/>
  <c r="E61" i="67"/>
  <c r="L61" i="67"/>
  <c r="E93" i="67"/>
  <c r="L151" i="67"/>
  <c r="L145" i="67"/>
  <c r="P58" i="67"/>
  <c r="Q58" i="67"/>
  <c r="G180" i="67"/>
  <c r="H150" i="67"/>
  <c r="H152" i="67"/>
  <c r="G175" i="67"/>
  <c r="I177" i="67"/>
  <c r="G174" i="67"/>
  <c r="H180" i="67"/>
  <c r="P59" i="67"/>
  <c r="P64" i="67"/>
  <c r="O167" i="67"/>
  <c r="O173" i="67"/>
  <c r="P57" i="66"/>
  <c r="E61" i="66"/>
  <c r="L61" i="66"/>
  <c r="E93" i="66"/>
  <c r="L151" i="66"/>
  <c r="H150" i="66"/>
  <c r="H152" i="66"/>
  <c r="L145" i="66"/>
  <c r="P58" i="66"/>
  <c r="Q58" i="66"/>
  <c r="G180" i="66"/>
  <c r="G175" i="66"/>
  <c r="I177" i="66"/>
  <c r="G174" i="66"/>
  <c r="H180" i="66"/>
  <c r="P59" i="66"/>
  <c r="P64" i="66"/>
  <c r="O167" i="66"/>
  <c r="L171" i="66"/>
  <c r="O173" i="66"/>
  <c r="P57" i="65"/>
  <c r="O59" i="65"/>
  <c r="E61" i="65"/>
  <c r="L61" i="65"/>
  <c r="E93" i="65"/>
  <c r="L151" i="65"/>
  <c r="L145" i="65"/>
  <c r="P58" i="65"/>
  <c r="Q58" i="65"/>
  <c r="G180" i="65"/>
  <c r="H150" i="65"/>
  <c r="H152" i="65"/>
  <c r="G175" i="65"/>
  <c r="I177" i="65"/>
  <c r="G174" i="65"/>
  <c r="H180" i="65"/>
  <c r="P59" i="65"/>
  <c r="P64" i="65"/>
  <c r="O167" i="65"/>
  <c r="L171" i="65"/>
  <c r="O173" i="65"/>
  <c r="P57" i="64"/>
  <c r="E61" i="64"/>
  <c r="L61" i="64"/>
  <c r="E93" i="64"/>
  <c r="L151" i="64"/>
  <c r="H150" i="64"/>
  <c r="H152" i="64"/>
  <c r="L145" i="64"/>
  <c r="P58" i="64"/>
  <c r="Q58" i="64"/>
  <c r="G141" i="64"/>
  <c r="G180" i="64"/>
  <c r="G175" i="64"/>
  <c r="I177" i="64"/>
  <c r="G174" i="64"/>
  <c r="H180" i="64"/>
  <c r="P59" i="64"/>
  <c r="P64" i="64"/>
  <c r="O167" i="64"/>
  <c r="L171" i="64"/>
  <c r="O173" i="64"/>
  <c r="P57" i="63"/>
  <c r="E61" i="63"/>
  <c r="L61" i="63"/>
  <c r="E93" i="63"/>
  <c r="L151" i="63"/>
  <c r="L145" i="63"/>
  <c r="P58" i="63"/>
  <c r="Q58" i="63"/>
  <c r="G180" i="63"/>
  <c r="H150" i="63"/>
  <c r="H152" i="63"/>
  <c r="H180" i="63"/>
  <c r="P59" i="63"/>
  <c r="P64" i="63"/>
  <c r="O167" i="63"/>
  <c r="L171" i="63"/>
  <c r="O173" i="63"/>
  <c r="L151" i="62"/>
  <c r="H150" i="62"/>
  <c r="H152" i="62"/>
  <c r="L145" i="62"/>
  <c r="P58" i="62"/>
  <c r="G180" i="62"/>
  <c r="G175" i="62"/>
  <c r="I177" i="62"/>
  <c r="G174" i="62"/>
  <c r="H180" i="62"/>
  <c r="P59" i="62"/>
  <c r="P64" i="62"/>
  <c r="E93" i="62"/>
  <c r="P57" i="62"/>
  <c r="Q58" i="62"/>
  <c r="O59" i="62"/>
  <c r="E61" i="62"/>
  <c r="L61" i="62"/>
  <c r="O167" i="62"/>
  <c r="L171" i="62"/>
  <c r="O173" i="62"/>
  <c r="L151" i="61"/>
  <c r="L145" i="61"/>
  <c r="P58" i="61"/>
  <c r="Q58" i="61"/>
  <c r="G180" i="61"/>
  <c r="H150" i="61"/>
  <c r="H152" i="61"/>
  <c r="G175" i="61"/>
  <c r="I177" i="61"/>
  <c r="G174" i="61"/>
  <c r="H180" i="61"/>
  <c r="P59" i="61"/>
  <c r="P64" i="61"/>
  <c r="E93" i="61"/>
  <c r="P57" i="61"/>
  <c r="O59" i="61"/>
  <c r="E61" i="61"/>
  <c r="L61" i="61"/>
  <c r="O167" i="61"/>
  <c r="L171" i="61"/>
  <c r="O173" i="61"/>
  <c r="O59" i="60"/>
  <c r="P57" i="60"/>
  <c r="E61" i="60"/>
  <c r="L61" i="60"/>
  <c r="E93" i="60"/>
  <c r="L151" i="60"/>
  <c r="H152" i="60"/>
  <c r="L145" i="60"/>
  <c r="P58" i="60"/>
  <c r="Q58" i="60"/>
  <c r="G180" i="60"/>
  <c r="H180" i="60"/>
  <c r="P59" i="60"/>
  <c r="P64" i="60"/>
  <c r="O167" i="60"/>
  <c r="L171" i="60"/>
  <c r="O173" i="60"/>
  <c r="P57" i="59"/>
  <c r="E61" i="59"/>
  <c r="L61" i="59"/>
  <c r="E93" i="59"/>
  <c r="L151" i="59"/>
  <c r="H150" i="59"/>
  <c r="H152" i="59"/>
  <c r="L145" i="59"/>
  <c r="P58" i="59"/>
  <c r="Q58" i="59"/>
  <c r="G141" i="59"/>
  <c r="G180" i="59"/>
  <c r="G175" i="59"/>
  <c r="I177" i="59"/>
  <c r="G174" i="59"/>
  <c r="H180" i="59"/>
  <c r="P59" i="59"/>
  <c r="P64" i="59"/>
  <c r="O167" i="59"/>
  <c r="L171" i="59"/>
  <c r="O173" i="59"/>
  <c r="L151" i="58"/>
  <c r="H150" i="58"/>
  <c r="H152" i="58"/>
  <c r="L145" i="58"/>
  <c r="P58" i="58"/>
  <c r="G180" i="58"/>
  <c r="G175" i="58"/>
  <c r="I177" i="58"/>
  <c r="G174" i="58"/>
  <c r="H180" i="58"/>
  <c r="P59" i="58"/>
  <c r="P64" i="58"/>
  <c r="E93" i="58"/>
  <c r="P57" i="58"/>
  <c r="Q58" i="58"/>
  <c r="O59" i="58"/>
  <c r="L61" i="58"/>
  <c r="O167" i="58"/>
  <c r="O173" i="58"/>
  <c r="L151" i="57"/>
  <c r="L145" i="57"/>
  <c r="P58" i="57"/>
  <c r="Q58" i="57"/>
  <c r="G180" i="57"/>
  <c r="H152" i="57"/>
  <c r="G175" i="57"/>
  <c r="I177" i="57"/>
  <c r="H180" i="57"/>
  <c r="P59" i="57"/>
  <c r="P64" i="57"/>
  <c r="E93" i="57"/>
  <c r="P57" i="57"/>
  <c r="O59" i="57"/>
  <c r="L61" i="57"/>
  <c r="O167" i="57"/>
  <c r="L171" i="57"/>
  <c r="O173" i="57"/>
  <c r="O59" i="56"/>
  <c r="P57" i="56"/>
  <c r="E61" i="56"/>
  <c r="L61" i="56"/>
  <c r="E93" i="56"/>
  <c r="L151" i="56"/>
  <c r="L145" i="56"/>
  <c r="P58" i="56"/>
  <c r="Q58" i="56"/>
  <c r="G180" i="56"/>
  <c r="H152" i="56"/>
  <c r="H180" i="56"/>
  <c r="P59" i="56"/>
  <c r="P64" i="56"/>
  <c r="O167" i="56"/>
  <c r="L171" i="56"/>
  <c r="O173" i="56"/>
  <c r="L151" i="55"/>
  <c r="P58" i="55"/>
  <c r="Q58" i="55"/>
  <c r="G180" i="55"/>
  <c r="H150" i="55"/>
  <c r="H152" i="55"/>
  <c r="P59" i="55"/>
  <c r="P64" i="55"/>
  <c r="E93" i="55"/>
  <c r="H180" i="55"/>
  <c r="P57" i="55"/>
  <c r="O59" i="55"/>
  <c r="C129" i="55"/>
  <c r="L145" i="55"/>
  <c r="O167" i="55"/>
  <c r="L171" i="55"/>
  <c r="O173" i="55"/>
  <c r="H150" i="83"/>
  <c r="H152" i="83"/>
  <c r="O145" i="70"/>
  <c r="O151" i="70"/>
  <c r="O171" i="83"/>
  <c r="L175" i="83"/>
  <c r="O174" i="83"/>
  <c r="O175" i="83"/>
  <c r="L172" i="83"/>
  <c r="L171" i="83"/>
  <c r="D180" i="83"/>
  <c r="F141" i="83"/>
  <c r="D144" i="83"/>
  <c r="O151" i="83"/>
  <c r="D156" i="83"/>
  <c r="O145" i="83"/>
  <c r="D163" i="83"/>
  <c r="E180" i="83"/>
  <c r="O171" i="82"/>
  <c r="L175" i="82"/>
  <c r="O174" i="82"/>
  <c r="O175" i="82"/>
  <c r="L172" i="82"/>
  <c r="D180" i="82"/>
  <c r="O151" i="82"/>
  <c r="O145" i="82"/>
  <c r="E180" i="82"/>
  <c r="D180" i="81"/>
  <c r="O171" i="81"/>
  <c r="L175" i="81"/>
  <c r="O174" i="81"/>
  <c r="O175" i="81"/>
  <c r="L172" i="81"/>
  <c r="O151" i="81"/>
  <c r="O145" i="81"/>
  <c r="E180" i="81"/>
  <c r="O171" i="80"/>
  <c r="L175" i="80"/>
  <c r="O174" i="80"/>
  <c r="O175" i="80"/>
  <c r="L172" i="80"/>
  <c r="E180" i="80"/>
  <c r="D180" i="80"/>
  <c r="L171" i="80"/>
  <c r="H152" i="80"/>
  <c r="O151" i="80"/>
  <c r="D156" i="80"/>
  <c r="O145" i="80"/>
  <c r="D163" i="80"/>
  <c r="O171" i="79"/>
  <c r="L175" i="79"/>
  <c r="O174" i="79"/>
  <c r="O175" i="79"/>
  <c r="L172" i="79"/>
  <c r="D180" i="79"/>
  <c r="O151" i="79"/>
  <c r="D156" i="79"/>
  <c r="O145" i="79"/>
  <c r="D163" i="79"/>
  <c r="E180" i="79"/>
  <c r="O171" i="78"/>
  <c r="L175" i="78"/>
  <c r="O174" i="78"/>
  <c r="O175" i="78"/>
  <c r="L172" i="78"/>
  <c r="L171" i="78"/>
  <c r="D180" i="78"/>
  <c r="O151" i="78"/>
  <c r="O145" i="78"/>
  <c r="E180" i="78"/>
  <c r="O171" i="77"/>
  <c r="L175" i="77"/>
  <c r="O174" i="77"/>
  <c r="O175" i="77"/>
  <c r="L172" i="77"/>
  <c r="D180" i="77"/>
  <c r="D156" i="77"/>
  <c r="O151" i="77"/>
  <c r="O145" i="77"/>
  <c r="E180" i="77"/>
  <c r="O171" i="76"/>
  <c r="L175" i="76"/>
  <c r="O174" i="76"/>
  <c r="O175" i="76"/>
  <c r="L172" i="76"/>
  <c r="D180" i="76"/>
  <c r="D157" i="76"/>
  <c r="O151" i="76"/>
  <c r="O145" i="76"/>
  <c r="E180" i="76"/>
  <c r="O171" i="75"/>
  <c r="L175" i="75"/>
  <c r="O174" i="75"/>
  <c r="O175" i="75"/>
  <c r="L172" i="75"/>
  <c r="E180" i="75"/>
  <c r="D180" i="75"/>
  <c r="O151" i="75"/>
  <c r="O145" i="75"/>
  <c r="O171" i="74"/>
  <c r="L175" i="74"/>
  <c r="O174" i="74"/>
  <c r="O175" i="74"/>
  <c r="L172" i="74"/>
  <c r="D180" i="74"/>
  <c r="D144" i="74"/>
  <c r="E180" i="74"/>
  <c r="O151" i="74"/>
  <c r="O145" i="74"/>
  <c r="E180" i="73"/>
  <c r="D180" i="73"/>
  <c r="F141" i="73"/>
  <c r="D145" i="73"/>
  <c r="O171" i="73"/>
  <c r="L175" i="73"/>
  <c r="O174" i="73"/>
  <c r="O175" i="73"/>
  <c r="L172" i="73"/>
  <c r="O151" i="73"/>
  <c r="O145" i="73"/>
  <c r="O171" i="72"/>
  <c r="L175" i="72"/>
  <c r="O174" i="72"/>
  <c r="O175" i="72"/>
  <c r="L172" i="72"/>
  <c r="L171" i="72"/>
  <c r="D180" i="72"/>
  <c r="O151" i="72"/>
  <c r="O145" i="72"/>
  <c r="E180" i="72"/>
  <c r="O171" i="71"/>
  <c r="L175" i="71"/>
  <c r="O174" i="71"/>
  <c r="O175" i="71"/>
  <c r="L172" i="71"/>
  <c r="L171" i="71"/>
  <c r="D180" i="71"/>
  <c r="O151" i="71"/>
  <c r="D156" i="71"/>
  <c r="O145" i="71"/>
  <c r="E180" i="71"/>
  <c r="O171" i="70"/>
  <c r="L175" i="70"/>
  <c r="O174" i="70"/>
  <c r="O175" i="70"/>
  <c r="L172" i="70"/>
  <c r="E180" i="70"/>
  <c r="H150" i="70"/>
  <c r="H152" i="70"/>
  <c r="O141" i="70"/>
  <c r="O171" i="69"/>
  <c r="L175" i="69"/>
  <c r="O174" i="69"/>
  <c r="O175" i="69"/>
  <c r="L172" i="69"/>
  <c r="D180" i="69"/>
  <c r="D162" i="69"/>
  <c r="O151" i="69"/>
  <c r="D156" i="69"/>
  <c r="O145" i="69"/>
  <c r="E180" i="69"/>
  <c r="O171" i="68"/>
  <c r="L175" i="68"/>
  <c r="O174" i="68"/>
  <c r="O175" i="68"/>
  <c r="L172" i="68"/>
  <c r="E180" i="68"/>
  <c r="D180" i="68"/>
  <c r="F141" i="68"/>
  <c r="O151" i="68"/>
  <c r="O145" i="68"/>
  <c r="D163" i="68"/>
  <c r="O171" i="67"/>
  <c r="L175" i="67"/>
  <c r="O174" i="67"/>
  <c r="O175" i="67"/>
  <c r="L172" i="67"/>
  <c r="E180" i="67"/>
  <c r="L171" i="67"/>
  <c r="D180" i="67"/>
  <c r="O151" i="67"/>
  <c r="O145" i="67"/>
  <c r="O171" i="66"/>
  <c r="L175" i="66"/>
  <c r="O174" i="66"/>
  <c r="O175" i="66"/>
  <c r="L172" i="66"/>
  <c r="E180" i="66"/>
  <c r="D180" i="66"/>
  <c r="O151" i="66"/>
  <c r="O145" i="66"/>
  <c r="E180" i="65"/>
  <c r="O171" i="65"/>
  <c r="L175" i="65"/>
  <c r="O174" i="65"/>
  <c r="O175" i="65"/>
  <c r="L172" i="65"/>
  <c r="D180" i="65"/>
  <c r="D144" i="65"/>
  <c r="O151" i="65"/>
  <c r="O145" i="65"/>
  <c r="E180" i="64"/>
  <c r="D180" i="64"/>
  <c r="F141" i="64"/>
  <c r="D145" i="64"/>
  <c r="O171" i="64"/>
  <c r="L175" i="64"/>
  <c r="O174" i="64"/>
  <c r="O175" i="64"/>
  <c r="L172" i="64"/>
  <c r="D144" i="64"/>
  <c r="O151" i="64"/>
  <c r="D156" i="64"/>
  <c r="O145" i="64"/>
  <c r="O171" i="63"/>
  <c r="L175" i="63"/>
  <c r="O174" i="63"/>
  <c r="O175" i="63"/>
  <c r="L172" i="63"/>
  <c r="D180" i="63"/>
  <c r="E180" i="63"/>
  <c r="O151" i="63"/>
  <c r="O145" i="63"/>
  <c r="O171" i="62"/>
  <c r="L175" i="62"/>
  <c r="O174" i="62"/>
  <c r="O175" i="62"/>
  <c r="L172" i="62"/>
  <c r="O151" i="62"/>
  <c r="O145" i="62"/>
  <c r="D180" i="62"/>
  <c r="D157" i="62"/>
  <c r="E180" i="62"/>
  <c r="O171" i="61"/>
  <c r="L175" i="61"/>
  <c r="O174" i="61"/>
  <c r="O175" i="61"/>
  <c r="L172" i="61"/>
  <c r="O151" i="61"/>
  <c r="O145" i="61"/>
  <c r="D180" i="61"/>
  <c r="D163" i="61"/>
  <c r="D157" i="61"/>
  <c r="E180" i="61"/>
  <c r="O171" i="60"/>
  <c r="L175" i="60"/>
  <c r="O174" i="60"/>
  <c r="O175" i="60"/>
  <c r="L172" i="60"/>
  <c r="E180" i="60"/>
  <c r="D180" i="60"/>
  <c r="D156" i="60"/>
  <c r="O151" i="60"/>
  <c r="O145" i="60"/>
  <c r="O171" i="59"/>
  <c r="L175" i="59"/>
  <c r="O174" i="59"/>
  <c r="O175" i="59"/>
  <c r="L172" i="59"/>
  <c r="D180" i="59"/>
  <c r="F141" i="59"/>
  <c r="D145" i="59"/>
  <c r="E180" i="59"/>
  <c r="O151" i="59"/>
  <c r="O145" i="59"/>
  <c r="O171" i="58"/>
  <c r="L175" i="58"/>
  <c r="O174" i="58"/>
  <c r="O175" i="58"/>
  <c r="L172" i="58"/>
  <c r="L171" i="58"/>
  <c r="D180" i="58"/>
  <c r="D144" i="58"/>
  <c r="O151" i="58"/>
  <c r="O145" i="58"/>
  <c r="E180" i="58"/>
  <c r="O171" i="57"/>
  <c r="L175" i="57"/>
  <c r="O174" i="57"/>
  <c r="O175" i="57"/>
  <c r="L172" i="57"/>
  <c r="D180" i="57"/>
  <c r="D156" i="57"/>
  <c r="O151" i="57"/>
  <c r="O145" i="57"/>
  <c r="E180" i="57"/>
  <c r="O171" i="56"/>
  <c r="L175" i="56"/>
  <c r="O174" i="56"/>
  <c r="O175" i="56"/>
  <c r="L172" i="56"/>
  <c r="E180" i="56"/>
  <c r="D180" i="56"/>
  <c r="D156" i="56"/>
  <c r="O151" i="56"/>
  <c r="O145" i="56"/>
  <c r="D162" i="56"/>
  <c r="O151" i="55"/>
  <c r="O145" i="55"/>
  <c r="O171" i="55"/>
  <c r="L175" i="55"/>
  <c r="O174" i="55"/>
  <c r="O175" i="55"/>
  <c r="L172" i="55"/>
  <c r="D180" i="55"/>
  <c r="E180" i="55"/>
  <c r="L176" i="54"/>
  <c r="L153" i="54"/>
  <c r="O173" i="54"/>
  <c r="E92" i="54"/>
  <c r="L91" i="54"/>
  <c r="E91" i="54"/>
  <c r="L79" i="54"/>
  <c r="L77" i="54"/>
  <c r="O66" i="54"/>
  <c r="O59" i="54"/>
  <c r="L61" i="54"/>
  <c r="E61" i="54"/>
  <c r="L176" i="53"/>
  <c r="L153" i="53"/>
  <c r="L147" i="53"/>
  <c r="O168" i="53"/>
  <c r="E92" i="53"/>
  <c r="L91" i="53"/>
  <c r="E91" i="53"/>
  <c r="L79" i="53"/>
  <c r="L77" i="53"/>
  <c r="O66" i="53"/>
  <c r="P64" i="53"/>
  <c r="E61" i="53"/>
  <c r="L176" i="52"/>
  <c r="L153" i="52"/>
  <c r="E92" i="52"/>
  <c r="L91" i="52"/>
  <c r="E91" i="52"/>
  <c r="L79" i="52"/>
  <c r="L77" i="52"/>
  <c r="O66" i="52"/>
  <c r="P64" i="52"/>
  <c r="D180" i="52"/>
  <c r="D156" i="78"/>
  <c r="D162" i="57"/>
  <c r="E162" i="57"/>
  <c r="H162" i="57"/>
  <c r="I162" i="57"/>
  <c r="D163" i="57"/>
  <c r="D165" i="72"/>
  <c r="D144" i="72"/>
  <c r="D163" i="77"/>
  <c r="D162" i="80"/>
  <c r="D164" i="80"/>
  <c r="D144" i="59"/>
  <c r="J110" i="54"/>
  <c r="D162" i="61"/>
  <c r="D162" i="64"/>
  <c r="H144" i="70"/>
  <c r="L151" i="54"/>
  <c r="D156" i="82"/>
  <c r="D156" i="59"/>
  <c r="D158" i="59"/>
  <c r="D150" i="61"/>
  <c r="D157" i="63"/>
  <c r="D163" i="69"/>
  <c r="D163" i="71"/>
  <c r="D157" i="73"/>
  <c r="D163" i="78"/>
  <c r="D144" i="81"/>
  <c r="D163" i="82"/>
  <c r="D165" i="83"/>
  <c r="D158" i="83"/>
  <c r="D146" i="83"/>
  <c r="I180" i="83"/>
  <c r="E172" i="83"/>
  <c r="H162" i="83"/>
  <c r="H164" i="83"/>
  <c r="H157" i="83"/>
  <c r="H159" i="83"/>
  <c r="H151" i="83"/>
  <c r="H153" i="83"/>
  <c r="H172" i="83"/>
  <c r="D172" i="83"/>
  <c r="H163" i="83"/>
  <c r="H165" i="83"/>
  <c r="H156" i="83"/>
  <c r="H158" i="83"/>
  <c r="H145" i="83"/>
  <c r="H147" i="83"/>
  <c r="H155" i="83"/>
  <c r="E157" i="83"/>
  <c r="E159" i="83"/>
  <c r="E151" i="83"/>
  <c r="E153" i="83"/>
  <c r="E144" i="83"/>
  <c r="E162" i="83"/>
  <c r="E164" i="83"/>
  <c r="E150" i="83"/>
  <c r="E152" i="83"/>
  <c r="D162" i="83"/>
  <c r="E156" i="83"/>
  <c r="E158" i="83"/>
  <c r="D150" i="83"/>
  <c r="D145" i="83"/>
  <c r="E163" i="83"/>
  <c r="E165" i="83"/>
  <c r="D157" i="83"/>
  <c r="D154" i="83"/>
  <c r="D151" i="83"/>
  <c r="E145" i="83"/>
  <c r="E147" i="83"/>
  <c r="O141" i="83"/>
  <c r="H144" i="83"/>
  <c r="D147" i="82"/>
  <c r="O141" i="82"/>
  <c r="D165" i="82"/>
  <c r="D158" i="82"/>
  <c r="D146" i="82"/>
  <c r="I180" i="82"/>
  <c r="H162" i="82"/>
  <c r="H164" i="82"/>
  <c r="H157" i="82"/>
  <c r="H159" i="82"/>
  <c r="H153" i="82"/>
  <c r="H163" i="82"/>
  <c r="H165" i="82"/>
  <c r="H156" i="82"/>
  <c r="H158" i="82"/>
  <c r="H147" i="82"/>
  <c r="H155" i="82"/>
  <c r="E157" i="82"/>
  <c r="E159" i="82"/>
  <c r="E162" i="82"/>
  <c r="E164" i="82"/>
  <c r="E152" i="82"/>
  <c r="E156" i="82"/>
  <c r="E158" i="82"/>
  <c r="E163" i="82"/>
  <c r="E165" i="82"/>
  <c r="D154" i="82"/>
  <c r="D157" i="82"/>
  <c r="D162" i="82"/>
  <c r="D150" i="81"/>
  <c r="D152" i="81"/>
  <c r="D159" i="81"/>
  <c r="I180" i="81"/>
  <c r="P68" i="81"/>
  <c r="H164" i="81"/>
  <c r="H159" i="81"/>
  <c r="H151" i="81"/>
  <c r="H153" i="81"/>
  <c r="H165" i="81"/>
  <c r="H158" i="81"/>
  <c r="H145" i="81"/>
  <c r="H147" i="81"/>
  <c r="H155" i="81"/>
  <c r="E151" i="81"/>
  <c r="E153" i="81"/>
  <c r="E144" i="81"/>
  <c r="F144" i="81"/>
  <c r="E164" i="81"/>
  <c r="E150" i="81"/>
  <c r="E152" i="81"/>
  <c r="E158" i="81"/>
  <c r="D154" i="81"/>
  <c r="D151" i="81"/>
  <c r="E147" i="81"/>
  <c r="D165" i="81"/>
  <c r="D158" i="81"/>
  <c r="D146" i="81"/>
  <c r="D164" i="81"/>
  <c r="D147" i="81"/>
  <c r="F145" i="81"/>
  <c r="O141" i="81"/>
  <c r="H144" i="81"/>
  <c r="D165" i="80"/>
  <c r="D158" i="80"/>
  <c r="D146" i="80"/>
  <c r="D147" i="80"/>
  <c r="I180" i="80"/>
  <c r="P68" i="80"/>
  <c r="H162" i="80"/>
  <c r="H164" i="80"/>
  <c r="H157" i="80"/>
  <c r="H159" i="80"/>
  <c r="H153" i="80"/>
  <c r="H163" i="80"/>
  <c r="H165" i="80"/>
  <c r="H156" i="80"/>
  <c r="H158" i="80"/>
  <c r="H147" i="80"/>
  <c r="H155" i="80"/>
  <c r="E157" i="80"/>
  <c r="E159" i="80"/>
  <c r="E153" i="80"/>
  <c r="E162" i="80"/>
  <c r="E164" i="80"/>
  <c r="E152" i="80"/>
  <c r="E156" i="80"/>
  <c r="E158" i="80"/>
  <c r="E163" i="80"/>
  <c r="E165" i="80"/>
  <c r="D154" i="80"/>
  <c r="E147" i="80"/>
  <c r="D157" i="80"/>
  <c r="O141" i="80"/>
  <c r="O141" i="79"/>
  <c r="D165" i="79"/>
  <c r="D158" i="79"/>
  <c r="D146" i="79"/>
  <c r="I180" i="79"/>
  <c r="P68" i="79"/>
  <c r="H162" i="79"/>
  <c r="H164" i="79"/>
  <c r="H157" i="79"/>
  <c r="H159" i="79"/>
  <c r="H153" i="79"/>
  <c r="H163" i="79"/>
  <c r="H165" i="79"/>
  <c r="H156" i="79"/>
  <c r="H158" i="79"/>
  <c r="H147" i="79"/>
  <c r="H155" i="79"/>
  <c r="E157" i="79"/>
  <c r="E159" i="79"/>
  <c r="E162" i="79"/>
  <c r="E164" i="79"/>
  <c r="E152" i="79"/>
  <c r="E156" i="79"/>
  <c r="E158" i="79"/>
  <c r="E163" i="79"/>
  <c r="E165" i="79"/>
  <c r="D157" i="79"/>
  <c r="D154" i="79"/>
  <c r="D162" i="79"/>
  <c r="D165" i="78"/>
  <c r="D158" i="78"/>
  <c r="D146" i="78"/>
  <c r="I180" i="78"/>
  <c r="P68" i="78"/>
  <c r="H162" i="78"/>
  <c r="H164" i="78"/>
  <c r="H157" i="78"/>
  <c r="H159" i="78"/>
  <c r="H153" i="78"/>
  <c r="H163" i="78"/>
  <c r="H165" i="78"/>
  <c r="H156" i="78"/>
  <c r="H158" i="78"/>
  <c r="H147" i="78"/>
  <c r="H155" i="78"/>
  <c r="E157" i="78"/>
  <c r="E159" i="78"/>
  <c r="E162" i="78"/>
  <c r="E164" i="78"/>
  <c r="E152" i="78"/>
  <c r="D162" i="78"/>
  <c r="E156" i="78"/>
  <c r="E158" i="78"/>
  <c r="E163" i="78"/>
  <c r="E165" i="78"/>
  <c r="D157" i="78"/>
  <c r="D154" i="78"/>
  <c r="O141" i="78"/>
  <c r="D165" i="77"/>
  <c r="D158" i="77"/>
  <c r="D146" i="77"/>
  <c r="I180" i="77"/>
  <c r="P68" i="77"/>
  <c r="H162" i="77"/>
  <c r="H164" i="77"/>
  <c r="H157" i="77"/>
  <c r="H159" i="77"/>
  <c r="H153" i="77"/>
  <c r="H163" i="77"/>
  <c r="H165" i="77"/>
  <c r="H156" i="77"/>
  <c r="H158" i="77"/>
  <c r="H147" i="77"/>
  <c r="H155" i="77"/>
  <c r="E157" i="77"/>
  <c r="E159" i="77"/>
  <c r="E162" i="77"/>
  <c r="E164" i="77"/>
  <c r="E152" i="77"/>
  <c r="D162" i="77"/>
  <c r="E156" i="77"/>
  <c r="E158" i="77"/>
  <c r="E163" i="77"/>
  <c r="E165" i="77"/>
  <c r="D157" i="77"/>
  <c r="D154" i="77"/>
  <c r="O141" i="77"/>
  <c r="D163" i="76"/>
  <c r="D165" i="76"/>
  <c r="D156" i="76"/>
  <c r="D158" i="76"/>
  <c r="D159" i="76"/>
  <c r="O141" i="76"/>
  <c r="I180" i="76"/>
  <c r="H162" i="76"/>
  <c r="H164" i="76"/>
  <c r="H157" i="76"/>
  <c r="H159" i="76"/>
  <c r="H153" i="76"/>
  <c r="H163" i="76"/>
  <c r="H165" i="76"/>
  <c r="H156" i="76"/>
  <c r="H158" i="76"/>
  <c r="H147" i="76"/>
  <c r="H155" i="76"/>
  <c r="E157" i="76"/>
  <c r="E159" i="76"/>
  <c r="E162" i="76"/>
  <c r="E164" i="76"/>
  <c r="E152" i="76"/>
  <c r="E156" i="76"/>
  <c r="E158" i="76"/>
  <c r="E163" i="76"/>
  <c r="E165" i="76"/>
  <c r="D154" i="76"/>
  <c r="D162" i="76"/>
  <c r="D150" i="75"/>
  <c r="D152" i="75"/>
  <c r="D144" i="75"/>
  <c r="D146" i="75"/>
  <c r="D159" i="75"/>
  <c r="D165" i="75"/>
  <c r="I180" i="75"/>
  <c r="P68" i="75"/>
  <c r="H164" i="75"/>
  <c r="H159" i="75"/>
  <c r="H151" i="75"/>
  <c r="H153" i="75"/>
  <c r="H165" i="75"/>
  <c r="H158" i="75"/>
  <c r="H145" i="75"/>
  <c r="H147" i="75"/>
  <c r="H155" i="75"/>
  <c r="E158" i="75"/>
  <c r="D154" i="75"/>
  <c r="D151" i="75"/>
  <c r="E147" i="75"/>
  <c r="E151" i="75"/>
  <c r="E153" i="75"/>
  <c r="E144" i="75"/>
  <c r="E164" i="75"/>
  <c r="E150" i="75"/>
  <c r="E152" i="75"/>
  <c r="D164" i="75"/>
  <c r="D147" i="75"/>
  <c r="O141" i="75"/>
  <c r="H144" i="75"/>
  <c r="D150" i="74"/>
  <c r="D164" i="74"/>
  <c r="D147" i="74"/>
  <c r="O141" i="74"/>
  <c r="H144" i="74"/>
  <c r="D165" i="74"/>
  <c r="D146" i="74"/>
  <c r="D152" i="74"/>
  <c r="D159" i="74"/>
  <c r="I180" i="74"/>
  <c r="P68" i="74"/>
  <c r="H164" i="74"/>
  <c r="H159" i="74"/>
  <c r="H151" i="74"/>
  <c r="H153" i="74"/>
  <c r="H165" i="74"/>
  <c r="H158" i="74"/>
  <c r="H145" i="74"/>
  <c r="H147" i="74"/>
  <c r="H155" i="74"/>
  <c r="E151" i="74"/>
  <c r="E153" i="74"/>
  <c r="E144" i="74"/>
  <c r="E164" i="74"/>
  <c r="E150" i="74"/>
  <c r="E152" i="74"/>
  <c r="E158" i="74"/>
  <c r="D154" i="74"/>
  <c r="D151" i="74"/>
  <c r="E147" i="74"/>
  <c r="D163" i="73"/>
  <c r="D165" i="73"/>
  <c r="D144" i="73"/>
  <c r="D150" i="73"/>
  <c r="D158" i="73"/>
  <c r="D146" i="73"/>
  <c r="D164" i="73"/>
  <c r="D147" i="73"/>
  <c r="O141" i="73"/>
  <c r="H144" i="73"/>
  <c r="D152" i="73"/>
  <c r="D159" i="73"/>
  <c r="I180" i="73"/>
  <c r="P68" i="73"/>
  <c r="H164" i="73"/>
  <c r="H157" i="73"/>
  <c r="H159" i="73"/>
  <c r="H151" i="73"/>
  <c r="H153" i="73"/>
  <c r="H163" i="73"/>
  <c r="H165" i="73"/>
  <c r="H158" i="73"/>
  <c r="H145" i="73"/>
  <c r="H147" i="73"/>
  <c r="H155" i="73"/>
  <c r="E157" i="73"/>
  <c r="E159" i="73"/>
  <c r="E151" i="73"/>
  <c r="E153" i="73"/>
  <c r="E144" i="73"/>
  <c r="F144" i="73"/>
  <c r="I144" i="73"/>
  <c r="E164" i="73"/>
  <c r="E150" i="73"/>
  <c r="E152" i="73"/>
  <c r="E158" i="73"/>
  <c r="E163" i="73"/>
  <c r="E165" i="73"/>
  <c r="D154" i="73"/>
  <c r="D151" i="73"/>
  <c r="E145" i="73"/>
  <c r="E147" i="73"/>
  <c r="D146" i="72"/>
  <c r="I180" i="72"/>
  <c r="P68" i="72"/>
  <c r="H164" i="72"/>
  <c r="H159" i="72"/>
  <c r="H151" i="72"/>
  <c r="H153" i="72"/>
  <c r="H165" i="72"/>
  <c r="H158" i="72"/>
  <c r="H145" i="72"/>
  <c r="H147" i="72"/>
  <c r="H155" i="72"/>
  <c r="E159" i="72"/>
  <c r="E151" i="72"/>
  <c r="E153" i="72"/>
  <c r="E144" i="72"/>
  <c r="E150" i="72"/>
  <c r="E152" i="72"/>
  <c r="D150" i="72"/>
  <c r="E165" i="72"/>
  <c r="D157" i="72"/>
  <c r="D154" i="72"/>
  <c r="D151" i="72"/>
  <c r="E147" i="72"/>
  <c r="O141" i="72"/>
  <c r="H144" i="72"/>
  <c r="D165" i="71"/>
  <c r="D158" i="71"/>
  <c r="D146" i="71"/>
  <c r="I180" i="71"/>
  <c r="H162" i="71"/>
  <c r="H164" i="71"/>
  <c r="H157" i="71"/>
  <c r="H159" i="71"/>
  <c r="H153" i="71"/>
  <c r="H163" i="71"/>
  <c r="H165" i="71"/>
  <c r="H156" i="71"/>
  <c r="H158" i="71"/>
  <c r="H147" i="71"/>
  <c r="H155" i="71"/>
  <c r="E157" i="71"/>
  <c r="E159" i="71"/>
  <c r="E162" i="71"/>
  <c r="E164" i="71"/>
  <c r="E152" i="71"/>
  <c r="E156" i="71"/>
  <c r="E158" i="71"/>
  <c r="E163" i="71"/>
  <c r="E165" i="71"/>
  <c r="D154" i="71"/>
  <c r="O141" i="71"/>
  <c r="D157" i="71"/>
  <c r="D162" i="71"/>
  <c r="H146" i="70"/>
  <c r="I180" i="70"/>
  <c r="P68" i="70"/>
  <c r="H164" i="70"/>
  <c r="H159" i="70"/>
  <c r="H151" i="70"/>
  <c r="H153" i="70"/>
  <c r="H165" i="70"/>
  <c r="H158" i="70"/>
  <c r="H145" i="70"/>
  <c r="H147" i="70"/>
  <c r="H155" i="70"/>
  <c r="E159" i="70"/>
  <c r="E151" i="70"/>
  <c r="E153" i="70"/>
  <c r="E144" i="70"/>
  <c r="E147" i="70"/>
  <c r="E150" i="70"/>
  <c r="E152" i="70"/>
  <c r="D154" i="70"/>
  <c r="D150" i="70"/>
  <c r="D157" i="70"/>
  <c r="E165" i="70"/>
  <c r="D144" i="70"/>
  <c r="D151" i="70"/>
  <c r="D164" i="69"/>
  <c r="O141" i="69"/>
  <c r="D152" i="69"/>
  <c r="D165" i="69"/>
  <c r="D158" i="69"/>
  <c r="D146" i="69"/>
  <c r="I180" i="69"/>
  <c r="H162" i="69"/>
  <c r="H164" i="69"/>
  <c r="H157" i="69"/>
  <c r="H159" i="69"/>
  <c r="H153" i="69"/>
  <c r="H163" i="69"/>
  <c r="H165" i="69"/>
  <c r="H156" i="69"/>
  <c r="H158" i="69"/>
  <c r="H147" i="69"/>
  <c r="H155" i="69"/>
  <c r="E156" i="69"/>
  <c r="E158" i="69"/>
  <c r="E163" i="69"/>
  <c r="E165" i="69"/>
  <c r="D157" i="69"/>
  <c r="D154" i="69"/>
  <c r="E157" i="69"/>
  <c r="E159" i="69"/>
  <c r="F144" i="69"/>
  <c r="I144" i="69"/>
  <c r="E162" i="69"/>
  <c r="E164" i="69"/>
  <c r="E152" i="69"/>
  <c r="D164" i="68"/>
  <c r="O141" i="68"/>
  <c r="H144" i="68"/>
  <c r="D145" i="68"/>
  <c r="D165" i="68"/>
  <c r="D158" i="68"/>
  <c r="H57" i="68"/>
  <c r="D144" i="68"/>
  <c r="I180" i="68"/>
  <c r="P68" i="68"/>
  <c r="H164" i="68"/>
  <c r="H157" i="68"/>
  <c r="H159" i="68"/>
  <c r="H151" i="68"/>
  <c r="H153" i="68"/>
  <c r="H163" i="68"/>
  <c r="H165" i="68"/>
  <c r="H158" i="68"/>
  <c r="H145" i="68"/>
  <c r="H147" i="68"/>
  <c r="H155" i="68"/>
  <c r="E157" i="68"/>
  <c r="E159" i="68"/>
  <c r="E151" i="68"/>
  <c r="E153" i="68"/>
  <c r="E144" i="68"/>
  <c r="E164" i="68"/>
  <c r="E150" i="68"/>
  <c r="E152" i="68"/>
  <c r="E158" i="68"/>
  <c r="E163" i="68"/>
  <c r="E165" i="68"/>
  <c r="D154" i="68"/>
  <c r="D151" i="68"/>
  <c r="E145" i="68"/>
  <c r="E147" i="68"/>
  <c r="D150" i="68"/>
  <c r="D157" i="68"/>
  <c r="D144" i="67"/>
  <c r="D146" i="67"/>
  <c r="D165" i="67"/>
  <c r="I180" i="67"/>
  <c r="P68" i="67"/>
  <c r="H164" i="67"/>
  <c r="H159" i="67"/>
  <c r="H151" i="67"/>
  <c r="H153" i="67"/>
  <c r="H165" i="67"/>
  <c r="H158" i="67"/>
  <c r="H59" i="67"/>
  <c r="H145" i="67"/>
  <c r="H147" i="67"/>
  <c r="H155" i="67"/>
  <c r="E159" i="67"/>
  <c r="E151" i="67"/>
  <c r="E153" i="67"/>
  <c r="E144" i="67"/>
  <c r="F144" i="67"/>
  <c r="E150" i="67"/>
  <c r="E152" i="67"/>
  <c r="E165" i="67"/>
  <c r="D154" i="67"/>
  <c r="D151" i="67"/>
  <c r="E147" i="67"/>
  <c r="D150" i="67"/>
  <c r="D157" i="67"/>
  <c r="O141" i="67"/>
  <c r="H144" i="67"/>
  <c r="D165" i="66"/>
  <c r="D164" i="66"/>
  <c r="O141" i="66"/>
  <c r="H144" i="66"/>
  <c r="D144" i="66"/>
  <c r="I180" i="66"/>
  <c r="P68" i="66"/>
  <c r="H164" i="66"/>
  <c r="H159" i="66"/>
  <c r="H151" i="66"/>
  <c r="H153" i="66"/>
  <c r="H165" i="66"/>
  <c r="H158" i="66"/>
  <c r="H145" i="66"/>
  <c r="H147" i="66"/>
  <c r="H155" i="66"/>
  <c r="E159" i="66"/>
  <c r="E151" i="66"/>
  <c r="E153" i="66"/>
  <c r="E144" i="66"/>
  <c r="E150" i="66"/>
  <c r="E152" i="66"/>
  <c r="E165" i="66"/>
  <c r="D154" i="66"/>
  <c r="D151" i="66"/>
  <c r="E147" i="66"/>
  <c r="D150" i="66"/>
  <c r="D157" i="66"/>
  <c r="D146" i="65"/>
  <c r="D165" i="65"/>
  <c r="I180" i="65"/>
  <c r="P68" i="65"/>
  <c r="H164" i="65"/>
  <c r="H159" i="65"/>
  <c r="H151" i="65"/>
  <c r="H153" i="65"/>
  <c r="H165" i="65"/>
  <c r="H158" i="65"/>
  <c r="H145" i="65"/>
  <c r="H147" i="65"/>
  <c r="H155" i="65"/>
  <c r="E159" i="65"/>
  <c r="E151" i="65"/>
  <c r="E153" i="65"/>
  <c r="E144" i="65"/>
  <c r="E150" i="65"/>
  <c r="E152" i="65"/>
  <c r="E165" i="65"/>
  <c r="D154" i="65"/>
  <c r="D151" i="65"/>
  <c r="E147" i="65"/>
  <c r="O141" i="65"/>
  <c r="H144" i="65"/>
  <c r="D150" i="65"/>
  <c r="D157" i="65"/>
  <c r="D150" i="64"/>
  <c r="D165" i="64"/>
  <c r="D158" i="64"/>
  <c r="D146" i="64"/>
  <c r="D164" i="64"/>
  <c r="D147" i="64"/>
  <c r="O141" i="64"/>
  <c r="H144" i="64"/>
  <c r="D152" i="64"/>
  <c r="D159" i="64"/>
  <c r="I180" i="64"/>
  <c r="P68" i="64"/>
  <c r="H162" i="64"/>
  <c r="H164" i="64"/>
  <c r="H159" i="64"/>
  <c r="H151" i="64"/>
  <c r="H153" i="64"/>
  <c r="H165" i="64"/>
  <c r="H156" i="64"/>
  <c r="H158" i="64"/>
  <c r="H145" i="64"/>
  <c r="H147" i="64"/>
  <c r="H155" i="64"/>
  <c r="E159" i="64"/>
  <c r="E151" i="64"/>
  <c r="E153" i="64"/>
  <c r="E144" i="64"/>
  <c r="E162" i="64"/>
  <c r="E164" i="64"/>
  <c r="E150" i="64"/>
  <c r="E152" i="64"/>
  <c r="E156" i="64"/>
  <c r="E158" i="64"/>
  <c r="E165" i="64"/>
  <c r="D154" i="64"/>
  <c r="D151" i="64"/>
  <c r="E145" i="64"/>
  <c r="E147" i="64"/>
  <c r="D150" i="63"/>
  <c r="D163" i="63"/>
  <c r="D156" i="63"/>
  <c r="D158" i="63"/>
  <c r="D144" i="63"/>
  <c r="D146" i="63"/>
  <c r="D162" i="63"/>
  <c r="D164" i="63"/>
  <c r="D147" i="63"/>
  <c r="O141" i="63"/>
  <c r="H144" i="63"/>
  <c r="D165" i="63"/>
  <c r="D152" i="63"/>
  <c r="D159" i="63"/>
  <c r="I180" i="63"/>
  <c r="H162" i="63"/>
  <c r="H164" i="63"/>
  <c r="H157" i="63"/>
  <c r="H159" i="63"/>
  <c r="H151" i="63"/>
  <c r="H153" i="63"/>
  <c r="H163" i="63"/>
  <c r="H165" i="63"/>
  <c r="H156" i="63"/>
  <c r="H158" i="63"/>
  <c r="H145" i="63"/>
  <c r="H147" i="63"/>
  <c r="H155" i="63"/>
  <c r="E157" i="63"/>
  <c r="E159" i="63"/>
  <c r="E153" i="63"/>
  <c r="E144" i="63"/>
  <c r="E162" i="63"/>
  <c r="E164" i="63"/>
  <c r="E150" i="63"/>
  <c r="E152" i="63"/>
  <c r="E156" i="63"/>
  <c r="E158" i="63"/>
  <c r="E163" i="63"/>
  <c r="E165" i="63"/>
  <c r="D154" i="63"/>
  <c r="E147" i="63"/>
  <c r="D150" i="62"/>
  <c r="D152" i="62"/>
  <c r="D164" i="62"/>
  <c r="D165" i="62"/>
  <c r="D147" i="62"/>
  <c r="O141" i="62"/>
  <c r="H144" i="62"/>
  <c r="D144" i="62"/>
  <c r="D159" i="62"/>
  <c r="I180" i="62"/>
  <c r="P68" i="62"/>
  <c r="H164" i="62"/>
  <c r="H159" i="62"/>
  <c r="H151" i="62"/>
  <c r="H153" i="62"/>
  <c r="H165" i="62"/>
  <c r="H158" i="62"/>
  <c r="H145" i="62"/>
  <c r="H147" i="62"/>
  <c r="H155" i="62"/>
  <c r="E158" i="62"/>
  <c r="E165" i="62"/>
  <c r="D154" i="62"/>
  <c r="D151" i="62"/>
  <c r="E147" i="62"/>
  <c r="E159" i="62"/>
  <c r="E151" i="62"/>
  <c r="E153" i="62"/>
  <c r="E144" i="62"/>
  <c r="E164" i="62"/>
  <c r="E150" i="62"/>
  <c r="E152" i="62"/>
  <c r="D165" i="61"/>
  <c r="D164" i="61"/>
  <c r="D147" i="61"/>
  <c r="O141" i="61"/>
  <c r="H144" i="61"/>
  <c r="D156" i="61"/>
  <c r="D144" i="61"/>
  <c r="D152" i="61"/>
  <c r="D159" i="61"/>
  <c r="I180" i="61"/>
  <c r="P68" i="61"/>
  <c r="H162" i="61"/>
  <c r="H164" i="61"/>
  <c r="H157" i="61"/>
  <c r="H159" i="61"/>
  <c r="H151" i="61"/>
  <c r="H153" i="61"/>
  <c r="H163" i="61"/>
  <c r="H165" i="61"/>
  <c r="H156" i="61"/>
  <c r="H158" i="61"/>
  <c r="H145" i="61"/>
  <c r="H147" i="61"/>
  <c r="H155" i="61"/>
  <c r="E156" i="61"/>
  <c r="E158" i="61"/>
  <c r="E163" i="61"/>
  <c r="E165" i="61"/>
  <c r="D154" i="61"/>
  <c r="E147" i="61"/>
  <c r="E157" i="61"/>
  <c r="E159" i="61"/>
  <c r="E153" i="61"/>
  <c r="E144" i="61"/>
  <c r="E162" i="61"/>
  <c r="E164" i="61"/>
  <c r="E150" i="61"/>
  <c r="E152" i="61"/>
  <c r="D163" i="60"/>
  <c r="D165" i="60"/>
  <c r="D146" i="60"/>
  <c r="D158" i="60"/>
  <c r="I180" i="60"/>
  <c r="H162" i="60"/>
  <c r="H164" i="60"/>
  <c r="H157" i="60"/>
  <c r="H159" i="60"/>
  <c r="H153" i="60"/>
  <c r="H163" i="60"/>
  <c r="H165" i="60"/>
  <c r="H156" i="60"/>
  <c r="H158" i="60"/>
  <c r="H147" i="60"/>
  <c r="H155" i="60"/>
  <c r="E157" i="60"/>
  <c r="E159" i="60"/>
  <c r="E153" i="60"/>
  <c r="E162" i="60"/>
  <c r="E164" i="60"/>
  <c r="E156" i="60"/>
  <c r="E158" i="60"/>
  <c r="E163" i="60"/>
  <c r="E165" i="60"/>
  <c r="D154" i="60"/>
  <c r="E147" i="60"/>
  <c r="D157" i="60"/>
  <c r="O141" i="60"/>
  <c r="D162" i="60"/>
  <c r="D150" i="59"/>
  <c r="D147" i="59"/>
  <c r="D162" i="59"/>
  <c r="O141" i="59"/>
  <c r="H144" i="59"/>
  <c r="D165" i="59"/>
  <c r="D146" i="59"/>
  <c r="D152" i="59"/>
  <c r="D159" i="59"/>
  <c r="I180" i="59"/>
  <c r="P68" i="59"/>
  <c r="H162" i="59"/>
  <c r="H164" i="59"/>
  <c r="H159" i="59"/>
  <c r="H151" i="59"/>
  <c r="H153" i="59"/>
  <c r="H165" i="59"/>
  <c r="H156" i="59"/>
  <c r="H158" i="59"/>
  <c r="H145" i="59"/>
  <c r="H147" i="59"/>
  <c r="H155" i="59"/>
  <c r="E159" i="59"/>
  <c r="E151" i="59"/>
  <c r="E153" i="59"/>
  <c r="E144" i="59"/>
  <c r="E162" i="59"/>
  <c r="E164" i="59"/>
  <c r="E150" i="59"/>
  <c r="E152" i="59"/>
  <c r="E156" i="59"/>
  <c r="E158" i="59"/>
  <c r="E165" i="59"/>
  <c r="D154" i="59"/>
  <c r="D151" i="59"/>
  <c r="E145" i="59"/>
  <c r="E147" i="59"/>
  <c r="D165" i="58"/>
  <c r="D146" i="58"/>
  <c r="I180" i="58"/>
  <c r="P68" i="58"/>
  <c r="H164" i="58"/>
  <c r="H159" i="58"/>
  <c r="H151" i="58"/>
  <c r="H153" i="58"/>
  <c r="H165" i="58"/>
  <c r="H158" i="58"/>
  <c r="H145" i="58"/>
  <c r="H147" i="58"/>
  <c r="H155" i="58"/>
  <c r="E159" i="58"/>
  <c r="E151" i="58"/>
  <c r="E153" i="58"/>
  <c r="E144" i="58"/>
  <c r="E150" i="58"/>
  <c r="E152" i="58"/>
  <c r="D150" i="58"/>
  <c r="E165" i="58"/>
  <c r="D157" i="58"/>
  <c r="D154" i="58"/>
  <c r="D151" i="58"/>
  <c r="E147" i="58"/>
  <c r="O141" i="58"/>
  <c r="H144" i="58"/>
  <c r="D146" i="57"/>
  <c r="D165" i="57"/>
  <c r="D158" i="57"/>
  <c r="I180" i="57"/>
  <c r="P68" i="57"/>
  <c r="H164" i="57"/>
  <c r="H157" i="57"/>
  <c r="H159" i="57"/>
  <c r="H153" i="57"/>
  <c r="H163" i="57"/>
  <c r="H165" i="57"/>
  <c r="H156" i="57"/>
  <c r="H158" i="57"/>
  <c r="H147" i="57"/>
  <c r="H155" i="57"/>
  <c r="E156" i="57"/>
  <c r="E158" i="57"/>
  <c r="E163" i="57"/>
  <c r="E165" i="57"/>
  <c r="D157" i="57"/>
  <c r="D154" i="57"/>
  <c r="E157" i="57"/>
  <c r="E159" i="57"/>
  <c r="E164" i="57"/>
  <c r="E152" i="57"/>
  <c r="O141" i="57"/>
  <c r="D157" i="56"/>
  <c r="D163" i="56"/>
  <c r="D165" i="56"/>
  <c r="D164" i="56"/>
  <c r="D147" i="56"/>
  <c r="O141" i="56"/>
  <c r="D152" i="56"/>
  <c r="D159" i="56"/>
  <c r="D158" i="56"/>
  <c r="I180" i="56"/>
  <c r="H162" i="56"/>
  <c r="H164" i="56"/>
  <c r="H157" i="56"/>
  <c r="H159" i="56"/>
  <c r="H153" i="56"/>
  <c r="H163" i="56"/>
  <c r="H165" i="56"/>
  <c r="H156" i="56"/>
  <c r="H158" i="56"/>
  <c r="H147" i="56"/>
  <c r="H155" i="56"/>
  <c r="E156" i="56"/>
  <c r="E158" i="56"/>
  <c r="E163" i="56"/>
  <c r="E165" i="56"/>
  <c r="D154" i="56"/>
  <c r="E157" i="56"/>
  <c r="E159" i="56"/>
  <c r="E162" i="56"/>
  <c r="E164" i="56"/>
  <c r="E152" i="56"/>
  <c r="D150" i="55"/>
  <c r="D164" i="55"/>
  <c r="D147" i="55"/>
  <c r="I180" i="55"/>
  <c r="H164" i="55"/>
  <c r="H159" i="55"/>
  <c r="H151" i="55"/>
  <c r="H153" i="55"/>
  <c r="H165" i="55"/>
  <c r="H158" i="55"/>
  <c r="H145" i="55"/>
  <c r="H147" i="55"/>
  <c r="H155" i="55"/>
  <c r="E158" i="55"/>
  <c r="D154" i="55"/>
  <c r="D151" i="55"/>
  <c r="D144" i="55"/>
  <c r="E147" i="55"/>
  <c r="E151" i="55"/>
  <c r="E153" i="55"/>
  <c r="E144" i="55"/>
  <c r="E164" i="55"/>
  <c r="E150" i="55"/>
  <c r="E152" i="55"/>
  <c r="D152" i="55"/>
  <c r="D159" i="55"/>
  <c r="O141" i="55"/>
  <c r="H144" i="55"/>
  <c r="C129" i="54"/>
  <c r="L145" i="54"/>
  <c r="P64" i="54"/>
  <c r="H180" i="54"/>
  <c r="G180" i="54"/>
  <c r="P57" i="54"/>
  <c r="E93" i="54"/>
  <c r="P58" i="54"/>
  <c r="Q58" i="54"/>
  <c r="E180" i="54"/>
  <c r="H124" i="54"/>
  <c r="P59" i="54"/>
  <c r="H150" i="54"/>
  <c r="H152" i="54"/>
  <c r="O167" i="54"/>
  <c r="L171" i="54"/>
  <c r="L145" i="53"/>
  <c r="G174" i="53"/>
  <c r="E93" i="53"/>
  <c r="P57" i="53"/>
  <c r="P58" i="53"/>
  <c r="Q58" i="53"/>
  <c r="H180" i="53"/>
  <c r="O59" i="53"/>
  <c r="L61" i="53"/>
  <c r="J110" i="53"/>
  <c r="H124" i="53"/>
  <c r="C129" i="53"/>
  <c r="H150" i="53"/>
  <c r="H152" i="53"/>
  <c r="L151" i="53"/>
  <c r="G175" i="53"/>
  <c r="I177" i="53"/>
  <c r="P59" i="53"/>
  <c r="O167" i="53"/>
  <c r="L171" i="53"/>
  <c r="O173" i="53"/>
  <c r="G180" i="53"/>
  <c r="J110" i="52"/>
  <c r="L61" i="52"/>
  <c r="G180" i="52"/>
  <c r="O59" i="52"/>
  <c r="P59" i="52"/>
  <c r="L151" i="52"/>
  <c r="C129" i="52"/>
  <c r="O145" i="52"/>
  <c r="O151" i="52"/>
  <c r="P58" i="52"/>
  <c r="Q58" i="52"/>
  <c r="H180" i="52"/>
  <c r="H124" i="52"/>
  <c r="E93" i="52"/>
  <c r="L145" i="52"/>
  <c r="O167" i="52"/>
  <c r="O173" i="52"/>
  <c r="P57" i="52"/>
  <c r="E61" i="52"/>
  <c r="D164" i="57"/>
  <c r="O77" i="67"/>
  <c r="D177" i="73"/>
  <c r="H57" i="74"/>
  <c r="P68" i="83"/>
  <c r="F145" i="75"/>
  <c r="H59" i="66"/>
  <c r="O78" i="66"/>
  <c r="H59" i="68"/>
  <c r="I162" i="81"/>
  <c r="D177" i="59"/>
  <c r="H58" i="68"/>
  <c r="H58" i="73"/>
  <c r="H59" i="73"/>
  <c r="H146" i="83"/>
  <c r="D152" i="83"/>
  <c r="F150" i="83"/>
  <c r="I150" i="83"/>
  <c r="D164" i="83"/>
  <c r="I162" i="83"/>
  <c r="H168" i="83"/>
  <c r="I156" i="83"/>
  <c r="F163" i="83"/>
  <c r="D153" i="83"/>
  <c r="I151" i="83"/>
  <c r="F151" i="83"/>
  <c r="D159" i="83"/>
  <c r="I157" i="83"/>
  <c r="F157" i="83"/>
  <c r="D147" i="83"/>
  <c r="I145" i="83"/>
  <c r="F145" i="83"/>
  <c r="E146" i="83"/>
  <c r="P65" i="83"/>
  <c r="I172" i="83"/>
  <c r="P69" i="83"/>
  <c r="E168" i="83"/>
  <c r="P67" i="83"/>
  <c r="D168" i="83"/>
  <c r="D177" i="83"/>
  <c r="F144" i="83"/>
  <c r="I144" i="83"/>
  <c r="I163" i="83"/>
  <c r="P68" i="82"/>
  <c r="G175" i="82"/>
  <c r="I177" i="82"/>
  <c r="D164" i="82"/>
  <c r="I162" i="82"/>
  <c r="D152" i="82"/>
  <c r="F150" i="82"/>
  <c r="I150" i="82"/>
  <c r="D153" i="82"/>
  <c r="F151" i="82"/>
  <c r="E146" i="82"/>
  <c r="P65" i="82"/>
  <c r="I172" i="82"/>
  <c r="P69" i="82"/>
  <c r="P67" i="82"/>
  <c r="I61" i="82"/>
  <c r="D177" i="82"/>
  <c r="F144" i="82"/>
  <c r="I144" i="82"/>
  <c r="I163" i="82"/>
  <c r="H146" i="82"/>
  <c r="H59" i="82"/>
  <c r="D159" i="82"/>
  <c r="H57" i="82"/>
  <c r="I157" i="82"/>
  <c r="F157" i="82"/>
  <c r="I156" i="82"/>
  <c r="F163" i="82"/>
  <c r="F163" i="81"/>
  <c r="O84" i="81"/>
  <c r="I156" i="81"/>
  <c r="H57" i="81"/>
  <c r="H146" i="81"/>
  <c r="H59" i="81"/>
  <c r="O76" i="81"/>
  <c r="F150" i="81"/>
  <c r="I150" i="81"/>
  <c r="I144" i="81"/>
  <c r="D153" i="81"/>
  <c r="I151" i="81"/>
  <c r="F151" i="81"/>
  <c r="E146" i="81"/>
  <c r="P65" i="81"/>
  <c r="I172" i="81"/>
  <c r="P69" i="81"/>
  <c r="P67" i="81"/>
  <c r="I61" i="81"/>
  <c r="F157" i="81"/>
  <c r="F163" i="80"/>
  <c r="D152" i="80"/>
  <c r="P65" i="80"/>
  <c r="I172" i="80"/>
  <c r="P69" i="80"/>
  <c r="P67" i="80"/>
  <c r="P70" i="80"/>
  <c r="I61" i="80"/>
  <c r="F145" i="80"/>
  <c r="I156" i="80"/>
  <c r="H146" i="80"/>
  <c r="H59" i="80"/>
  <c r="D159" i="80"/>
  <c r="I157" i="80"/>
  <c r="F157" i="80"/>
  <c r="D153" i="80"/>
  <c r="H57" i="80"/>
  <c r="I151" i="80"/>
  <c r="F151" i="80"/>
  <c r="E146" i="80"/>
  <c r="H58" i="80"/>
  <c r="O77" i="80"/>
  <c r="I162" i="80"/>
  <c r="D177" i="80"/>
  <c r="I163" i="80"/>
  <c r="D164" i="79"/>
  <c r="I162" i="79"/>
  <c r="D153" i="79"/>
  <c r="F151" i="79"/>
  <c r="D159" i="79"/>
  <c r="I157" i="79"/>
  <c r="F157" i="79"/>
  <c r="D147" i="79"/>
  <c r="F145" i="79"/>
  <c r="I156" i="79"/>
  <c r="F163" i="79"/>
  <c r="D152" i="79"/>
  <c r="F150" i="79"/>
  <c r="I150" i="79"/>
  <c r="E146" i="79"/>
  <c r="O77" i="79"/>
  <c r="P65" i="79"/>
  <c r="I172" i="79"/>
  <c r="P69" i="79"/>
  <c r="P67" i="79"/>
  <c r="I61" i="79"/>
  <c r="D177" i="79"/>
  <c r="F144" i="79"/>
  <c r="I144" i="79"/>
  <c r="I163" i="79"/>
  <c r="H177" i="79"/>
  <c r="H146" i="79"/>
  <c r="H59" i="79"/>
  <c r="H146" i="78"/>
  <c r="H59" i="78"/>
  <c r="O77" i="78"/>
  <c r="D152" i="78"/>
  <c r="F150" i="78"/>
  <c r="I150" i="78"/>
  <c r="D164" i="78"/>
  <c r="I162" i="78"/>
  <c r="I156" i="78"/>
  <c r="F163" i="78"/>
  <c r="D153" i="78"/>
  <c r="F151" i="78"/>
  <c r="D159" i="78"/>
  <c r="I157" i="78"/>
  <c r="F157" i="78"/>
  <c r="D147" i="78"/>
  <c r="H57" i="78"/>
  <c r="F145" i="78"/>
  <c r="E146" i="78"/>
  <c r="P65" i="78"/>
  <c r="I172" i="78"/>
  <c r="P69" i="78"/>
  <c r="P67" i="78"/>
  <c r="P70" i="78"/>
  <c r="I61" i="78"/>
  <c r="D177" i="78"/>
  <c r="F144" i="78"/>
  <c r="I144" i="78"/>
  <c r="I163" i="78"/>
  <c r="H146" i="77"/>
  <c r="H59" i="77"/>
  <c r="O77" i="77"/>
  <c r="D152" i="77"/>
  <c r="F150" i="77"/>
  <c r="I150" i="77"/>
  <c r="D164" i="77"/>
  <c r="I162" i="77"/>
  <c r="I156" i="77"/>
  <c r="F163" i="77"/>
  <c r="D153" i="77"/>
  <c r="F151" i="77"/>
  <c r="D159" i="77"/>
  <c r="I157" i="77"/>
  <c r="F157" i="77"/>
  <c r="D147" i="77"/>
  <c r="H57" i="77"/>
  <c r="F145" i="77"/>
  <c r="E146" i="77"/>
  <c r="P65" i="77"/>
  <c r="I172" i="77"/>
  <c r="P69" i="77"/>
  <c r="P67" i="77"/>
  <c r="P70" i="77"/>
  <c r="I61" i="77"/>
  <c r="F144" i="77"/>
  <c r="I144" i="77"/>
  <c r="D177" i="77"/>
  <c r="I163" i="77"/>
  <c r="P68" i="76"/>
  <c r="G175" i="76"/>
  <c r="I177" i="76"/>
  <c r="D164" i="76"/>
  <c r="I162" i="76"/>
  <c r="I156" i="76"/>
  <c r="F163" i="76"/>
  <c r="H146" i="76"/>
  <c r="H59" i="76"/>
  <c r="O78" i="76"/>
  <c r="I157" i="76"/>
  <c r="D147" i="76"/>
  <c r="F145" i="76"/>
  <c r="D153" i="76"/>
  <c r="F151" i="76"/>
  <c r="E146" i="76"/>
  <c r="P65" i="76"/>
  <c r="I172" i="76"/>
  <c r="P69" i="76"/>
  <c r="E177" i="76"/>
  <c r="P67" i="76"/>
  <c r="I61" i="76"/>
  <c r="D177" i="76"/>
  <c r="D146" i="76"/>
  <c r="F144" i="76"/>
  <c r="I144" i="76"/>
  <c r="I163" i="76"/>
  <c r="D152" i="76"/>
  <c r="F150" i="76"/>
  <c r="I150" i="76"/>
  <c r="F157" i="76"/>
  <c r="G179" i="75"/>
  <c r="I162" i="75"/>
  <c r="H146" i="75"/>
  <c r="E146" i="75"/>
  <c r="O77" i="75"/>
  <c r="D153" i="75"/>
  <c r="I151" i="75"/>
  <c r="F151" i="75"/>
  <c r="P65" i="75"/>
  <c r="I172" i="75"/>
  <c r="P69" i="75"/>
  <c r="E177" i="75"/>
  <c r="I61" i="75"/>
  <c r="P67" i="75"/>
  <c r="H59" i="75"/>
  <c r="I156" i="75"/>
  <c r="F163" i="75"/>
  <c r="F150" i="75"/>
  <c r="I150" i="75"/>
  <c r="G178" i="75"/>
  <c r="O84" i="75"/>
  <c r="F157" i="75"/>
  <c r="H57" i="75"/>
  <c r="F144" i="75"/>
  <c r="I144" i="75"/>
  <c r="D177" i="75"/>
  <c r="H59" i="74"/>
  <c r="O78" i="74"/>
  <c r="I168" i="74"/>
  <c r="P85" i="74"/>
  <c r="D153" i="74"/>
  <c r="I151" i="74"/>
  <c r="F151" i="74"/>
  <c r="P65" i="74"/>
  <c r="I172" i="74"/>
  <c r="P69" i="74"/>
  <c r="I61" i="74"/>
  <c r="P67" i="74"/>
  <c r="F157" i="74"/>
  <c r="I156" i="74"/>
  <c r="F163" i="74"/>
  <c r="I162" i="74"/>
  <c r="O77" i="74"/>
  <c r="E146" i="74"/>
  <c r="E177" i="74"/>
  <c r="F150" i="74"/>
  <c r="I150" i="74"/>
  <c r="F144" i="74"/>
  <c r="I144" i="74"/>
  <c r="D177" i="74"/>
  <c r="O76" i="74"/>
  <c r="H61" i="74"/>
  <c r="O57" i="74"/>
  <c r="H177" i="74"/>
  <c r="H146" i="74"/>
  <c r="F145" i="74"/>
  <c r="H57" i="73"/>
  <c r="O76" i="73"/>
  <c r="O77" i="73"/>
  <c r="O78" i="73"/>
  <c r="O79" i="73"/>
  <c r="P65" i="73"/>
  <c r="I172" i="73"/>
  <c r="P69" i="73"/>
  <c r="P67" i="73"/>
  <c r="I61" i="73"/>
  <c r="D169" i="73"/>
  <c r="G57" i="73"/>
  <c r="F157" i="73"/>
  <c r="I145" i="73"/>
  <c r="H169" i="73"/>
  <c r="G59" i="73"/>
  <c r="H61" i="73"/>
  <c r="I163" i="73"/>
  <c r="D153" i="73"/>
  <c r="I151" i="73"/>
  <c r="F151" i="73"/>
  <c r="E146" i="73"/>
  <c r="E177" i="73"/>
  <c r="H168" i="73"/>
  <c r="I157" i="73"/>
  <c r="F150" i="73"/>
  <c r="I150" i="73"/>
  <c r="H146" i="73"/>
  <c r="F145" i="73"/>
  <c r="F163" i="73"/>
  <c r="H146" i="72"/>
  <c r="H59" i="72"/>
  <c r="O77" i="72"/>
  <c r="D152" i="72"/>
  <c r="F150" i="72"/>
  <c r="I150" i="72"/>
  <c r="D164" i="72"/>
  <c r="F163" i="72"/>
  <c r="D153" i="72"/>
  <c r="I151" i="72"/>
  <c r="F151" i="72"/>
  <c r="D159" i="72"/>
  <c r="I157" i="72"/>
  <c r="F157" i="72"/>
  <c r="D147" i="72"/>
  <c r="F145" i="72"/>
  <c r="E146" i="72"/>
  <c r="P65" i="72"/>
  <c r="I172" i="72"/>
  <c r="P69" i="72"/>
  <c r="P67" i="72"/>
  <c r="P70" i="72"/>
  <c r="I61" i="72"/>
  <c r="F144" i="72"/>
  <c r="I144" i="72"/>
  <c r="D177" i="72"/>
  <c r="I163" i="72"/>
  <c r="P68" i="71"/>
  <c r="G175" i="71"/>
  <c r="I177" i="71"/>
  <c r="D164" i="71"/>
  <c r="I162" i="71"/>
  <c r="D152" i="71"/>
  <c r="F150" i="71"/>
  <c r="I150" i="71"/>
  <c r="I156" i="71"/>
  <c r="F163" i="71"/>
  <c r="D159" i="71"/>
  <c r="I157" i="71"/>
  <c r="F157" i="71"/>
  <c r="H177" i="71"/>
  <c r="H146" i="71"/>
  <c r="H59" i="71"/>
  <c r="O78" i="71"/>
  <c r="D147" i="71"/>
  <c r="F145" i="71"/>
  <c r="D153" i="71"/>
  <c r="F151" i="71"/>
  <c r="E146" i="71"/>
  <c r="O77" i="71"/>
  <c r="P65" i="71"/>
  <c r="I172" i="71"/>
  <c r="P69" i="71"/>
  <c r="P67" i="71"/>
  <c r="I61" i="71"/>
  <c r="D177" i="71"/>
  <c r="F144" i="71"/>
  <c r="I144" i="71"/>
  <c r="I163" i="71"/>
  <c r="H59" i="70"/>
  <c r="D146" i="70"/>
  <c r="F144" i="70"/>
  <c r="I144" i="70"/>
  <c r="D147" i="70"/>
  <c r="F145" i="70"/>
  <c r="D165" i="70"/>
  <c r="I163" i="70"/>
  <c r="F163" i="70"/>
  <c r="E177" i="70"/>
  <c r="I151" i="70"/>
  <c r="D153" i="70"/>
  <c r="F151" i="70"/>
  <c r="F157" i="70"/>
  <c r="D159" i="70"/>
  <c r="I157" i="70"/>
  <c r="D152" i="70"/>
  <c r="F150" i="70"/>
  <c r="I150" i="70"/>
  <c r="D164" i="70"/>
  <c r="E146" i="70"/>
  <c r="O77" i="70"/>
  <c r="P65" i="70"/>
  <c r="P69" i="70"/>
  <c r="I172" i="70"/>
  <c r="I61" i="70"/>
  <c r="P67" i="70"/>
  <c r="P70" i="70"/>
  <c r="O78" i="70"/>
  <c r="D177" i="69"/>
  <c r="P68" i="69"/>
  <c r="G175" i="69"/>
  <c r="I177" i="69"/>
  <c r="I163" i="69"/>
  <c r="F150" i="69"/>
  <c r="I150" i="69"/>
  <c r="H177" i="69"/>
  <c r="H146" i="69"/>
  <c r="H59" i="69"/>
  <c r="O78" i="69"/>
  <c r="I162" i="69"/>
  <c r="E146" i="69"/>
  <c r="E177" i="69"/>
  <c r="D153" i="69"/>
  <c r="F151" i="69"/>
  <c r="D159" i="69"/>
  <c r="I157" i="69"/>
  <c r="F157" i="69"/>
  <c r="D147" i="69"/>
  <c r="F145" i="69"/>
  <c r="O83" i="69"/>
  <c r="E171" i="69"/>
  <c r="P67" i="69"/>
  <c r="I61" i="69"/>
  <c r="P65" i="69"/>
  <c r="I172" i="69"/>
  <c r="P69" i="69"/>
  <c r="I156" i="69"/>
  <c r="F163" i="69"/>
  <c r="D159" i="68"/>
  <c r="I157" i="68"/>
  <c r="F157" i="68"/>
  <c r="O77" i="68"/>
  <c r="E146" i="68"/>
  <c r="O78" i="68"/>
  <c r="I61" i="68"/>
  <c r="P67" i="68"/>
  <c r="P65" i="68"/>
  <c r="I172" i="68"/>
  <c r="P69" i="68"/>
  <c r="H168" i="68"/>
  <c r="F163" i="68"/>
  <c r="H146" i="68"/>
  <c r="D152" i="68"/>
  <c r="F150" i="68"/>
  <c r="I150" i="68"/>
  <c r="D153" i="68"/>
  <c r="I151" i="68"/>
  <c r="F151" i="68"/>
  <c r="D169" i="68"/>
  <c r="G57" i="68"/>
  <c r="D177" i="68"/>
  <c r="D146" i="68"/>
  <c r="F144" i="68"/>
  <c r="I144" i="68"/>
  <c r="O76" i="68"/>
  <c r="O57" i="68"/>
  <c r="I163" i="68"/>
  <c r="D147" i="68"/>
  <c r="I145" i="68"/>
  <c r="H169" i="68"/>
  <c r="G59" i="68"/>
  <c r="F145" i="68"/>
  <c r="I144" i="67"/>
  <c r="H146" i="67"/>
  <c r="D164" i="67"/>
  <c r="D152" i="67"/>
  <c r="F150" i="67"/>
  <c r="I150" i="67"/>
  <c r="H57" i="67"/>
  <c r="I163" i="67"/>
  <c r="D147" i="67"/>
  <c r="J59" i="67"/>
  <c r="K59" i="67"/>
  <c r="F145" i="67"/>
  <c r="D159" i="67"/>
  <c r="I157" i="67"/>
  <c r="F157" i="67"/>
  <c r="D153" i="67"/>
  <c r="I151" i="67"/>
  <c r="F151" i="67"/>
  <c r="E146" i="67"/>
  <c r="O78" i="67"/>
  <c r="I61" i="67"/>
  <c r="P67" i="67"/>
  <c r="P65" i="67"/>
  <c r="I172" i="67"/>
  <c r="P69" i="67"/>
  <c r="F163" i="67"/>
  <c r="O77" i="66"/>
  <c r="D159" i="66"/>
  <c r="H57" i="66"/>
  <c r="I157" i="66"/>
  <c r="F157" i="66"/>
  <c r="E146" i="66"/>
  <c r="I61" i="66"/>
  <c r="P67" i="66"/>
  <c r="P65" i="66"/>
  <c r="I172" i="66"/>
  <c r="P69" i="66"/>
  <c r="F163" i="66"/>
  <c r="H146" i="66"/>
  <c r="D152" i="66"/>
  <c r="F150" i="66"/>
  <c r="I150" i="66"/>
  <c r="D153" i="66"/>
  <c r="I151" i="66"/>
  <c r="F151" i="66"/>
  <c r="D177" i="66"/>
  <c r="D146" i="66"/>
  <c r="F144" i="66"/>
  <c r="I144" i="66"/>
  <c r="I163" i="66"/>
  <c r="D147" i="66"/>
  <c r="F145" i="66"/>
  <c r="D152" i="65"/>
  <c r="F150" i="65"/>
  <c r="I150" i="65"/>
  <c r="D147" i="65"/>
  <c r="F145" i="65"/>
  <c r="H59" i="65"/>
  <c r="F163" i="65"/>
  <c r="D159" i="65"/>
  <c r="I157" i="65"/>
  <c r="F157" i="65"/>
  <c r="H177" i="65"/>
  <c r="H146" i="65"/>
  <c r="D164" i="65"/>
  <c r="D153" i="65"/>
  <c r="I151" i="65"/>
  <c r="F151" i="65"/>
  <c r="E146" i="65"/>
  <c r="E177" i="65"/>
  <c r="O83" i="65"/>
  <c r="E171" i="65"/>
  <c r="I61" i="65"/>
  <c r="P67" i="65"/>
  <c r="P65" i="65"/>
  <c r="I172" i="65"/>
  <c r="P69" i="65"/>
  <c r="I163" i="65"/>
  <c r="F144" i="65"/>
  <c r="I144" i="65"/>
  <c r="D177" i="65"/>
  <c r="H58" i="64"/>
  <c r="H168" i="64"/>
  <c r="D153" i="64"/>
  <c r="I151" i="64"/>
  <c r="F151" i="64"/>
  <c r="E146" i="64"/>
  <c r="E177" i="64"/>
  <c r="F150" i="64"/>
  <c r="I150" i="64"/>
  <c r="H177" i="64"/>
  <c r="H146" i="64"/>
  <c r="H59" i="64"/>
  <c r="F145" i="64"/>
  <c r="H57" i="64"/>
  <c r="I156" i="64"/>
  <c r="F163" i="64"/>
  <c r="O77" i="64"/>
  <c r="P65" i="64"/>
  <c r="I172" i="64"/>
  <c r="P69" i="64"/>
  <c r="E169" i="64"/>
  <c r="G58" i="64"/>
  <c r="O83" i="64"/>
  <c r="E171" i="64"/>
  <c r="I61" i="64"/>
  <c r="P67" i="64"/>
  <c r="D169" i="64"/>
  <c r="G57" i="64"/>
  <c r="F157" i="64"/>
  <c r="I145" i="64"/>
  <c r="I162" i="64"/>
  <c r="F144" i="64"/>
  <c r="I144" i="64"/>
  <c r="D177" i="64"/>
  <c r="H58" i="63"/>
  <c r="O77" i="63"/>
  <c r="P68" i="63"/>
  <c r="G175" i="63"/>
  <c r="I177" i="63"/>
  <c r="G174" i="63"/>
  <c r="D153" i="63"/>
  <c r="H57" i="63"/>
  <c r="O76" i="63"/>
  <c r="F151" i="63"/>
  <c r="P65" i="63"/>
  <c r="I172" i="63"/>
  <c r="P69" i="63"/>
  <c r="E177" i="63"/>
  <c r="I61" i="63"/>
  <c r="P67" i="63"/>
  <c r="D169" i="63"/>
  <c r="G57" i="63"/>
  <c r="O57" i="63"/>
  <c r="F157" i="63"/>
  <c r="I156" i="63"/>
  <c r="F163" i="63"/>
  <c r="H169" i="63"/>
  <c r="G59" i="63"/>
  <c r="I162" i="63"/>
  <c r="E146" i="63"/>
  <c r="H168" i="63"/>
  <c r="I157" i="63"/>
  <c r="F150" i="63"/>
  <c r="I150" i="63"/>
  <c r="F144" i="63"/>
  <c r="I144" i="63"/>
  <c r="D177" i="63"/>
  <c r="I163" i="63"/>
  <c r="H146" i="63"/>
  <c r="H59" i="63"/>
  <c r="F145" i="63"/>
  <c r="P65" i="62"/>
  <c r="I172" i="62"/>
  <c r="P69" i="62"/>
  <c r="P67" i="62"/>
  <c r="P70" i="62"/>
  <c r="I61" i="62"/>
  <c r="F157" i="62"/>
  <c r="F163" i="62"/>
  <c r="E146" i="62"/>
  <c r="H58" i="62"/>
  <c r="O83" i="62"/>
  <c r="D153" i="62"/>
  <c r="I151" i="62"/>
  <c r="F151" i="62"/>
  <c r="I157" i="62"/>
  <c r="F150" i="62"/>
  <c r="I150" i="62"/>
  <c r="D146" i="62"/>
  <c r="F144" i="62"/>
  <c r="I144" i="62"/>
  <c r="H177" i="62"/>
  <c r="H146" i="62"/>
  <c r="H59" i="62"/>
  <c r="F145" i="62"/>
  <c r="H57" i="62"/>
  <c r="I163" i="62"/>
  <c r="E171" i="61"/>
  <c r="D169" i="61"/>
  <c r="G57" i="61"/>
  <c r="P65" i="61"/>
  <c r="I172" i="61"/>
  <c r="P69" i="61"/>
  <c r="P67" i="61"/>
  <c r="P70" i="61"/>
  <c r="I61" i="61"/>
  <c r="F157" i="61"/>
  <c r="D158" i="61"/>
  <c r="I156" i="61"/>
  <c r="H169" i="61"/>
  <c r="G59" i="61"/>
  <c r="I162" i="61"/>
  <c r="F163" i="61"/>
  <c r="E146" i="61"/>
  <c r="H58" i="61"/>
  <c r="E177" i="61"/>
  <c r="D153" i="61"/>
  <c r="F151" i="61"/>
  <c r="H168" i="61"/>
  <c r="I157" i="61"/>
  <c r="F150" i="61"/>
  <c r="I150" i="61"/>
  <c r="D177" i="61"/>
  <c r="D146" i="61"/>
  <c r="H57" i="61"/>
  <c r="F144" i="61"/>
  <c r="I144" i="61"/>
  <c r="H177" i="61"/>
  <c r="H146" i="61"/>
  <c r="H59" i="61"/>
  <c r="F145" i="61"/>
  <c r="I163" i="61"/>
  <c r="I168" i="60"/>
  <c r="P68" i="60"/>
  <c r="G175" i="60"/>
  <c r="I177" i="60"/>
  <c r="D147" i="60"/>
  <c r="F145" i="60"/>
  <c r="D152" i="60"/>
  <c r="D153" i="60"/>
  <c r="I151" i="60"/>
  <c r="F151" i="60"/>
  <c r="P65" i="60"/>
  <c r="I172" i="60"/>
  <c r="P69" i="60"/>
  <c r="I61" i="60"/>
  <c r="P67" i="60"/>
  <c r="I156" i="60"/>
  <c r="F163" i="60"/>
  <c r="D164" i="60"/>
  <c r="I162" i="60"/>
  <c r="H177" i="60"/>
  <c r="H146" i="60"/>
  <c r="H59" i="60"/>
  <c r="D159" i="60"/>
  <c r="H57" i="60"/>
  <c r="I157" i="60"/>
  <c r="F157" i="60"/>
  <c r="E177" i="60"/>
  <c r="I163" i="60"/>
  <c r="D177" i="60"/>
  <c r="H58" i="59"/>
  <c r="O77" i="59"/>
  <c r="H59" i="59"/>
  <c r="E146" i="59"/>
  <c r="H168" i="59"/>
  <c r="F150" i="59"/>
  <c r="I150" i="59"/>
  <c r="F144" i="59"/>
  <c r="I144" i="59"/>
  <c r="H177" i="59"/>
  <c r="H146" i="59"/>
  <c r="D164" i="59"/>
  <c r="H57" i="59"/>
  <c r="I162" i="59"/>
  <c r="I145" i="59"/>
  <c r="H169" i="59"/>
  <c r="G59" i="59"/>
  <c r="D153" i="59"/>
  <c r="I151" i="59"/>
  <c r="F151" i="59"/>
  <c r="P65" i="59"/>
  <c r="I172" i="59"/>
  <c r="P69" i="59"/>
  <c r="O78" i="59"/>
  <c r="J59" i="59"/>
  <c r="K59" i="59"/>
  <c r="I61" i="59"/>
  <c r="P67" i="59"/>
  <c r="D169" i="59"/>
  <c r="G57" i="59"/>
  <c r="F157" i="59"/>
  <c r="I156" i="59"/>
  <c r="F163" i="59"/>
  <c r="F145" i="59"/>
  <c r="H146" i="58"/>
  <c r="H59" i="58"/>
  <c r="O77" i="58"/>
  <c r="D152" i="58"/>
  <c r="F150" i="58"/>
  <c r="I150" i="58"/>
  <c r="D164" i="58"/>
  <c r="F163" i="58"/>
  <c r="D153" i="58"/>
  <c r="I151" i="58"/>
  <c r="F151" i="58"/>
  <c r="D159" i="58"/>
  <c r="I157" i="58"/>
  <c r="F157" i="58"/>
  <c r="D147" i="58"/>
  <c r="H57" i="58"/>
  <c r="F145" i="58"/>
  <c r="E146" i="58"/>
  <c r="P65" i="58"/>
  <c r="I172" i="58"/>
  <c r="P69" i="58"/>
  <c r="P67" i="58"/>
  <c r="I61" i="58"/>
  <c r="F144" i="58"/>
  <c r="I144" i="58"/>
  <c r="D177" i="58"/>
  <c r="I163" i="58"/>
  <c r="D153" i="57"/>
  <c r="F151" i="57"/>
  <c r="D159" i="57"/>
  <c r="I157" i="57"/>
  <c r="F157" i="57"/>
  <c r="D147" i="57"/>
  <c r="F145" i="57"/>
  <c r="I163" i="57"/>
  <c r="H177" i="57"/>
  <c r="H146" i="57"/>
  <c r="H59" i="57"/>
  <c r="E146" i="57"/>
  <c r="D152" i="57"/>
  <c r="F150" i="57"/>
  <c r="I150" i="57"/>
  <c r="P65" i="57"/>
  <c r="I172" i="57"/>
  <c r="P69" i="57"/>
  <c r="E177" i="57"/>
  <c r="P67" i="57"/>
  <c r="P70" i="57"/>
  <c r="I61" i="57"/>
  <c r="I156" i="57"/>
  <c r="F163" i="57"/>
  <c r="F144" i="57"/>
  <c r="I144" i="57"/>
  <c r="D177" i="57"/>
  <c r="P68" i="56"/>
  <c r="G175" i="56"/>
  <c r="I177" i="56"/>
  <c r="E146" i="56"/>
  <c r="O77" i="56"/>
  <c r="D153" i="56"/>
  <c r="F151" i="56"/>
  <c r="P65" i="56"/>
  <c r="I172" i="56"/>
  <c r="P69" i="56"/>
  <c r="E177" i="56"/>
  <c r="I61" i="56"/>
  <c r="P67" i="56"/>
  <c r="D177" i="56"/>
  <c r="D146" i="56"/>
  <c r="H57" i="56"/>
  <c r="F144" i="56"/>
  <c r="I144" i="56"/>
  <c r="I163" i="56"/>
  <c r="F157" i="56"/>
  <c r="I162" i="56"/>
  <c r="I156" i="56"/>
  <c r="F163" i="56"/>
  <c r="I157" i="56"/>
  <c r="F150" i="56"/>
  <c r="I150" i="56"/>
  <c r="H146" i="56"/>
  <c r="H59" i="56"/>
  <c r="O78" i="56"/>
  <c r="F145" i="56"/>
  <c r="F150" i="55"/>
  <c r="I150" i="55"/>
  <c r="E177" i="55"/>
  <c r="D165" i="55"/>
  <c r="H57" i="55"/>
  <c r="F163" i="55"/>
  <c r="I156" i="55"/>
  <c r="E146" i="55"/>
  <c r="F144" i="55"/>
  <c r="I144" i="55"/>
  <c r="D146" i="55"/>
  <c r="P65" i="55"/>
  <c r="I172" i="55"/>
  <c r="P69" i="55"/>
  <c r="I162" i="55"/>
  <c r="H177" i="55"/>
  <c r="H146" i="55"/>
  <c r="H59" i="55"/>
  <c r="F157" i="55"/>
  <c r="D153" i="55"/>
  <c r="I151" i="55"/>
  <c r="F151" i="55"/>
  <c r="E171" i="55"/>
  <c r="P67" i="55"/>
  <c r="I61" i="55"/>
  <c r="P68" i="55"/>
  <c r="G174" i="55"/>
  <c r="G175" i="55"/>
  <c r="I177" i="55"/>
  <c r="F145" i="55"/>
  <c r="D180" i="54"/>
  <c r="O145" i="54"/>
  <c r="O151" i="54"/>
  <c r="L175" i="54"/>
  <c r="O174" i="54"/>
  <c r="O175" i="54"/>
  <c r="L172" i="54"/>
  <c r="O171" i="54"/>
  <c r="O151" i="53"/>
  <c r="E180" i="53"/>
  <c r="O145" i="53"/>
  <c r="O171" i="53"/>
  <c r="L175" i="53"/>
  <c r="O174" i="53"/>
  <c r="O175" i="53"/>
  <c r="L172" i="53"/>
  <c r="D180" i="53"/>
  <c r="D156" i="52"/>
  <c r="D152" i="52"/>
  <c r="E157" i="52"/>
  <c r="E159" i="52"/>
  <c r="O171" i="52"/>
  <c r="L175" i="52"/>
  <c r="O174" i="52"/>
  <c r="O175" i="52"/>
  <c r="L172" i="52"/>
  <c r="D162" i="52"/>
  <c r="E162" i="52"/>
  <c r="E164" i="52"/>
  <c r="D154" i="52"/>
  <c r="E180" i="52"/>
  <c r="E147" i="52"/>
  <c r="D158" i="52"/>
  <c r="I180" i="52"/>
  <c r="H157" i="52"/>
  <c r="H159" i="52"/>
  <c r="H153" i="52"/>
  <c r="H163" i="52"/>
  <c r="H165" i="52"/>
  <c r="H156" i="52"/>
  <c r="H158" i="52"/>
  <c r="H162" i="52"/>
  <c r="H164" i="52"/>
  <c r="D157" i="52"/>
  <c r="L171" i="52"/>
  <c r="E163" i="52"/>
  <c r="E165" i="52"/>
  <c r="E156" i="52"/>
  <c r="E158" i="52"/>
  <c r="H152" i="52"/>
  <c r="H61" i="68"/>
  <c r="O83" i="60"/>
  <c r="E177" i="62"/>
  <c r="E171" i="62"/>
  <c r="O79" i="68"/>
  <c r="P70" i="71"/>
  <c r="H57" i="71"/>
  <c r="O57" i="73"/>
  <c r="O79" i="74"/>
  <c r="E171" i="74"/>
  <c r="G179" i="81"/>
  <c r="I61" i="83"/>
  <c r="P70" i="73"/>
  <c r="G178" i="81"/>
  <c r="O83" i="55"/>
  <c r="P70" i="60"/>
  <c r="E171" i="60"/>
  <c r="P70" i="64"/>
  <c r="H57" i="72"/>
  <c r="H177" i="73"/>
  <c r="H57" i="76"/>
  <c r="D150" i="54"/>
  <c r="D152" i="54"/>
  <c r="P70" i="56"/>
  <c r="P70" i="75"/>
  <c r="P70" i="83"/>
  <c r="P70" i="59"/>
  <c r="I168" i="69"/>
  <c r="F145" i="82"/>
  <c r="D163" i="52"/>
  <c r="D165" i="52"/>
  <c r="D169" i="83"/>
  <c r="I168" i="83"/>
  <c r="P85" i="83"/>
  <c r="E171" i="83"/>
  <c r="E177" i="83"/>
  <c r="H169" i="83"/>
  <c r="H177" i="83"/>
  <c r="P70" i="82"/>
  <c r="G178" i="82"/>
  <c r="O76" i="82"/>
  <c r="H61" i="82"/>
  <c r="O78" i="82"/>
  <c r="O83" i="82"/>
  <c r="E171" i="82"/>
  <c r="O77" i="82"/>
  <c r="J58" i="82"/>
  <c r="H177" i="82"/>
  <c r="I168" i="82"/>
  <c r="P85" i="82"/>
  <c r="E177" i="82"/>
  <c r="O77" i="81"/>
  <c r="H61" i="81"/>
  <c r="O78" i="81"/>
  <c r="O79" i="81"/>
  <c r="J59" i="81"/>
  <c r="K59" i="81"/>
  <c r="D177" i="81"/>
  <c r="I168" i="81"/>
  <c r="P85" i="81"/>
  <c r="P70" i="81"/>
  <c r="O83" i="81"/>
  <c r="E171" i="81"/>
  <c r="E177" i="81"/>
  <c r="H177" i="81"/>
  <c r="H177" i="80"/>
  <c r="O76" i="80"/>
  <c r="H61" i="80"/>
  <c r="I168" i="80"/>
  <c r="P85" i="80"/>
  <c r="E171" i="80"/>
  <c r="J171" i="80"/>
  <c r="L173" i="80"/>
  <c r="E177" i="80"/>
  <c r="O78" i="80"/>
  <c r="J59" i="80"/>
  <c r="K59" i="80"/>
  <c r="P70" i="79"/>
  <c r="H57" i="79"/>
  <c r="O57" i="79"/>
  <c r="I168" i="79"/>
  <c r="P85" i="79"/>
  <c r="E171" i="79"/>
  <c r="E177" i="79"/>
  <c r="J59" i="79"/>
  <c r="K59" i="79"/>
  <c r="O78" i="79"/>
  <c r="J171" i="79"/>
  <c r="L173" i="79"/>
  <c r="J141" i="79"/>
  <c r="J170" i="79"/>
  <c r="H61" i="79"/>
  <c r="I168" i="78"/>
  <c r="P85" i="78"/>
  <c r="E171" i="78"/>
  <c r="E177" i="78"/>
  <c r="O76" i="78"/>
  <c r="H61" i="78"/>
  <c r="O57" i="78"/>
  <c r="O78" i="78"/>
  <c r="H177" i="78"/>
  <c r="I168" i="77"/>
  <c r="P85" i="77"/>
  <c r="E171" i="77"/>
  <c r="E177" i="77"/>
  <c r="O76" i="77"/>
  <c r="H61" i="77"/>
  <c r="O57" i="77"/>
  <c r="O78" i="77"/>
  <c r="J171" i="77"/>
  <c r="L173" i="77"/>
  <c r="H177" i="77"/>
  <c r="J59" i="76"/>
  <c r="K59" i="76"/>
  <c r="H177" i="76"/>
  <c r="G178" i="76"/>
  <c r="G179" i="76"/>
  <c r="O84" i="76"/>
  <c r="O76" i="76"/>
  <c r="H61" i="76"/>
  <c r="I168" i="76"/>
  <c r="P85" i="76"/>
  <c r="P70" i="76"/>
  <c r="O83" i="76"/>
  <c r="E171" i="76"/>
  <c r="O77" i="76"/>
  <c r="J58" i="76"/>
  <c r="O76" i="75"/>
  <c r="H61" i="75"/>
  <c r="O57" i="75"/>
  <c r="O82" i="75"/>
  <c r="J57" i="75"/>
  <c r="O78" i="75"/>
  <c r="J59" i="75"/>
  <c r="K59" i="75"/>
  <c r="E171" i="75"/>
  <c r="I168" i="75"/>
  <c r="P85" i="75"/>
  <c r="H177" i="75"/>
  <c r="P70" i="74"/>
  <c r="J171" i="74"/>
  <c r="L173" i="74"/>
  <c r="J141" i="74"/>
  <c r="J170" i="74"/>
  <c r="G178" i="74"/>
  <c r="G179" i="74"/>
  <c r="O84" i="74"/>
  <c r="O82" i="74"/>
  <c r="G61" i="74"/>
  <c r="J57" i="74"/>
  <c r="J59" i="74"/>
  <c r="K59" i="74"/>
  <c r="E169" i="73"/>
  <c r="G58" i="73"/>
  <c r="E171" i="73"/>
  <c r="I168" i="73"/>
  <c r="P85" i="73"/>
  <c r="G178" i="73"/>
  <c r="G179" i="73"/>
  <c r="O84" i="73"/>
  <c r="O82" i="73"/>
  <c r="G61" i="73"/>
  <c r="J57" i="73"/>
  <c r="J59" i="73"/>
  <c r="K59" i="73"/>
  <c r="J171" i="73"/>
  <c r="L173" i="73"/>
  <c r="I168" i="72"/>
  <c r="P85" i="72"/>
  <c r="E171" i="72"/>
  <c r="E177" i="72"/>
  <c r="O76" i="72"/>
  <c r="H61" i="72"/>
  <c r="O57" i="72"/>
  <c r="O78" i="72"/>
  <c r="J171" i="72"/>
  <c r="L173" i="72"/>
  <c r="J141" i="72"/>
  <c r="J170" i="72"/>
  <c r="H177" i="72"/>
  <c r="O84" i="71"/>
  <c r="O57" i="71"/>
  <c r="I168" i="71"/>
  <c r="P85" i="71"/>
  <c r="E171" i="71"/>
  <c r="E177" i="71"/>
  <c r="G179" i="71"/>
  <c r="O76" i="71"/>
  <c r="O79" i="71"/>
  <c r="H61" i="71"/>
  <c r="J171" i="71"/>
  <c r="L173" i="71"/>
  <c r="H177" i="70"/>
  <c r="E171" i="70"/>
  <c r="H57" i="70"/>
  <c r="I168" i="70"/>
  <c r="P85" i="70"/>
  <c r="J141" i="70"/>
  <c r="J170" i="70"/>
  <c r="D177" i="70"/>
  <c r="P85" i="69"/>
  <c r="H57" i="69"/>
  <c r="H61" i="69"/>
  <c r="J59" i="69"/>
  <c r="K59" i="69"/>
  <c r="O76" i="69"/>
  <c r="J141" i="69"/>
  <c r="J170" i="69"/>
  <c r="P70" i="69"/>
  <c r="G178" i="69"/>
  <c r="G179" i="69"/>
  <c r="O84" i="69"/>
  <c r="O82" i="69"/>
  <c r="G61" i="69"/>
  <c r="J57" i="69"/>
  <c r="O77" i="69"/>
  <c r="O79" i="69"/>
  <c r="J58" i="69"/>
  <c r="J171" i="69"/>
  <c r="L173" i="69"/>
  <c r="H177" i="68"/>
  <c r="G178" i="68"/>
  <c r="G179" i="68"/>
  <c r="O84" i="68"/>
  <c r="E169" i="68"/>
  <c r="G58" i="68"/>
  <c r="E171" i="68"/>
  <c r="I168" i="68"/>
  <c r="P85" i="68"/>
  <c r="O82" i="68"/>
  <c r="J57" i="68"/>
  <c r="P70" i="68"/>
  <c r="J59" i="68"/>
  <c r="K59" i="68"/>
  <c r="E177" i="68"/>
  <c r="E171" i="67"/>
  <c r="G178" i="67"/>
  <c r="G179" i="67"/>
  <c r="O84" i="67"/>
  <c r="I168" i="67"/>
  <c r="P85" i="67"/>
  <c r="H177" i="67"/>
  <c r="J171" i="67"/>
  <c r="L173" i="67"/>
  <c r="P70" i="67"/>
  <c r="E177" i="67"/>
  <c r="O76" i="67"/>
  <c r="O79" i="67"/>
  <c r="O57" i="67"/>
  <c r="H61" i="67"/>
  <c r="J141" i="67"/>
  <c r="J170" i="67"/>
  <c r="D177" i="67"/>
  <c r="O76" i="66"/>
  <c r="O79" i="66"/>
  <c r="O57" i="66"/>
  <c r="H61" i="66"/>
  <c r="G178" i="66"/>
  <c r="G179" i="66"/>
  <c r="O84" i="66"/>
  <c r="H177" i="66"/>
  <c r="E171" i="66"/>
  <c r="I168" i="66"/>
  <c r="P85" i="66"/>
  <c r="O82" i="66"/>
  <c r="J57" i="66"/>
  <c r="P70" i="66"/>
  <c r="J59" i="66"/>
  <c r="K59" i="66"/>
  <c r="E177" i="66"/>
  <c r="H57" i="65"/>
  <c r="J57" i="65"/>
  <c r="I168" i="65"/>
  <c r="P85" i="65"/>
  <c r="J171" i="65"/>
  <c r="L173" i="65"/>
  <c r="O82" i="65"/>
  <c r="G61" i="65"/>
  <c r="O78" i="65"/>
  <c r="J59" i="65"/>
  <c r="K59" i="65"/>
  <c r="G178" i="65"/>
  <c r="G179" i="65"/>
  <c r="O84" i="65"/>
  <c r="P70" i="65"/>
  <c r="O77" i="65"/>
  <c r="J58" i="65"/>
  <c r="O57" i="65"/>
  <c r="H61" i="65"/>
  <c r="I168" i="64"/>
  <c r="P85" i="64"/>
  <c r="J171" i="64"/>
  <c r="L173" i="64"/>
  <c r="J141" i="64"/>
  <c r="J170" i="64"/>
  <c r="H169" i="64"/>
  <c r="G59" i="64"/>
  <c r="O82" i="64"/>
  <c r="G61" i="64"/>
  <c r="J57" i="64"/>
  <c r="J58" i="64"/>
  <c r="O76" i="64"/>
  <c r="O57" i="64"/>
  <c r="H61" i="64"/>
  <c r="O78" i="64"/>
  <c r="J59" i="64"/>
  <c r="K59" i="64"/>
  <c r="O78" i="63"/>
  <c r="H61" i="63"/>
  <c r="P70" i="63"/>
  <c r="G178" i="63"/>
  <c r="G179" i="63"/>
  <c r="O84" i="63"/>
  <c r="O82" i="63"/>
  <c r="J57" i="63"/>
  <c r="J59" i="63"/>
  <c r="K59" i="63"/>
  <c r="H177" i="63"/>
  <c r="O79" i="63"/>
  <c r="E169" i="63"/>
  <c r="G58" i="63"/>
  <c r="E171" i="63"/>
  <c r="I168" i="63"/>
  <c r="P85" i="63"/>
  <c r="D177" i="62"/>
  <c r="I168" i="62"/>
  <c r="P85" i="62"/>
  <c r="O76" i="62"/>
  <c r="H61" i="62"/>
  <c r="O57" i="62"/>
  <c r="O78" i="62"/>
  <c r="O82" i="62"/>
  <c r="G61" i="62"/>
  <c r="J57" i="62"/>
  <c r="O77" i="62"/>
  <c r="J58" i="62"/>
  <c r="O76" i="61"/>
  <c r="H61" i="61"/>
  <c r="O57" i="61"/>
  <c r="G178" i="61"/>
  <c r="G179" i="61"/>
  <c r="O84" i="61"/>
  <c r="I168" i="61"/>
  <c r="P85" i="61"/>
  <c r="O78" i="61"/>
  <c r="J59" i="61"/>
  <c r="K59" i="61"/>
  <c r="J171" i="61"/>
  <c r="L173" i="61"/>
  <c r="O77" i="61"/>
  <c r="O82" i="61"/>
  <c r="J57" i="61"/>
  <c r="E169" i="61"/>
  <c r="G58" i="61"/>
  <c r="O83" i="61"/>
  <c r="P85" i="60"/>
  <c r="J171" i="60"/>
  <c r="L173" i="60"/>
  <c r="J141" i="60"/>
  <c r="J170" i="60"/>
  <c r="O77" i="60"/>
  <c r="J58" i="60"/>
  <c r="O82" i="60"/>
  <c r="G61" i="60"/>
  <c r="J57" i="60"/>
  <c r="O78" i="60"/>
  <c r="J59" i="60"/>
  <c r="K59" i="60"/>
  <c r="G178" i="60"/>
  <c r="G179" i="60"/>
  <c r="O84" i="60"/>
  <c r="O76" i="60"/>
  <c r="H61" i="60"/>
  <c r="O57" i="60"/>
  <c r="O76" i="59"/>
  <c r="O79" i="59"/>
  <c r="H61" i="59"/>
  <c r="O57" i="59"/>
  <c r="E169" i="59"/>
  <c r="G58" i="59"/>
  <c r="E171" i="59"/>
  <c r="I168" i="59"/>
  <c r="P85" i="59"/>
  <c r="J171" i="59"/>
  <c r="L173" i="59"/>
  <c r="J141" i="59"/>
  <c r="J170" i="59"/>
  <c r="E177" i="59"/>
  <c r="O82" i="59"/>
  <c r="G61" i="59"/>
  <c r="J57" i="59"/>
  <c r="G178" i="59"/>
  <c r="G179" i="59"/>
  <c r="O84" i="59"/>
  <c r="P70" i="58"/>
  <c r="I168" i="58"/>
  <c r="P85" i="58"/>
  <c r="E171" i="58"/>
  <c r="E177" i="58"/>
  <c r="O76" i="58"/>
  <c r="H61" i="58"/>
  <c r="O57" i="58"/>
  <c r="O78" i="58"/>
  <c r="H177" i="58"/>
  <c r="H57" i="57"/>
  <c r="O76" i="57"/>
  <c r="O77" i="57"/>
  <c r="O78" i="57"/>
  <c r="O79" i="57"/>
  <c r="I168" i="57"/>
  <c r="P85" i="57"/>
  <c r="O83" i="57"/>
  <c r="E171" i="57"/>
  <c r="J58" i="57"/>
  <c r="G179" i="56"/>
  <c r="H177" i="56"/>
  <c r="H61" i="56"/>
  <c r="O76" i="56"/>
  <c r="O57" i="56"/>
  <c r="O79" i="56"/>
  <c r="O82" i="56"/>
  <c r="J57" i="56"/>
  <c r="I168" i="56"/>
  <c r="P85" i="56"/>
  <c r="G178" i="56"/>
  <c r="J171" i="56"/>
  <c r="L173" i="56"/>
  <c r="E171" i="56"/>
  <c r="I168" i="55"/>
  <c r="D177" i="55"/>
  <c r="P85" i="55"/>
  <c r="O82" i="55"/>
  <c r="G178" i="55"/>
  <c r="G179" i="55"/>
  <c r="O84" i="55"/>
  <c r="O76" i="55"/>
  <c r="H61" i="55"/>
  <c r="P70" i="55"/>
  <c r="O77" i="55"/>
  <c r="J58" i="55"/>
  <c r="O78" i="55"/>
  <c r="J59" i="55"/>
  <c r="K59" i="55"/>
  <c r="J171" i="55"/>
  <c r="L173" i="55"/>
  <c r="J141" i="55"/>
  <c r="J170" i="55"/>
  <c r="D147" i="54"/>
  <c r="D157" i="54"/>
  <c r="D144" i="54"/>
  <c r="D146" i="54"/>
  <c r="D162" i="54"/>
  <c r="D164" i="54"/>
  <c r="D159" i="54"/>
  <c r="H163" i="54"/>
  <c r="H165" i="54"/>
  <c r="H156" i="54"/>
  <c r="H158" i="54"/>
  <c r="H162" i="54"/>
  <c r="H164" i="54"/>
  <c r="H145" i="54"/>
  <c r="H147" i="54"/>
  <c r="H155" i="54"/>
  <c r="I180" i="54"/>
  <c r="H157" i="54"/>
  <c r="H159" i="54"/>
  <c r="H151" i="54"/>
  <c r="H153" i="54"/>
  <c r="D163" i="54"/>
  <c r="D154" i="54"/>
  <c r="E156" i="54"/>
  <c r="E158" i="54"/>
  <c r="E163" i="54"/>
  <c r="E165" i="54"/>
  <c r="E153" i="54"/>
  <c r="E162" i="54"/>
  <c r="E164" i="54"/>
  <c r="E150" i="54"/>
  <c r="E152" i="54"/>
  <c r="E147" i="54"/>
  <c r="E157" i="54"/>
  <c r="E159" i="54"/>
  <c r="E144" i="54"/>
  <c r="D156" i="54"/>
  <c r="O141" i="54"/>
  <c r="H144" i="54"/>
  <c r="I180" i="53"/>
  <c r="H159" i="53"/>
  <c r="H151" i="53"/>
  <c r="H153" i="53"/>
  <c r="H165" i="53"/>
  <c r="H158" i="53"/>
  <c r="P68" i="53"/>
  <c r="H164" i="53"/>
  <c r="H145" i="53"/>
  <c r="H147" i="53"/>
  <c r="H155" i="53"/>
  <c r="D154" i="53"/>
  <c r="E165" i="53"/>
  <c r="D151" i="53"/>
  <c r="E150" i="53"/>
  <c r="E152" i="53"/>
  <c r="E147" i="53"/>
  <c r="E159" i="53"/>
  <c r="E144" i="53"/>
  <c r="E151" i="53"/>
  <c r="E153" i="53"/>
  <c r="O141" i="53"/>
  <c r="H144" i="53"/>
  <c r="D144" i="53"/>
  <c r="D147" i="53"/>
  <c r="F145" i="53"/>
  <c r="D157" i="53"/>
  <c r="D150" i="53"/>
  <c r="P68" i="52"/>
  <c r="G175" i="52"/>
  <c r="I177" i="52"/>
  <c r="D153" i="52"/>
  <c r="O141" i="52"/>
  <c r="E153" i="52"/>
  <c r="P65" i="52"/>
  <c r="P69" i="52"/>
  <c r="I172" i="52"/>
  <c r="F163" i="52"/>
  <c r="H147" i="52"/>
  <c r="H155" i="52"/>
  <c r="I163" i="52"/>
  <c r="P67" i="52"/>
  <c r="I61" i="52"/>
  <c r="I156" i="52"/>
  <c r="I162" i="52"/>
  <c r="D164" i="52"/>
  <c r="F157" i="52"/>
  <c r="D159" i="52"/>
  <c r="I157" i="52"/>
  <c r="J141" i="83"/>
  <c r="J170" i="83"/>
  <c r="G61" i="68"/>
  <c r="O57" i="55"/>
  <c r="O57" i="57"/>
  <c r="J141" i="58"/>
  <c r="J170" i="58"/>
  <c r="O76" i="65"/>
  <c r="O79" i="65"/>
  <c r="L80" i="66"/>
  <c r="G61" i="66"/>
  <c r="J171" i="70"/>
  <c r="L173" i="70"/>
  <c r="J59" i="71"/>
  <c r="K59" i="71"/>
  <c r="G178" i="71"/>
  <c r="J141" i="77"/>
  <c r="J170" i="77"/>
  <c r="O76" i="79"/>
  <c r="O79" i="79"/>
  <c r="J171" i="83"/>
  <c r="L173" i="83"/>
  <c r="O84" i="56"/>
  <c r="J59" i="56"/>
  <c r="K59" i="56"/>
  <c r="H61" i="57"/>
  <c r="J141" i="78"/>
  <c r="J170" i="78"/>
  <c r="O83" i="74"/>
  <c r="J58" i="74"/>
  <c r="J141" i="71"/>
  <c r="J170" i="71"/>
  <c r="J171" i="78"/>
  <c r="L173" i="78"/>
  <c r="O79" i="78"/>
  <c r="G179" i="82"/>
  <c r="J59" i="82"/>
  <c r="K59" i="82"/>
  <c r="O84" i="82"/>
  <c r="O82" i="82"/>
  <c r="G61" i="82"/>
  <c r="J57" i="82"/>
  <c r="J141" i="82"/>
  <c r="J170" i="82"/>
  <c r="O57" i="82"/>
  <c r="O79" i="82"/>
  <c r="O58" i="82"/>
  <c r="K58" i="82"/>
  <c r="J171" i="82"/>
  <c r="L173" i="82"/>
  <c r="O82" i="81"/>
  <c r="O85" i="81"/>
  <c r="G61" i="81"/>
  <c r="J57" i="81"/>
  <c r="O57" i="81"/>
  <c r="J141" i="81"/>
  <c r="J170" i="81"/>
  <c r="J58" i="81"/>
  <c r="J171" i="81"/>
  <c r="L173" i="81"/>
  <c r="J141" i="80"/>
  <c r="J170" i="80"/>
  <c r="O83" i="80"/>
  <c r="J58" i="80"/>
  <c r="O82" i="80"/>
  <c r="G61" i="80"/>
  <c r="J57" i="80"/>
  <c r="O57" i="80"/>
  <c r="O79" i="80"/>
  <c r="G178" i="80"/>
  <c r="G179" i="80"/>
  <c r="O84" i="80"/>
  <c r="O83" i="79"/>
  <c r="J58" i="79"/>
  <c r="O82" i="79"/>
  <c r="G61" i="79"/>
  <c r="J57" i="79"/>
  <c r="G178" i="79"/>
  <c r="G179" i="79"/>
  <c r="O84" i="79"/>
  <c r="G178" i="78"/>
  <c r="G179" i="78"/>
  <c r="O84" i="78"/>
  <c r="J59" i="78"/>
  <c r="K59" i="78"/>
  <c r="O83" i="78"/>
  <c r="J58" i="78"/>
  <c r="O82" i="78"/>
  <c r="O85" i="78"/>
  <c r="G61" i="78"/>
  <c r="J57" i="78"/>
  <c r="G178" i="77"/>
  <c r="G179" i="77"/>
  <c r="O84" i="77"/>
  <c r="J59" i="77"/>
  <c r="K59" i="77"/>
  <c r="O79" i="77"/>
  <c r="O83" i="77"/>
  <c r="J58" i="77"/>
  <c r="O82" i="77"/>
  <c r="O85" i="77"/>
  <c r="G61" i="77"/>
  <c r="J57" i="77"/>
  <c r="O58" i="76"/>
  <c r="K58" i="76"/>
  <c r="J141" i="76"/>
  <c r="J170" i="76"/>
  <c r="O82" i="76"/>
  <c r="O85" i="76"/>
  <c r="G61" i="76"/>
  <c r="J57" i="76"/>
  <c r="O57" i="76"/>
  <c r="O79" i="76"/>
  <c r="J171" i="76"/>
  <c r="L173" i="76"/>
  <c r="O83" i="75"/>
  <c r="O85" i="75"/>
  <c r="J58" i="75"/>
  <c r="J61" i="75"/>
  <c r="K57" i="75"/>
  <c r="J171" i="75"/>
  <c r="L173" i="75"/>
  <c r="G61" i="75"/>
  <c r="J141" i="75"/>
  <c r="J170" i="75"/>
  <c r="O79" i="75"/>
  <c r="O85" i="74"/>
  <c r="L80" i="74"/>
  <c r="K57" i="74"/>
  <c r="K57" i="73"/>
  <c r="J141" i="73"/>
  <c r="J170" i="73"/>
  <c r="O83" i="73"/>
  <c r="O85" i="73"/>
  <c r="J58" i="73"/>
  <c r="J61" i="73"/>
  <c r="G178" i="72"/>
  <c r="G179" i="72"/>
  <c r="O84" i="72"/>
  <c r="J59" i="72"/>
  <c r="K59" i="72"/>
  <c r="O79" i="72"/>
  <c r="O83" i="72"/>
  <c r="J58" i="72"/>
  <c r="O82" i="72"/>
  <c r="G61" i="72"/>
  <c r="J57" i="72"/>
  <c r="O83" i="71"/>
  <c r="J58" i="71"/>
  <c r="O82" i="71"/>
  <c r="O85" i="71"/>
  <c r="G61" i="71"/>
  <c r="J57" i="71"/>
  <c r="G178" i="70"/>
  <c r="G179" i="70"/>
  <c r="O84" i="70"/>
  <c r="J59" i="70"/>
  <c r="K59" i="70"/>
  <c r="O82" i="70"/>
  <c r="G61" i="70"/>
  <c r="J57" i="70"/>
  <c r="O76" i="70"/>
  <c r="O79" i="70"/>
  <c r="H61" i="70"/>
  <c r="O57" i="70"/>
  <c r="O83" i="70"/>
  <c r="J58" i="70"/>
  <c r="O57" i="69"/>
  <c r="O85" i="69"/>
  <c r="L80" i="69"/>
  <c r="O58" i="69"/>
  <c r="K58" i="69"/>
  <c r="J61" i="69"/>
  <c r="K57" i="69"/>
  <c r="K61" i="69"/>
  <c r="K57" i="68"/>
  <c r="O83" i="68"/>
  <c r="O85" i="68"/>
  <c r="J58" i="68"/>
  <c r="J171" i="68"/>
  <c r="L173" i="68"/>
  <c r="J141" i="68"/>
  <c r="J170" i="68"/>
  <c r="O82" i="67"/>
  <c r="G61" i="67"/>
  <c r="J57" i="67"/>
  <c r="L80" i="67"/>
  <c r="O83" i="67"/>
  <c r="J58" i="67"/>
  <c r="J171" i="66"/>
  <c r="L173" i="66"/>
  <c r="K57" i="66"/>
  <c r="O83" i="66"/>
  <c r="O85" i="66"/>
  <c r="J58" i="66"/>
  <c r="J141" i="66"/>
  <c r="J170" i="66"/>
  <c r="J141" i="65"/>
  <c r="J170" i="65"/>
  <c r="L80" i="65"/>
  <c r="K58" i="65"/>
  <c r="O58" i="65"/>
  <c r="K57" i="65"/>
  <c r="K61" i="65"/>
  <c r="J61" i="65"/>
  <c r="O85" i="65"/>
  <c r="L80" i="64"/>
  <c r="K58" i="64"/>
  <c r="O58" i="64"/>
  <c r="G178" i="64"/>
  <c r="G179" i="64"/>
  <c r="O84" i="64"/>
  <c r="O79" i="64"/>
  <c r="K57" i="64"/>
  <c r="J61" i="64"/>
  <c r="O85" i="64"/>
  <c r="J141" i="63"/>
  <c r="J170" i="63"/>
  <c r="O83" i="63"/>
  <c r="O85" i="63"/>
  <c r="J58" i="63"/>
  <c r="J61" i="63"/>
  <c r="K57" i="63"/>
  <c r="J171" i="63"/>
  <c r="L173" i="63"/>
  <c r="G61" i="63"/>
  <c r="L80" i="62"/>
  <c r="J141" i="62"/>
  <c r="J170" i="62"/>
  <c r="J171" i="62"/>
  <c r="L173" i="62"/>
  <c r="K58" i="62"/>
  <c r="K57" i="62"/>
  <c r="G178" i="62"/>
  <c r="G179" i="62"/>
  <c r="O84" i="62"/>
  <c r="O85" i="62"/>
  <c r="J59" i="62"/>
  <c r="K59" i="62"/>
  <c r="O79" i="62"/>
  <c r="J141" i="61"/>
  <c r="J170" i="61"/>
  <c r="L80" i="61"/>
  <c r="K57" i="61"/>
  <c r="O85" i="61"/>
  <c r="G61" i="61"/>
  <c r="J58" i="61"/>
  <c r="O79" i="61"/>
  <c r="O79" i="60"/>
  <c r="J61" i="60"/>
  <c r="K57" i="60"/>
  <c r="K58" i="60"/>
  <c r="K61" i="60"/>
  <c r="O85" i="60"/>
  <c r="O58" i="60"/>
  <c r="L80" i="59"/>
  <c r="K57" i="59"/>
  <c r="O83" i="59"/>
  <c r="O85" i="59"/>
  <c r="J58" i="59"/>
  <c r="J171" i="58"/>
  <c r="L173" i="58"/>
  <c r="O79" i="58"/>
  <c r="G178" i="58"/>
  <c r="G179" i="58"/>
  <c r="O84" i="58"/>
  <c r="J59" i="58"/>
  <c r="K59" i="58"/>
  <c r="O83" i="58"/>
  <c r="J58" i="58"/>
  <c r="O82" i="58"/>
  <c r="O85" i="58"/>
  <c r="G61" i="58"/>
  <c r="J57" i="58"/>
  <c r="K58" i="57"/>
  <c r="O82" i="57"/>
  <c r="G61" i="57"/>
  <c r="J57" i="57"/>
  <c r="G178" i="57"/>
  <c r="G179" i="57"/>
  <c r="O84" i="57"/>
  <c r="J59" i="57"/>
  <c r="K59" i="57"/>
  <c r="J141" i="57"/>
  <c r="J170" i="57"/>
  <c r="J171" i="57"/>
  <c r="L173" i="57"/>
  <c r="J141" i="56"/>
  <c r="J170" i="56"/>
  <c r="O83" i="56"/>
  <c r="J58" i="56"/>
  <c r="J61" i="56"/>
  <c r="G61" i="56"/>
  <c r="K57" i="56"/>
  <c r="O85" i="56"/>
  <c r="J57" i="55"/>
  <c r="J61" i="55"/>
  <c r="G61" i="55"/>
  <c r="O58" i="55"/>
  <c r="K58" i="55"/>
  <c r="O79" i="55"/>
  <c r="K57" i="55"/>
  <c r="K61" i="55"/>
  <c r="O85" i="55"/>
  <c r="F145" i="54"/>
  <c r="P68" i="54"/>
  <c r="G175" i="54"/>
  <c r="I177" i="54"/>
  <c r="G174" i="54"/>
  <c r="F144" i="54"/>
  <c r="I144" i="54"/>
  <c r="I162" i="54"/>
  <c r="H169" i="54"/>
  <c r="G59" i="54"/>
  <c r="D158" i="54"/>
  <c r="I156" i="54"/>
  <c r="D153" i="54"/>
  <c r="F151" i="54"/>
  <c r="F163" i="54"/>
  <c r="D165" i="54"/>
  <c r="I163" i="54"/>
  <c r="P65" i="54"/>
  <c r="I172" i="54"/>
  <c r="P69" i="54"/>
  <c r="H168" i="54"/>
  <c r="F157" i="54"/>
  <c r="H146" i="54"/>
  <c r="H59" i="54"/>
  <c r="E146" i="54"/>
  <c r="H58" i="54"/>
  <c r="I61" i="54"/>
  <c r="P67" i="54"/>
  <c r="I157" i="54"/>
  <c r="F150" i="54"/>
  <c r="I150" i="54"/>
  <c r="G178" i="53"/>
  <c r="D152" i="53"/>
  <c r="F150" i="53"/>
  <c r="I150" i="53"/>
  <c r="D164" i="53"/>
  <c r="H146" i="53"/>
  <c r="H59" i="53"/>
  <c r="E146" i="53"/>
  <c r="P67" i="53"/>
  <c r="I61" i="53"/>
  <c r="D165" i="53"/>
  <c r="I163" i="53"/>
  <c r="F163" i="53"/>
  <c r="P65" i="53"/>
  <c r="I172" i="53"/>
  <c r="P69" i="53"/>
  <c r="F144" i="53"/>
  <c r="I144" i="53"/>
  <c r="D146" i="53"/>
  <c r="E177" i="53"/>
  <c r="F157" i="53"/>
  <c r="D159" i="53"/>
  <c r="I157" i="53"/>
  <c r="D153" i="53"/>
  <c r="F151" i="53"/>
  <c r="I151" i="53"/>
  <c r="P70" i="52"/>
  <c r="D147" i="52"/>
  <c r="F145" i="52"/>
  <c r="H177" i="52"/>
  <c r="H146" i="52"/>
  <c r="H59" i="52"/>
  <c r="O78" i="52"/>
  <c r="F151" i="52"/>
  <c r="I168" i="52"/>
  <c r="P85" i="52"/>
  <c r="E177" i="52"/>
  <c r="O77" i="52"/>
  <c r="E171" i="52"/>
  <c r="D177" i="52"/>
  <c r="D146" i="52"/>
  <c r="H57" i="52"/>
  <c r="I151" i="52"/>
  <c r="L176" i="51"/>
  <c r="L153" i="51"/>
  <c r="L147" i="51"/>
  <c r="O168" i="51"/>
  <c r="E92" i="51"/>
  <c r="L91" i="51"/>
  <c r="E91" i="51"/>
  <c r="L79" i="51"/>
  <c r="L77" i="51"/>
  <c r="O66" i="51"/>
  <c r="L176" i="50"/>
  <c r="L153" i="50"/>
  <c r="L147" i="50"/>
  <c r="O173" i="50"/>
  <c r="J110" i="50"/>
  <c r="E92" i="50"/>
  <c r="L91" i="50"/>
  <c r="E91" i="50"/>
  <c r="L79" i="50"/>
  <c r="L77" i="50"/>
  <c r="O66" i="50"/>
  <c r="L151" i="50"/>
  <c r="L176" i="49"/>
  <c r="L153" i="49"/>
  <c r="O173" i="49"/>
  <c r="E92" i="49"/>
  <c r="L91" i="49"/>
  <c r="E91" i="49"/>
  <c r="L79" i="49"/>
  <c r="L77" i="49"/>
  <c r="O66" i="49"/>
  <c r="P64" i="49"/>
  <c r="L145" i="49"/>
  <c r="L176" i="48"/>
  <c r="L153" i="48"/>
  <c r="E92" i="48"/>
  <c r="L91" i="48"/>
  <c r="E91" i="48"/>
  <c r="L79" i="48"/>
  <c r="L77" i="48"/>
  <c r="O66" i="48"/>
  <c r="P64" i="48"/>
  <c r="L176" i="47"/>
  <c r="L153" i="47"/>
  <c r="L147" i="47"/>
  <c r="O168" i="47"/>
  <c r="E92" i="47"/>
  <c r="L91" i="47"/>
  <c r="E91" i="47"/>
  <c r="L79" i="47"/>
  <c r="L77" i="47"/>
  <c r="O66" i="47"/>
  <c r="P57" i="47"/>
  <c r="L176" i="46"/>
  <c r="L153" i="46"/>
  <c r="L147" i="46"/>
  <c r="O168" i="46"/>
  <c r="E92" i="46"/>
  <c r="L91" i="46"/>
  <c r="E91" i="46"/>
  <c r="L79" i="46"/>
  <c r="L77" i="46"/>
  <c r="O66" i="46"/>
  <c r="P64" i="46"/>
  <c r="L176" i="45"/>
  <c r="L153" i="45"/>
  <c r="L147" i="45"/>
  <c r="O173" i="45"/>
  <c r="E92" i="45"/>
  <c r="L91" i="45"/>
  <c r="E91" i="45"/>
  <c r="L79" i="45"/>
  <c r="L77" i="45"/>
  <c r="O66" i="45"/>
  <c r="H180" i="45"/>
  <c r="L176" i="44"/>
  <c r="L153" i="44"/>
  <c r="L147" i="44"/>
  <c r="O168" i="44"/>
  <c r="E92" i="44"/>
  <c r="L91" i="44"/>
  <c r="E91" i="44"/>
  <c r="L79" i="44"/>
  <c r="L77" i="44"/>
  <c r="O66" i="44"/>
  <c r="P64" i="44"/>
  <c r="O59" i="44"/>
  <c r="L145" i="44"/>
  <c r="L176" i="43"/>
  <c r="L153" i="43"/>
  <c r="L147" i="43"/>
  <c r="O168" i="43"/>
  <c r="E92" i="43"/>
  <c r="L91" i="43"/>
  <c r="E91" i="43"/>
  <c r="L79" i="43"/>
  <c r="L77" i="43"/>
  <c r="O66" i="43"/>
  <c r="L61" i="43"/>
  <c r="L176" i="42"/>
  <c r="L153" i="42"/>
  <c r="O173" i="42"/>
  <c r="E92" i="42"/>
  <c r="L91" i="42"/>
  <c r="E91" i="42"/>
  <c r="L79" i="42"/>
  <c r="O66" i="42"/>
  <c r="P64" i="42"/>
  <c r="L145" i="42"/>
  <c r="L176" i="41"/>
  <c r="L153" i="41"/>
  <c r="L147" i="41"/>
  <c r="O168" i="41"/>
  <c r="E92" i="41"/>
  <c r="L91" i="41"/>
  <c r="E91" i="41"/>
  <c r="L79" i="41"/>
  <c r="L77" i="41"/>
  <c r="O66" i="41"/>
  <c r="P64" i="41"/>
  <c r="O59" i="41"/>
  <c r="O77" i="54"/>
  <c r="L151" i="49"/>
  <c r="E61" i="44"/>
  <c r="L151" i="44"/>
  <c r="H124" i="46"/>
  <c r="L145" i="47"/>
  <c r="J110" i="47"/>
  <c r="J110" i="49"/>
  <c r="L145" i="50"/>
  <c r="O85" i="82"/>
  <c r="O58" i="74"/>
  <c r="K58" i="74"/>
  <c r="J110" i="43"/>
  <c r="H124" i="43"/>
  <c r="J110" i="44"/>
  <c r="G175" i="45"/>
  <c r="I177" i="45"/>
  <c r="G175" i="46"/>
  <c r="I177" i="46"/>
  <c r="J110" i="46"/>
  <c r="H180" i="47"/>
  <c r="O59" i="49"/>
  <c r="C129" i="49"/>
  <c r="G175" i="49"/>
  <c r="I177" i="49"/>
  <c r="G179" i="53"/>
  <c r="O85" i="72"/>
  <c r="K61" i="74"/>
  <c r="J110" i="41"/>
  <c r="J110" i="45"/>
  <c r="G180" i="45"/>
  <c r="P64" i="50"/>
  <c r="L145" i="51"/>
  <c r="J110" i="51"/>
  <c r="K61" i="64"/>
  <c r="J61" i="74"/>
  <c r="L80" i="82"/>
  <c r="J61" i="82"/>
  <c r="K57" i="82"/>
  <c r="K61" i="82"/>
  <c r="O58" i="81"/>
  <c r="K58" i="81"/>
  <c r="J61" i="81"/>
  <c r="K57" i="81"/>
  <c r="L80" i="80"/>
  <c r="J61" i="80"/>
  <c r="K57" i="80"/>
  <c r="O85" i="80"/>
  <c r="O58" i="80"/>
  <c r="K58" i="80"/>
  <c r="L80" i="79"/>
  <c r="J61" i="79"/>
  <c r="K57" i="79"/>
  <c r="O85" i="79"/>
  <c r="O58" i="79"/>
  <c r="K58" i="79"/>
  <c r="J61" i="78"/>
  <c r="K57" i="78"/>
  <c r="K58" i="78"/>
  <c r="O58" i="78"/>
  <c r="O58" i="77"/>
  <c r="K58" i="77"/>
  <c r="J61" i="77"/>
  <c r="K57" i="77"/>
  <c r="K61" i="77"/>
  <c r="J61" i="76"/>
  <c r="K57" i="76"/>
  <c r="K61" i="76"/>
  <c r="O58" i="75"/>
  <c r="K58" i="75"/>
  <c r="K61" i="75"/>
  <c r="L80" i="75"/>
  <c r="L88" i="74"/>
  <c r="L92" i="74"/>
  <c r="L83" i="74"/>
  <c r="L85" i="74"/>
  <c r="O58" i="73"/>
  <c r="K58" i="73"/>
  <c r="K61" i="73"/>
  <c r="L80" i="73"/>
  <c r="O58" i="72"/>
  <c r="K58" i="72"/>
  <c r="J61" i="72"/>
  <c r="K57" i="72"/>
  <c r="J61" i="71"/>
  <c r="K57" i="71"/>
  <c r="K58" i="71"/>
  <c r="O58" i="71"/>
  <c r="O58" i="70"/>
  <c r="K58" i="70"/>
  <c r="J61" i="70"/>
  <c r="K57" i="70"/>
  <c r="O85" i="70"/>
  <c r="L80" i="70"/>
  <c r="L88" i="69"/>
  <c r="L92" i="69"/>
  <c r="L83" i="69"/>
  <c r="L85" i="69"/>
  <c r="O58" i="68"/>
  <c r="K58" i="68"/>
  <c r="K61" i="68"/>
  <c r="J61" i="68"/>
  <c r="L88" i="67"/>
  <c r="L92" i="67"/>
  <c r="L83" i="67"/>
  <c r="L85" i="67"/>
  <c r="K58" i="67"/>
  <c r="O58" i="67"/>
  <c r="K57" i="67"/>
  <c r="K61" i="67"/>
  <c r="J61" i="67"/>
  <c r="O85" i="67"/>
  <c r="L88" i="66"/>
  <c r="L92" i="66"/>
  <c r="L83" i="66"/>
  <c r="L85" i="66"/>
  <c r="O58" i="66"/>
  <c r="K58" i="66"/>
  <c r="J61" i="66"/>
  <c r="K61" i="66"/>
  <c r="L88" i="65"/>
  <c r="L92" i="65"/>
  <c r="L83" i="65"/>
  <c r="L85" i="65"/>
  <c r="L88" i="64"/>
  <c r="L92" i="64"/>
  <c r="L83" i="64"/>
  <c r="L85" i="64"/>
  <c r="O58" i="63"/>
  <c r="K58" i="63"/>
  <c r="K61" i="63"/>
  <c r="L88" i="62"/>
  <c r="L92" i="62"/>
  <c r="L83" i="62"/>
  <c r="K61" i="62"/>
  <c r="O58" i="62"/>
  <c r="J61" i="62"/>
  <c r="L85" i="62"/>
  <c r="K58" i="61"/>
  <c r="O58" i="61"/>
  <c r="K61" i="61"/>
  <c r="L88" i="61"/>
  <c r="L92" i="61"/>
  <c r="L83" i="61"/>
  <c r="J61" i="61"/>
  <c r="L85" i="61"/>
  <c r="L80" i="60"/>
  <c r="L88" i="59"/>
  <c r="L92" i="59"/>
  <c r="L83" i="59"/>
  <c r="O58" i="59"/>
  <c r="K58" i="59"/>
  <c r="K61" i="59"/>
  <c r="J61" i="59"/>
  <c r="L85" i="59"/>
  <c r="J61" i="58"/>
  <c r="K57" i="58"/>
  <c r="K58" i="58"/>
  <c r="O58" i="58"/>
  <c r="L80" i="57"/>
  <c r="J61" i="57"/>
  <c r="K57" i="57"/>
  <c r="K61" i="57"/>
  <c r="O85" i="57"/>
  <c r="O58" i="57"/>
  <c r="O58" i="56"/>
  <c r="K58" i="56"/>
  <c r="K61" i="56"/>
  <c r="L80" i="56"/>
  <c r="L80" i="55"/>
  <c r="H57" i="54"/>
  <c r="H61" i="54"/>
  <c r="P70" i="54"/>
  <c r="E169" i="54"/>
  <c r="G58" i="54"/>
  <c r="E171" i="54"/>
  <c r="E177" i="54"/>
  <c r="G179" i="54"/>
  <c r="G178" i="54"/>
  <c r="O84" i="54"/>
  <c r="O78" i="54"/>
  <c r="J59" i="54"/>
  <c r="K59" i="54"/>
  <c r="D169" i="54"/>
  <c r="G57" i="54"/>
  <c r="D177" i="54"/>
  <c r="I168" i="54"/>
  <c r="P85" i="54"/>
  <c r="H177" i="54"/>
  <c r="O82" i="53"/>
  <c r="D177" i="53"/>
  <c r="O84" i="53"/>
  <c r="H57" i="53"/>
  <c r="H61" i="53"/>
  <c r="I168" i="53"/>
  <c r="P85" i="53"/>
  <c r="P70" i="53"/>
  <c r="H177" i="53"/>
  <c r="O83" i="53"/>
  <c r="E171" i="53"/>
  <c r="O77" i="53"/>
  <c r="O78" i="53"/>
  <c r="J59" i="53"/>
  <c r="K59" i="53"/>
  <c r="G61" i="52"/>
  <c r="H61" i="52"/>
  <c r="O76" i="52"/>
  <c r="O79" i="52"/>
  <c r="J59" i="52"/>
  <c r="K59" i="52"/>
  <c r="O82" i="52"/>
  <c r="J57" i="52"/>
  <c r="O57" i="52"/>
  <c r="J171" i="52"/>
  <c r="L173" i="52"/>
  <c r="J141" i="52"/>
  <c r="J170" i="52"/>
  <c r="G179" i="52"/>
  <c r="G178" i="52"/>
  <c r="O84" i="52"/>
  <c r="E61" i="51"/>
  <c r="O151" i="51"/>
  <c r="P57" i="51"/>
  <c r="G174" i="51"/>
  <c r="P64" i="51"/>
  <c r="P59" i="51"/>
  <c r="G175" i="51"/>
  <c r="I177" i="51"/>
  <c r="L151" i="51"/>
  <c r="O59" i="51"/>
  <c r="C129" i="51"/>
  <c r="H124" i="51"/>
  <c r="P58" i="51"/>
  <c r="Q58" i="51"/>
  <c r="H180" i="51"/>
  <c r="H150" i="51"/>
  <c r="H152" i="51"/>
  <c r="E93" i="51"/>
  <c r="L61" i="51"/>
  <c r="O167" i="51"/>
  <c r="O173" i="51"/>
  <c r="G180" i="51"/>
  <c r="C129" i="50"/>
  <c r="L61" i="50"/>
  <c r="G174" i="50"/>
  <c r="H180" i="50"/>
  <c r="G175" i="50"/>
  <c r="I177" i="50"/>
  <c r="O59" i="50"/>
  <c r="O168" i="50"/>
  <c r="G141" i="50"/>
  <c r="G180" i="50"/>
  <c r="P57" i="50"/>
  <c r="E93" i="50"/>
  <c r="E61" i="50"/>
  <c r="P58" i="50"/>
  <c r="Q58" i="50"/>
  <c r="E180" i="50"/>
  <c r="H124" i="50"/>
  <c r="P59" i="50"/>
  <c r="H150" i="50"/>
  <c r="H152" i="50"/>
  <c r="O167" i="50"/>
  <c r="L171" i="50"/>
  <c r="G180" i="49"/>
  <c r="P57" i="49"/>
  <c r="O145" i="49"/>
  <c r="E61" i="49"/>
  <c r="L61" i="49"/>
  <c r="E93" i="49"/>
  <c r="P58" i="49"/>
  <c r="Q58" i="49"/>
  <c r="H180" i="49"/>
  <c r="E180" i="49"/>
  <c r="H124" i="49"/>
  <c r="P59" i="49"/>
  <c r="H152" i="49"/>
  <c r="O167" i="49"/>
  <c r="L171" i="49"/>
  <c r="J110" i="48"/>
  <c r="L61" i="48"/>
  <c r="L151" i="48"/>
  <c r="L145" i="48"/>
  <c r="O59" i="48"/>
  <c r="E61" i="48"/>
  <c r="E180" i="48"/>
  <c r="E93" i="48"/>
  <c r="H124" i="48"/>
  <c r="C129" i="48"/>
  <c r="P57" i="48"/>
  <c r="O173" i="48"/>
  <c r="P58" i="48"/>
  <c r="Q58" i="48"/>
  <c r="H180" i="48"/>
  <c r="P59" i="48"/>
  <c r="O167" i="48"/>
  <c r="G180" i="48"/>
  <c r="E61" i="47"/>
  <c r="D180" i="47"/>
  <c r="E93" i="47"/>
  <c r="G174" i="47"/>
  <c r="G175" i="47"/>
  <c r="I177" i="47"/>
  <c r="P64" i="47"/>
  <c r="P59" i="47"/>
  <c r="L151" i="47"/>
  <c r="O59" i="47"/>
  <c r="C129" i="47"/>
  <c r="H124" i="47"/>
  <c r="P58" i="47"/>
  <c r="Q58" i="47"/>
  <c r="H150" i="47"/>
  <c r="H152" i="47"/>
  <c r="O167" i="47"/>
  <c r="L171" i="47"/>
  <c r="O173" i="47"/>
  <c r="L61" i="47"/>
  <c r="G180" i="47"/>
  <c r="L145" i="46"/>
  <c r="L151" i="46"/>
  <c r="O59" i="46"/>
  <c r="G174" i="46"/>
  <c r="E61" i="46"/>
  <c r="E93" i="46"/>
  <c r="P57" i="46"/>
  <c r="P58" i="46"/>
  <c r="Q58" i="46"/>
  <c r="O151" i="46"/>
  <c r="H180" i="46"/>
  <c r="E180" i="46"/>
  <c r="P59" i="46"/>
  <c r="H150" i="46"/>
  <c r="H152" i="46"/>
  <c r="O167" i="46"/>
  <c r="L171" i="46"/>
  <c r="O173" i="46"/>
  <c r="L61" i="46"/>
  <c r="C129" i="46"/>
  <c r="G141" i="46"/>
  <c r="G180" i="46"/>
  <c r="C129" i="45"/>
  <c r="O59" i="45"/>
  <c r="L145" i="45"/>
  <c r="P64" i="45"/>
  <c r="G174" i="45"/>
  <c r="L151" i="45"/>
  <c r="L61" i="45"/>
  <c r="O168" i="45"/>
  <c r="P57" i="45"/>
  <c r="E93" i="45"/>
  <c r="E61" i="45"/>
  <c r="P58" i="45"/>
  <c r="Q58" i="45"/>
  <c r="E180" i="45"/>
  <c r="H124" i="45"/>
  <c r="P59" i="45"/>
  <c r="H150" i="45"/>
  <c r="H152" i="45"/>
  <c r="O167" i="45"/>
  <c r="L171" i="45"/>
  <c r="H150" i="44"/>
  <c r="H152" i="44"/>
  <c r="G175" i="44"/>
  <c r="I177" i="44"/>
  <c r="G174" i="44"/>
  <c r="P57" i="44"/>
  <c r="E93" i="44"/>
  <c r="C129" i="44"/>
  <c r="P58" i="44"/>
  <c r="Q58" i="44"/>
  <c r="O145" i="44"/>
  <c r="H180" i="44"/>
  <c r="E180" i="44"/>
  <c r="L61" i="44"/>
  <c r="P59" i="44"/>
  <c r="O167" i="44"/>
  <c r="L171" i="44"/>
  <c r="O173" i="44"/>
  <c r="H124" i="44"/>
  <c r="G180" i="44"/>
  <c r="E93" i="43"/>
  <c r="D180" i="43"/>
  <c r="P58" i="43"/>
  <c r="Q58" i="43"/>
  <c r="G174" i="43"/>
  <c r="G175" i="43"/>
  <c r="I177" i="43"/>
  <c r="H180" i="43"/>
  <c r="G141" i="43"/>
  <c r="G180" i="43"/>
  <c r="O59" i="43"/>
  <c r="P59" i="43"/>
  <c r="P64" i="43"/>
  <c r="L145" i="43"/>
  <c r="L151" i="43"/>
  <c r="C129" i="43"/>
  <c r="O167" i="43"/>
  <c r="L171" i="43"/>
  <c r="O173" i="43"/>
  <c r="P57" i="43"/>
  <c r="E61" i="43"/>
  <c r="H124" i="42"/>
  <c r="L61" i="42"/>
  <c r="O59" i="42"/>
  <c r="P57" i="42"/>
  <c r="P58" i="42"/>
  <c r="Q58" i="42"/>
  <c r="O145" i="42"/>
  <c r="H180" i="42"/>
  <c r="J110" i="42"/>
  <c r="C129" i="42"/>
  <c r="H152" i="42"/>
  <c r="L151" i="42"/>
  <c r="E61" i="42"/>
  <c r="E93" i="42"/>
  <c r="P59" i="42"/>
  <c r="O167" i="42"/>
  <c r="L171" i="42"/>
  <c r="L145" i="41"/>
  <c r="L151" i="41"/>
  <c r="G175" i="41"/>
  <c r="I177" i="41"/>
  <c r="G174" i="41"/>
  <c r="E93" i="41"/>
  <c r="E61" i="41"/>
  <c r="H124" i="41"/>
  <c r="E180" i="41"/>
  <c r="P57" i="41"/>
  <c r="O145" i="41"/>
  <c r="L61" i="41"/>
  <c r="C129" i="41"/>
  <c r="O167" i="41"/>
  <c r="O173" i="41"/>
  <c r="P58" i="41"/>
  <c r="Q58" i="41"/>
  <c r="H180" i="41"/>
  <c r="P59" i="41"/>
  <c r="H150" i="41"/>
  <c r="H152" i="41"/>
  <c r="G141" i="41"/>
  <c r="G180" i="41"/>
  <c r="L176" i="40"/>
  <c r="L153" i="40"/>
  <c r="L147" i="40"/>
  <c r="O168" i="40"/>
  <c r="J110" i="40"/>
  <c r="E92" i="40"/>
  <c r="L91" i="40"/>
  <c r="E91" i="40"/>
  <c r="L79" i="40"/>
  <c r="L77" i="40"/>
  <c r="O66" i="40"/>
  <c r="P64" i="40"/>
  <c r="D180" i="40"/>
  <c r="L176" i="39"/>
  <c r="L153" i="39"/>
  <c r="E92" i="39"/>
  <c r="L91" i="39"/>
  <c r="E91" i="39"/>
  <c r="L79" i="39"/>
  <c r="L77" i="39"/>
  <c r="O66" i="39"/>
  <c r="P59" i="39"/>
  <c r="L151" i="39"/>
  <c r="E180" i="39"/>
  <c r="P57" i="39"/>
  <c r="L176" i="38"/>
  <c r="L153" i="38"/>
  <c r="O173" i="38"/>
  <c r="E92" i="38"/>
  <c r="L91" i="38"/>
  <c r="E91" i="38"/>
  <c r="L79" i="38"/>
  <c r="L77" i="38"/>
  <c r="O66" i="38"/>
  <c r="P64" i="38"/>
  <c r="P57" i="38"/>
  <c r="L176" i="36"/>
  <c r="L153" i="36"/>
  <c r="L147" i="36"/>
  <c r="O173" i="36"/>
  <c r="G180" i="36"/>
  <c r="E92" i="36"/>
  <c r="L91" i="36"/>
  <c r="E91" i="36"/>
  <c r="L79" i="36"/>
  <c r="L77" i="36"/>
  <c r="O66" i="36"/>
  <c r="P64" i="36"/>
  <c r="L176" i="19"/>
  <c r="L153" i="19"/>
  <c r="L147" i="19"/>
  <c r="O168" i="19"/>
  <c r="E92" i="19"/>
  <c r="L91" i="19"/>
  <c r="E91" i="19"/>
  <c r="L79" i="19"/>
  <c r="L77" i="19"/>
  <c r="O66" i="19"/>
  <c r="P64" i="19"/>
  <c r="G175" i="19"/>
  <c r="I177" i="19"/>
  <c r="L145" i="19"/>
  <c r="L176" i="37"/>
  <c r="L153" i="37"/>
  <c r="E92" i="37"/>
  <c r="L91" i="37"/>
  <c r="E91" i="37"/>
  <c r="L79" i="37"/>
  <c r="L77" i="37"/>
  <c r="O66" i="37"/>
  <c r="P64" i="37"/>
  <c r="D180" i="37"/>
  <c r="L176" i="18"/>
  <c r="L153" i="18"/>
  <c r="L147" i="18"/>
  <c r="O173" i="18"/>
  <c r="E92" i="18"/>
  <c r="L91" i="18"/>
  <c r="E91" i="18"/>
  <c r="L79" i="18"/>
  <c r="L77" i="18"/>
  <c r="O66" i="18"/>
  <c r="L176" i="35"/>
  <c r="L153" i="35"/>
  <c r="E92" i="35"/>
  <c r="L91" i="35"/>
  <c r="E91" i="35"/>
  <c r="L79" i="35"/>
  <c r="L77" i="35"/>
  <c r="O66" i="35"/>
  <c r="L176" i="34"/>
  <c r="L153" i="34"/>
  <c r="L147" i="34"/>
  <c r="O168" i="34"/>
  <c r="E92" i="34"/>
  <c r="L91" i="34"/>
  <c r="E91" i="34"/>
  <c r="L79" i="34"/>
  <c r="L77" i="34"/>
  <c r="O66" i="34"/>
  <c r="E61" i="34"/>
  <c r="L176" i="33"/>
  <c r="G175" i="33"/>
  <c r="I177" i="33"/>
  <c r="L153" i="33"/>
  <c r="E92" i="33"/>
  <c r="E93" i="33"/>
  <c r="L91" i="33"/>
  <c r="E91" i="33"/>
  <c r="L79" i="33"/>
  <c r="L77" i="33"/>
  <c r="O66" i="33"/>
  <c r="O59" i="33"/>
  <c r="L145" i="33"/>
  <c r="E61" i="33"/>
  <c r="L176" i="32"/>
  <c r="L153" i="32"/>
  <c r="E92" i="32"/>
  <c r="L91" i="32"/>
  <c r="E91" i="32"/>
  <c r="L79" i="32"/>
  <c r="L77" i="32"/>
  <c r="O66" i="32"/>
  <c r="P59" i="32"/>
  <c r="E61" i="32"/>
  <c r="L176" i="31"/>
  <c r="L153" i="31"/>
  <c r="L147" i="31"/>
  <c r="O173" i="31"/>
  <c r="J110" i="31"/>
  <c r="E92" i="31"/>
  <c r="L91" i="31"/>
  <c r="E91" i="31"/>
  <c r="L79" i="31"/>
  <c r="L77" i="31"/>
  <c r="O66" i="31"/>
  <c r="P64" i="31"/>
  <c r="G141" i="31"/>
  <c r="G180" i="31"/>
  <c r="L145" i="31"/>
  <c r="L61" i="31"/>
  <c r="L176" i="30"/>
  <c r="L153" i="30"/>
  <c r="L147" i="30"/>
  <c r="O173" i="30"/>
  <c r="E92" i="30"/>
  <c r="L91" i="30"/>
  <c r="E91" i="30"/>
  <c r="L79" i="30"/>
  <c r="L77" i="30"/>
  <c r="O66" i="30"/>
  <c r="H180" i="30"/>
  <c r="L145" i="30"/>
  <c r="L176" i="29"/>
  <c r="L153" i="29"/>
  <c r="L147" i="29"/>
  <c r="O168" i="29"/>
  <c r="E92" i="29"/>
  <c r="L91" i="29"/>
  <c r="E91" i="29"/>
  <c r="L79" i="29"/>
  <c r="L77" i="29"/>
  <c r="O66" i="29"/>
  <c r="H180" i="29"/>
  <c r="L145" i="29"/>
  <c r="L176" i="28"/>
  <c r="L153" i="28"/>
  <c r="L147" i="28"/>
  <c r="O168" i="28"/>
  <c r="E92" i="28"/>
  <c r="L91" i="28"/>
  <c r="E91" i="28"/>
  <c r="L79" i="28"/>
  <c r="L77" i="28"/>
  <c r="O66" i="28"/>
  <c r="G174" i="28"/>
  <c r="L61" i="28"/>
  <c r="E61" i="28"/>
  <c r="L176" i="27"/>
  <c r="L153" i="27"/>
  <c r="J110" i="27"/>
  <c r="E92" i="27"/>
  <c r="L91" i="27"/>
  <c r="E91" i="27"/>
  <c r="L79" i="27"/>
  <c r="L77" i="27"/>
  <c r="O66" i="27"/>
  <c r="E61" i="27"/>
  <c r="L176" i="26"/>
  <c r="L153" i="26"/>
  <c r="L147" i="26"/>
  <c r="O168" i="26"/>
  <c r="H124" i="26"/>
  <c r="E92" i="26"/>
  <c r="L91" i="26"/>
  <c r="E91" i="26"/>
  <c r="L79" i="26"/>
  <c r="L77" i="26"/>
  <c r="O66" i="26"/>
  <c r="E61" i="26"/>
  <c r="L176" i="25"/>
  <c r="L153" i="25"/>
  <c r="L147" i="25"/>
  <c r="J110" i="25"/>
  <c r="E92" i="25"/>
  <c r="L91" i="25"/>
  <c r="E91" i="25"/>
  <c r="L79" i="25"/>
  <c r="L77" i="25"/>
  <c r="O66" i="25"/>
  <c r="P64" i="25"/>
  <c r="O57" i="54"/>
  <c r="O76" i="54"/>
  <c r="O79" i="54"/>
  <c r="L61" i="33"/>
  <c r="O59" i="28"/>
  <c r="G175" i="28"/>
  <c r="I177" i="28"/>
  <c r="O151" i="29"/>
  <c r="P57" i="31"/>
  <c r="J110" i="34"/>
  <c r="O168" i="18"/>
  <c r="G180" i="18"/>
  <c r="J110" i="19"/>
  <c r="L61" i="36"/>
  <c r="H124" i="36"/>
  <c r="L61" i="38"/>
  <c r="C129" i="38"/>
  <c r="K61" i="72"/>
  <c r="P57" i="27"/>
  <c r="P58" i="27"/>
  <c r="J110" i="29"/>
  <c r="P64" i="33"/>
  <c r="J110" i="33"/>
  <c r="P57" i="18"/>
  <c r="L61" i="18"/>
  <c r="C129" i="36"/>
  <c r="P64" i="39"/>
  <c r="O151" i="42"/>
  <c r="L151" i="28"/>
  <c r="P64" i="28"/>
  <c r="J110" i="28"/>
  <c r="E61" i="29"/>
  <c r="E61" i="30"/>
  <c r="L151" i="33"/>
  <c r="J110" i="37"/>
  <c r="E61" i="19"/>
  <c r="L145" i="39"/>
  <c r="D180" i="51"/>
  <c r="K61" i="70"/>
  <c r="K61" i="81"/>
  <c r="L88" i="82"/>
  <c r="L92" i="82"/>
  <c r="L83" i="82"/>
  <c r="L85" i="82"/>
  <c r="L80" i="81"/>
  <c r="K61" i="80"/>
  <c r="L88" i="80"/>
  <c r="L92" i="80"/>
  <c r="L83" i="80"/>
  <c r="L85" i="80"/>
  <c r="K61" i="79"/>
  <c r="L88" i="79"/>
  <c r="L92" i="79"/>
  <c r="L83" i="79"/>
  <c r="L85" i="79"/>
  <c r="K61" i="78"/>
  <c r="L80" i="78"/>
  <c r="L80" i="77"/>
  <c r="L80" i="76"/>
  <c r="L88" i="75"/>
  <c r="L92" i="75"/>
  <c r="L83" i="75"/>
  <c r="L85" i="75"/>
  <c r="L88" i="73"/>
  <c r="L92" i="73"/>
  <c r="L83" i="73"/>
  <c r="L85" i="73"/>
  <c r="L80" i="72"/>
  <c r="K61" i="71"/>
  <c r="L80" i="71"/>
  <c r="L88" i="70"/>
  <c r="L92" i="70"/>
  <c r="L83" i="70"/>
  <c r="L85" i="70"/>
  <c r="L80" i="68"/>
  <c r="L80" i="63"/>
  <c r="L88" i="60"/>
  <c r="L92" i="60"/>
  <c r="L83" i="60"/>
  <c r="L85" i="60"/>
  <c r="K61" i="58"/>
  <c r="L80" i="58"/>
  <c r="L88" i="57"/>
  <c r="L92" i="57"/>
  <c r="L83" i="57"/>
  <c r="L85" i="57"/>
  <c r="L88" i="56"/>
  <c r="L92" i="56"/>
  <c r="L83" i="56"/>
  <c r="L85" i="56"/>
  <c r="L88" i="55"/>
  <c r="L92" i="55"/>
  <c r="L83" i="55"/>
  <c r="L85" i="55"/>
  <c r="J58" i="52"/>
  <c r="K58" i="52"/>
  <c r="L80" i="54"/>
  <c r="J171" i="54"/>
  <c r="L173" i="54"/>
  <c r="G61" i="54"/>
  <c r="O82" i="54"/>
  <c r="J57" i="54"/>
  <c r="J141" i="54"/>
  <c r="J170" i="54"/>
  <c r="O83" i="54"/>
  <c r="J58" i="54"/>
  <c r="O57" i="53"/>
  <c r="J171" i="53"/>
  <c r="L173" i="53"/>
  <c r="J57" i="53"/>
  <c r="K57" i="53"/>
  <c r="O76" i="53"/>
  <c r="O79" i="53"/>
  <c r="J141" i="53"/>
  <c r="J170" i="53"/>
  <c r="J58" i="53"/>
  <c r="O85" i="53"/>
  <c r="G61" i="53"/>
  <c r="O83" i="52"/>
  <c r="O85" i="52"/>
  <c r="O58" i="52"/>
  <c r="J61" i="52"/>
  <c r="K57" i="52"/>
  <c r="O145" i="51"/>
  <c r="O141" i="51"/>
  <c r="O171" i="51"/>
  <c r="L175" i="51"/>
  <c r="O174" i="51"/>
  <c r="O175" i="51"/>
  <c r="L172" i="51"/>
  <c r="L171" i="51"/>
  <c r="E180" i="51"/>
  <c r="F141" i="50"/>
  <c r="D180" i="50"/>
  <c r="O151" i="50"/>
  <c r="L175" i="50"/>
  <c r="O174" i="50"/>
  <c r="O175" i="50"/>
  <c r="L172" i="50"/>
  <c r="O171" i="50"/>
  <c r="D162" i="50"/>
  <c r="O145" i="50"/>
  <c r="O151" i="49"/>
  <c r="L175" i="49"/>
  <c r="O174" i="49"/>
  <c r="O175" i="49"/>
  <c r="L172" i="49"/>
  <c r="O171" i="49"/>
  <c r="D180" i="49"/>
  <c r="H152" i="48"/>
  <c r="D180" i="48"/>
  <c r="O151" i="48"/>
  <c r="O145" i="48"/>
  <c r="O171" i="48"/>
  <c r="L175" i="48"/>
  <c r="O174" i="48"/>
  <c r="O175" i="48"/>
  <c r="L172" i="48"/>
  <c r="L171" i="48"/>
  <c r="O145" i="47"/>
  <c r="O151" i="47"/>
  <c r="E180" i="47"/>
  <c r="O171" i="47"/>
  <c r="L172" i="47"/>
  <c r="L175" i="47"/>
  <c r="O174" i="47"/>
  <c r="O175" i="47"/>
  <c r="O171" i="46"/>
  <c r="L175" i="46"/>
  <c r="O174" i="46"/>
  <c r="O175" i="46"/>
  <c r="L172" i="46"/>
  <c r="D180" i="46"/>
  <c r="F141" i="46"/>
  <c r="O145" i="46"/>
  <c r="O145" i="45"/>
  <c r="D180" i="45"/>
  <c r="L175" i="45"/>
  <c r="O174" i="45"/>
  <c r="O175" i="45"/>
  <c r="L172" i="45"/>
  <c r="O171" i="45"/>
  <c r="O151" i="45"/>
  <c r="O171" i="44"/>
  <c r="L175" i="44"/>
  <c r="O174" i="44"/>
  <c r="O175" i="44"/>
  <c r="L172" i="44"/>
  <c r="D180" i="44"/>
  <c r="O151" i="44"/>
  <c r="O151" i="43"/>
  <c r="O145" i="43"/>
  <c r="F141" i="43"/>
  <c r="E180" i="43"/>
  <c r="H150" i="43"/>
  <c r="H152" i="43"/>
  <c r="O171" i="43"/>
  <c r="L175" i="43"/>
  <c r="O174" i="43"/>
  <c r="O175" i="43"/>
  <c r="L172" i="43"/>
  <c r="G180" i="42"/>
  <c r="D180" i="42"/>
  <c r="L175" i="42"/>
  <c r="O171" i="42"/>
  <c r="O174" i="42"/>
  <c r="O175" i="42"/>
  <c r="L172" i="42"/>
  <c r="E180" i="42"/>
  <c r="D180" i="41"/>
  <c r="F141" i="41"/>
  <c r="O171" i="41"/>
  <c r="O174" i="41"/>
  <c r="O175" i="41"/>
  <c r="L172" i="41"/>
  <c r="L175" i="41"/>
  <c r="L171" i="41"/>
  <c r="O151" i="41"/>
  <c r="P57" i="40"/>
  <c r="G141" i="40"/>
  <c r="G180" i="40"/>
  <c r="O59" i="40"/>
  <c r="P59" i="40"/>
  <c r="E61" i="40"/>
  <c r="E93" i="40"/>
  <c r="L145" i="40"/>
  <c r="L151" i="40"/>
  <c r="H150" i="40"/>
  <c r="H152" i="40"/>
  <c r="C129" i="40"/>
  <c r="O145" i="40"/>
  <c r="O151" i="40"/>
  <c r="P58" i="40"/>
  <c r="G174" i="40"/>
  <c r="G175" i="40"/>
  <c r="I177" i="40"/>
  <c r="Q58" i="40"/>
  <c r="H180" i="40"/>
  <c r="H124" i="40"/>
  <c r="L61" i="40"/>
  <c r="O167" i="40"/>
  <c r="L171" i="40"/>
  <c r="O173" i="40"/>
  <c r="O59" i="39"/>
  <c r="L61" i="39"/>
  <c r="P58" i="39"/>
  <c r="Q58" i="39"/>
  <c r="E93" i="39"/>
  <c r="O173" i="39"/>
  <c r="G180" i="39"/>
  <c r="E61" i="39"/>
  <c r="J110" i="39"/>
  <c r="H124" i="39"/>
  <c r="C129" i="39"/>
  <c r="O145" i="39"/>
  <c r="H180" i="39"/>
  <c r="H150" i="39"/>
  <c r="H152" i="39"/>
  <c r="O167" i="39"/>
  <c r="L145" i="38"/>
  <c r="P58" i="38"/>
  <c r="Q58" i="38"/>
  <c r="G180" i="38"/>
  <c r="E61" i="38"/>
  <c r="E93" i="38"/>
  <c r="O59" i="38"/>
  <c r="J110" i="38"/>
  <c r="H124" i="38"/>
  <c r="L151" i="38"/>
  <c r="H180" i="38"/>
  <c r="P59" i="38"/>
  <c r="H152" i="38"/>
  <c r="O167" i="38"/>
  <c r="L145" i="36"/>
  <c r="G174" i="36"/>
  <c r="O168" i="36"/>
  <c r="P57" i="36"/>
  <c r="P58" i="36"/>
  <c r="Q58" i="36"/>
  <c r="H180" i="36"/>
  <c r="E93" i="36"/>
  <c r="O59" i="36"/>
  <c r="J110" i="36"/>
  <c r="H150" i="36"/>
  <c r="H152" i="36"/>
  <c r="L151" i="36"/>
  <c r="G175" i="36"/>
  <c r="I177" i="36"/>
  <c r="E61" i="36"/>
  <c r="P59" i="36"/>
  <c r="O167" i="36"/>
  <c r="L171" i="36"/>
  <c r="L151" i="19"/>
  <c r="G174" i="19"/>
  <c r="O59" i="19"/>
  <c r="P57" i="19"/>
  <c r="E93" i="19"/>
  <c r="L61" i="19"/>
  <c r="H124" i="19"/>
  <c r="P58" i="19"/>
  <c r="Q58" i="19"/>
  <c r="H180" i="19"/>
  <c r="E180" i="19"/>
  <c r="C129" i="19"/>
  <c r="P59" i="19"/>
  <c r="H150" i="19"/>
  <c r="H152" i="19"/>
  <c r="O167" i="19"/>
  <c r="O173" i="19"/>
  <c r="G180" i="19"/>
  <c r="P57" i="37"/>
  <c r="L145" i="37"/>
  <c r="L151" i="37"/>
  <c r="C129" i="37"/>
  <c r="O145" i="37"/>
  <c r="O151" i="37"/>
  <c r="P58" i="37"/>
  <c r="Q58" i="37"/>
  <c r="H180" i="37"/>
  <c r="H124" i="37"/>
  <c r="G180" i="37"/>
  <c r="O59" i="37"/>
  <c r="P59" i="37"/>
  <c r="E61" i="37"/>
  <c r="E93" i="37"/>
  <c r="L61" i="37"/>
  <c r="O167" i="37"/>
  <c r="L171" i="37"/>
  <c r="O173" i="37"/>
  <c r="L145" i="18"/>
  <c r="G174" i="18"/>
  <c r="E61" i="18"/>
  <c r="E93" i="18"/>
  <c r="O151" i="18"/>
  <c r="P64" i="18"/>
  <c r="P59" i="18"/>
  <c r="G175" i="18"/>
  <c r="I177" i="18"/>
  <c r="L151" i="18"/>
  <c r="P58" i="18"/>
  <c r="Q58" i="18"/>
  <c r="O59" i="18"/>
  <c r="J110" i="18"/>
  <c r="C129" i="18"/>
  <c r="H124" i="18"/>
  <c r="H180" i="18"/>
  <c r="E180" i="18"/>
  <c r="H150" i="18"/>
  <c r="H152" i="18"/>
  <c r="O167" i="18"/>
  <c r="J110" i="35"/>
  <c r="H180" i="35"/>
  <c r="E61" i="35"/>
  <c r="D180" i="35"/>
  <c r="P57" i="35"/>
  <c r="L145" i="35"/>
  <c r="P58" i="35"/>
  <c r="Q58" i="35"/>
  <c r="E93" i="35"/>
  <c r="O59" i="35"/>
  <c r="P64" i="35"/>
  <c r="P59" i="35"/>
  <c r="L151" i="35"/>
  <c r="H124" i="35"/>
  <c r="C129" i="35"/>
  <c r="H152" i="35"/>
  <c r="O167" i="35"/>
  <c r="L171" i="35"/>
  <c r="O173" i="35"/>
  <c r="L61" i="35"/>
  <c r="G180" i="35"/>
  <c r="L145" i="34"/>
  <c r="P58" i="34"/>
  <c r="Q58" i="34"/>
  <c r="O151" i="34"/>
  <c r="P57" i="34"/>
  <c r="O145" i="34"/>
  <c r="C129" i="34"/>
  <c r="H124" i="34"/>
  <c r="E93" i="34"/>
  <c r="G174" i="34"/>
  <c r="O59" i="34"/>
  <c r="P64" i="34"/>
  <c r="P59" i="34"/>
  <c r="G175" i="34"/>
  <c r="I177" i="34"/>
  <c r="L151" i="34"/>
  <c r="H180" i="34"/>
  <c r="H150" i="34"/>
  <c r="H152" i="34"/>
  <c r="O167" i="34"/>
  <c r="L171" i="34"/>
  <c r="O173" i="34"/>
  <c r="L61" i="34"/>
  <c r="G180" i="34"/>
  <c r="H124" i="33"/>
  <c r="C129" i="33"/>
  <c r="E180" i="33"/>
  <c r="P57" i="33"/>
  <c r="P59" i="33"/>
  <c r="O167" i="33"/>
  <c r="P58" i="33"/>
  <c r="Q58" i="33"/>
  <c r="H180" i="33"/>
  <c r="H152" i="33"/>
  <c r="O173" i="33"/>
  <c r="G180" i="33"/>
  <c r="L145" i="32"/>
  <c r="O59" i="32"/>
  <c r="E93" i="32"/>
  <c r="P57" i="32"/>
  <c r="C129" i="32"/>
  <c r="P58" i="32"/>
  <c r="Q58" i="32"/>
  <c r="L151" i="32"/>
  <c r="L61" i="32"/>
  <c r="H152" i="32"/>
  <c r="H124" i="32"/>
  <c r="O145" i="32"/>
  <c r="G180" i="32"/>
  <c r="P64" i="32"/>
  <c r="J110" i="32"/>
  <c r="H180" i="32"/>
  <c r="O167" i="32"/>
  <c r="L171" i="32"/>
  <c r="O173" i="32"/>
  <c r="C129" i="31"/>
  <c r="E93" i="31"/>
  <c r="G174" i="31"/>
  <c r="O168" i="31"/>
  <c r="E61" i="31"/>
  <c r="P58" i="31"/>
  <c r="Q58" i="31"/>
  <c r="H180" i="31"/>
  <c r="O59" i="31"/>
  <c r="H124" i="31"/>
  <c r="L151" i="31"/>
  <c r="G175" i="31"/>
  <c r="I177" i="31"/>
  <c r="P59" i="31"/>
  <c r="H150" i="31"/>
  <c r="H152" i="31"/>
  <c r="O167" i="31"/>
  <c r="L171" i="31"/>
  <c r="J110" i="30"/>
  <c r="O168" i="30"/>
  <c r="O59" i="30"/>
  <c r="G180" i="30"/>
  <c r="E93" i="30"/>
  <c r="P57" i="30"/>
  <c r="L61" i="30"/>
  <c r="P58" i="30"/>
  <c r="Q58" i="30"/>
  <c r="G174" i="30"/>
  <c r="P64" i="30"/>
  <c r="P59" i="30"/>
  <c r="G175" i="30"/>
  <c r="I177" i="30"/>
  <c r="L151" i="30"/>
  <c r="C129" i="30"/>
  <c r="H124" i="30"/>
  <c r="H150" i="30"/>
  <c r="H152" i="30"/>
  <c r="O167" i="30"/>
  <c r="P57" i="29"/>
  <c r="E93" i="29"/>
  <c r="O145" i="29"/>
  <c r="G174" i="29"/>
  <c r="G175" i="29"/>
  <c r="I177" i="29"/>
  <c r="O59" i="29"/>
  <c r="P64" i="29"/>
  <c r="P59" i="29"/>
  <c r="L151" i="29"/>
  <c r="P58" i="29"/>
  <c r="Q58" i="29"/>
  <c r="C129" i="29"/>
  <c r="H124" i="29"/>
  <c r="D180" i="29"/>
  <c r="H150" i="29"/>
  <c r="H152" i="29"/>
  <c r="O167" i="29"/>
  <c r="O173" i="29"/>
  <c r="L61" i="29"/>
  <c r="G141" i="29"/>
  <c r="G180" i="29"/>
  <c r="P58" i="28"/>
  <c r="Q58" i="28"/>
  <c r="E93" i="28"/>
  <c r="H124" i="28"/>
  <c r="C129" i="28"/>
  <c r="E180" i="28"/>
  <c r="P57" i="28"/>
  <c r="P59" i="28"/>
  <c r="L145" i="28"/>
  <c r="H150" i="28"/>
  <c r="H152" i="28"/>
  <c r="O167" i="28"/>
  <c r="H180" i="28"/>
  <c r="O173" i="28"/>
  <c r="G180" i="28"/>
  <c r="L145" i="27"/>
  <c r="O151" i="27"/>
  <c r="H152" i="27"/>
  <c r="E93" i="27"/>
  <c r="O145" i="27"/>
  <c r="L151" i="27"/>
  <c r="O59" i="27"/>
  <c r="P64" i="27"/>
  <c r="P59" i="27"/>
  <c r="Q58" i="27"/>
  <c r="C129" i="27"/>
  <c r="H124" i="27"/>
  <c r="D180" i="27"/>
  <c r="H180" i="27"/>
  <c r="O167" i="27"/>
  <c r="L171" i="27"/>
  <c r="O173" i="27"/>
  <c r="L61" i="27"/>
  <c r="G180" i="27"/>
  <c r="P57" i="26"/>
  <c r="E93" i="26"/>
  <c r="D180" i="26"/>
  <c r="J110" i="26"/>
  <c r="L145" i="26"/>
  <c r="L151" i="26"/>
  <c r="H150" i="26"/>
  <c r="H152" i="26"/>
  <c r="O145" i="26"/>
  <c r="O151" i="26"/>
  <c r="P58" i="26"/>
  <c r="Q58" i="26"/>
  <c r="G174" i="26"/>
  <c r="G175" i="26"/>
  <c r="I177" i="26"/>
  <c r="H180" i="26"/>
  <c r="G180" i="26"/>
  <c r="O59" i="26"/>
  <c r="P59" i="26"/>
  <c r="P64" i="26"/>
  <c r="L61" i="26"/>
  <c r="C129" i="26"/>
  <c r="O167" i="26"/>
  <c r="L171" i="26"/>
  <c r="O173" i="26"/>
  <c r="L145" i="25"/>
  <c r="L61" i="25"/>
  <c r="E93" i="25"/>
  <c r="D180" i="25"/>
  <c r="L151" i="25"/>
  <c r="C129" i="25"/>
  <c r="O59" i="25"/>
  <c r="P59" i="25"/>
  <c r="P58" i="25"/>
  <c r="Q58" i="25"/>
  <c r="G174" i="25"/>
  <c r="G175" i="25"/>
  <c r="I177" i="25"/>
  <c r="H180" i="25"/>
  <c r="H124" i="25"/>
  <c r="O168" i="25"/>
  <c r="G180" i="25"/>
  <c r="O173" i="25"/>
  <c r="O167" i="25"/>
  <c r="P57" i="25"/>
  <c r="E61" i="25"/>
  <c r="F141" i="29"/>
  <c r="D180" i="34"/>
  <c r="D150" i="50"/>
  <c r="O151" i="36"/>
  <c r="D150" i="45"/>
  <c r="D157" i="48"/>
  <c r="J61" i="53"/>
  <c r="L88" i="83"/>
  <c r="L92" i="83"/>
  <c r="L85" i="83"/>
  <c r="L88" i="81"/>
  <c r="L92" i="81"/>
  <c r="L83" i="81"/>
  <c r="L85" i="81"/>
  <c r="L88" i="78"/>
  <c r="L92" i="78"/>
  <c r="L83" i="78"/>
  <c r="L85" i="78"/>
  <c r="L88" i="77"/>
  <c r="L92" i="77"/>
  <c r="L83" i="77"/>
  <c r="L85" i="77"/>
  <c r="L88" i="76"/>
  <c r="L92" i="76"/>
  <c r="L83" i="76"/>
  <c r="L85" i="76"/>
  <c r="L88" i="72"/>
  <c r="L92" i="72"/>
  <c r="L83" i="72"/>
  <c r="L85" i="72"/>
  <c r="L88" i="71"/>
  <c r="L92" i="71"/>
  <c r="L83" i="71"/>
  <c r="L85" i="71"/>
  <c r="L88" i="68"/>
  <c r="L92" i="68"/>
  <c r="L83" i="68"/>
  <c r="L85" i="68"/>
  <c r="L88" i="63"/>
  <c r="L92" i="63"/>
  <c r="L83" i="63"/>
  <c r="L85" i="63"/>
  <c r="L88" i="58"/>
  <c r="L92" i="58"/>
  <c r="L83" i="58"/>
  <c r="L85" i="58"/>
  <c r="L88" i="54"/>
  <c r="L92" i="54"/>
  <c r="L83" i="54"/>
  <c r="L85" i="54"/>
  <c r="O85" i="54"/>
  <c r="K58" i="54"/>
  <c r="O58" i="54"/>
  <c r="J61" i="54"/>
  <c r="K57" i="54"/>
  <c r="O58" i="53"/>
  <c r="K58" i="53"/>
  <c r="K61" i="53"/>
  <c r="L80" i="53"/>
  <c r="K61" i="52"/>
  <c r="L80" i="52"/>
  <c r="H144" i="51"/>
  <c r="H146" i="51"/>
  <c r="I180" i="51"/>
  <c r="H159" i="51"/>
  <c r="H151" i="51"/>
  <c r="H153" i="51"/>
  <c r="H165" i="51"/>
  <c r="H158" i="51"/>
  <c r="P68" i="51"/>
  <c r="H164" i="51"/>
  <c r="H145" i="51"/>
  <c r="H147" i="51"/>
  <c r="H155" i="51"/>
  <c r="D154" i="51"/>
  <c r="E151" i="51"/>
  <c r="E153" i="51"/>
  <c r="E144" i="51"/>
  <c r="D151" i="51"/>
  <c r="D144" i="51"/>
  <c r="D150" i="51"/>
  <c r="E158" i="51"/>
  <c r="E147" i="51"/>
  <c r="E164" i="51"/>
  <c r="E150" i="51"/>
  <c r="E152" i="51"/>
  <c r="D156" i="50"/>
  <c r="D144" i="50"/>
  <c r="D146" i="50"/>
  <c r="D145" i="50"/>
  <c r="D159" i="50"/>
  <c r="D158" i="50"/>
  <c r="D164" i="50"/>
  <c r="D165" i="50"/>
  <c r="H165" i="50"/>
  <c r="H156" i="50"/>
  <c r="H158" i="50"/>
  <c r="P68" i="50"/>
  <c r="H162" i="50"/>
  <c r="H164" i="50"/>
  <c r="H145" i="50"/>
  <c r="H147" i="50"/>
  <c r="H155" i="50"/>
  <c r="I180" i="50"/>
  <c r="H159" i="50"/>
  <c r="H151" i="50"/>
  <c r="H153" i="50"/>
  <c r="E159" i="50"/>
  <c r="E144" i="50"/>
  <c r="E150" i="50"/>
  <c r="E152" i="50"/>
  <c r="E145" i="50"/>
  <c r="E147" i="50"/>
  <c r="D154" i="50"/>
  <c r="E156" i="50"/>
  <c r="E158" i="50"/>
  <c r="E165" i="50"/>
  <c r="D151" i="50"/>
  <c r="E151" i="50"/>
  <c r="E153" i="50"/>
  <c r="E162" i="50"/>
  <c r="E164" i="50"/>
  <c r="D152" i="50"/>
  <c r="D147" i="50"/>
  <c r="O141" i="50"/>
  <c r="H144" i="50"/>
  <c r="H163" i="49"/>
  <c r="H165" i="49"/>
  <c r="H156" i="49"/>
  <c r="H158" i="49"/>
  <c r="P68" i="49"/>
  <c r="H162" i="49"/>
  <c r="H164" i="49"/>
  <c r="H147" i="49"/>
  <c r="H155" i="49"/>
  <c r="I180" i="49"/>
  <c r="H157" i="49"/>
  <c r="H159" i="49"/>
  <c r="H153" i="49"/>
  <c r="E157" i="49"/>
  <c r="E159" i="49"/>
  <c r="D156" i="49"/>
  <c r="D163" i="49"/>
  <c r="D154" i="49"/>
  <c r="E163" i="49"/>
  <c r="E165" i="49"/>
  <c r="E147" i="49"/>
  <c r="D157" i="49"/>
  <c r="E156" i="49"/>
  <c r="E158" i="49"/>
  <c r="D162" i="49"/>
  <c r="E153" i="49"/>
  <c r="E162" i="49"/>
  <c r="E164" i="49"/>
  <c r="O141" i="49"/>
  <c r="D162" i="48"/>
  <c r="D164" i="48"/>
  <c r="D163" i="48"/>
  <c r="D146" i="48"/>
  <c r="D152" i="48"/>
  <c r="D145" i="48"/>
  <c r="D159" i="48"/>
  <c r="I180" i="48"/>
  <c r="H157" i="48"/>
  <c r="H159" i="48"/>
  <c r="H151" i="48"/>
  <c r="H153" i="48"/>
  <c r="H145" i="48"/>
  <c r="H147" i="48"/>
  <c r="H155" i="48"/>
  <c r="H163" i="48"/>
  <c r="H165" i="48"/>
  <c r="H156" i="48"/>
  <c r="H158" i="48"/>
  <c r="H162" i="48"/>
  <c r="H164" i="48"/>
  <c r="E151" i="48"/>
  <c r="E153" i="48"/>
  <c r="E156" i="48"/>
  <c r="E158" i="48"/>
  <c r="D154" i="48"/>
  <c r="E162" i="48"/>
  <c r="E164" i="48"/>
  <c r="E152" i="48"/>
  <c r="E145" i="48"/>
  <c r="E147" i="48"/>
  <c r="E163" i="48"/>
  <c r="E165" i="48"/>
  <c r="D151" i="48"/>
  <c r="E157" i="48"/>
  <c r="E159" i="48"/>
  <c r="O141" i="48"/>
  <c r="D156" i="48"/>
  <c r="O141" i="47"/>
  <c r="H144" i="47"/>
  <c r="H146" i="47"/>
  <c r="I180" i="47"/>
  <c r="H159" i="47"/>
  <c r="H151" i="47"/>
  <c r="H153" i="47"/>
  <c r="H164" i="47"/>
  <c r="H165" i="47"/>
  <c r="H158" i="47"/>
  <c r="P68" i="47"/>
  <c r="D151" i="47"/>
  <c r="E150" i="47"/>
  <c r="E152" i="47"/>
  <c r="H145" i="47"/>
  <c r="D144" i="47"/>
  <c r="E151" i="47"/>
  <c r="E153" i="47"/>
  <c r="D150" i="47"/>
  <c r="E147" i="47"/>
  <c r="D157" i="47"/>
  <c r="E159" i="47"/>
  <c r="D154" i="47"/>
  <c r="E144" i="47"/>
  <c r="E165" i="47"/>
  <c r="D157" i="46"/>
  <c r="D159" i="46"/>
  <c r="I180" i="46"/>
  <c r="H157" i="46"/>
  <c r="H159" i="46"/>
  <c r="H151" i="46"/>
  <c r="H153" i="46"/>
  <c r="H163" i="46"/>
  <c r="H165" i="46"/>
  <c r="H158" i="46"/>
  <c r="H145" i="46"/>
  <c r="H147" i="46"/>
  <c r="H155" i="46"/>
  <c r="P68" i="46"/>
  <c r="H164" i="46"/>
  <c r="D150" i="46"/>
  <c r="E144" i="46"/>
  <c r="E158" i="46"/>
  <c r="D163" i="46"/>
  <c r="E157" i="46"/>
  <c r="E159" i="46"/>
  <c r="E164" i="46"/>
  <c r="E150" i="46"/>
  <c r="E152" i="46"/>
  <c r="E145" i="46"/>
  <c r="E147" i="46"/>
  <c r="E163" i="46"/>
  <c r="E165" i="46"/>
  <c r="D151" i="46"/>
  <c r="D154" i="46"/>
  <c r="E151" i="46"/>
  <c r="E153" i="46"/>
  <c r="D145" i="46"/>
  <c r="D144" i="46"/>
  <c r="O141" i="46"/>
  <c r="H144" i="46"/>
  <c r="D164" i="46"/>
  <c r="D152" i="45"/>
  <c r="H165" i="45"/>
  <c r="H158" i="45"/>
  <c r="P68" i="45"/>
  <c r="H164" i="45"/>
  <c r="H145" i="45"/>
  <c r="H147" i="45"/>
  <c r="H155" i="45"/>
  <c r="I180" i="45"/>
  <c r="H159" i="45"/>
  <c r="H151" i="45"/>
  <c r="H153" i="45"/>
  <c r="E151" i="45"/>
  <c r="E153" i="45"/>
  <c r="E164" i="45"/>
  <c r="E150" i="45"/>
  <c r="E152" i="45"/>
  <c r="E147" i="45"/>
  <c r="D144" i="45"/>
  <c r="E144" i="45"/>
  <c r="D154" i="45"/>
  <c r="E158" i="45"/>
  <c r="D151" i="45"/>
  <c r="O141" i="45"/>
  <c r="H144" i="45"/>
  <c r="D144" i="44"/>
  <c r="D146" i="44"/>
  <c r="D164" i="44"/>
  <c r="D165" i="44"/>
  <c r="D159" i="44"/>
  <c r="D147" i="44"/>
  <c r="I180" i="44"/>
  <c r="H159" i="44"/>
  <c r="H151" i="44"/>
  <c r="H153" i="44"/>
  <c r="P68" i="44"/>
  <c r="H165" i="44"/>
  <c r="H158" i="44"/>
  <c r="H145" i="44"/>
  <c r="H147" i="44"/>
  <c r="H155" i="44"/>
  <c r="H164" i="44"/>
  <c r="D154" i="44"/>
  <c r="E151" i="44"/>
  <c r="E153" i="44"/>
  <c r="D151" i="44"/>
  <c r="E158" i="44"/>
  <c r="E147" i="44"/>
  <c r="E164" i="44"/>
  <c r="E150" i="44"/>
  <c r="E152" i="44"/>
  <c r="D150" i="44"/>
  <c r="E144" i="44"/>
  <c r="O141" i="44"/>
  <c r="H144" i="44"/>
  <c r="O141" i="43"/>
  <c r="H144" i="43"/>
  <c r="I180" i="43"/>
  <c r="H159" i="43"/>
  <c r="H151" i="43"/>
  <c r="H153" i="43"/>
  <c r="H165" i="43"/>
  <c r="H156" i="43"/>
  <c r="H158" i="43"/>
  <c r="P68" i="43"/>
  <c r="H162" i="43"/>
  <c r="H164" i="43"/>
  <c r="H145" i="43"/>
  <c r="H147" i="43"/>
  <c r="H155" i="43"/>
  <c r="D162" i="43"/>
  <c r="E151" i="43"/>
  <c r="E153" i="43"/>
  <c r="E162" i="43"/>
  <c r="E164" i="43"/>
  <c r="E150" i="43"/>
  <c r="E152" i="43"/>
  <c r="D150" i="43"/>
  <c r="E145" i="43"/>
  <c r="E147" i="43"/>
  <c r="D145" i="43"/>
  <c r="D144" i="43"/>
  <c r="E159" i="43"/>
  <c r="E144" i="43"/>
  <c r="D156" i="43"/>
  <c r="D154" i="43"/>
  <c r="E156" i="43"/>
  <c r="E158" i="43"/>
  <c r="E165" i="43"/>
  <c r="D151" i="43"/>
  <c r="O141" i="42"/>
  <c r="H163" i="42"/>
  <c r="H165" i="42"/>
  <c r="H156" i="42"/>
  <c r="H158" i="42"/>
  <c r="H162" i="42"/>
  <c r="H164" i="42"/>
  <c r="H157" i="42"/>
  <c r="H159" i="42"/>
  <c r="H153" i="42"/>
  <c r="H147" i="42"/>
  <c r="H155" i="42"/>
  <c r="I180" i="42"/>
  <c r="D156" i="42"/>
  <c r="E162" i="42"/>
  <c r="E164" i="42"/>
  <c r="E156" i="42"/>
  <c r="E158" i="42"/>
  <c r="D157" i="42"/>
  <c r="D162" i="42"/>
  <c r="E152" i="42"/>
  <c r="E163" i="42"/>
  <c r="E165" i="42"/>
  <c r="E157" i="42"/>
  <c r="E159" i="42"/>
  <c r="D154" i="42"/>
  <c r="D163" i="42"/>
  <c r="D158" i="41"/>
  <c r="D144" i="41"/>
  <c r="D145" i="41"/>
  <c r="D157" i="41"/>
  <c r="I180" i="41"/>
  <c r="H157" i="41"/>
  <c r="H159" i="41"/>
  <c r="H151" i="41"/>
  <c r="H153" i="41"/>
  <c r="H145" i="41"/>
  <c r="H147" i="41"/>
  <c r="H155" i="41"/>
  <c r="I168" i="41"/>
  <c r="P85" i="41"/>
  <c r="H163" i="41"/>
  <c r="H165" i="41"/>
  <c r="H158" i="41"/>
  <c r="P68" i="41"/>
  <c r="H168" i="41"/>
  <c r="H164" i="41"/>
  <c r="D151" i="41"/>
  <c r="D154" i="41"/>
  <c r="E164" i="41"/>
  <c r="E158" i="41"/>
  <c r="E145" i="41"/>
  <c r="E147" i="41"/>
  <c r="E144" i="41"/>
  <c r="E163" i="41"/>
  <c r="E165" i="41"/>
  <c r="E151" i="41"/>
  <c r="E153" i="41"/>
  <c r="E157" i="41"/>
  <c r="E159" i="41"/>
  <c r="D163" i="41"/>
  <c r="E150" i="41"/>
  <c r="E152" i="41"/>
  <c r="D150" i="41"/>
  <c r="O141" i="41"/>
  <c r="H144" i="41"/>
  <c r="O171" i="40"/>
  <c r="L175" i="40"/>
  <c r="O174" i="40"/>
  <c r="O175" i="40"/>
  <c r="L172" i="40"/>
  <c r="F141" i="40"/>
  <c r="O141" i="40"/>
  <c r="E180" i="40"/>
  <c r="O174" i="39"/>
  <c r="O175" i="39"/>
  <c r="L172" i="39"/>
  <c r="O171" i="39"/>
  <c r="L175" i="39"/>
  <c r="D180" i="39"/>
  <c r="L171" i="39"/>
  <c r="O151" i="39"/>
  <c r="L175" i="38"/>
  <c r="O174" i="38"/>
  <c r="O175" i="38"/>
  <c r="L172" i="38"/>
  <c r="O171" i="38"/>
  <c r="O141" i="38"/>
  <c r="D180" i="38"/>
  <c r="L171" i="38"/>
  <c r="E180" i="38"/>
  <c r="O145" i="38"/>
  <c r="O151" i="38"/>
  <c r="D162" i="38"/>
  <c r="O145" i="36"/>
  <c r="O141" i="36"/>
  <c r="D180" i="36"/>
  <c r="L175" i="36"/>
  <c r="O174" i="36"/>
  <c r="O175" i="36"/>
  <c r="L172" i="36"/>
  <c r="O171" i="36"/>
  <c r="E180" i="36"/>
  <c r="O171" i="19"/>
  <c r="L175" i="19"/>
  <c r="O174" i="19"/>
  <c r="O175" i="19"/>
  <c r="L172" i="19"/>
  <c r="D180" i="19"/>
  <c r="L171" i="19"/>
  <c r="O151" i="19"/>
  <c r="O145" i="19"/>
  <c r="O171" i="37"/>
  <c r="L175" i="37"/>
  <c r="O174" i="37"/>
  <c r="O175" i="37"/>
  <c r="L172" i="37"/>
  <c r="E180" i="37"/>
  <c r="O141" i="37"/>
  <c r="H150" i="37"/>
  <c r="H152" i="37"/>
  <c r="O145" i="18"/>
  <c r="L175" i="18"/>
  <c r="L172" i="18"/>
  <c r="O174" i="18"/>
  <c r="O175" i="18"/>
  <c r="O171" i="18"/>
  <c r="L171" i="18"/>
  <c r="D180" i="18"/>
  <c r="H146" i="35"/>
  <c r="O151" i="35"/>
  <c r="O145" i="35"/>
  <c r="O171" i="35"/>
  <c r="O174" i="35"/>
  <c r="O175" i="35"/>
  <c r="L175" i="35"/>
  <c r="L172" i="35"/>
  <c r="E180" i="35"/>
  <c r="O141" i="34"/>
  <c r="H144" i="34"/>
  <c r="O171" i="34"/>
  <c r="O174" i="34"/>
  <c r="O175" i="34"/>
  <c r="L172" i="34"/>
  <c r="L175" i="34"/>
  <c r="E180" i="34"/>
  <c r="O171" i="33"/>
  <c r="O174" i="33"/>
  <c r="O175" i="33"/>
  <c r="L172" i="33"/>
  <c r="L175" i="33"/>
  <c r="D180" i="33"/>
  <c r="O145" i="33"/>
  <c r="L171" i="33"/>
  <c r="O151" i="33"/>
  <c r="D162" i="33"/>
  <c r="O171" i="32"/>
  <c r="L175" i="32"/>
  <c r="O174" i="32"/>
  <c r="O175" i="32"/>
  <c r="L172" i="32"/>
  <c r="O151" i="32"/>
  <c r="D180" i="32"/>
  <c r="O141" i="32"/>
  <c r="E180" i="32"/>
  <c r="F141" i="31"/>
  <c r="O141" i="31"/>
  <c r="D180" i="31"/>
  <c r="L175" i="31"/>
  <c r="L172" i="31"/>
  <c r="O174" i="31"/>
  <c r="O175" i="31"/>
  <c r="O171" i="31"/>
  <c r="O145" i="31"/>
  <c r="E180" i="31"/>
  <c r="O151" i="31"/>
  <c r="O145" i="30"/>
  <c r="O151" i="30"/>
  <c r="O171" i="30"/>
  <c r="L175" i="30"/>
  <c r="L172" i="30"/>
  <c r="O174" i="30"/>
  <c r="O175" i="30"/>
  <c r="E180" i="30"/>
  <c r="D180" i="30"/>
  <c r="O141" i="30"/>
  <c r="L171" i="30"/>
  <c r="E159" i="29"/>
  <c r="H144" i="29"/>
  <c r="H146" i="29"/>
  <c r="E144" i="29"/>
  <c r="E146" i="29"/>
  <c r="D150" i="29"/>
  <c r="D152" i="29"/>
  <c r="O171" i="29"/>
  <c r="O174" i="29"/>
  <c r="L172" i="29"/>
  <c r="L175" i="29"/>
  <c r="O175" i="29"/>
  <c r="I180" i="29"/>
  <c r="H159" i="29"/>
  <c r="H151" i="29"/>
  <c r="H153" i="29"/>
  <c r="P68" i="29"/>
  <c r="H165" i="29"/>
  <c r="H156" i="29"/>
  <c r="H158" i="29"/>
  <c r="H162" i="29"/>
  <c r="H164" i="29"/>
  <c r="E150" i="29"/>
  <c r="E152" i="29"/>
  <c r="H145" i="29"/>
  <c r="H147" i="29"/>
  <c r="H155" i="29"/>
  <c r="E162" i="29"/>
  <c r="E164" i="29"/>
  <c r="D151" i="29"/>
  <c r="E151" i="29"/>
  <c r="E153" i="29"/>
  <c r="L171" i="29"/>
  <c r="O141" i="29"/>
  <c r="E156" i="29"/>
  <c r="E158" i="29"/>
  <c r="E180" i="29"/>
  <c r="E145" i="29"/>
  <c r="E147" i="29"/>
  <c r="D162" i="29"/>
  <c r="D145" i="29"/>
  <c r="D154" i="29"/>
  <c r="D144" i="29"/>
  <c r="D156" i="29"/>
  <c r="D180" i="28"/>
  <c r="O151" i="28"/>
  <c r="O171" i="28"/>
  <c r="O174" i="28"/>
  <c r="O175" i="28"/>
  <c r="L172" i="28"/>
  <c r="L175" i="28"/>
  <c r="O145" i="28"/>
  <c r="L171" i="28"/>
  <c r="O141" i="27"/>
  <c r="O171" i="27"/>
  <c r="O174" i="27"/>
  <c r="L175" i="27"/>
  <c r="L172" i="27"/>
  <c r="O175" i="27"/>
  <c r="E180" i="27"/>
  <c r="O171" i="26"/>
  <c r="L175" i="26"/>
  <c r="O174" i="26"/>
  <c r="O175" i="26"/>
  <c r="L172" i="26"/>
  <c r="E180" i="26"/>
  <c r="O145" i="25"/>
  <c r="O171" i="25"/>
  <c r="L175" i="25"/>
  <c r="O174" i="25"/>
  <c r="O175" i="25"/>
  <c r="L172" i="25"/>
  <c r="E180" i="25"/>
  <c r="O141" i="25"/>
  <c r="O151" i="25"/>
  <c r="H150" i="25"/>
  <c r="H152" i="25"/>
  <c r="H144" i="25"/>
  <c r="L171" i="25"/>
  <c r="L176" i="24"/>
  <c r="L153" i="24"/>
  <c r="E92" i="24"/>
  <c r="L91" i="24"/>
  <c r="E91" i="24"/>
  <c r="L79" i="24"/>
  <c r="L77" i="24"/>
  <c r="O66" i="24"/>
  <c r="P64" i="24"/>
  <c r="O59" i="24"/>
  <c r="L151" i="24"/>
  <c r="L176" i="23"/>
  <c r="L153" i="23"/>
  <c r="O173" i="23"/>
  <c r="J110" i="23"/>
  <c r="E92" i="23"/>
  <c r="L91" i="23"/>
  <c r="E91" i="23"/>
  <c r="L79" i="23"/>
  <c r="L77" i="23"/>
  <c r="O66" i="23"/>
  <c r="L145" i="23"/>
  <c r="L176" i="22"/>
  <c r="L153" i="22"/>
  <c r="O173" i="22"/>
  <c r="E92" i="22"/>
  <c r="L91" i="22"/>
  <c r="E91" i="22"/>
  <c r="L79" i="22"/>
  <c r="L77" i="22"/>
  <c r="O66" i="22"/>
  <c r="P57" i="22"/>
  <c r="L176" i="21"/>
  <c r="L153" i="21"/>
  <c r="L147" i="21"/>
  <c r="O168" i="21"/>
  <c r="J110" i="21"/>
  <c r="E92" i="21"/>
  <c r="L91" i="21"/>
  <c r="E91" i="21"/>
  <c r="L79" i="21"/>
  <c r="L77" i="21"/>
  <c r="O66" i="21"/>
  <c r="E61" i="21"/>
  <c r="L176" i="20"/>
  <c r="L153" i="20"/>
  <c r="H124" i="20"/>
  <c r="E92" i="20"/>
  <c r="L91" i="20"/>
  <c r="E91" i="20"/>
  <c r="L79" i="20"/>
  <c r="L77" i="20"/>
  <c r="O66" i="20"/>
  <c r="L176" i="17"/>
  <c r="L153" i="17"/>
  <c r="E92" i="17"/>
  <c r="L91" i="17"/>
  <c r="E91" i="17"/>
  <c r="L79" i="17"/>
  <c r="L77" i="17"/>
  <c r="O66" i="17"/>
  <c r="L176" i="16"/>
  <c r="L153" i="16"/>
  <c r="L147" i="16"/>
  <c r="O168" i="16"/>
  <c r="E92" i="16"/>
  <c r="L91" i="16"/>
  <c r="E91" i="16"/>
  <c r="L79" i="16"/>
  <c r="L77" i="16"/>
  <c r="O66" i="16"/>
  <c r="G174" i="16"/>
  <c r="G175" i="16"/>
  <c r="I177" i="16"/>
  <c r="E61" i="16"/>
  <c r="L176" i="15"/>
  <c r="L153" i="15"/>
  <c r="H124" i="15"/>
  <c r="J110" i="15"/>
  <c r="E92" i="15"/>
  <c r="L91" i="15"/>
  <c r="E91" i="15"/>
  <c r="L79" i="15"/>
  <c r="L77" i="15"/>
  <c r="O66" i="15"/>
  <c r="P64" i="15"/>
  <c r="P59" i="15"/>
  <c r="L61" i="15"/>
  <c r="L176" i="14"/>
  <c r="L153" i="14"/>
  <c r="L147" i="14"/>
  <c r="O168" i="14"/>
  <c r="E92" i="14"/>
  <c r="L91" i="14"/>
  <c r="E91" i="14"/>
  <c r="L79" i="14"/>
  <c r="L77" i="14"/>
  <c r="O66" i="14"/>
  <c r="L176" i="13"/>
  <c r="L153" i="13"/>
  <c r="E92" i="13"/>
  <c r="L91" i="13"/>
  <c r="E91" i="13"/>
  <c r="L79" i="13"/>
  <c r="L77" i="13"/>
  <c r="O66" i="13"/>
  <c r="L145" i="13"/>
  <c r="L176" i="11"/>
  <c r="L153" i="11"/>
  <c r="E92" i="11"/>
  <c r="L91" i="11"/>
  <c r="E91" i="11"/>
  <c r="L79" i="11"/>
  <c r="L77" i="11"/>
  <c r="O66" i="11"/>
  <c r="P64" i="11"/>
  <c r="L145" i="11"/>
  <c r="L61" i="11"/>
  <c r="G174" i="14"/>
  <c r="L151" i="16"/>
  <c r="J110" i="17"/>
  <c r="P58" i="22"/>
  <c r="Q58" i="22"/>
  <c r="H124" i="24"/>
  <c r="D157" i="28"/>
  <c r="D163" i="33"/>
  <c r="D156" i="33"/>
  <c r="D162" i="39"/>
  <c r="J110" i="11"/>
  <c r="L151" i="11"/>
  <c r="J110" i="13"/>
  <c r="J110" i="16"/>
  <c r="E180" i="22"/>
  <c r="D165" i="26"/>
  <c r="D162" i="35"/>
  <c r="D164" i="35"/>
  <c r="D156" i="38"/>
  <c r="E165" i="29"/>
  <c r="P57" i="17"/>
  <c r="G175" i="24"/>
  <c r="I177" i="24"/>
  <c r="J110" i="14"/>
  <c r="P57" i="21"/>
  <c r="J110" i="22"/>
  <c r="D163" i="31"/>
  <c r="F145" i="50"/>
  <c r="K61" i="54"/>
  <c r="L88" i="53"/>
  <c r="L92" i="53"/>
  <c r="L83" i="53"/>
  <c r="L85" i="53"/>
  <c r="L88" i="52"/>
  <c r="L92" i="52"/>
  <c r="L83" i="52"/>
  <c r="L85" i="52"/>
  <c r="H59" i="51"/>
  <c r="O78" i="51"/>
  <c r="I162" i="51"/>
  <c r="D164" i="51"/>
  <c r="D147" i="51"/>
  <c r="F145" i="51"/>
  <c r="D152" i="51"/>
  <c r="F150" i="51"/>
  <c r="I150" i="51"/>
  <c r="I156" i="51"/>
  <c r="F144" i="51"/>
  <c r="I144" i="51"/>
  <c r="D146" i="51"/>
  <c r="D165" i="51"/>
  <c r="F163" i="51"/>
  <c r="F157" i="51"/>
  <c r="D159" i="51"/>
  <c r="H57" i="51"/>
  <c r="E146" i="51"/>
  <c r="E177" i="51"/>
  <c r="P67" i="51"/>
  <c r="I61" i="51"/>
  <c r="D153" i="51"/>
  <c r="F151" i="51"/>
  <c r="I151" i="51"/>
  <c r="P69" i="51"/>
  <c r="P65" i="51"/>
  <c r="I172" i="51"/>
  <c r="F144" i="50"/>
  <c r="I144" i="50"/>
  <c r="F163" i="50"/>
  <c r="I145" i="50"/>
  <c r="H169" i="50"/>
  <c r="G59" i="50"/>
  <c r="G178" i="50"/>
  <c r="I156" i="50"/>
  <c r="F157" i="50"/>
  <c r="D169" i="50"/>
  <c r="G57" i="50"/>
  <c r="H168" i="50"/>
  <c r="H146" i="50"/>
  <c r="H59" i="50"/>
  <c r="F150" i="50"/>
  <c r="I150" i="50"/>
  <c r="I61" i="50"/>
  <c r="P67" i="50"/>
  <c r="E146" i="50"/>
  <c r="H58" i="50"/>
  <c r="D153" i="50"/>
  <c r="H57" i="50"/>
  <c r="F151" i="50"/>
  <c r="I151" i="50"/>
  <c r="D177" i="50"/>
  <c r="P65" i="50"/>
  <c r="I172" i="50"/>
  <c r="P69" i="50"/>
  <c r="I162" i="50"/>
  <c r="D177" i="49"/>
  <c r="E171" i="49"/>
  <c r="D152" i="49"/>
  <c r="F163" i="49"/>
  <c r="D165" i="49"/>
  <c r="I163" i="49"/>
  <c r="I61" i="49"/>
  <c r="P67" i="49"/>
  <c r="H146" i="49"/>
  <c r="H59" i="49"/>
  <c r="D146" i="49"/>
  <c r="D153" i="49"/>
  <c r="F151" i="49"/>
  <c r="I151" i="49"/>
  <c r="D158" i="49"/>
  <c r="I156" i="49"/>
  <c r="P65" i="49"/>
  <c r="I172" i="49"/>
  <c r="P69" i="49"/>
  <c r="F157" i="49"/>
  <c r="D159" i="49"/>
  <c r="I157" i="49"/>
  <c r="D147" i="49"/>
  <c r="F145" i="49"/>
  <c r="I162" i="49"/>
  <c r="D164" i="49"/>
  <c r="I163" i="48"/>
  <c r="P68" i="48"/>
  <c r="G175" i="48"/>
  <c r="I177" i="48"/>
  <c r="G174" i="48"/>
  <c r="D165" i="48"/>
  <c r="I157" i="48"/>
  <c r="I151" i="48"/>
  <c r="D153" i="48"/>
  <c r="F151" i="48"/>
  <c r="E146" i="48"/>
  <c r="H58" i="48"/>
  <c r="P67" i="48"/>
  <c r="I61" i="48"/>
  <c r="F157" i="48"/>
  <c r="I156" i="48"/>
  <c r="D158" i="48"/>
  <c r="D147" i="48"/>
  <c r="H57" i="48"/>
  <c r="F145" i="48"/>
  <c r="I145" i="48"/>
  <c r="H146" i="48"/>
  <c r="H59" i="48"/>
  <c r="P65" i="48"/>
  <c r="P69" i="48"/>
  <c r="I172" i="48"/>
  <c r="H168" i="48"/>
  <c r="F163" i="48"/>
  <c r="I162" i="48"/>
  <c r="H59" i="47"/>
  <c r="D165" i="47"/>
  <c r="I163" i="47"/>
  <c r="F163" i="47"/>
  <c r="D152" i="47"/>
  <c r="F150" i="47"/>
  <c r="I150" i="47"/>
  <c r="D153" i="47"/>
  <c r="F151" i="47"/>
  <c r="I151" i="47"/>
  <c r="E146" i="47"/>
  <c r="I157" i="47"/>
  <c r="F157" i="47"/>
  <c r="D159" i="47"/>
  <c r="P65" i="47"/>
  <c r="P69" i="47"/>
  <c r="I172" i="47"/>
  <c r="O78" i="47"/>
  <c r="F144" i="47"/>
  <c r="I144" i="47"/>
  <c r="D146" i="47"/>
  <c r="H147" i="47"/>
  <c r="H155" i="47"/>
  <c r="H177" i="47"/>
  <c r="E177" i="47"/>
  <c r="D164" i="47"/>
  <c r="D147" i="47"/>
  <c r="F145" i="47"/>
  <c r="J59" i="47"/>
  <c r="K59" i="47"/>
  <c r="P67" i="47"/>
  <c r="I61" i="47"/>
  <c r="F157" i="46"/>
  <c r="H168" i="46"/>
  <c r="I157" i="46"/>
  <c r="H146" i="46"/>
  <c r="E146" i="46"/>
  <c r="D152" i="46"/>
  <c r="F150" i="46"/>
  <c r="I150" i="46"/>
  <c r="D147" i="46"/>
  <c r="F145" i="46"/>
  <c r="I145" i="46"/>
  <c r="H169" i="46"/>
  <c r="G59" i="46"/>
  <c r="H58" i="46"/>
  <c r="D158" i="46"/>
  <c r="D177" i="46"/>
  <c r="P67" i="46"/>
  <c r="I61" i="46"/>
  <c r="H59" i="46"/>
  <c r="D165" i="46"/>
  <c r="I163" i="46"/>
  <c r="F163" i="46"/>
  <c r="P65" i="46"/>
  <c r="I172" i="46"/>
  <c r="P69" i="46"/>
  <c r="F144" i="46"/>
  <c r="I144" i="46"/>
  <c r="D146" i="46"/>
  <c r="D153" i="46"/>
  <c r="F151" i="46"/>
  <c r="I151" i="46"/>
  <c r="E177" i="46"/>
  <c r="F163" i="45"/>
  <c r="D165" i="45"/>
  <c r="F144" i="45"/>
  <c r="I144" i="45"/>
  <c r="D146" i="45"/>
  <c r="P65" i="45"/>
  <c r="I172" i="45"/>
  <c r="P69" i="45"/>
  <c r="F150" i="45"/>
  <c r="I150" i="45"/>
  <c r="H146" i="45"/>
  <c r="I162" i="45"/>
  <c r="D164" i="45"/>
  <c r="F157" i="45"/>
  <c r="D159" i="45"/>
  <c r="H59" i="45"/>
  <c r="D153" i="45"/>
  <c r="F151" i="45"/>
  <c r="I151" i="45"/>
  <c r="E146" i="45"/>
  <c r="D147" i="45"/>
  <c r="F145" i="45"/>
  <c r="E177" i="45"/>
  <c r="I156" i="45"/>
  <c r="I61" i="45"/>
  <c r="P67" i="45"/>
  <c r="F157" i="44"/>
  <c r="I162" i="44"/>
  <c r="F163" i="44"/>
  <c r="D152" i="44"/>
  <c r="F150" i="44"/>
  <c r="I150" i="44"/>
  <c r="P65" i="44"/>
  <c r="I172" i="44"/>
  <c r="P69" i="44"/>
  <c r="H59" i="44"/>
  <c r="H146" i="44"/>
  <c r="I156" i="44"/>
  <c r="D177" i="44"/>
  <c r="H57" i="44"/>
  <c r="E146" i="44"/>
  <c r="D153" i="44"/>
  <c r="F151" i="44"/>
  <c r="I151" i="44"/>
  <c r="P67" i="44"/>
  <c r="I61" i="44"/>
  <c r="F145" i="44"/>
  <c r="F144" i="44"/>
  <c r="I144" i="44"/>
  <c r="H59" i="43"/>
  <c r="O78" i="43"/>
  <c r="E177" i="43"/>
  <c r="H168" i="43"/>
  <c r="I156" i="43"/>
  <c r="D158" i="43"/>
  <c r="F144" i="43"/>
  <c r="I144" i="43"/>
  <c r="D146" i="43"/>
  <c r="D152" i="43"/>
  <c r="F150" i="43"/>
  <c r="I150" i="43"/>
  <c r="I162" i="43"/>
  <c r="D164" i="43"/>
  <c r="P67" i="43"/>
  <c r="I61" i="43"/>
  <c r="H58" i="43"/>
  <c r="E146" i="43"/>
  <c r="F157" i="43"/>
  <c r="D159" i="43"/>
  <c r="P69" i="43"/>
  <c r="P65" i="43"/>
  <c r="I172" i="43"/>
  <c r="H146" i="43"/>
  <c r="D147" i="43"/>
  <c r="F145" i="43"/>
  <c r="I145" i="43"/>
  <c r="H169" i="43"/>
  <c r="G59" i="43"/>
  <c r="D153" i="43"/>
  <c r="F151" i="43"/>
  <c r="I151" i="43"/>
  <c r="D165" i="43"/>
  <c r="F163" i="43"/>
  <c r="P68" i="42"/>
  <c r="G175" i="42"/>
  <c r="I177" i="42"/>
  <c r="O77" i="42"/>
  <c r="F163" i="42"/>
  <c r="D165" i="42"/>
  <c r="I163" i="42"/>
  <c r="F157" i="42"/>
  <c r="D159" i="42"/>
  <c r="I157" i="42"/>
  <c r="I162" i="42"/>
  <c r="D164" i="42"/>
  <c r="P69" i="42"/>
  <c r="P65" i="42"/>
  <c r="I172" i="42"/>
  <c r="F150" i="42"/>
  <c r="I150" i="42"/>
  <c r="D152" i="42"/>
  <c r="E146" i="42"/>
  <c r="F144" i="42"/>
  <c r="I144" i="42"/>
  <c r="D146" i="42"/>
  <c r="D158" i="42"/>
  <c r="I156" i="42"/>
  <c r="D153" i="42"/>
  <c r="F151" i="42"/>
  <c r="D147" i="42"/>
  <c r="F145" i="42"/>
  <c r="I61" i="42"/>
  <c r="P67" i="42"/>
  <c r="H146" i="42"/>
  <c r="H59" i="42"/>
  <c r="O78" i="42"/>
  <c r="H177" i="42"/>
  <c r="D164" i="41"/>
  <c r="I151" i="41"/>
  <c r="D153" i="41"/>
  <c r="F151" i="41"/>
  <c r="H177" i="41"/>
  <c r="H146" i="41"/>
  <c r="E171" i="41"/>
  <c r="E169" i="41"/>
  <c r="G58" i="41"/>
  <c r="O83" i="41"/>
  <c r="F157" i="41"/>
  <c r="D159" i="41"/>
  <c r="I157" i="41"/>
  <c r="D165" i="41"/>
  <c r="I163" i="41"/>
  <c r="F163" i="41"/>
  <c r="P67" i="41"/>
  <c r="I61" i="41"/>
  <c r="H59" i="41"/>
  <c r="D147" i="41"/>
  <c r="F145" i="41"/>
  <c r="I145" i="41"/>
  <c r="H169" i="41"/>
  <c r="G59" i="41"/>
  <c r="D152" i="41"/>
  <c r="F150" i="41"/>
  <c r="I150" i="41"/>
  <c r="H58" i="41"/>
  <c r="E177" i="41"/>
  <c r="E146" i="41"/>
  <c r="P65" i="41"/>
  <c r="P69" i="41"/>
  <c r="I172" i="41"/>
  <c r="D169" i="41"/>
  <c r="G57" i="41"/>
  <c r="F144" i="41"/>
  <c r="I144" i="41"/>
  <c r="D146" i="41"/>
  <c r="D177" i="41"/>
  <c r="H144" i="40"/>
  <c r="H146" i="40"/>
  <c r="I180" i="40"/>
  <c r="H159" i="40"/>
  <c r="H151" i="40"/>
  <c r="H153" i="40"/>
  <c r="H165" i="40"/>
  <c r="H156" i="40"/>
  <c r="H158" i="40"/>
  <c r="P68" i="40"/>
  <c r="H162" i="40"/>
  <c r="H164" i="40"/>
  <c r="H145" i="40"/>
  <c r="H147" i="40"/>
  <c r="H155" i="40"/>
  <c r="E159" i="40"/>
  <c r="E144" i="40"/>
  <c r="D156" i="40"/>
  <c r="D154" i="40"/>
  <c r="E156" i="40"/>
  <c r="E158" i="40"/>
  <c r="E165" i="40"/>
  <c r="D151" i="40"/>
  <c r="D162" i="40"/>
  <c r="E151" i="40"/>
  <c r="E153" i="40"/>
  <c r="E162" i="40"/>
  <c r="E164" i="40"/>
  <c r="E150" i="40"/>
  <c r="E152" i="40"/>
  <c r="D150" i="40"/>
  <c r="E145" i="40"/>
  <c r="E147" i="40"/>
  <c r="D145" i="40"/>
  <c r="D144" i="40"/>
  <c r="D163" i="39"/>
  <c r="D165" i="39"/>
  <c r="D164" i="39"/>
  <c r="D150" i="39"/>
  <c r="H145" i="39"/>
  <c r="H147" i="39"/>
  <c r="H155" i="39"/>
  <c r="I180" i="39"/>
  <c r="H157" i="39"/>
  <c r="H159" i="39"/>
  <c r="H151" i="39"/>
  <c r="H153" i="39"/>
  <c r="H163" i="39"/>
  <c r="H165" i="39"/>
  <c r="H156" i="39"/>
  <c r="H158" i="39"/>
  <c r="H162" i="39"/>
  <c r="H164" i="39"/>
  <c r="E156" i="39"/>
  <c r="E158" i="39"/>
  <c r="E153" i="39"/>
  <c r="E144" i="39"/>
  <c r="E157" i="39"/>
  <c r="E159" i="39"/>
  <c r="E163" i="39"/>
  <c r="E165" i="39"/>
  <c r="D154" i="39"/>
  <c r="E162" i="39"/>
  <c r="E164" i="39"/>
  <c r="E150" i="39"/>
  <c r="E152" i="39"/>
  <c r="E147" i="39"/>
  <c r="D157" i="39"/>
  <c r="D144" i="39"/>
  <c r="D156" i="39"/>
  <c r="O141" i="39"/>
  <c r="H144" i="39"/>
  <c r="D157" i="38"/>
  <c r="D159" i="38"/>
  <c r="D163" i="38"/>
  <c r="D165" i="38"/>
  <c r="D152" i="38"/>
  <c r="D158" i="38"/>
  <c r="D164" i="38"/>
  <c r="H163" i="38"/>
  <c r="H165" i="38"/>
  <c r="H156" i="38"/>
  <c r="H158" i="38"/>
  <c r="I180" i="38"/>
  <c r="H162" i="38"/>
  <c r="H164" i="38"/>
  <c r="H147" i="38"/>
  <c r="H155" i="38"/>
  <c r="H157" i="38"/>
  <c r="H159" i="38"/>
  <c r="H153" i="38"/>
  <c r="D154" i="38"/>
  <c r="E156" i="38"/>
  <c r="E158" i="38"/>
  <c r="E163" i="38"/>
  <c r="E165" i="38"/>
  <c r="E152" i="38"/>
  <c r="E162" i="38"/>
  <c r="E164" i="38"/>
  <c r="E157" i="38"/>
  <c r="E159" i="38"/>
  <c r="H144" i="36"/>
  <c r="H146" i="36"/>
  <c r="D164" i="36"/>
  <c r="H165" i="36"/>
  <c r="H158" i="36"/>
  <c r="P68" i="36"/>
  <c r="H164" i="36"/>
  <c r="H159" i="36"/>
  <c r="H151" i="36"/>
  <c r="H153" i="36"/>
  <c r="H145" i="36"/>
  <c r="H147" i="36"/>
  <c r="H155" i="36"/>
  <c r="I180" i="36"/>
  <c r="D154" i="36"/>
  <c r="D144" i="36"/>
  <c r="E150" i="36"/>
  <c r="E152" i="36"/>
  <c r="E164" i="36"/>
  <c r="E144" i="36"/>
  <c r="E158" i="36"/>
  <c r="D150" i="36"/>
  <c r="E147" i="36"/>
  <c r="E151" i="36"/>
  <c r="E153" i="36"/>
  <c r="D151" i="36"/>
  <c r="D147" i="19"/>
  <c r="D144" i="19"/>
  <c r="O141" i="19"/>
  <c r="H144" i="19"/>
  <c r="I180" i="19"/>
  <c r="H159" i="19"/>
  <c r="H151" i="19"/>
  <c r="H153" i="19"/>
  <c r="H165" i="19"/>
  <c r="H158" i="19"/>
  <c r="P68" i="19"/>
  <c r="H164" i="19"/>
  <c r="H145" i="19"/>
  <c r="H147" i="19"/>
  <c r="H155" i="19"/>
  <c r="D154" i="19"/>
  <c r="D151" i="19"/>
  <c r="E151" i="19"/>
  <c r="E153" i="19"/>
  <c r="E147" i="19"/>
  <c r="E164" i="19"/>
  <c r="E150" i="19"/>
  <c r="E152" i="19"/>
  <c r="E158" i="19"/>
  <c r="D150" i="19"/>
  <c r="E144" i="19"/>
  <c r="H144" i="37"/>
  <c r="H146" i="37"/>
  <c r="I180" i="37"/>
  <c r="H157" i="37"/>
  <c r="H159" i="37"/>
  <c r="H151" i="37"/>
  <c r="H153" i="37"/>
  <c r="H163" i="37"/>
  <c r="H165" i="37"/>
  <c r="H156" i="37"/>
  <c r="H158" i="37"/>
  <c r="H162" i="37"/>
  <c r="H164" i="37"/>
  <c r="H145" i="37"/>
  <c r="H147" i="37"/>
  <c r="H155" i="37"/>
  <c r="E157" i="37"/>
  <c r="E159" i="37"/>
  <c r="E144" i="37"/>
  <c r="D156" i="37"/>
  <c r="E150" i="37"/>
  <c r="E152" i="37"/>
  <c r="D150" i="37"/>
  <c r="D144" i="37"/>
  <c r="D163" i="37"/>
  <c r="D154" i="37"/>
  <c r="E156" i="37"/>
  <c r="E158" i="37"/>
  <c r="E163" i="37"/>
  <c r="E165" i="37"/>
  <c r="D162" i="37"/>
  <c r="E153" i="37"/>
  <c r="E162" i="37"/>
  <c r="E164" i="37"/>
  <c r="D157" i="37"/>
  <c r="D147" i="18"/>
  <c r="H165" i="18"/>
  <c r="H158" i="18"/>
  <c r="P68" i="18"/>
  <c r="H164" i="18"/>
  <c r="H151" i="18"/>
  <c r="H153" i="18"/>
  <c r="H159" i="18"/>
  <c r="H145" i="18"/>
  <c r="H147" i="18"/>
  <c r="H155" i="18"/>
  <c r="I180" i="18"/>
  <c r="E147" i="18"/>
  <c r="E144" i="18"/>
  <c r="D144" i="18"/>
  <c r="D150" i="18"/>
  <c r="D154" i="18"/>
  <c r="E158" i="18"/>
  <c r="E150" i="18"/>
  <c r="E152" i="18"/>
  <c r="E151" i="18"/>
  <c r="E153" i="18"/>
  <c r="D151" i="18"/>
  <c r="E164" i="18"/>
  <c r="O141" i="18"/>
  <c r="H144" i="18"/>
  <c r="D154" i="35"/>
  <c r="H147" i="35"/>
  <c r="H155" i="35"/>
  <c r="H153" i="35"/>
  <c r="O141" i="35"/>
  <c r="E162" i="35"/>
  <c r="E164" i="35"/>
  <c r="I172" i="35"/>
  <c r="D157" i="35"/>
  <c r="D159" i="35"/>
  <c r="D163" i="35"/>
  <c r="D165" i="35"/>
  <c r="E147" i="35"/>
  <c r="H156" i="35"/>
  <c r="H158" i="35"/>
  <c r="H162" i="35"/>
  <c r="H164" i="35"/>
  <c r="I180" i="35"/>
  <c r="E153" i="35"/>
  <c r="H157" i="35"/>
  <c r="H159" i="35"/>
  <c r="E157" i="35"/>
  <c r="E159" i="35"/>
  <c r="D156" i="35"/>
  <c r="D147" i="35"/>
  <c r="E163" i="35"/>
  <c r="E165" i="35"/>
  <c r="H163" i="35"/>
  <c r="H165" i="35"/>
  <c r="P68" i="35"/>
  <c r="D146" i="35"/>
  <c r="E156" i="35"/>
  <c r="E158" i="35"/>
  <c r="D153" i="35"/>
  <c r="H59" i="35"/>
  <c r="O78" i="35"/>
  <c r="G175" i="35"/>
  <c r="I177" i="35"/>
  <c r="P65" i="35"/>
  <c r="D158" i="35"/>
  <c r="P67" i="35"/>
  <c r="H146" i="34"/>
  <c r="I180" i="34"/>
  <c r="H159" i="34"/>
  <c r="H151" i="34"/>
  <c r="H153" i="34"/>
  <c r="H164" i="34"/>
  <c r="H165" i="34"/>
  <c r="H158" i="34"/>
  <c r="P68" i="34"/>
  <c r="H145" i="34"/>
  <c r="H147" i="34"/>
  <c r="H155" i="34"/>
  <c r="E164" i="34"/>
  <c r="E158" i="34"/>
  <c r="E151" i="34"/>
  <c r="E153" i="34"/>
  <c r="E147" i="34"/>
  <c r="D144" i="34"/>
  <c r="D154" i="34"/>
  <c r="E144" i="34"/>
  <c r="E150" i="34"/>
  <c r="E152" i="34"/>
  <c r="D150" i="34"/>
  <c r="D151" i="34"/>
  <c r="D165" i="33"/>
  <c r="D164" i="33"/>
  <c r="D158" i="33"/>
  <c r="D157" i="33"/>
  <c r="O141" i="33"/>
  <c r="I180" i="33"/>
  <c r="H157" i="33"/>
  <c r="H159" i="33"/>
  <c r="H153" i="33"/>
  <c r="P68" i="33"/>
  <c r="H147" i="33"/>
  <c r="H155" i="33"/>
  <c r="H163" i="33"/>
  <c r="H165" i="33"/>
  <c r="H156" i="33"/>
  <c r="H158" i="33"/>
  <c r="H162" i="33"/>
  <c r="H164" i="33"/>
  <c r="E153" i="33"/>
  <c r="E156" i="33"/>
  <c r="E158" i="33"/>
  <c r="E147" i="33"/>
  <c r="E157" i="33"/>
  <c r="E159" i="33"/>
  <c r="E163" i="33"/>
  <c r="E165" i="33"/>
  <c r="D154" i="33"/>
  <c r="E162" i="33"/>
  <c r="E164" i="33"/>
  <c r="D147" i="32"/>
  <c r="D157" i="32"/>
  <c r="D159" i="32"/>
  <c r="D152" i="32"/>
  <c r="D162" i="32"/>
  <c r="I180" i="32"/>
  <c r="H157" i="32"/>
  <c r="H159" i="32"/>
  <c r="H153" i="32"/>
  <c r="H163" i="32"/>
  <c r="H165" i="32"/>
  <c r="H156" i="32"/>
  <c r="H158" i="32"/>
  <c r="H162" i="32"/>
  <c r="H164" i="32"/>
  <c r="H147" i="32"/>
  <c r="H155" i="32"/>
  <c r="E163" i="32"/>
  <c r="E165" i="32"/>
  <c r="E157" i="32"/>
  <c r="E159" i="32"/>
  <c r="E152" i="32"/>
  <c r="E162" i="32"/>
  <c r="E164" i="32"/>
  <c r="D163" i="32"/>
  <c r="D154" i="32"/>
  <c r="E156" i="32"/>
  <c r="E158" i="32"/>
  <c r="D156" i="32"/>
  <c r="D150" i="31"/>
  <c r="D152" i="31"/>
  <c r="D158" i="31"/>
  <c r="H144" i="31"/>
  <c r="H146" i="31"/>
  <c r="D145" i="31"/>
  <c r="D147" i="31"/>
  <c r="D165" i="31"/>
  <c r="H163" i="31"/>
  <c r="H165" i="31"/>
  <c r="H158" i="31"/>
  <c r="H145" i="31"/>
  <c r="H147" i="31"/>
  <c r="H155" i="31"/>
  <c r="I180" i="31"/>
  <c r="P68" i="31"/>
  <c r="H164" i="31"/>
  <c r="H157" i="31"/>
  <c r="H159" i="31"/>
  <c r="H151" i="31"/>
  <c r="H153" i="31"/>
  <c r="D151" i="31"/>
  <c r="E151" i="31"/>
  <c r="E153" i="31"/>
  <c r="E145" i="31"/>
  <c r="E147" i="31"/>
  <c r="E150" i="31"/>
  <c r="E152" i="31"/>
  <c r="E163" i="31"/>
  <c r="E165" i="31"/>
  <c r="E157" i="31"/>
  <c r="E159" i="31"/>
  <c r="E144" i="31"/>
  <c r="D154" i="31"/>
  <c r="E158" i="31"/>
  <c r="E164" i="31"/>
  <c r="D157" i="31"/>
  <c r="D144" i="31"/>
  <c r="D150" i="30"/>
  <c r="D152" i="30"/>
  <c r="D147" i="30"/>
  <c r="D144" i="30"/>
  <c r="D146" i="30"/>
  <c r="I180" i="30"/>
  <c r="H159" i="30"/>
  <c r="H151" i="30"/>
  <c r="H153" i="30"/>
  <c r="H165" i="30"/>
  <c r="H158" i="30"/>
  <c r="P68" i="30"/>
  <c r="H164" i="30"/>
  <c r="D151" i="30"/>
  <c r="E150" i="30"/>
  <c r="E152" i="30"/>
  <c r="H145" i="30"/>
  <c r="H147" i="30"/>
  <c r="H155" i="30"/>
  <c r="E147" i="30"/>
  <c r="D154" i="30"/>
  <c r="E144" i="30"/>
  <c r="E158" i="30"/>
  <c r="E164" i="30"/>
  <c r="E151" i="30"/>
  <c r="E153" i="30"/>
  <c r="H144" i="30"/>
  <c r="D165" i="30"/>
  <c r="H58" i="29"/>
  <c r="O77" i="29"/>
  <c r="H59" i="29"/>
  <c r="D147" i="29"/>
  <c r="F145" i="29"/>
  <c r="I145" i="29"/>
  <c r="H169" i="29"/>
  <c r="G59" i="29"/>
  <c r="J59" i="29"/>
  <c r="K59" i="29"/>
  <c r="D165" i="29"/>
  <c r="F163" i="29"/>
  <c r="D153" i="29"/>
  <c r="F151" i="29"/>
  <c r="I151" i="29"/>
  <c r="P67" i="29"/>
  <c r="I61" i="29"/>
  <c r="I156" i="29"/>
  <c r="D158" i="29"/>
  <c r="F144" i="29"/>
  <c r="I144" i="29"/>
  <c r="D146" i="29"/>
  <c r="I162" i="29"/>
  <c r="D164" i="29"/>
  <c r="H168" i="29"/>
  <c r="F150" i="29"/>
  <c r="I150" i="29"/>
  <c r="O78" i="29"/>
  <c r="F157" i="29"/>
  <c r="D159" i="29"/>
  <c r="P69" i="29"/>
  <c r="P65" i="29"/>
  <c r="I172" i="29"/>
  <c r="D150" i="28"/>
  <c r="D152" i="28"/>
  <c r="D147" i="28"/>
  <c r="D164" i="28"/>
  <c r="D144" i="28"/>
  <c r="D146" i="28"/>
  <c r="D159" i="28"/>
  <c r="I180" i="28"/>
  <c r="H159" i="28"/>
  <c r="H151" i="28"/>
  <c r="H153" i="28"/>
  <c r="P68" i="28"/>
  <c r="H145" i="28"/>
  <c r="H147" i="28"/>
  <c r="H155" i="28"/>
  <c r="H165" i="28"/>
  <c r="H158" i="28"/>
  <c r="H164" i="28"/>
  <c r="E151" i="28"/>
  <c r="E153" i="28"/>
  <c r="E150" i="28"/>
  <c r="E152" i="28"/>
  <c r="E147" i="28"/>
  <c r="E159" i="28"/>
  <c r="E144" i="28"/>
  <c r="D154" i="28"/>
  <c r="E165" i="28"/>
  <c r="D151" i="28"/>
  <c r="O141" i="28"/>
  <c r="H144" i="28"/>
  <c r="I180" i="27"/>
  <c r="H157" i="27"/>
  <c r="H159" i="27"/>
  <c r="H153" i="27"/>
  <c r="H162" i="27"/>
  <c r="H164" i="27"/>
  <c r="H163" i="27"/>
  <c r="H165" i="27"/>
  <c r="H156" i="27"/>
  <c r="H158" i="27"/>
  <c r="H147" i="27"/>
  <c r="H155" i="27"/>
  <c r="D156" i="27"/>
  <c r="D163" i="27"/>
  <c r="E156" i="27"/>
  <c r="E158" i="27"/>
  <c r="D154" i="27"/>
  <c r="D157" i="27"/>
  <c r="E162" i="27"/>
  <c r="E164" i="27"/>
  <c r="E157" i="27"/>
  <c r="E159" i="27"/>
  <c r="D162" i="27"/>
  <c r="E163" i="27"/>
  <c r="E165" i="27"/>
  <c r="E152" i="27"/>
  <c r="H146" i="27"/>
  <c r="P68" i="26"/>
  <c r="D151" i="26"/>
  <c r="D153" i="26"/>
  <c r="H159" i="26"/>
  <c r="D150" i="26"/>
  <c r="H158" i="26"/>
  <c r="E165" i="26"/>
  <c r="H164" i="26"/>
  <c r="H151" i="26"/>
  <c r="H153" i="26"/>
  <c r="D154" i="26"/>
  <c r="E150" i="26"/>
  <c r="E152" i="26"/>
  <c r="E159" i="26"/>
  <c r="E147" i="26"/>
  <c r="D164" i="26"/>
  <c r="H165" i="26"/>
  <c r="I180" i="26"/>
  <c r="D157" i="26"/>
  <c r="E151" i="26"/>
  <c r="E153" i="26"/>
  <c r="H145" i="26"/>
  <c r="H147" i="26"/>
  <c r="H155" i="26"/>
  <c r="D147" i="26"/>
  <c r="P67" i="26"/>
  <c r="P65" i="26"/>
  <c r="O141" i="26"/>
  <c r="H144" i="26"/>
  <c r="D152" i="26"/>
  <c r="D144" i="26"/>
  <c r="E144" i="26"/>
  <c r="H146" i="25"/>
  <c r="I180" i="25"/>
  <c r="H159" i="25"/>
  <c r="H151" i="25"/>
  <c r="H153" i="25"/>
  <c r="H165" i="25"/>
  <c r="H158" i="25"/>
  <c r="P68" i="25"/>
  <c r="H164" i="25"/>
  <c r="H145" i="25"/>
  <c r="H147" i="25"/>
  <c r="H155" i="25"/>
  <c r="E147" i="25"/>
  <c r="D150" i="25"/>
  <c r="E159" i="25"/>
  <c r="E144" i="25"/>
  <c r="E165" i="25"/>
  <c r="D151" i="25"/>
  <c r="E151" i="25"/>
  <c r="E153" i="25"/>
  <c r="E150" i="25"/>
  <c r="E152" i="25"/>
  <c r="D157" i="25"/>
  <c r="D144" i="25"/>
  <c r="D154" i="25"/>
  <c r="J110" i="24"/>
  <c r="E61" i="24"/>
  <c r="H152" i="24"/>
  <c r="P58" i="24"/>
  <c r="Q58" i="24"/>
  <c r="E93" i="24"/>
  <c r="P57" i="24"/>
  <c r="O151" i="24"/>
  <c r="C129" i="24"/>
  <c r="E180" i="24"/>
  <c r="L61" i="24"/>
  <c r="P59" i="24"/>
  <c r="L145" i="24"/>
  <c r="H180" i="24"/>
  <c r="O167" i="24"/>
  <c r="L171" i="24"/>
  <c r="O173" i="24"/>
  <c r="G180" i="24"/>
  <c r="E180" i="23"/>
  <c r="E93" i="23"/>
  <c r="G180" i="23"/>
  <c r="P57" i="23"/>
  <c r="L61" i="23"/>
  <c r="E61" i="23"/>
  <c r="P64" i="23"/>
  <c r="P59" i="23"/>
  <c r="G175" i="23"/>
  <c r="I177" i="23"/>
  <c r="L151" i="23"/>
  <c r="H180" i="23"/>
  <c r="O59" i="23"/>
  <c r="P58" i="23"/>
  <c r="Q58" i="23"/>
  <c r="C129" i="23"/>
  <c r="H124" i="23"/>
  <c r="H152" i="23"/>
  <c r="O167" i="23"/>
  <c r="L171" i="23"/>
  <c r="H180" i="22"/>
  <c r="L145" i="22"/>
  <c r="L61" i="22"/>
  <c r="O59" i="22"/>
  <c r="G180" i="22"/>
  <c r="C129" i="22"/>
  <c r="H124" i="22"/>
  <c r="E61" i="22"/>
  <c r="E93" i="22"/>
  <c r="P64" i="22"/>
  <c r="P59" i="22"/>
  <c r="L151" i="22"/>
  <c r="H152" i="22"/>
  <c r="O167" i="22"/>
  <c r="L171" i="22"/>
  <c r="O145" i="21"/>
  <c r="G174" i="21"/>
  <c r="G175" i="21"/>
  <c r="I177" i="21"/>
  <c r="P64" i="21"/>
  <c r="P59" i="21"/>
  <c r="L151" i="21"/>
  <c r="O59" i="21"/>
  <c r="C129" i="21"/>
  <c r="H124" i="21"/>
  <c r="P58" i="21"/>
  <c r="Q58" i="21"/>
  <c r="H180" i="21"/>
  <c r="E93" i="21"/>
  <c r="L145" i="21"/>
  <c r="L61" i="21"/>
  <c r="O167" i="21"/>
  <c r="O173" i="21"/>
  <c r="G180" i="21"/>
  <c r="J110" i="20"/>
  <c r="P58" i="20"/>
  <c r="Q58" i="20"/>
  <c r="E61" i="20"/>
  <c r="D180" i="20"/>
  <c r="P57" i="20"/>
  <c r="C129" i="20"/>
  <c r="G175" i="20"/>
  <c r="I177" i="20"/>
  <c r="H180" i="20"/>
  <c r="G180" i="20"/>
  <c r="O59" i="20"/>
  <c r="P59" i="20"/>
  <c r="P64" i="20"/>
  <c r="L145" i="20"/>
  <c r="L151" i="20"/>
  <c r="H152" i="20"/>
  <c r="E93" i="20"/>
  <c r="L61" i="20"/>
  <c r="O167" i="20"/>
  <c r="O173" i="20"/>
  <c r="L145" i="17"/>
  <c r="D180" i="17"/>
  <c r="E61" i="17"/>
  <c r="E93" i="17"/>
  <c r="O145" i="17"/>
  <c r="O151" i="17"/>
  <c r="L151" i="17"/>
  <c r="P64" i="17"/>
  <c r="P59" i="17"/>
  <c r="O59" i="17"/>
  <c r="C129" i="17"/>
  <c r="H124" i="17"/>
  <c r="P58" i="17"/>
  <c r="Q58" i="17"/>
  <c r="H180" i="17"/>
  <c r="L61" i="17"/>
  <c r="O167" i="17"/>
  <c r="L171" i="17"/>
  <c r="O173" i="17"/>
  <c r="G180" i="17"/>
  <c r="P64" i="16"/>
  <c r="O59" i="16"/>
  <c r="P58" i="16"/>
  <c r="Q58" i="16"/>
  <c r="E93" i="16"/>
  <c r="P57" i="16"/>
  <c r="C129" i="16"/>
  <c r="L61" i="16"/>
  <c r="H124" i="16"/>
  <c r="E180" i="16"/>
  <c r="L145" i="16"/>
  <c r="H150" i="16"/>
  <c r="H152" i="16"/>
  <c r="O173" i="16"/>
  <c r="H180" i="16"/>
  <c r="P59" i="16"/>
  <c r="O167" i="16"/>
  <c r="L171" i="16"/>
  <c r="G180" i="16"/>
  <c r="L145" i="15"/>
  <c r="G180" i="15"/>
  <c r="O167" i="15"/>
  <c r="L171" i="15"/>
  <c r="O173" i="15"/>
  <c r="O59" i="15"/>
  <c r="L151" i="15"/>
  <c r="P58" i="15"/>
  <c r="Q58" i="15"/>
  <c r="C129" i="15"/>
  <c r="P57" i="15"/>
  <c r="E61" i="15"/>
  <c r="E93" i="15"/>
  <c r="H180" i="15"/>
  <c r="P58" i="14"/>
  <c r="Q58" i="14"/>
  <c r="P64" i="14"/>
  <c r="G175" i="14"/>
  <c r="I177" i="14"/>
  <c r="O59" i="14"/>
  <c r="L151" i="14"/>
  <c r="L61" i="14"/>
  <c r="E61" i="14"/>
  <c r="E180" i="14"/>
  <c r="E93" i="14"/>
  <c r="P57" i="14"/>
  <c r="H124" i="14"/>
  <c r="C129" i="14"/>
  <c r="O151" i="14"/>
  <c r="P59" i="14"/>
  <c r="L145" i="14"/>
  <c r="O173" i="14"/>
  <c r="H180" i="14"/>
  <c r="O167" i="14"/>
  <c r="L171" i="14"/>
  <c r="G180" i="14"/>
  <c r="E61" i="13"/>
  <c r="D180" i="13"/>
  <c r="P57" i="13"/>
  <c r="O145" i="13"/>
  <c r="L151" i="13"/>
  <c r="P64" i="13"/>
  <c r="P59" i="13"/>
  <c r="G175" i="13"/>
  <c r="I177" i="13"/>
  <c r="O59" i="13"/>
  <c r="C129" i="13"/>
  <c r="H124" i="13"/>
  <c r="E93" i="13"/>
  <c r="P58" i="13"/>
  <c r="Q58" i="13"/>
  <c r="H180" i="13"/>
  <c r="L61" i="13"/>
  <c r="H152" i="13"/>
  <c r="O167" i="13"/>
  <c r="L171" i="13"/>
  <c r="O173" i="13"/>
  <c r="G180" i="13"/>
  <c r="O59" i="11"/>
  <c r="E93" i="11"/>
  <c r="E180" i="11"/>
  <c r="E61" i="11"/>
  <c r="H124" i="11"/>
  <c r="C129" i="11"/>
  <c r="P57" i="11"/>
  <c r="O151" i="11"/>
  <c r="P59" i="11"/>
  <c r="O167" i="11"/>
  <c r="O173" i="11"/>
  <c r="P58" i="11"/>
  <c r="Q58" i="11"/>
  <c r="H180" i="11"/>
  <c r="H152" i="11"/>
  <c r="G180" i="11"/>
  <c r="H177" i="51"/>
  <c r="D177" i="42"/>
  <c r="I168" i="42"/>
  <c r="E177" i="49"/>
  <c r="E171" i="51"/>
  <c r="I168" i="51"/>
  <c r="P85" i="51"/>
  <c r="O83" i="51"/>
  <c r="D177" i="51"/>
  <c r="J59" i="51"/>
  <c r="K59" i="51"/>
  <c r="H61" i="51"/>
  <c r="O76" i="51"/>
  <c r="O57" i="51"/>
  <c r="O77" i="51"/>
  <c r="P70" i="51"/>
  <c r="O82" i="51"/>
  <c r="J57" i="51"/>
  <c r="G178" i="51"/>
  <c r="G179" i="51"/>
  <c r="O84" i="51"/>
  <c r="G179" i="50"/>
  <c r="O84" i="50"/>
  <c r="O78" i="50"/>
  <c r="J59" i="50"/>
  <c r="K59" i="50"/>
  <c r="E169" i="50"/>
  <c r="G58" i="50"/>
  <c r="O83" i="50"/>
  <c r="E171" i="50"/>
  <c r="E177" i="50"/>
  <c r="P70" i="50"/>
  <c r="O76" i="50"/>
  <c r="H61" i="50"/>
  <c r="O57" i="50"/>
  <c r="I168" i="50"/>
  <c r="J141" i="50"/>
  <c r="J170" i="50"/>
  <c r="O77" i="50"/>
  <c r="O82" i="50"/>
  <c r="J57" i="50"/>
  <c r="H177" i="50"/>
  <c r="O83" i="49"/>
  <c r="H177" i="49"/>
  <c r="I168" i="49"/>
  <c r="P85" i="49"/>
  <c r="G179" i="49"/>
  <c r="G178" i="49"/>
  <c r="O84" i="49"/>
  <c r="O77" i="49"/>
  <c r="H57" i="49"/>
  <c r="P70" i="49"/>
  <c r="G61" i="49"/>
  <c r="O82" i="49"/>
  <c r="O78" i="49"/>
  <c r="J59" i="49"/>
  <c r="K59" i="49"/>
  <c r="H169" i="48"/>
  <c r="G59" i="48"/>
  <c r="J59" i="48"/>
  <c r="K59" i="48"/>
  <c r="P70" i="48"/>
  <c r="G179" i="48"/>
  <c r="O77" i="48"/>
  <c r="H177" i="48"/>
  <c r="E169" i="48"/>
  <c r="G58" i="48"/>
  <c r="O83" i="48"/>
  <c r="E171" i="48"/>
  <c r="O76" i="48"/>
  <c r="H61" i="48"/>
  <c r="E177" i="48"/>
  <c r="O78" i="48"/>
  <c r="H57" i="47"/>
  <c r="O76" i="47"/>
  <c r="P70" i="47"/>
  <c r="O77" i="47"/>
  <c r="O83" i="47"/>
  <c r="E171" i="47"/>
  <c r="O57" i="47"/>
  <c r="I168" i="47"/>
  <c r="P85" i="47"/>
  <c r="G178" i="47"/>
  <c r="G179" i="47"/>
  <c r="O84" i="47"/>
  <c r="D177" i="47"/>
  <c r="H57" i="46"/>
  <c r="O76" i="46"/>
  <c r="H177" i="46"/>
  <c r="O77" i="46"/>
  <c r="O78" i="46"/>
  <c r="J59" i="46"/>
  <c r="K59" i="46"/>
  <c r="D169" i="46"/>
  <c r="G57" i="46"/>
  <c r="O57" i="46"/>
  <c r="I168" i="46"/>
  <c r="P85" i="46"/>
  <c r="E171" i="46"/>
  <c r="E169" i="46"/>
  <c r="G58" i="46"/>
  <c r="O83" i="46"/>
  <c r="P70" i="46"/>
  <c r="G178" i="46"/>
  <c r="G179" i="46"/>
  <c r="O84" i="46"/>
  <c r="H57" i="45"/>
  <c r="I168" i="45"/>
  <c r="P85" i="45"/>
  <c r="G179" i="45"/>
  <c r="G178" i="45"/>
  <c r="O84" i="45"/>
  <c r="D177" i="45"/>
  <c r="O83" i="45"/>
  <c r="E171" i="45"/>
  <c r="O76" i="45"/>
  <c r="H61" i="45"/>
  <c r="H177" i="45"/>
  <c r="J141" i="45"/>
  <c r="J170" i="45"/>
  <c r="O77" i="45"/>
  <c r="P70" i="45"/>
  <c r="O78" i="45"/>
  <c r="J59" i="45"/>
  <c r="K59" i="45"/>
  <c r="H177" i="44"/>
  <c r="P70" i="44"/>
  <c r="E177" i="44"/>
  <c r="O83" i="44"/>
  <c r="E171" i="44"/>
  <c r="I168" i="44"/>
  <c r="P85" i="44"/>
  <c r="O77" i="44"/>
  <c r="H61" i="44"/>
  <c r="O76" i="44"/>
  <c r="O57" i="44"/>
  <c r="G179" i="44"/>
  <c r="O84" i="44"/>
  <c r="G178" i="44"/>
  <c r="O82" i="44"/>
  <c r="J57" i="44"/>
  <c r="O78" i="44"/>
  <c r="J59" i="44"/>
  <c r="K59" i="44"/>
  <c r="E169" i="43"/>
  <c r="G58" i="43"/>
  <c r="O83" i="43"/>
  <c r="E171" i="43"/>
  <c r="H57" i="43"/>
  <c r="H61" i="43"/>
  <c r="H177" i="43"/>
  <c r="P70" i="43"/>
  <c r="G179" i="43"/>
  <c r="G178" i="43"/>
  <c r="O84" i="43"/>
  <c r="O77" i="43"/>
  <c r="J59" i="43"/>
  <c r="K59" i="43"/>
  <c r="E171" i="42"/>
  <c r="O83" i="42"/>
  <c r="E177" i="42"/>
  <c r="P85" i="42"/>
  <c r="P70" i="42"/>
  <c r="H57" i="42"/>
  <c r="J57" i="42"/>
  <c r="G179" i="42"/>
  <c r="G178" i="42"/>
  <c r="O84" i="42"/>
  <c r="O82" i="42"/>
  <c r="J141" i="42"/>
  <c r="J170" i="42"/>
  <c r="J171" i="42"/>
  <c r="L173" i="42"/>
  <c r="J59" i="42"/>
  <c r="K59" i="42"/>
  <c r="H57" i="41"/>
  <c r="J57" i="41"/>
  <c r="G179" i="41"/>
  <c r="O84" i="41"/>
  <c r="G178" i="41"/>
  <c r="J141" i="41"/>
  <c r="J170" i="41"/>
  <c r="J171" i="41"/>
  <c r="L173" i="41"/>
  <c r="O77" i="41"/>
  <c r="J58" i="41"/>
  <c r="P70" i="41"/>
  <c r="G61" i="41"/>
  <c r="O82" i="41"/>
  <c r="O78" i="41"/>
  <c r="J59" i="41"/>
  <c r="K59" i="41"/>
  <c r="H59" i="40"/>
  <c r="O78" i="40"/>
  <c r="E171" i="40"/>
  <c r="H168" i="40"/>
  <c r="F157" i="40"/>
  <c r="D159" i="40"/>
  <c r="P67" i="40"/>
  <c r="I61" i="40"/>
  <c r="D147" i="40"/>
  <c r="F145" i="40"/>
  <c r="I145" i="40"/>
  <c r="D153" i="40"/>
  <c r="F151" i="40"/>
  <c r="I151" i="40"/>
  <c r="D165" i="40"/>
  <c r="F163" i="40"/>
  <c r="P65" i="40"/>
  <c r="I172" i="40"/>
  <c r="P69" i="40"/>
  <c r="I156" i="40"/>
  <c r="D158" i="40"/>
  <c r="F144" i="40"/>
  <c r="I144" i="40"/>
  <c r="D146" i="40"/>
  <c r="D152" i="40"/>
  <c r="F150" i="40"/>
  <c r="I150" i="40"/>
  <c r="I162" i="40"/>
  <c r="D164" i="40"/>
  <c r="E146" i="40"/>
  <c r="H58" i="40"/>
  <c r="O77" i="40"/>
  <c r="P68" i="39"/>
  <c r="G175" i="39"/>
  <c r="I177" i="39"/>
  <c r="G174" i="39"/>
  <c r="I163" i="39"/>
  <c r="F163" i="39"/>
  <c r="E146" i="39"/>
  <c r="H58" i="39"/>
  <c r="H168" i="39"/>
  <c r="I162" i="39"/>
  <c r="H146" i="39"/>
  <c r="H59" i="39"/>
  <c r="D146" i="39"/>
  <c r="F144" i="39"/>
  <c r="I144" i="39"/>
  <c r="P67" i="39"/>
  <c r="I61" i="39"/>
  <c r="D152" i="39"/>
  <c r="F150" i="39"/>
  <c r="I150" i="39"/>
  <c r="D159" i="39"/>
  <c r="I157" i="39"/>
  <c r="F157" i="39"/>
  <c r="P65" i="39"/>
  <c r="I172" i="39"/>
  <c r="P69" i="39"/>
  <c r="I156" i="39"/>
  <c r="D158" i="39"/>
  <c r="D153" i="39"/>
  <c r="F151" i="39"/>
  <c r="D147" i="39"/>
  <c r="F145" i="39"/>
  <c r="H169" i="39"/>
  <c r="G59" i="39"/>
  <c r="P68" i="38"/>
  <c r="G175" i="38"/>
  <c r="I177" i="38"/>
  <c r="F150" i="38"/>
  <c r="I150" i="38"/>
  <c r="F157" i="38"/>
  <c r="D153" i="38"/>
  <c r="F151" i="38"/>
  <c r="E146" i="38"/>
  <c r="P69" i="38"/>
  <c r="P65" i="38"/>
  <c r="I172" i="38"/>
  <c r="E177" i="38"/>
  <c r="H146" i="38"/>
  <c r="H59" i="38"/>
  <c r="O78" i="38"/>
  <c r="F163" i="38"/>
  <c r="I157" i="38"/>
  <c r="D147" i="38"/>
  <c r="F145" i="38"/>
  <c r="I61" i="38"/>
  <c r="P67" i="38"/>
  <c r="I163" i="38"/>
  <c r="I162" i="38"/>
  <c r="F144" i="38"/>
  <c r="I144" i="38"/>
  <c r="D146" i="38"/>
  <c r="H57" i="38"/>
  <c r="D177" i="38"/>
  <c r="I156" i="38"/>
  <c r="E177" i="36"/>
  <c r="O77" i="36"/>
  <c r="E146" i="36"/>
  <c r="I162" i="36"/>
  <c r="F163" i="36"/>
  <c r="D165" i="36"/>
  <c r="F144" i="36"/>
  <c r="I144" i="36"/>
  <c r="D146" i="36"/>
  <c r="I61" i="36"/>
  <c r="P67" i="36"/>
  <c r="F157" i="36"/>
  <c r="D159" i="36"/>
  <c r="D177" i="36"/>
  <c r="I156" i="36"/>
  <c r="F150" i="36"/>
  <c r="I150" i="36"/>
  <c r="D152" i="36"/>
  <c r="I172" i="36"/>
  <c r="P65" i="36"/>
  <c r="P69" i="36"/>
  <c r="F145" i="36"/>
  <c r="D147" i="36"/>
  <c r="D153" i="36"/>
  <c r="F151" i="36"/>
  <c r="I151" i="36"/>
  <c r="H59" i="36"/>
  <c r="E146" i="19"/>
  <c r="E177" i="19"/>
  <c r="P65" i="19"/>
  <c r="I172" i="19"/>
  <c r="P69" i="19"/>
  <c r="I156" i="19"/>
  <c r="I168" i="19"/>
  <c r="P85" i="19"/>
  <c r="P67" i="19"/>
  <c r="I61" i="19"/>
  <c r="I162" i="19"/>
  <c r="D164" i="19"/>
  <c r="F157" i="19"/>
  <c r="D159" i="19"/>
  <c r="D165" i="19"/>
  <c r="F163" i="19"/>
  <c r="D152" i="19"/>
  <c r="F150" i="19"/>
  <c r="I150" i="19"/>
  <c r="D153" i="19"/>
  <c r="F151" i="19"/>
  <c r="I151" i="19"/>
  <c r="F145" i="19"/>
  <c r="H146" i="19"/>
  <c r="H59" i="19"/>
  <c r="O77" i="19"/>
  <c r="F144" i="19"/>
  <c r="I144" i="19"/>
  <c r="D146" i="19"/>
  <c r="P68" i="37"/>
  <c r="G175" i="37"/>
  <c r="I177" i="37"/>
  <c r="G174" i="37"/>
  <c r="E147" i="37"/>
  <c r="H58" i="37"/>
  <c r="H59" i="37"/>
  <c r="O78" i="37"/>
  <c r="H168" i="37"/>
  <c r="I162" i="37"/>
  <c r="D164" i="37"/>
  <c r="D147" i="37"/>
  <c r="I156" i="37"/>
  <c r="D158" i="37"/>
  <c r="D177" i="37"/>
  <c r="F157" i="37"/>
  <c r="D159" i="37"/>
  <c r="I157" i="37"/>
  <c r="E146" i="37"/>
  <c r="D153" i="37"/>
  <c r="F151" i="37"/>
  <c r="D165" i="37"/>
  <c r="I163" i="37"/>
  <c r="F163" i="37"/>
  <c r="D152" i="37"/>
  <c r="F150" i="37"/>
  <c r="I150" i="37"/>
  <c r="P67" i="37"/>
  <c r="I61" i="37"/>
  <c r="D146" i="37"/>
  <c r="F144" i="37"/>
  <c r="I144" i="37"/>
  <c r="P65" i="37"/>
  <c r="I172" i="37"/>
  <c r="P69" i="37"/>
  <c r="F145" i="18"/>
  <c r="E146" i="18"/>
  <c r="D153" i="18"/>
  <c r="F151" i="18"/>
  <c r="I151" i="18"/>
  <c r="I156" i="18"/>
  <c r="P65" i="18"/>
  <c r="I172" i="18"/>
  <c r="P69" i="18"/>
  <c r="H146" i="18"/>
  <c r="H59" i="18"/>
  <c r="F157" i="18"/>
  <c r="D159" i="18"/>
  <c r="F150" i="18"/>
  <c r="I150" i="18"/>
  <c r="D152" i="18"/>
  <c r="I162" i="18"/>
  <c r="D164" i="18"/>
  <c r="D177" i="18"/>
  <c r="F163" i="18"/>
  <c r="D165" i="18"/>
  <c r="F144" i="18"/>
  <c r="I144" i="18"/>
  <c r="D146" i="18"/>
  <c r="I61" i="18"/>
  <c r="P67" i="18"/>
  <c r="I162" i="35"/>
  <c r="O77" i="35"/>
  <c r="D152" i="35"/>
  <c r="I156" i="35"/>
  <c r="F163" i="35"/>
  <c r="I61" i="35"/>
  <c r="F157" i="35"/>
  <c r="I151" i="35"/>
  <c r="P69" i="35"/>
  <c r="P70" i="35"/>
  <c r="G178" i="35"/>
  <c r="D177" i="35"/>
  <c r="I157" i="35"/>
  <c r="F145" i="35"/>
  <c r="E177" i="35"/>
  <c r="F151" i="35"/>
  <c r="I163" i="35"/>
  <c r="H57" i="35"/>
  <c r="H177" i="35"/>
  <c r="O76" i="35"/>
  <c r="H59" i="34"/>
  <c r="O78" i="34"/>
  <c r="D147" i="34"/>
  <c r="F145" i="34"/>
  <c r="J59" i="34"/>
  <c r="K59" i="34"/>
  <c r="H177" i="34"/>
  <c r="F157" i="34"/>
  <c r="D159" i="34"/>
  <c r="D164" i="34"/>
  <c r="I162" i="34"/>
  <c r="D165" i="34"/>
  <c r="F163" i="34"/>
  <c r="P69" i="34"/>
  <c r="P65" i="34"/>
  <c r="I172" i="34"/>
  <c r="D153" i="34"/>
  <c r="F151" i="34"/>
  <c r="I151" i="34"/>
  <c r="P67" i="34"/>
  <c r="I61" i="34"/>
  <c r="D152" i="34"/>
  <c r="F150" i="34"/>
  <c r="I150" i="34"/>
  <c r="E146" i="34"/>
  <c r="F144" i="34"/>
  <c r="I144" i="34"/>
  <c r="D146" i="34"/>
  <c r="I156" i="34"/>
  <c r="D177" i="34"/>
  <c r="E177" i="34"/>
  <c r="D152" i="33"/>
  <c r="P65" i="33"/>
  <c r="P69" i="33"/>
  <c r="I172" i="33"/>
  <c r="F157" i="33"/>
  <c r="D159" i="33"/>
  <c r="I157" i="33"/>
  <c r="I151" i="33"/>
  <c r="D153" i="33"/>
  <c r="F151" i="33"/>
  <c r="D147" i="33"/>
  <c r="F145" i="33"/>
  <c r="I168" i="33"/>
  <c r="P85" i="33"/>
  <c r="H177" i="33"/>
  <c r="H146" i="33"/>
  <c r="H59" i="33"/>
  <c r="I156" i="33"/>
  <c r="I163" i="33"/>
  <c r="D177" i="33"/>
  <c r="D146" i="33"/>
  <c r="F163" i="33"/>
  <c r="P67" i="33"/>
  <c r="I61" i="33"/>
  <c r="I162" i="33"/>
  <c r="E177" i="32"/>
  <c r="P68" i="32"/>
  <c r="G175" i="32"/>
  <c r="I177" i="32"/>
  <c r="I156" i="32"/>
  <c r="D158" i="32"/>
  <c r="F157" i="32"/>
  <c r="F144" i="32"/>
  <c r="I144" i="32"/>
  <c r="D146" i="32"/>
  <c r="E146" i="32"/>
  <c r="P67" i="32"/>
  <c r="I61" i="32"/>
  <c r="D165" i="32"/>
  <c r="I163" i="32"/>
  <c r="F163" i="32"/>
  <c r="I157" i="32"/>
  <c r="F145" i="32"/>
  <c r="H146" i="32"/>
  <c r="H59" i="32"/>
  <c r="D153" i="32"/>
  <c r="F151" i="32"/>
  <c r="P65" i="32"/>
  <c r="P69" i="32"/>
  <c r="I172" i="32"/>
  <c r="I162" i="32"/>
  <c r="D164" i="32"/>
  <c r="F150" i="32"/>
  <c r="I150" i="32"/>
  <c r="H59" i="31"/>
  <c r="H58" i="31"/>
  <c r="F163" i="31"/>
  <c r="D169" i="31"/>
  <c r="G57" i="31"/>
  <c r="O77" i="31"/>
  <c r="H168" i="31"/>
  <c r="D164" i="31"/>
  <c r="F150" i="31"/>
  <c r="I150" i="31"/>
  <c r="D153" i="31"/>
  <c r="F151" i="31"/>
  <c r="I151" i="31"/>
  <c r="I163" i="31"/>
  <c r="F145" i="31"/>
  <c r="P69" i="31"/>
  <c r="P65" i="31"/>
  <c r="I172" i="31"/>
  <c r="F144" i="31"/>
  <c r="I144" i="31"/>
  <c r="D177" i="31"/>
  <c r="D146" i="31"/>
  <c r="I61" i="31"/>
  <c r="P67" i="31"/>
  <c r="I145" i="31"/>
  <c r="H169" i="31"/>
  <c r="G59" i="31"/>
  <c r="F157" i="31"/>
  <c r="I157" i="31"/>
  <c r="D159" i="31"/>
  <c r="E177" i="31"/>
  <c r="E146" i="31"/>
  <c r="F144" i="30"/>
  <c r="I144" i="30"/>
  <c r="F163" i="30"/>
  <c r="O77" i="30"/>
  <c r="F145" i="30"/>
  <c r="D159" i="30"/>
  <c r="H57" i="30"/>
  <c r="E177" i="30"/>
  <c r="F157" i="30"/>
  <c r="I156" i="30"/>
  <c r="D177" i="30"/>
  <c r="E146" i="30"/>
  <c r="D153" i="30"/>
  <c r="F151" i="30"/>
  <c r="I151" i="30"/>
  <c r="F150" i="30"/>
  <c r="I150" i="30"/>
  <c r="P69" i="30"/>
  <c r="P65" i="30"/>
  <c r="I172" i="30"/>
  <c r="H59" i="30"/>
  <c r="I162" i="30"/>
  <c r="D164" i="30"/>
  <c r="H146" i="30"/>
  <c r="P67" i="30"/>
  <c r="I61" i="30"/>
  <c r="D169" i="29"/>
  <c r="G57" i="29"/>
  <c r="I168" i="29"/>
  <c r="P85" i="29"/>
  <c r="D177" i="29"/>
  <c r="G178" i="29"/>
  <c r="G179" i="29"/>
  <c r="O84" i="29"/>
  <c r="E169" i="29"/>
  <c r="G58" i="29"/>
  <c r="E171" i="29"/>
  <c r="E177" i="29"/>
  <c r="H177" i="29"/>
  <c r="H57" i="29"/>
  <c r="P70" i="29"/>
  <c r="I163" i="28"/>
  <c r="D165" i="28"/>
  <c r="O77" i="28"/>
  <c r="F150" i="28"/>
  <c r="I150" i="28"/>
  <c r="F163" i="28"/>
  <c r="I157" i="28"/>
  <c r="E146" i="28"/>
  <c r="P65" i="28"/>
  <c r="I172" i="28"/>
  <c r="P69" i="28"/>
  <c r="D153" i="28"/>
  <c r="H57" i="28"/>
  <c r="F151" i="28"/>
  <c r="I151" i="28"/>
  <c r="H146" i="28"/>
  <c r="H59" i="28"/>
  <c r="P67" i="28"/>
  <c r="I61" i="28"/>
  <c r="F145" i="28"/>
  <c r="F157" i="28"/>
  <c r="F144" i="28"/>
  <c r="I144" i="28"/>
  <c r="P68" i="27"/>
  <c r="G175" i="27"/>
  <c r="I177" i="27"/>
  <c r="E146" i="27"/>
  <c r="O77" i="27"/>
  <c r="F144" i="27"/>
  <c r="I144" i="27"/>
  <c r="D146" i="27"/>
  <c r="I156" i="27"/>
  <c r="D158" i="27"/>
  <c r="D153" i="27"/>
  <c r="F151" i="27"/>
  <c r="P69" i="27"/>
  <c r="P65" i="27"/>
  <c r="I172" i="27"/>
  <c r="I162" i="27"/>
  <c r="D164" i="27"/>
  <c r="D165" i="27"/>
  <c r="I163" i="27"/>
  <c r="F163" i="27"/>
  <c r="D152" i="27"/>
  <c r="F150" i="27"/>
  <c r="I150" i="27"/>
  <c r="D147" i="27"/>
  <c r="F145" i="27"/>
  <c r="I157" i="27"/>
  <c r="F157" i="27"/>
  <c r="D159" i="27"/>
  <c r="H59" i="27"/>
  <c r="P67" i="27"/>
  <c r="I61" i="27"/>
  <c r="F150" i="26"/>
  <c r="I150" i="26"/>
  <c r="I61" i="26"/>
  <c r="H59" i="26"/>
  <c r="O78" i="26"/>
  <c r="E177" i="26"/>
  <c r="P69" i="26"/>
  <c r="P70" i="26"/>
  <c r="G178" i="26"/>
  <c r="F163" i="26"/>
  <c r="O77" i="26"/>
  <c r="I151" i="26"/>
  <c r="I172" i="26"/>
  <c r="F157" i="26"/>
  <c r="F145" i="26"/>
  <c r="D159" i="26"/>
  <c r="I157" i="26"/>
  <c r="I163" i="26"/>
  <c r="F151" i="26"/>
  <c r="H57" i="26"/>
  <c r="O76" i="26"/>
  <c r="H177" i="26"/>
  <c r="H146" i="26"/>
  <c r="E146" i="26"/>
  <c r="F144" i="26"/>
  <c r="I144" i="26"/>
  <c r="D146" i="26"/>
  <c r="H59" i="25"/>
  <c r="D165" i="25"/>
  <c r="I163" i="25"/>
  <c r="F163" i="25"/>
  <c r="E146" i="25"/>
  <c r="D146" i="25"/>
  <c r="F144" i="25"/>
  <c r="I144" i="25"/>
  <c r="D147" i="25"/>
  <c r="F145" i="25"/>
  <c r="D177" i="25"/>
  <c r="P67" i="25"/>
  <c r="I61" i="25"/>
  <c r="D164" i="25"/>
  <c r="D153" i="25"/>
  <c r="I151" i="25"/>
  <c r="F151" i="25"/>
  <c r="P69" i="25"/>
  <c r="P65" i="25"/>
  <c r="I172" i="25"/>
  <c r="O78" i="25"/>
  <c r="F157" i="25"/>
  <c r="D159" i="25"/>
  <c r="I157" i="25"/>
  <c r="D152" i="25"/>
  <c r="F150" i="25"/>
  <c r="I150" i="25"/>
  <c r="E177" i="25"/>
  <c r="O171" i="24"/>
  <c r="O174" i="24"/>
  <c r="O175" i="24"/>
  <c r="L172" i="24"/>
  <c r="L175" i="24"/>
  <c r="D180" i="24"/>
  <c r="O145" i="24"/>
  <c r="O151" i="23"/>
  <c r="L175" i="23"/>
  <c r="O171" i="23"/>
  <c r="L172" i="23"/>
  <c r="O174" i="23"/>
  <c r="O175" i="23"/>
  <c r="D180" i="23"/>
  <c r="O145" i="23"/>
  <c r="D180" i="22"/>
  <c r="O145" i="22"/>
  <c r="L175" i="22"/>
  <c r="O174" i="22"/>
  <c r="O175" i="22"/>
  <c r="O171" i="22"/>
  <c r="L172" i="22"/>
  <c r="O151" i="22"/>
  <c r="O151" i="21"/>
  <c r="D180" i="21"/>
  <c r="D154" i="21"/>
  <c r="O171" i="21"/>
  <c r="L175" i="21"/>
  <c r="O174" i="21"/>
  <c r="O175" i="21"/>
  <c r="L172" i="21"/>
  <c r="H150" i="21"/>
  <c r="H152" i="21"/>
  <c r="E180" i="21"/>
  <c r="L171" i="21"/>
  <c r="O141" i="21"/>
  <c r="O151" i="20"/>
  <c r="O145" i="20"/>
  <c r="D162" i="20"/>
  <c r="D164" i="20"/>
  <c r="H162" i="20"/>
  <c r="H164" i="20"/>
  <c r="D156" i="20"/>
  <c r="O171" i="20"/>
  <c r="L175" i="20"/>
  <c r="O174" i="20"/>
  <c r="O175" i="20"/>
  <c r="L172" i="20"/>
  <c r="L171" i="20"/>
  <c r="E180" i="20"/>
  <c r="H150" i="17"/>
  <c r="H152" i="17"/>
  <c r="O141" i="17"/>
  <c r="H144" i="17"/>
  <c r="O171" i="17"/>
  <c r="L172" i="17"/>
  <c r="L175" i="17"/>
  <c r="O174" i="17"/>
  <c r="O175" i="17"/>
  <c r="E180" i="17"/>
  <c r="D180" i="16"/>
  <c r="O151" i="16"/>
  <c r="O145" i="16"/>
  <c r="O171" i="16"/>
  <c r="L175" i="16"/>
  <c r="O174" i="16"/>
  <c r="O175" i="16"/>
  <c r="L172" i="16"/>
  <c r="O145" i="15"/>
  <c r="L175" i="15"/>
  <c r="O174" i="15"/>
  <c r="O175" i="15"/>
  <c r="L172" i="15"/>
  <c r="O171" i="15"/>
  <c r="D180" i="15"/>
  <c r="O151" i="15"/>
  <c r="E180" i="15"/>
  <c r="H152" i="15"/>
  <c r="H150" i="14"/>
  <c r="H152" i="14"/>
  <c r="D180" i="14"/>
  <c r="O145" i="14"/>
  <c r="O171" i="14"/>
  <c r="L175" i="14"/>
  <c r="O174" i="14"/>
  <c r="O175" i="14"/>
  <c r="L172" i="14"/>
  <c r="O151" i="13"/>
  <c r="E180" i="13"/>
  <c r="O171" i="13"/>
  <c r="L175" i="13"/>
  <c r="L172" i="13"/>
  <c r="O174" i="13"/>
  <c r="O175" i="13"/>
  <c r="O171" i="11"/>
  <c r="O174" i="11"/>
  <c r="O175" i="11"/>
  <c r="L172" i="11"/>
  <c r="L175" i="11"/>
  <c r="D180" i="11"/>
  <c r="O145" i="11"/>
  <c r="L171" i="11"/>
  <c r="D162" i="22"/>
  <c r="I180" i="13"/>
  <c r="D157" i="14"/>
  <c r="D159" i="14"/>
  <c r="E162" i="20"/>
  <c r="E164" i="20"/>
  <c r="D163" i="23"/>
  <c r="H61" i="46"/>
  <c r="D157" i="15"/>
  <c r="D144" i="16"/>
  <c r="D162" i="17"/>
  <c r="D164" i="17"/>
  <c r="I180" i="21"/>
  <c r="H57" i="33"/>
  <c r="G179" i="35"/>
  <c r="H61" i="47"/>
  <c r="J141" i="51"/>
  <c r="J170" i="51"/>
  <c r="J171" i="49"/>
  <c r="L173" i="49"/>
  <c r="J141" i="47"/>
  <c r="J170" i="47"/>
  <c r="E171" i="19"/>
  <c r="H61" i="35"/>
  <c r="E177" i="33"/>
  <c r="J59" i="31"/>
  <c r="K59" i="31"/>
  <c r="G61" i="51"/>
  <c r="J171" i="51"/>
  <c r="L173" i="51"/>
  <c r="J58" i="51"/>
  <c r="K58" i="51"/>
  <c r="O85" i="51"/>
  <c r="L80" i="51"/>
  <c r="J61" i="51"/>
  <c r="K57" i="51"/>
  <c r="O79" i="51"/>
  <c r="L80" i="50"/>
  <c r="O79" i="50"/>
  <c r="O85" i="50"/>
  <c r="P85" i="50"/>
  <c r="J171" i="50"/>
  <c r="L173" i="50"/>
  <c r="G61" i="50"/>
  <c r="K57" i="50"/>
  <c r="J58" i="50"/>
  <c r="J61" i="50"/>
  <c r="J58" i="49"/>
  <c r="O58" i="49"/>
  <c r="J141" i="49"/>
  <c r="J170" i="49"/>
  <c r="O85" i="49"/>
  <c r="O76" i="49"/>
  <c r="O79" i="49"/>
  <c r="H61" i="49"/>
  <c r="O57" i="49"/>
  <c r="J57" i="49"/>
  <c r="O84" i="48"/>
  <c r="G178" i="48"/>
  <c r="I168" i="48"/>
  <c r="J141" i="48"/>
  <c r="J170" i="48"/>
  <c r="D169" i="48"/>
  <c r="G57" i="48"/>
  <c r="J57" i="48"/>
  <c r="J58" i="48"/>
  <c r="K58" i="48"/>
  <c r="D177" i="48"/>
  <c r="O58" i="48"/>
  <c r="O79" i="48"/>
  <c r="O79" i="47"/>
  <c r="L80" i="47"/>
  <c r="J171" i="47"/>
  <c r="L173" i="47"/>
  <c r="J58" i="47"/>
  <c r="O82" i="47"/>
  <c r="O85" i="47"/>
  <c r="G61" i="47"/>
  <c r="J57" i="47"/>
  <c r="J141" i="46"/>
  <c r="J170" i="46"/>
  <c r="J171" i="46"/>
  <c r="L173" i="46"/>
  <c r="O82" i="46"/>
  <c r="O85" i="46"/>
  <c r="G61" i="46"/>
  <c r="J57" i="46"/>
  <c r="J58" i="46"/>
  <c r="O79" i="46"/>
  <c r="O57" i="45"/>
  <c r="O79" i="45"/>
  <c r="J58" i="45"/>
  <c r="G61" i="45"/>
  <c r="O82" i="45"/>
  <c r="O85" i="45"/>
  <c r="J57" i="45"/>
  <c r="J171" i="45"/>
  <c r="L173" i="45"/>
  <c r="J171" i="44"/>
  <c r="L173" i="44"/>
  <c r="O85" i="44"/>
  <c r="J58" i="44"/>
  <c r="J61" i="44"/>
  <c r="J141" i="44"/>
  <c r="J170" i="44"/>
  <c r="G61" i="44"/>
  <c r="O79" i="44"/>
  <c r="L80" i="44"/>
  <c r="K57" i="44"/>
  <c r="O76" i="43"/>
  <c r="J58" i="43"/>
  <c r="K58" i="43"/>
  <c r="O79" i="43"/>
  <c r="I168" i="43"/>
  <c r="D169" i="43"/>
  <c r="G57" i="43"/>
  <c r="D177" i="43"/>
  <c r="G61" i="42"/>
  <c r="J58" i="42"/>
  <c r="K58" i="42"/>
  <c r="O58" i="42"/>
  <c r="O57" i="42"/>
  <c r="O76" i="42"/>
  <c r="O79" i="42"/>
  <c r="H61" i="42"/>
  <c r="O85" i="42"/>
  <c r="J61" i="42"/>
  <c r="K57" i="42"/>
  <c r="H61" i="41"/>
  <c r="O76" i="41"/>
  <c r="O79" i="41"/>
  <c r="O57" i="41"/>
  <c r="J61" i="41"/>
  <c r="K57" i="41"/>
  <c r="O85" i="41"/>
  <c r="K58" i="41"/>
  <c r="O58" i="41"/>
  <c r="H177" i="40"/>
  <c r="E169" i="40"/>
  <c r="G58" i="40"/>
  <c r="O83" i="40"/>
  <c r="E177" i="40"/>
  <c r="I168" i="40"/>
  <c r="P85" i="40"/>
  <c r="D169" i="40"/>
  <c r="G57" i="40"/>
  <c r="O82" i="40"/>
  <c r="D177" i="40"/>
  <c r="H57" i="40"/>
  <c r="O76" i="40"/>
  <c r="O79" i="40"/>
  <c r="P70" i="40"/>
  <c r="H169" i="40"/>
  <c r="G59" i="40"/>
  <c r="J58" i="40"/>
  <c r="H57" i="39"/>
  <c r="O76" i="39"/>
  <c r="J59" i="39"/>
  <c r="K59" i="39"/>
  <c r="O78" i="39"/>
  <c r="H177" i="39"/>
  <c r="O77" i="39"/>
  <c r="E171" i="39"/>
  <c r="E169" i="39"/>
  <c r="G58" i="39"/>
  <c r="O83" i="39"/>
  <c r="E177" i="39"/>
  <c r="D169" i="39"/>
  <c r="G57" i="39"/>
  <c r="I168" i="39"/>
  <c r="P85" i="39"/>
  <c r="D177" i="39"/>
  <c r="O84" i="39"/>
  <c r="G178" i="39"/>
  <c r="G179" i="39"/>
  <c r="P70" i="39"/>
  <c r="J59" i="38"/>
  <c r="K59" i="38"/>
  <c r="P70" i="38"/>
  <c r="H177" i="38"/>
  <c r="O76" i="38"/>
  <c r="H61" i="38"/>
  <c r="O57" i="38"/>
  <c r="O77" i="38"/>
  <c r="I168" i="38"/>
  <c r="P85" i="38"/>
  <c r="O83" i="38"/>
  <c r="E171" i="38"/>
  <c r="O82" i="38"/>
  <c r="J57" i="38"/>
  <c r="O83" i="36"/>
  <c r="E171" i="36"/>
  <c r="G179" i="36"/>
  <c r="G178" i="36"/>
  <c r="O84" i="36"/>
  <c r="H177" i="36"/>
  <c r="H57" i="36"/>
  <c r="P70" i="36"/>
  <c r="I168" i="36"/>
  <c r="P85" i="36"/>
  <c r="O78" i="36"/>
  <c r="J59" i="36"/>
  <c r="K59" i="36"/>
  <c r="O83" i="19"/>
  <c r="D177" i="19"/>
  <c r="H177" i="19"/>
  <c r="H57" i="19"/>
  <c r="G61" i="19"/>
  <c r="J57" i="19"/>
  <c r="O78" i="19"/>
  <c r="J59" i="19"/>
  <c r="K59" i="19"/>
  <c r="G179" i="19"/>
  <c r="O84" i="19"/>
  <c r="G178" i="19"/>
  <c r="P70" i="19"/>
  <c r="J58" i="19"/>
  <c r="J141" i="19"/>
  <c r="J170" i="19"/>
  <c r="J171" i="19"/>
  <c r="L173" i="19"/>
  <c r="E177" i="37"/>
  <c r="H169" i="37"/>
  <c r="G59" i="37"/>
  <c r="G179" i="37"/>
  <c r="F145" i="37"/>
  <c r="H177" i="37"/>
  <c r="P70" i="37"/>
  <c r="O77" i="37"/>
  <c r="H57" i="37"/>
  <c r="D169" i="37"/>
  <c r="G57" i="37"/>
  <c r="I168" i="37"/>
  <c r="P85" i="37"/>
  <c r="P70" i="18"/>
  <c r="H57" i="18"/>
  <c r="H61" i="18"/>
  <c r="G179" i="18"/>
  <c r="G178" i="18"/>
  <c r="O84" i="18"/>
  <c r="O78" i="18"/>
  <c r="J59" i="18"/>
  <c r="K59" i="18"/>
  <c r="O83" i="18"/>
  <c r="E171" i="18"/>
  <c r="O77" i="18"/>
  <c r="I168" i="18"/>
  <c r="P85" i="18"/>
  <c r="H177" i="18"/>
  <c r="E177" i="18"/>
  <c r="E171" i="35"/>
  <c r="I168" i="35"/>
  <c r="P85" i="35"/>
  <c r="O79" i="35"/>
  <c r="G61" i="35"/>
  <c r="J59" i="35"/>
  <c r="K59" i="35"/>
  <c r="O84" i="35"/>
  <c r="O82" i="35"/>
  <c r="J57" i="35"/>
  <c r="O57" i="35"/>
  <c r="H57" i="34"/>
  <c r="H61" i="34"/>
  <c r="O83" i="34"/>
  <c r="E171" i="34"/>
  <c r="P70" i="34"/>
  <c r="G178" i="34"/>
  <c r="G179" i="34"/>
  <c r="O84" i="34"/>
  <c r="O77" i="34"/>
  <c r="I168" i="34"/>
  <c r="P85" i="34"/>
  <c r="O57" i="33"/>
  <c r="O76" i="33"/>
  <c r="H61" i="33"/>
  <c r="O78" i="33"/>
  <c r="J59" i="33"/>
  <c r="K59" i="33"/>
  <c r="O83" i="33"/>
  <c r="E171" i="33"/>
  <c r="O77" i="33"/>
  <c r="O84" i="33"/>
  <c r="G179" i="33"/>
  <c r="G178" i="33"/>
  <c r="P70" i="33"/>
  <c r="J141" i="33"/>
  <c r="J170" i="33"/>
  <c r="J171" i="33"/>
  <c r="L173" i="33"/>
  <c r="G61" i="33"/>
  <c r="O82" i="33"/>
  <c r="J57" i="33"/>
  <c r="E171" i="32"/>
  <c r="O83" i="32"/>
  <c r="H177" i="32"/>
  <c r="G178" i="32"/>
  <c r="H57" i="32"/>
  <c r="O76" i="32"/>
  <c r="O78" i="32"/>
  <c r="O77" i="32"/>
  <c r="P70" i="32"/>
  <c r="O78" i="31"/>
  <c r="H57" i="31"/>
  <c r="H61" i="31"/>
  <c r="I168" i="31"/>
  <c r="P85" i="31"/>
  <c r="P70" i="31"/>
  <c r="G179" i="31"/>
  <c r="G178" i="31"/>
  <c r="O84" i="31"/>
  <c r="H177" i="31"/>
  <c r="E169" i="31"/>
  <c r="G58" i="31"/>
  <c r="G61" i="31"/>
  <c r="E171" i="31"/>
  <c r="O82" i="31"/>
  <c r="J57" i="30"/>
  <c r="O83" i="30"/>
  <c r="P70" i="30"/>
  <c r="E171" i="30"/>
  <c r="H177" i="30"/>
  <c r="I168" i="30"/>
  <c r="P85" i="30"/>
  <c r="O76" i="30"/>
  <c r="H61" i="30"/>
  <c r="O57" i="30"/>
  <c r="O78" i="30"/>
  <c r="J59" i="30"/>
  <c r="K59" i="30"/>
  <c r="G179" i="30"/>
  <c r="G178" i="30"/>
  <c r="O84" i="30"/>
  <c r="O82" i="29"/>
  <c r="G61" i="29"/>
  <c r="J57" i="29"/>
  <c r="J141" i="29"/>
  <c r="J170" i="29"/>
  <c r="H61" i="29"/>
  <c r="O76" i="29"/>
  <c r="O79" i="29"/>
  <c r="O57" i="29"/>
  <c r="O83" i="29"/>
  <c r="J58" i="29"/>
  <c r="J171" i="29"/>
  <c r="L173" i="29"/>
  <c r="H177" i="28"/>
  <c r="D177" i="28"/>
  <c r="P70" i="28"/>
  <c r="O57" i="28"/>
  <c r="O76" i="28"/>
  <c r="H61" i="28"/>
  <c r="E171" i="28"/>
  <c r="O78" i="28"/>
  <c r="O82" i="28"/>
  <c r="J57" i="28"/>
  <c r="E177" i="28"/>
  <c r="I168" i="28"/>
  <c r="P85" i="28"/>
  <c r="H57" i="27"/>
  <c r="H61" i="27"/>
  <c r="O78" i="27"/>
  <c r="J59" i="27"/>
  <c r="K59" i="27"/>
  <c r="O57" i="27"/>
  <c r="I168" i="27"/>
  <c r="P85" i="27"/>
  <c r="E171" i="27"/>
  <c r="H177" i="27"/>
  <c r="G178" i="27"/>
  <c r="G179" i="27"/>
  <c r="O84" i="27"/>
  <c r="D177" i="27"/>
  <c r="P70" i="27"/>
  <c r="E177" i="27"/>
  <c r="G179" i="26"/>
  <c r="D177" i="26"/>
  <c r="O83" i="26"/>
  <c r="E171" i="26"/>
  <c r="I168" i="26"/>
  <c r="P85" i="26"/>
  <c r="O57" i="26"/>
  <c r="J59" i="26"/>
  <c r="K59" i="26"/>
  <c r="O84" i="26"/>
  <c r="O79" i="26"/>
  <c r="H61" i="26"/>
  <c r="O82" i="26"/>
  <c r="J57" i="26"/>
  <c r="J59" i="25"/>
  <c r="K59" i="25"/>
  <c r="H177" i="25"/>
  <c r="H57" i="25"/>
  <c r="H61" i="25"/>
  <c r="P70" i="25"/>
  <c r="I168" i="25"/>
  <c r="P85" i="25"/>
  <c r="O83" i="25"/>
  <c r="E171" i="25"/>
  <c r="G179" i="25"/>
  <c r="G178" i="25"/>
  <c r="O84" i="25"/>
  <c r="O77" i="25"/>
  <c r="D147" i="24"/>
  <c r="I180" i="24"/>
  <c r="H157" i="24"/>
  <c r="H159" i="24"/>
  <c r="H153" i="24"/>
  <c r="H163" i="24"/>
  <c r="H165" i="24"/>
  <c r="H156" i="24"/>
  <c r="H158" i="24"/>
  <c r="H147" i="24"/>
  <c r="H155" i="24"/>
  <c r="P68" i="24"/>
  <c r="H162" i="24"/>
  <c r="H164" i="24"/>
  <c r="D154" i="24"/>
  <c r="D163" i="24"/>
  <c r="E162" i="24"/>
  <c r="E164" i="24"/>
  <c r="E147" i="24"/>
  <c r="E153" i="24"/>
  <c r="D157" i="24"/>
  <c r="E157" i="24"/>
  <c r="E159" i="24"/>
  <c r="E156" i="24"/>
  <c r="E158" i="24"/>
  <c r="E163" i="24"/>
  <c r="E165" i="24"/>
  <c r="D162" i="24"/>
  <c r="E152" i="24"/>
  <c r="O141" i="24"/>
  <c r="D156" i="24"/>
  <c r="D156" i="23"/>
  <c r="D158" i="23"/>
  <c r="D165" i="23"/>
  <c r="H163" i="23"/>
  <c r="H165" i="23"/>
  <c r="H156" i="23"/>
  <c r="H158" i="23"/>
  <c r="P68" i="23"/>
  <c r="H162" i="23"/>
  <c r="H164" i="23"/>
  <c r="I180" i="23"/>
  <c r="H153" i="23"/>
  <c r="H157" i="23"/>
  <c r="H159" i="23"/>
  <c r="H147" i="23"/>
  <c r="H155" i="23"/>
  <c r="D154" i="23"/>
  <c r="E156" i="23"/>
  <c r="E158" i="23"/>
  <c r="D162" i="23"/>
  <c r="E163" i="23"/>
  <c r="E165" i="23"/>
  <c r="E157" i="23"/>
  <c r="E159" i="23"/>
  <c r="E153" i="23"/>
  <c r="E152" i="23"/>
  <c r="E147" i="23"/>
  <c r="E162" i="23"/>
  <c r="E164" i="23"/>
  <c r="O141" i="23"/>
  <c r="D157" i="23"/>
  <c r="D156" i="22"/>
  <c r="D158" i="22"/>
  <c r="D163" i="22"/>
  <c r="D147" i="22"/>
  <c r="D157" i="22"/>
  <c r="D159" i="22"/>
  <c r="D164" i="22"/>
  <c r="D152" i="22"/>
  <c r="H163" i="22"/>
  <c r="H165" i="22"/>
  <c r="H156" i="22"/>
  <c r="H158" i="22"/>
  <c r="H162" i="22"/>
  <c r="H164" i="22"/>
  <c r="H157" i="22"/>
  <c r="H159" i="22"/>
  <c r="H147" i="22"/>
  <c r="H155" i="22"/>
  <c r="I180" i="22"/>
  <c r="H153" i="22"/>
  <c r="E153" i="22"/>
  <c r="E156" i="22"/>
  <c r="E158" i="22"/>
  <c r="E147" i="22"/>
  <c r="E162" i="22"/>
  <c r="E164" i="22"/>
  <c r="E157" i="22"/>
  <c r="E159" i="22"/>
  <c r="E163" i="22"/>
  <c r="E165" i="22"/>
  <c r="D154" i="22"/>
  <c r="D165" i="22"/>
  <c r="D146" i="22"/>
  <c r="O141" i="22"/>
  <c r="P68" i="21"/>
  <c r="D151" i="21"/>
  <c r="P67" i="21"/>
  <c r="E150" i="21"/>
  <c r="E152" i="21"/>
  <c r="E165" i="21"/>
  <c r="I61" i="21"/>
  <c r="H159" i="21"/>
  <c r="D150" i="21"/>
  <c r="D152" i="21"/>
  <c r="H165" i="21"/>
  <c r="H151" i="21"/>
  <c r="H153" i="21"/>
  <c r="D157" i="21"/>
  <c r="D164" i="21"/>
  <c r="E159" i="21"/>
  <c r="H158" i="21"/>
  <c r="H164" i="21"/>
  <c r="H145" i="21"/>
  <c r="H147" i="21"/>
  <c r="H155" i="21"/>
  <c r="D147" i="21"/>
  <c r="E147" i="21"/>
  <c r="E151" i="21"/>
  <c r="E153" i="21"/>
  <c r="H144" i="21"/>
  <c r="F150" i="21"/>
  <c r="I150" i="21"/>
  <c r="E144" i="21"/>
  <c r="P69" i="21"/>
  <c r="P65" i="21"/>
  <c r="I172" i="21"/>
  <c r="D153" i="21"/>
  <c r="D144" i="21"/>
  <c r="D165" i="21"/>
  <c r="I163" i="21"/>
  <c r="F163" i="21"/>
  <c r="D163" i="20"/>
  <c r="P68" i="20"/>
  <c r="D157" i="20"/>
  <c r="I162" i="20"/>
  <c r="E163" i="20"/>
  <c r="E165" i="20"/>
  <c r="H153" i="20"/>
  <c r="E157" i="20"/>
  <c r="E159" i="20"/>
  <c r="D154" i="20"/>
  <c r="I172" i="20"/>
  <c r="H156" i="20"/>
  <c r="H158" i="20"/>
  <c r="H157" i="20"/>
  <c r="H159" i="20"/>
  <c r="E147" i="20"/>
  <c r="H146" i="20"/>
  <c r="H59" i="20"/>
  <c r="E156" i="20"/>
  <c r="E158" i="20"/>
  <c r="H163" i="20"/>
  <c r="H165" i="20"/>
  <c r="I180" i="20"/>
  <c r="D147" i="20"/>
  <c r="F145" i="20"/>
  <c r="D158" i="20"/>
  <c r="P65" i="20"/>
  <c r="P69" i="20"/>
  <c r="F157" i="20"/>
  <c r="D159" i="20"/>
  <c r="I157" i="20"/>
  <c r="O141" i="20"/>
  <c r="E153" i="20"/>
  <c r="H147" i="20"/>
  <c r="H155" i="20"/>
  <c r="D152" i="20"/>
  <c r="D165" i="20"/>
  <c r="F163" i="20"/>
  <c r="D153" i="20"/>
  <c r="I151" i="20"/>
  <c r="P67" i="20"/>
  <c r="I61" i="20"/>
  <c r="D163" i="17"/>
  <c r="D165" i="17"/>
  <c r="D156" i="17"/>
  <c r="H156" i="17"/>
  <c r="H158" i="17"/>
  <c r="E147" i="17"/>
  <c r="P68" i="17"/>
  <c r="D144" i="17"/>
  <c r="E157" i="17"/>
  <c r="E159" i="17"/>
  <c r="G174" i="17"/>
  <c r="D157" i="17"/>
  <c r="F157" i="17"/>
  <c r="H157" i="17"/>
  <c r="H159" i="17"/>
  <c r="E153" i="17"/>
  <c r="E163" i="17"/>
  <c r="E165" i="17"/>
  <c r="E162" i="17"/>
  <c r="E164" i="17"/>
  <c r="H163" i="17"/>
  <c r="H165" i="17"/>
  <c r="H151" i="17"/>
  <c r="H153" i="17"/>
  <c r="E144" i="17"/>
  <c r="F144" i="17"/>
  <c r="I144" i="17"/>
  <c r="D154" i="17"/>
  <c r="E156" i="17"/>
  <c r="E158" i="17"/>
  <c r="D150" i="17"/>
  <c r="D152" i="17"/>
  <c r="H145" i="17"/>
  <c r="H147" i="17"/>
  <c r="H155" i="17"/>
  <c r="P67" i="17"/>
  <c r="H162" i="17"/>
  <c r="H164" i="17"/>
  <c r="I180" i="17"/>
  <c r="D153" i="17"/>
  <c r="E150" i="17"/>
  <c r="E152" i="17"/>
  <c r="D158" i="17"/>
  <c r="D146" i="17"/>
  <c r="H146" i="17"/>
  <c r="H59" i="17"/>
  <c r="O78" i="17"/>
  <c r="D147" i="16"/>
  <c r="D159" i="16"/>
  <c r="D150" i="16"/>
  <c r="D152" i="16"/>
  <c r="D165" i="16"/>
  <c r="D146" i="16"/>
  <c r="O141" i="16"/>
  <c r="H144" i="16"/>
  <c r="D164" i="16"/>
  <c r="I180" i="16"/>
  <c r="H159" i="16"/>
  <c r="H151" i="16"/>
  <c r="H153" i="16"/>
  <c r="H165" i="16"/>
  <c r="H158" i="16"/>
  <c r="P68" i="16"/>
  <c r="H164" i="16"/>
  <c r="H145" i="16"/>
  <c r="H147" i="16"/>
  <c r="H155" i="16"/>
  <c r="E164" i="16"/>
  <c r="E150" i="16"/>
  <c r="E152" i="16"/>
  <c r="E147" i="16"/>
  <c r="D154" i="16"/>
  <c r="D151" i="16"/>
  <c r="E144" i="16"/>
  <c r="E151" i="16"/>
  <c r="E153" i="16"/>
  <c r="E158" i="16"/>
  <c r="D146" i="15"/>
  <c r="D159" i="15"/>
  <c r="O141" i="15"/>
  <c r="H162" i="15"/>
  <c r="H164" i="15"/>
  <c r="H163" i="15"/>
  <c r="H165" i="15"/>
  <c r="H145" i="15"/>
  <c r="H147" i="15"/>
  <c r="H155" i="15"/>
  <c r="I180" i="15"/>
  <c r="H157" i="15"/>
  <c r="H159" i="15"/>
  <c r="H151" i="15"/>
  <c r="H153" i="15"/>
  <c r="H156" i="15"/>
  <c r="H158" i="15"/>
  <c r="D154" i="15"/>
  <c r="E145" i="15"/>
  <c r="E147" i="15"/>
  <c r="E151" i="15"/>
  <c r="E153" i="15"/>
  <c r="D162" i="15"/>
  <c r="E156" i="15"/>
  <c r="E158" i="15"/>
  <c r="E157" i="15"/>
  <c r="E159" i="15"/>
  <c r="E152" i="15"/>
  <c r="E162" i="15"/>
  <c r="E164" i="15"/>
  <c r="D151" i="15"/>
  <c r="E163" i="15"/>
  <c r="E165" i="15"/>
  <c r="D156" i="15"/>
  <c r="D163" i="15"/>
  <c r="D145" i="15"/>
  <c r="I180" i="14"/>
  <c r="H159" i="14"/>
  <c r="H151" i="14"/>
  <c r="H153" i="14"/>
  <c r="H165" i="14"/>
  <c r="H158" i="14"/>
  <c r="H145" i="14"/>
  <c r="H147" i="14"/>
  <c r="H155" i="14"/>
  <c r="P68" i="14"/>
  <c r="H164" i="14"/>
  <c r="E158" i="14"/>
  <c r="E151" i="14"/>
  <c r="E153" i="14"/>
  <c r="D154" i="14"/>
  <c r="E165" i="14"/>
  <c r="E164" i="14"/>
  <c r="E150" i="14"/>
  <c r="E152" i="14"/>
  <c r="E147" i="14"/>
  <c r="E144" i="14"/>
  <c r="E159" i="14"/>
  <c r="D151" i="14"/>
  <c r="D144" i="14"/>
  <c r="O141" i="14"/>
  <c r="H144" i="14"/>
  <c r="D150" i="14"/>
  <c r="H147" i="13"/>
  <c r="H155" i="13"/>
  <c r="E163" i="13"/>
  <c r="E165" i="13"/>
  <c r="H162" i="13"/>
  <c r="H164" i="13"/>
  <c r="D153" i="13"/>
  <c r="D163" i="13"/>
  <c r="D165" i="13"/>
  <c r="E157" i="13"/>
  <c r="E159" i="13"/>
  <c r="P69" i="13"/>
  <c r="P68" i="13"/>
  <c r="H153" i="13"/>
  <c r="D162" i="13"/>
  <c r="D164" i="13"/>
  <c r="E156" i="13"/>
  <c r="E158" i="13"/>
  <c r="E162" i="13"/>
  <c r="E164" i="13"/>
  <c r="D156" i="13"/>
  <c r="D158" i="13"/>
  <c r="H156" i="13"/>
  <c r="H158" i="13"/>
  <c r="H157" i="13"/>
  <c r="H159" i="13"/>
  <c r="D154" i="13"/>
  <c r="E152" i="13"/>
  <c r="D157" i="13"/>
  <c r="I157" i="13"/>
  <c r="P67" i="13"/>
  <c r="H163" i="13"/>
  <c r="H165" i="13"/>
  <c r="D152" i="13"/>
  <c r="F163" i="13"/>
  <c r="P65" i="13"/>
  <c r="O141" i="13"/>
  <c r="O141" i="11"/>
  <c r="I180" i="11"/>
  <c r="H157" i="11"/>
  <c r="H159" i="11"/>
  <c r="H153" i="11"/>
  <c r="H147" i="11"/>
  <c r="H155" i="11"/>
  <c r="H163" i="11"/>
  <c r="H165" i="11"/>
  <c r="H156" i="11"/>
  <c r="H158" i="11"/>
  <c r="H162" i="11"/>
  <c r="H164" i="11"/>
  <c r="E156" i="11"/>
  <c r="E158" i="11"/>
  <c r="E153" i="11"/>
  <c r="E147" i="11"/>
  <c r="E157" i="11"/>
  <c r="E159" i="11"/>
  <c r="E163" i="11"/>
  <c r="E165" i="11"/>
  <c r="D163" i="11"/>
  <c r="D154" i="11"/>
  <c r="E162" i="11"/>
  <c r="E164" i="11"/>
  <c r="D162" i="11"/>
  <c r="D157" i="11"/>
  <c r="D152" i="11"/>
  <c r="D156" i="11"/>
  <c r="O79" i="33"/>
  <c r="D146" i="20"/>
  <c r="F150" i="13"/>
  <c r="I150" i="13"/>
  <c r="O76" i="27"/>
  <c r="O79" i="27"/>
  <c r="O57" i="19"/>
  <c r="O58" i="51"/>
  <c r="K58" i="49"/>
  <c r="O58" i="43"/>
  <c r="J58" i="36"/>
  <c r="J141" i="35"/>
  <c r="J170" i="35"/>
  <c r="J58" i="33"/>
  <c r="K61" i="51"/>
  <c r="L88" i="51"/>
  <c r="L92" i="51"/>
  <c r="L83" i="51"/>
  <c r="L85" i="51"/>
  <c r="L88" i="50"/>
  <c r="L92" i="50"/>
  <c r="L83" i="50"/>
  <c r="L85" i="50"/>
  <c r="O58" i="50"/>
  <c r="K58" i="50"/>
  <c r="K61" i="50"/>
  <c r="J61" i="49"/>
  <c r="K57" i="49"/>
  <c r="K61" i="49"/>
  <c r="L80" i="49"/>
  <c r="O82" i="48"/>
  <c r="O85" i="48"/>
  <c r="G61" i="48"/>
  <c r="O57" i="48"/>
  <c r="P85" i="48"/>
  <c r="J171" i="48"/>
  <c r="L173" i="48"/>
  <c r="J61" i="48"/>
  <c r="K57" i="48"/>
  <c r="K61" i="48"/>
  <c r="L88" i="47"/>
  <c r="L92" i="47"/>
  <c r="L83" i="47"/>
  <c r="O58" i="47"/>
  <c r="K58" i="47"/>
  <c r="J61" i="47"/>
  <c r="K57" i="47"/>
  <c r="L85" i="47"/>
  <c r="J61" i="46"/>
  <c r="K57" i="46"/>
  <c r="L80" i="46"/>
  <c r="O58" i="46"/>
  <c r="K58" i="46"/>
  <c r="L80" i="45"/>
  <c r="L88" i="45"/>
  <c r="L92" i="45"/>
  <c r="O58" i="45"/>
  <c r="K58" i="45"/>
  <c r="J61" i="45"/>
  <c r="K57" i="45"/>
  <c r="K58" i="44"/>
  <c r="K61" i="44"/>
  <c r="O58" i="44"/>
  <c r="L88" i="44"/>
  <c r="L92" i="44"/>
  <c r="L83" i="44"/>
  <c r="L85" i="44"/>
  <c r="J57" i="43"/>
  <c r="O82" i="43"/>
  <c r="O85" i="43"/>
  <c r="O57" i="43"/>
  <c r="G61" i="43"/>
  <c r="P85" i="43"/>
  <c r="J171" i="43"/>
  <c r="L173" i="43"/>
  <c r="J141" i="43"/>
  <c r="J170" i="43"/>
  <c r="L80" i="43"/>
  <c r="K61" i="42"/>
  <c r="L80" i="42"/>
  <c r="K61" i="41"/>
  <c r="J57" i="40"/>
  <c r="K57" i="40"/>
  <c r="H61" i="40"/>
  <c r="J141" i="40"/>
  <c r="J170" i="40"/>
  <c r="O57" i="40"/>
  <c r="J171" i="40"/>
  <c r="L173" i="40"/>
  <c r="G61" i="40"/>
  <c r="K58" i="40"/>
  <c r="G179" i="40"/>
  <c r="G178" i="40"/>
  <c r="O84" i="40"/>
  <c r="O85" i="40"/>
  <c r="J59" i="40"/>
  <c r="K59" i="40"/>
  <c r="H61" i="39"/>
  <c r="O57" i="39"/>
  <c r="J58" i="39"/>
  <c r="K58" i="39"/>
  <c r="J141" i="39"/>
  <c r="J170" i="39"/>
  <c r="G61" i="39"/>
  <c r="O82" i="39"/>
  <c r="O85" i="39"/>
  <c r="J57" i="39"/>
  <c r="O79" i="39"/>
  <c r="J171" i="39"/>
  <c r="L173" i="39"/>
  <c r="G178" i="38"/>
  <c r="J171" i="38"/>
  <c r="L173" i="38"/>
  <c r="O84" i="38"/>
  <c r="O85" i="38"/>
  <c r="G61" i="38"/>
  <c r="G179" i="38"/>
  <c r="J58" i="38"/>
  <c r="K58" i="38"/>
  <c r="J141" i="38"/>
  <c r="J170" i="38"/>
  <c r="K57" i="38"/>
  <c r="O79" i="38"/>
  <c r="J171" i="36"/>
  <c r="L173" i="36"/>
  <c r="H61" i="36"/>
  <c r="O76" i="36"/>
  <c r="O79" i="36"/>
  <c r="O57" i="36"/>
  <c r="J141" i="36"/>
  <c r="J170" i="36"/>
  <c r="O58" i="36"/>
  <c r="K58" i="36"/>
  <c r="O82" i="36"/>
  <c r="O85" i="36"/>
  <c r="G61" i="36"/>
  <c r="J57" i="36"/>
  <c r="O82" i="19"/>
  <c r="O85" i="19"/>
  <c r="H61" i="19"/>
  <c r="O76" i="19"/>
  <c r="O79" i="19"/>
  <c r="L80" i="19"/>
  <c r="J61" i="19"/>
  <c r="K57" i="19"/>
  <c r="K58" i="19"/>
  <c r="O58" i="19"/>
  <c r="O84" i="37"/>
  <c r="G178" i="37"/>
  <c r="E171" i="37"/>
  <c r="E169" i="37"/>
  <c r="G58" i="37"/>
  <c r="O83" i="37"/>
  <c r="J59" i="37"/>
  <c r="K59" i="37"/>
  <c r="O82" i="37"/>
  <c r="G61" i="37"/>
  <c r="J57" i="37"/>
  <c r="J141" i="37"/>
  <c r="J170" i="37"/>
  <c r="J171" i="37"/>
  <c r="L173" i="37"/>
  <c r="H61" i="37"/>
  <c r="O76" i="37"/>
  <c r="O79" i="37"/>
  <c r="O57" i="37"/>
  <c r="J58" i="18"/>
  <c r="O76" i="18"/>
  <c r="O79" i="18"/>
  <c r="J171" i="18"/>
  <c r="L173" i="18"/>
  <c r="O58" i="18"/>
  <c r="K58" i="18"/>
  <c r="G61" i="18"/>
  <c r="O82" i="18"/>
  <c r="O85" i="18"/>
  <c r="J57" i="18"/>
  <c r="J141" i="18"/>
  <c r="J170" i="18"/>
  <c r="O57" i="18"/>
  <c r="J171" i="35"/>
  <c r="L173" i="35"/>
  <c r="O83" i="35"/>
  <c r="J58" i="35"/>
  <c r="K58" i="35"/>
  <c r="L80" i="35"/>
  <c r="K57" i="35"/>
  <c r="O85" i="35"/>
  <c r="O76" i="34"/>
  <c r="J58" i="34"/>
  <c r="O58" i="34"/>
  <c r="J171" i="34"/>
  <c r="L173" i="34"/>
  <c r="O82" i="34"/>
  <c r="O85" i="34"/>
  <c r="G61" i="34"/>
  <c r="J57" i="34"/>
  <c r="J141" i="34"/>
  <c r="J170" i="34"/>
  <c r="O57" i="34"/>
  <c r="O79" i="34"/>
  <c r="J59" i="32"/>
  <c r="K59" i="32"/>
  <c r="O85" i="33"/>
  <c r="K58" i="33"/>
  <c r="O58" i="33"/>
  <c r="J61" i="33"/>
  <c r="K57" i="33"/>
  <c r="J58" i="32"/>
  <c r="O84" i="32"/>
  <c r="G179" i="32"/>
  <c r="H61" i="32"/>
  <c r="I168" i="32"/>
  <c r="D177" i="32"/>
  <c r="O79" i="32"/>
  <c r="O76" i="31"/>
  <c r="O79" i="31"/>
  <c r="J57" i="31"/>
  <c r="K57" i="31"/>
  <c r="O57" i="31"/>
  <c r="J171" i="31"/>
  <c r="L173" i="31"/>
  <c r="O83" i="31"/>
  <c r="O85" i="31"/>
  <c r="J58" i="31"/>
  <c r="J141" i="31"/>
  <c r="J170" i="31"/>
  <c r="O82" i="30"/>
  <c r="O85" i="30"/>
  <c r="J58" i="30"/>
  <c r="K58" i="30"/>
  <c r="G61" i="30"/>
  <c r="J141" i="30"/>
  <c r="J170" i="30"/>
  <c r="J171" i="30"/>
  <c r="L173" i="30"/>
  <c r="O79" i="30"/>
  <c r="K57" i="30"/>
  <c r="L80" i="29"/>
  <c r="J61" i="29"/>
  <c r="K57" i="29"/>
  <c r="O58" i="29"/>
  <c r="K58" i="29"/>
  <c r="O85" i="29"/>
  <c r="J141" i="28"/>
  <c r="J170" i="28"/>
  <c r="O79" i="28"/>
  <c r="L80" i="28"/>
  <c r="J171" i="28"/>
  <c r="L173" i="28"/>
  <c r="G61" i="28"/>
  <c r="O84" i="28"/>
  <c r="G179" i="28"/>
  <c r="G178" i="28"/>
  <c r="J59" i="28"/>
  <c r="K59" i="28"/>
  <c r="O83" i="28"/>
  <c r="O85" i="28"/>
  <c r="J58" i="28"/>
  <c r="K57" i="28"/>
  <c r="J171" i="27"/>
  <c r="L173" i="27"/>
  <c r="J141" i="27"/>
  <c r="J170" i="27"/>
  <c r="O83" i="27"/>
  <c r="J58" i="27"/>
  <c r="O82" i="27"/>
  <c r="G61" i="27"/>
  <c r="J57" i="27"/>
  <c r="J58" i="26"/>
  <c r="O58" i="26"/>
  <c r="J171" i="26"/>
  <c r="L173" i="26"/>
  <c r="G61" i="26"/>
  <c r="J141" i="26"/>
  <c r="J170" i="26"/>
  <c r="O85" i="26"/>
  <c r="K58" i="26"/>
  <c r="J61" i="26"/>
  <c r="K57" i="26"/>
  <c r="J58" i="25"/>
  <c r="O58" i="25"/>
  <c r="O57" i="25"/>
  <c r="O76" i="25"/>
  <c r="O79" i="25"/>
  <c r="J141" i="25"/>
  <c r="J170" i="25"/>
  <c r="O82" i="25"/>
  <c r="O85" i="25"/>
  <c r="G61" i="25"/>
  <c r="J57" i="25"/>
  <c r="J171" i="25"/>
  <c r="L173" i="25"/>
  <c r="D159" i="24"/>
  <c r="I157" i="24"/>
  <c r="F157" i="24"/>
  <c r="I156" i="24"/>
  <c r="D158" i="24"/>
  <c r="E146" i="24"/>
  <c r="H58" i="24"/>
  <c r="D153" i="24"/>
  <c r="F151" i="24"/>
  <c r="I151" i="24"/>
  <c r="F145" i="24"/>
  <c r="H177" i="24"/>
  <c r="H146" i="24"/>
  <c r="H59" i="24"/>
  <c r="D164" i="24"/>
  <c r="I162" i="24"/>
  <c r="D146" i="24"/>
  <c r="P67" i="24"/>
  <c r="I61" i="24"/>
  <c r="P65" i="24"/>
  <c r="I172" i="24"/>
  <c r="P69" i="24"/>
  <c r="D152" i="24"/>
  <c r="D165" i="24"/>
  <c r="I163" i="24"/>
  <c r="F163" i="24"/>
  <c r="I163" i="23"/>
  <c r="F163" i="23"/>
  <c r="F157" i="23"/>
  <c r="I157" i="23"/>
  <c r="D159" i="23"/>
  <c r="D146" i="23"/>
  <c r="D153" i="23"/>
  <c r="F151" i="23"/>
  <c r="I151" i="23"/>
  <c r="H146" i="23"/>
  <c r="H59" i="23"/>
  <c r="E146" i="23"/>
  <c r="H58" i="23"/>
  <c r="D147" i="23"/>
  <c r="F145" i="23"/>
  <c r="P65" i="23"/>
  <c r="I172" i="23"/>
  <c r="P69" i="23"/>
  <c r="I162" i="23"/>
  <c r="D164" i="23"/>
  <c r="I156" i="23"/>
  <c r="D152" i="23"/>
  <c r="I61" i="23"/>
  <c r="P67" i="23"/>
  <c r="D177" i="22"/>
  <c r="P68" i="22"/>
  <c r="G175" i="22"/>
  <c r="I177" i="22"/>
  <c r="I163" i="22"/>
  <c r="F163" i="22"/>
  <c r="H57" i="22"/>
  <c r="O76" i="22"/>
  <c r="I162" i="22"/>
  <c r="I157" i="22"/>
  <c r="O77" i="22"/>
  <c r="H146" i="22"/>
  <c r="H59" i="22"/>
  <c r="D153" i="22"/>
  <c r="F151" i="22"/>
  <c r="I151" i="22"/>
  <c r="I61" i="22"/>
  <c r="P67" i="22"/>
  <c r="I156" i="22"/>
  <c r="F145" i="22"/>
  <c r="F157" i="22"/>
  <c r="E177" i="22"/>
  <c r="I172" i="22"/>
  <c r="P69" i="22"/>
  <c r="P65" i="22"/>
  <c r="G179" i="21"/>
  <c r="I157" i="21"/>
  <c r="F157" i="21"/>
  <c r="D159" i="21"/>
  <c r="I151" i="21"/>
  <c r="F151" i="21"/>
  <c r="F145" i="21"/>
  <c r="F144" i="21"/>
  <c r="I144" i="21"/>
  <c r="D146" i="21"/>
  <c r="H57" i="21"/>
  <c r="D177" i="21"/>
  <c r="P70" i="21"/>
  <c r="E146" i="21"/>
  <c r="E177" i="21"/>
  <c r="H146" i="21"/>
  <c r="H59" i="21"/>
  <c r="I163" i="20"/>
  <c r="O82" i="20"/>
  <c r="D177" i="20"/>
  <c r="I156" i="20"/>
  <c r="F151" i="20"/>
  <c r="O83" i="20"/>
  <c r="P70" i="20"/>
  <c r="H57" i="20"/>
  <c r="O78" i="20"/>
  <c r="O77" i="20"/>
  <c r="P65" i="17"/>
  <c r="I172" i="17"/>
  <c r="P69" i="17"/>
  <c r="P70" i="17"/>
  <c r="D159" i="17"/>
  <c r="E146" i="17"/>
  <c r="I61" i="17"/>
  <c r="F151" i="17"/>
  <c r="I156" i="17"/>
  <c r="I157" i="17"/>
  <c r="D177" i="17"/>
  <c r="F163" i="17"/>
  <c r="F145" i="17"/>
  <c r="G175" i="17"/>
  <c r="I177" i="17"/>
  <c r="D147" i="17"/>
  <c r="H57" i="17"/>
  <c r="O76" i="17"/>
  <c r="H168" i="17"/>
  <c r="I163" i="17"/>
  <c r="H58" i="17"/>
  <c r="O77" i="17"/>
  <c r="I162" i="17"/>
  <c r="E177" i="17"/>
  <c r="F150" i="17"/>
  <c r="I150" i="17"/>
  <c r="D169" i="17"/>
  <c r="G57" i="17"/>
  <c r="I162" i="16"/>
  <c r="F145" i="16"/>
  <c r="O84" i="16"/>
  <c r="P65" i="16"/>
  <c r="P69" i="16"/>
  <c r="I172" i="16"/>
  <c r="E146" i="16"/>
  <c r="O83" i="16"/>
  <c r="P67" i="16"/>
  <c r="I61" i="16"/>
  <c r="F163" i="16"/>
  <c r="F150" i="16"/>
  <c r="I150" i="16"/>
  <c r="D153" i="16"/>
  <c r="H57" i="16"/>
  <c r="F151" i="16"/>
  <c r="I151" i="16"/>
  <c r="F144" i="16"/>
  <c r="I144" i="16"/>
  <c r="H146" i="16"/>
  <c r="H59" i="16"/>
  <c r="F157" i="16"/>
  <c r="I156" i="16"/>
  <c r="D177" i="16"/>
  <c r="P68" i="15"/>
  <c r="G175" i="15"/>
  <c r="I177" i="15"/>
  <c r="G174" i="15"/>
  <c r="I157" i="15"/>
  <c r="D164" i="15"/>
  <c r="I162" i="15"/>
  <c r="I145" i="15"/>
  <c r="H169" i="15"/>
  <c r="G59" i="15"/>
  <c r="D147" i="15"/>
  <c r="F145" i="15"/>
  <c r="I151" i="15"/>
  <c r="D153" i="15"/>
  <c r="F151" i="15"/>
  <c r="E146" i="15"/>
  <c r="E177" i="15"/>
  <c r="P65" i="15"/>
  <c r="I172" i="15"/>
  <c r="P69" i="15"/>
  <c r="D152" i="15"/>
  <c r="D158" i="15"/>
  <c r="I156" i="15"/>
  <c r="E169" i="15"/>
  <c r="G58" i="15"/>
  <c r="O83" i="15"/>
  <c r="E171" i="15"/>
  <c r="H146" i="15"/>
  <c r="H59" i="15"/>
  <c r="O78" i="15"/>
  <c r="P67" i="15"/>
  <c r="I61" i="15"/>
  <c r="F163" i="15"/>
  <c r="D165" i="15"/>
  <c r="I163" i="15"/>
  <c r="H58" i="15"/>
  <c r="H168" i="15"/>
  <c r="F157" i="15"/>
  <c r="H58" i="14"/>
  <c r="F157" i="14"/>
  <c r="D147" i="14"/>
  <c r="F145" i="14"/>
  <c r="E146" i="14"/>
  <c r="E177" i="14"/>
  <c r="I157" i="14"/>
  <c r="D177" i="14"/>
  <c r="D146" i="14"/>
  <c r="F144" i="14"/>
  <c r="I144" i="14"/>
  <c r="P65" i="14"/>
  <c r="P69" i="14"/>
  <c r="I172" i="14"/>
  <c r="D153" i="14"/>
  <c r="F151" i="14"/>
  <c r="I151" i="14"/>
  <c r="D164" i="14"/>
  <c r="H146" i="14"/>
  <c r="H59" i="14"/>
  <c r="H146" i="13"/>
  <c r="H59" i="13"/>
  <c r="H146" i="11"/>
  <c r="H59" i="11"/>
  <c r="H158" i="10"/>
  <c r="H164" i="10"/>
  <c r="H59" i="10"/>
  <c r="H59" i="83"/>
  <c r="D165" i="14"/>
  <c r="I163" i="14"/>
  <c r="F163" i="14"/>
  <c r="D152" i="14"/>
  <c r="F150" i="14"/>
  <c r="I150" i="14"/>
  <c r="P67" i="14"/>
  <c r="I61" i="14"/>
  <c r="D159" i="13"/>
  <c r="F157" i="13"/>
  <c r="I162" i="13"/>
  <c r="I172" i="13"/>
  <c r="I163" i="13"/>
  <c r="I61" i="13"/>
  <c r="I156" i="13"/>
  <c r="F144" i="13"/>
  <c r="I144" i="13"/>
  <c r="D146" i="13"/>
  <c r="D177" i="13"/>
  <c r="P70" i="13"/>
  <c r="F151" i="13"/>
  <c r="E146" i="13"/>
  <c r="D147" i="13"/>
  <c r="F145" i="13"/>
  <c r="D177" i="11"/>
  <c r="E171" i="11"/>
  <c r="P68" i="11"/>
  <c r="G175" i="11"/>
  <c r="I177" i="11"/>
  <c r="F157" i="11"/>
  <c r="D159" i="11"/>
  <c r="I157" i="11"/>
  <c r="I162" i="11"/>
  <c r="D164" i="11"/>
  <c r="D165" i="11"/>
  <c r="I163" i="11"/>
  <c r="F163" i="11"/>
  <c r="D147" i="11"/>
  <c r="F145" i="11"/>
  <c r="I156" i="11"/>
  <c r="D158" i="11"/>
  <c r="D146" i="11"/>
  <c r="P67" i="11"/>
  <c r="I61" i="11"/>
  <c r="P65" i="11"/>
  <c r="P69" i="11"/>
  <c r="I172" i="11"/>
  <c r="O77" i="11"/>
  <c r="I151" i="11"/>
  <c r="D153" i="11"/>
  <c r="F151" i="11"/>
  <c r="O78" i="83"/>
  <c r="O77" i="14"/>
  <c r="E158" i="10"/>
  <c r="E164" i="10"/>
  <c r="H58" i="10"/>
  <c r="H58" i="83"/>
  <c r="O57" i="17"/>
  <c r="O58" i="30"/>
  <c r="H57" i="13"/>
  <c r="H177" i="20"/>
  <c r="G178" i="21"/>
  <c r="O58" i="32"/>
  <c r="L80" i="33"/>
  <c r="O58" i="35"/>
  <c r="K61" i="26"/>
  <c r="E177" i="20"/>
  <c r="J58" i="20"/>
  <c r="K58" i="20"/>
  <c r="E171" i="20"/>
  <c r="G178" i="16"/>
  <c r="L88" i="49"/>
  <c r="L92" i="49"/>
  <c r="L83" i="49"/>
  <c r="L85" i="49"/>
  <c r="L80" i="48"/>
  <c r="K61" i="47"/>
  <c r="K61" i="46"/>
  <c r="L88" i="46"/>
  <c r="L92" i="46"/>
  <c r="L83" i="46"/>
  <c r="L85" i="46"/>
  <c r="K61" i="45"/>
  <c r="L83" i="45"/>
  <c r="L85" i="45"/>
  <c r="K57" i="43"/>
  <c r="K61" i="43"/>
  <c r="J61" i="43"/>
  <c r="L88" i="43"/>
  <c r="L92" i="43"/>
  <c r="L83" i="43"/>
  <c r="L85" i="43"/>
  <c r="L88" i="42"/>
  <c r="L92" i="42"/>
  <c r="L83" i="42"/>
  <c r="L85" i="42"/>
  <c r="L80" i="41"/>
  <c r="J61" i="40"/>
  <c r="O58" i="40"/>
  <c r="L80" i="40"/>
  <c r="K61" i="40"/>
  <c r="O58" i="39"/>
  <c r="J61" i="39"/>
  <c r="K57" i="39"/>
  <c r="K61" i="39"/>
  <c r="J61" i="38"/>
  <c r="O58" i="38"/>
  <c r="L80" i="38"/>
  <c r="K61" i="38"/>
  <c r="L80" i="36"/>
  <c r="L88" i="36"/>
  <c r="L92" i="36"/>
  <c r="J61" i="36"/>
  <c r="K57" i="36"/>
  <c r="K61" i="36"/>
  <c r="K61" i="19"/>
  <c r="L88" i="19"/>
  <c r="L92" i="19"/>
  <c r="L83" i="19"/>
  <c r="L85" i="19"/>
  <c r="J58" i="37"/>
  <c r="K58" i="37"/>
  <c r="O85" i="37"/>
  <c r="J61" i="37"/>
  <c r="K57" i="37"/>
  <c r="L80" i="18"/>
  <c r="J61" i="18"/>
  <c r="K57" i="18"/>
  <c r="K61" i="18"/>
  <c r="J61" i="35"/>
  <c r="K61" i="35"/>
  <c r="L88" i="35"/>
  <c r="L92" i="35"/>
  <c r="L83" i="35"/>
  <c r="L85" i="35"/>
  <c r="K58" i="34"/>
  <c r="J61" i="34"/>
  <c r="K57" i="34"/>
  <c r="L80" i="34"/>
  <c r="K58" i="32"/>
  <c r="K61" i="33"/>
  <c r="L88" i="33"/>
  <c r="L92" i="33"/>
  <c r="L83" i="33"/>
  <c r="L85" i="33"/>
  <c r="L80" i="32"/>
  <c r="J57" i="32"/>
  <c r="O57" i="32"/>
  <c r="G61" i="32"/>
  <c r="O82" i="32"/>
  <c r="O85" i="32"/>
  <c r="P85" i="32"/>
  <c r="J141" i="32"/>
  <c r="J170" i="32"/>
  <c r="J171" i="32"/>
  <c r="L173" i="32"/>
  <c r="J61" i="31"/>
  <c r="K58" i="31"/>
  <c r="K61" i="31"/>
  <c r="O58" i="31"/>
  <c r="K61" i="30"/>
  <c r="J61" i="30"/>
  <c r="L80" i="30"/>
  <c r="K61" i="29"/>
  <c r="L88" i="29"/>
  <c r="L92" i="29"/>
  <c r="L83" i="29"/>
  <c r="L85" i="29"/>
  <c r="J61" i="28"/>
  <c r="L88" i="28"/>
  <c r="L92" i="28"/>
  <c r="L83" i="28"/>
  <c r="L85" i="28"/>
  <c r="K58" i="28"/>
  <c r="K61" i="28"/>
  <c r="O58" i="28"/>
  <c r="O85" i="27"/>
  <c r="J61" i="27"/>
  <c r="K57" i="27"/>
  <c r="O58" i="27"/>
  <c r="K58" i="27"/>
  <c r="L80" i="26"/>
  <c r="K58" i="25"/>
  <c r="J61" i="25"/>
  <c r="K57" i="25"/>
  <c r="P70" i="24"/>
  <c r="O77" i="24"/>
  <c r="E171" i="24"/>
  <c r="O83" i="24"/>
  <c r="H57" i="24"/>
  <c r="O78" i="24"/>
  <c r="J59" i="24"/>
  <c r="K59" i="24"/>
  <c r="I168" i="24"/>
  <c r="P85" i="24"/>
  <c r="G179" i="24"/>
  <c r="O84" i="24"/>
  <c r="G178" i="24"/>
  <c r="J141" i="24"/>
  <c r="J170" i="24"/>
  <c r="E177" i="24"/>
  <c r="D177" i="24"/>
  <c r="H177" i="23"/>
  <c r="I168" i="23"/>
  <c r="P85" i="23"/>
  <c r="G179" i="23"/>
  <c r="G178" i="23"/>
  <c r="O84" i="23"/>
  <c r="O78" i="23"/>
  <c r="J59" i="23"/>
  <c r="K59" i="23"/>
  <c r="P70" i="23"/>
  <c r="O77" i="23"/>
  <c r="H57" i="23"/>
  <c r="O83" i="23"/>
  <c r="E171" i="23"/>
  <c r="E177" i="23"/>
  <c r="D177" i="23"/>
  <c r="I168" i="22"/>
  <c r="P85" i="22"/>
  <c r="O57" i="22"/>
  <c r="H61" i="22"/>
  <c r="O78" i="22"/>
  <c r="O79" i="22"/>
  <c r="P70" i="22"/>
  <c r="J59" i="22"/>
  <c r="K59" i="22"/>
  <c r="E171" i="22"/>
  <c r="G179" i="22"/>
  <c r="G178" i="22"/>
  <c r="O84" i="22"/>
  <c r="H177" i="22"/>
  <c r="O84" i="21"/>
  <c r="H61" i="21"/>
  <c r="O76" i="21"/>
  <c r="O78" i="21"/>
  <c r="J59" i="21"/>
  <c r="K59" i="21"/>
  <c r="O77" i="21"/>
  <c r="H177" i="21"/>
  <c r="O83" i="21"/>
  <c r="E171" i="21"/>
  <c r="O57" i="21"/>
  <c r="I168" i="21"/>
  <c r="P85" i="21"/>
  <c r="J57" i="20"/>
  <c r="K57" i="20"/>
  <c r="G61" i="20"/>
  <c r="I168" i="20"/>
  <c r="J59" i="20"/>
  <c r="K59" i="20"/>
  <c r="H61" i="20"/>
  <c r="O76" i="20"/>
  <c r="O79" i="20"/>
  <c r="O57" i="20"/>
  <c r="G179" i="20"/>
  <c r="G178" i="20"/>
  <c r="O84" i="20"/>
  <c r="O85" i="20"/>
  <c r="H177" i="17"/>
  <c r="H61" i="17"/>
  <c r="E171" i="17"/>
  <c r="O79" i="17"/>
  <c r="E169" i="17"/>
  <c r="G58" i="17"/>
  <c r="J58" i="17"/>
  <c r="I168" i="17"/>
  <c r="J141" i="17"/>
  <c r="J170" i="17"/>
  <c r="H169" i="17"/>
  <c r="G59" i="17"/>
  <c r="O82" i="17"/>
  <c r="J57" i="17"/>
  <c r="I168" i="16"/>
  <c r="P85" i="16"/>
  <c r="G179" i="16"/>
  <c r="E171" i="16"/>
  <c r="E177" i="16"/>
  <c r="H177" i="16"/>
  <c r="H61" i="16"/>
  <c r="O76" i="16"/>
  <c r="P70" i="16"/>
  <c r="O78" i="16"/>
  <c r="J59" i="16"/>
  <c r="K59" i="16"/>
  <c r="G61" i="16"/>
  <c r="O82" i="16"/>
  <c r="O85" i="16"/>
  <c r="J57" i="16"/>
  <c r="O77" i="16"/>
  <c r="J58" i="16"/>
  <c r="J171" i="16"/>
  <c r="L173" i="16"/>
  <c r="O57" i="16"/>
  <c r="J59" i="15"/>
  <c r="K59" i="15"/>
  <c r="P70" i="15"/>
  <c r="H177" i="15"/>
  <c r="G178" i="15"/>
  <c r="O84" i="15"/>
  <c r="G179" i="15"/>
  <c r="O77" i="15"/>
  <c r="J58" i="15"/>
  <c r="D169" i="15"/>
  <c r="G57" i="15"/>
  <c r="I168" i="15"/>
  <c r="P85" i="15"/>
  <c r="D177" i="15"/>
  <c r="H57" i="15"/>
  <c r="H177" i="14"/>
  <c r="O78" i="14"/>
  <c r="P70" i="14"/>
  <c r="E171" i="14"/>
  <c r="E169" i="10"/>
  <c r="G58" i="10"/>
  <c r="G58" i="83"/>
  <c r="O83" i="83"/>
  <c r="D169" i="10"/>
  <c r="G57" i="10"/>
  <c r="G57" i="83"/>
  <c r="I168" i="14"/>
  <c r="P85" i="14"/>
  <c r="J141" i="14"/>
  <c r="J170" i="14"/>
  <c r="J171" i="14"/>
  <c r="L173" i="14"/>
  <c r="H57" i="14"/>
  <c r="H57" i="11"/>
  <c r="D158" i="10"/>
  <c r="D164" i="10"/>
  <c r="H57" i="10"/>
  <c r="H57" i="83"/>
  <c r="O83" i="13"/>
  <c r="E171" i="13"/>
  <c r="E177" i="13"/>
  <c r="G178" i="13"/>
  <c r="G179" i="13"/>
  <c r="O84" i="13"/>
  <c r="O78" i="13"/>
  <c r="J59" i="13"/>
  <c r="K59" i="13"/>
  <c r="O77" i="13"/>
  <c r="O57" i="13"/>
  <c r="I168" i="13"/>
  <c r="P85" i="13"/>
  <c r="H177" i="13"/>
  <c r="H61" i="13"/>
  <c r="O76" i="13"/>
  <c r="E177" i="11"/>
  <c r="O57" i="11"/>
  <c r="I168" i="11"/>
  <c r="J141" i="11"/>
  <c r="J170" i="11"/>
  <c r="G178" i="11"/>
  <c r="O83" i="11"/>
  <c r="H177" i="11"/>
  <c r="J171" i="11"/>
  <c r="L173" i="11"/>
  <c r="O78" i="11"/>
  <c r="H61" i="11"/>
  <c r="P70" i="11"/>
  <c r="O82" i="11"/>
  <c r="J57" i="11"/>
  <c r="O76" i="83"/>
  <c r="H61" i="83"/>
  <c r="O57" i="83"/>
  <c r="O77" i="83"/>
  <c r="J58" i="83"/>
  <c r="E169" i="83"/>
  <c r="O82" i="83"/>
  <c r="J57" i="83"/>
  <c r="J59" i="14"/>
  <c r="K59" i="14"/>
  <c r="F141" i="10"/>
  <c r="G141" i="10"/>
  <c r="D145" i="10"/>
  <c r="E145" i="10"/>
  <c r="I145" i="10"/>
  <c r="H169" i="10"/>
  <c r="G59" i="10"/>
  <c r="G59" i="83"/>
  <c r="G61" i="83"/>
  <c r="O76" i="11"/>
  <c r="O58" i="37"/>
  <c r="J61" i="20"/>
  <c r="J141" i="16"/>
  <c r="J170" i="16"/>
  <c r="L88" i="48"/>
  <c r="L92" i="48"/>
  <c r="L83" i="48"/>
  <c r="L85" i="48"/>
  <c r="L88" i="41"/>
  <c r="L92" i="41"/>
  <c r="L83" i="41"/>
  <c r="L85" i="41"/>
  <c r="L88" i="40"/>
  <c r="L92" i="40"/>
  <c r="L83" i="40"/>
  <c r="L85" i="40"/>
  <c r="L80" i="39"/>
  <c r="L88" i="38"/>
  <c r="L92" i="38"/>
  <c r="L83" i="38"/>
  <c r="L85" i="38"/>
  <c r="L83" i="36"/>
  <c r="L85" i="36"/>
  <c r="K61" i="37"/>
  <c r="L80" i="37"/>
  <c r="L88" i="18"/>
  <c r="L92" i="18"/>
  <c r="L83" i="18"/>
  <c r="L85" i="18"/>
  <c r="K61" i="34"/>
  <c r="L88" i="34"/>
  <c r="L92" i="34"/>
  <c r="L83" i="34"/>
  <c r="L85" i="34"/>
  <c r="L88" i="32"/>
  <c r="L92" i="32"/>
  <c r="L83" i="32"/>
  <c r="L85" i="32"/>
  <c r="J61" i="32"/>
  <c r="K57" i="32"/>
  <c r="K61" i="32"/>
  <c r="L80" i="31"/>
  <c r="L88" i="30"/>
  <c r="L92" i="30"/>
  <c r="L83" i="30"/>
  <c r="L85" i="30"/>
  <c r="K61" i="27"/>
  <c r="L80" i="27"/>
  <c r="L88" i="26"/>
  <c r="L92" i="26"/>
  <c r="L83" i="26"/>
  <c r="L85" i="26"/>
  <c r="K61" i="25"/>
  <c r="L80" i="25"/>
  <c r="O76" i="24"/>
  <c r="O79" i="24"/>
  <c r="O57" i="24"/>
  <c r="H61" i="24"/>
  <c r="G61" i="24"/>
  <c r="O82" i="24"/>
  <c r="O85" i="24"/>
  <c r="J57" i="24"/>
  <c r="J171" i="24"/>
  <c r="L173" i="24"/>
  <c r="J58" i="24"/>
  <c r="J58" i="23"/>
  <c r="J141" i="23"/>
  <c r="J170" i="23"/>
  <c r="O76" i="23"/>
  <c r="O79" i="23"/>
  <c r="H61" i="23"/>
  <c r="O57" i="23"/>
  <c r="O82" i="23"/>
  <c r="O85" i="23"/>
  <c r="G61" i="23"/>
  <c r="J57" i="23"/>
  <c r="J171" i="23"/>
  <c r="L173" i="23"/>
  <c r="J141" i="22"/>
  <c r="J170" i="22"/>
  <c r="G61" i="22"/>
  <c r="J171" i="22"/>
  <c r="L173" i="22"/>
  <c r="J57" i="22"/>
  <c r="K57" i="22"/>
  <c r="O82" i="22"/>
  <c r="O83" i="22"/>
  <c r="J58" i="22"/>
  <c r="J171" i="21"/>
  <c r="L173" i="21"/>
  <c r="J58" i="21"/>
  <c r="J141" i="21"/>
  <c r="J170" i="21"/>
  <c r="O79" i="21"/>
  <c r="O82" i="21"/>
  <c r="O85" i="21"/>
  <c r="G61" i="21"/>
  <c r="J57" i="21"/>
  <c r="O58" i="20"/>
  <c r="P85" i="20"/>
  <c r="J171" i="20"/>
  <c r="L173" i="20"/>
  <c r="J141" i="20"/>
  <c r="J170" i="20"/>
  <c r="K61" i="20"/>
  <c r="L80" i="20"/>
  <c r="O83" i="17"/>
  <c r="J59" i="17"/>
  <c r="K59" i="17"/>
  <c r="O84" i="17"/>
  <c r="G179" i="17"/>
  <c r="G178" i="17"/>
  <c r="P85" i="17"/>
  <c r="J171" i="17"/>
  <c r="L173" i="17"/>
  <c r="G61" i="17"/>
  <c r="K58" i="17"/>
  <c r="O58" i="17"/>
  <c r="L80" i="17"/>
  <c r="K57" i="17"/>
  <c r="K61" i="17"/>
  <c r="O79" i="16"/>
  <c r="J61" i="16"/>
  <c r="K57" i="16"/>
  <c r="K58" i="16"/>
  <c r="O58" i="16"/>
  <c r="J141" i="15"/>
  <c r="J170" i="15"/>
  <c r="J171" i="15"/>
  <c r="L173" i="15"/>
  <c r="O82" i="15"/>
  <c r="O85" i="15"/>
  <c r="G61" i="15"/>
  <c r="J57" i="15"/>
  <c r="O58" i="15"/>
  <c r="K58" i="15"/>
  <c r="H61" i="15"/>
  <c r="O76" i="15"/>
  <c r="O79" i="15"/>
  <c r="O57" i="15"/>
  <c r="G61" i="14"/>
  <c r="O82" i="14"/>
  <c r="J57" i="14"/>
  <c r="O83" i="14"/>
  <c r="J58" i="14"/>
  <c r="O57" i="14"/>
  <c r="O76" i="14"/>
  <c r="O79" i="14"/>
  <c r="H61" i="14"/>
  <c r="G178" i="14"/>
  <c r="O84" i="14"/>
  <c r="G179" i="14"/>
  <c r="L80" i="13"/>
  <c r="J58" i="13"/>
  <c r="O58" i="13"/>
  <c r="J141" i="13"/>
  <c r="J170" i="13"/>
  <c r="O79" i="13"/>
  <c r="O82" i="13"/>
  <c r="O85" i="13"/>
  <c r="G61" i="13"/>
  <c r="J57" i="13"/>
  <c r="J171" i="13"/>
  <c r="L173" i="13"/>
  <c r="G61" i="11"/>
  <c r="J59" i="11"/>
  <c r="K59" i="11"/>
  <c r="G179" i="11"/>
  <c r="J58" i="11"/>
  <c r="P85" i="11"/>
  <c r="O84" i="11"/>
  <c r="O85" i="11"/>
  <c r="O79" i="11"/>
  <c r="K57" i="11"/>
  <c r="K57" i="83"/>
  <c r="O58" i="83"/>
  <c r="K58" i="83"/>
  <c r="G178" i="83"/>
  <c r="G179" i="83"/>
  <c r="O84" i="83"/>
  <c r="O85" i="83"/>
  <c r="J59" i="83"/>
  <c r="K59" i="83"/>
  <c r="O79" i="83"/>
  <c r="O85" i="17"/>
  <c r="L88" i="39"/>
  <c r="L92" i="39"/>
  <c r="L83" i="39"/>
  <c r="L85" i="39"/>
  <c r="L88" i="37"/>
  <c r="L92" i="37"/>
  <c r="L83" i="37"/>
  <c r="L85" i="37"/>
  <c r="L88" i="31"/>
  <c r="L92" i="31"/>
  <c r="L83" i="31"/>
  <c r="L85" i="31"/>
  <c r="L88" i="27"/>
  <c r="L92" i="27"/>
  <c r="L83" i="27"/>
  <c r="L85" i="27"/>
  <c r="L88" i="25"/>
  <c r="L92" i="25"/>
  <c r="L83" i="25"/>
  <c r="L85" i="25"/>
  <c r="J61" i="24"/>
  <c r="K57" i="24"/>
  <c r="K58" i="24"/>
  <c r="O58" i="24"/>
  <c r="J61" i="23"/>
  <c r="K57" i="23"/>
  <c r="K58" i="23"/>
  <c r="O58" i="23"/>
  <c r="O85" i="22"/>
  <c r="J61" i="22"/>
  <c r="O58" i="22"/>
  <c r="K58" i="22"/>
  <c r="K61" i="22"/>
  <c r="O58" i="21"/>
  <c r="K58" i="21"/>
  <c r="J61" i="21"/>
  <c r="K57" i="21"/>
  <c r="L80" i="21"/>
  <c r="L88" i="20"/>
  <c r="L92" i="20"/>
  <c r="L83" i="20"/>
  <c r="L85" i="20"/>
  <c r="J61" i="17"/>
  <c r="L88" i="17"/>
  <c r="L92" i="17"/>
  <c r="L83" i="17"/>
  <c r="L85" i="17"/>
  <c r="K61" i="16"/>
  <c r="L80" i="16"/>
  <c r="L80" i="15"/>
  <c r="J61" i="15"/>
  <c r="K57" i="15"/>
  <c r="K61" i="15"/>
  <c r="J61" i="14"/>
  <c r="K57" i="14"/>
  <c r="O85" i="14"/>
  <c r="K58" i="14"/>
  <c r="O58" i="14"/>
  <c r="K58" i="13"/>
  <c r="L88" i="13"/>
  <c r="L92" i="13"/>
  <c r="L83" i="13"/>
  <c r="L85" i="13"/>
  <c r="J61" i="13"/>
  <c r="K57" i="13"/>
  <c r="K61" i="13"/>
  <c r="O58" i="11"/>
  <c r="K58" i="11"/>
  <c r="K61" i="11"/>
  <c r="J61" i="11"/>
  <c r="L80" i="11"/>
  <c r="K61" i="83"/>
  <c r="J61" i="83"/>
  <c r="L80" i="24"/>
  <c r="K61" i="24"/>
  <c r="K61" i="23"/>
  <c r="L80" i="23"/>
  <c r="L80" i="22"/>
  <c r="K61" i="21"/>
  <c r="L88" i="21"/>
  <c r="L92" i="21"/>
  <c r="L83" i="21"/>
  <c r="L85" i="21"/>
  <c r="L88" i="16"/>
  <c r="L92" i="16"/>
  <c r="L83" i="16"/>
  <c r="L85" i="16"/>
  <c r="L88" i="15"/>
  <c r="L92" i="15"/>
  <c r="L83" i="15"/>
  <c r="L85" i="15"/>
  <c r="K61" i="14"/>
  <c r="L80" i="14"/>
  <c r="L88" i="11"/>
  <c r="L92" i="11"/>
  <c r="L83" i="11"/>
  <c r="L85" i="11"/>
  <c r="L88" i="24"/>
  <c r="L92" i="24"/>
  <c r="L83" i="24"/>
  <c r="L85" i="24"/>
  <c r="L88" i="23"/>
  <c r="L92" i="23"/>
  <c r="L83" i="23"/>
  <c r="L85" i="23"/>
  <c r="L88" i="22"/>
  <c r="L92" i="22"/>
  <c r="L83" i="22"/>
  <c r="L85" i="22"/>
  <c r="L88" i="14"/>
  <c r="L92" i="14"/>
  <c r="L83" i="14"/>
  <c r="L85" i="14"/>
  <c r="E92" i="10"/>
  <c r="E91" i="10"/>
  <c r="L176" i="10"/>
  <c r="L153" i="10"/>
  <c r="L147" i="10"/>
  <c r="O168" i="10"/>
  <c r="L91" i="10"/>
  <c r="L79" i="10"/>
  <c r="L77" i="10"/>
  <c r="O66" i="10"/>
  <c r="L145" i="10"/>
  <c r="E93" i="10"/>
  <c r="J110" i="10"/>
  <c r="O173" i="10"/>
  <c r="L61" i="10"/>
  <c r="P59" i="10"/>
  <c r="D180" i="10"/>
  <c r="C129" i="10"/>
  <c r="H180" i="10"/>
  <c r="P57" i="10"/>
  <c r="E61" i="10"/>
  <c r="P64" i="10"/>
  <c r="G180" i="10"/>
  <c r="P58" i="10"/>
  <c r="Q58" i="10"/>
  <c r="H124" i="10"/>
  <c r="G174" i="10"/>
  <c r="O59" i="10"/>
  <c r="L151" i="10"/>
  <c r="G175" i="10"/>
  <c r="I177" i="10"/>
  <c r="O167" i="10"/>
  <c r="L171" i="10"/>
  <c r="O151" i="10"/>
  <c r="O145" i="10"/>
  <c r="H150" i="10"/>
  <c r="H152" i="10"/>
  <c r="E180" i="10"/>
  <c r="L175" i="10"/>
  <c r="O174" i="10"/>
  <c r="O175" i="10"/>
  <c r="L172" i="10"/>
  <c r="O171" i="10"/>
  <c r="P65" i="10"/>
  <c r="D163" i="10"/>
  <c r="D165" i="10"/>
  <c r="E151" i="10"/>
  <c r="E153" i="10"/>
  <c r="H151" i="10"/>
  <c r="H153" i="10"/>
  <c r="D157" i="10"/>
  <c r="D159" i="10"/>
  <c r="I180" i="10"/>
  <c r="D150" i="10"/>
  <c r="D152" i="10"/>
  <c r="H145" i="10"/>
  <c r="H147" i="10"/>
  <c r="H155" i="10"/>
  <c r="E144" i="10"/>
  <c r="E146" i="10"/>
  <c r="E150" i="10"/>
  <c r="E152" i="10"/>
  <c r="D154" i="10"/>
  <c r="E163" i="10"/>
  <c r="E165" i="10"/>
  <c r="O77" i="10"/>
  <c r="D151" i="10"/>
  <c r="D153" i="10"/>
  <c r="H157" i="10"/>
  <c r="H159" i="10"/>
  <c r="E147" i="10"/>
  <c r="D144" i="10"/>
  <c r="E157" i="10"/>
  <c r="E159" i="10"/>
  <c r="H163" i="10"/>
  <c r="H165" i="10"/>
  <c r="P68" i="10"/>
  <c r="O141" i="10"/>
  <c r="H144" i="10"/>
  <c r="H146" i="10"/>
  <c r="P67" i="10"/>
  <c r="I61" i="10"/>
  <c r="P69" i="10"/>
  <c r="P70" i="10"/>
  <c r="F151" i="10"/>
  <c r="F144" i="10"/>
  <c r="I144" i="10"/>
  <c r="D146" i="10"/>
  <c r="I172" i="10"/>
  <c r="F163" i="10"/>
  <c r="F157" i="10"/>
  <c r="F145" i="10"/>
  <c r="O78" i="10"/>
  <c r="O76" i="10"/>
  <c r="F150" i="10"/>
  <c r="I150" i="10"/>
  <c r="I151" i="10"/>
  <c r="I163" i="10"/>
  <c r="H168" i="10"/>
  <c r="I157" i="10"/>
  <c r="E177" i="10"/>
  <c r="D147" i="10"/>
  <c r="E171" i="10"/>
  <c r="H61" i="10"/>
  <c r="O79" i="10"/>
  <c r="G178" i="10"/>
  <c r="O84" i="10"/>
  <c r="G179" i="10"/>
  <c r="H177" i="10"/>
  <c r="I168" i="10"/>
  <c r="P85" i="10"/>
  <c r="J59" i="10"/>
  <c r="K59" i="10"/>
  <c r="D177" i="10"/>
  <c r="O83" i="10"/>
  <c r="J58" i="10"/>
  <c r="O57" i="10"/>
  <c r="G61" i="10"/>
  <c r="O82" i="10"/>
  <c r="O85" i="10"/>
  <c r="J141" i="10"/>
  <c r="J170" i="10"/>
  <c r="J171" i="10"/>
  <c r="L173" i="10"/>
  <c r="J57" i="10"/>
  <c r="K57" i="10"/>
  <c r="K58" i="10"/>
  <c r="O58" i="10"/>
  <c r="K61" i="10"/>
  <c r="J61" i="10"/>
  <c r="L80" i="10"/>
  <c r="L83" i="10"/>
  <c r="L85" i="10"/>
  <c r="L88" i="10"/>
  <c r="L92" i="10"/>
  <c r="C50" i="6"/>
</calcChain>
</file>

<file path=xl/comments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1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8.xml><?xml version="1.0" encoding="utf-8"?>
<comments xmlns="http://schemas.openxmlformats.org/spreadsheetml/2006/main">
  <authors>
    <author>Blackwood, Kathy</author>
  </authors>
  <commentList>
    <comment ref="J35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Enter the total less the one entered in Step 7</t>
        </r>
      </text>
    </commen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29.xml><?xml version="1.0" encoding="utf-8"?>
<comments xmlns="http://schemas.openxmlformats.org/spreadsheetml/2006/main">
  <authors>
    <author>Blackwood, Kathy</author>
  </authors>
  <commentList>
    <comment ref="I29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All community supported district have no deficit factor.</t>
        </r>
      </text>
    </commen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3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4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5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5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4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5.xml><?xml version="1.0" encoding="utf-8"?>
<comments xmlns="http://schemas.openxmlformats.org/spreadsheetml/2006/main">
  <authors>
    <author>Blackwood, Kathy</author>
  </authors>
  <commentList>
    <comment ref="F83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Hardcoded for new college; numbers don't make sense</t>
        </r>
      </text>
    </commen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6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6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7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70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71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72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73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8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comments9.xml><?xml version="1.0" encoding="utf-8"?>
<comments xmlns="http://schemas.openxmlformats.org/spreadsheetml/2006/main">
  <authors>
    <author>Blackwood, Kathy</author>
  </authors>
  <commentList>
    <comment ref="E107" authorId="0">
      <text>
        <r>
          <rPr>
            <b/>
            <sz val="9"/>
            <color indexed="81"/>
            <rFont val="Tahoma"/>
            <family val="2"/>
          </rPr>
          <t>Blackwood, Kathy:</t>
        </r>
        <r>
          <rPr>
            <sz val="9"/>
            <color indexed="81"/>
            <rFont val="Tahoma"/>
            <family val="2"/>
          </rPr>
          <t xml:space="preserve">
Will double in 16/17</t>
        </r>
      </text>
    </comment>
  </commentList>
</comments>
</file>

<file path=xl/sharedStrings.xml><?xml version="1.0" encoding="utf-8"?>
<sst xmlns="http://schemas.openxmlformats.org/spreadsheetml/2006/main" count="21463" uniqueCount="372">
  <si>
    <t>Base</t>
  </si>
  <si>
    <t>Credit FTES</t>
  </si>
  <si>
    <t>I</t>
  </si>
  <si>
    <t>A</t>
  </si>
  <si>
    <t>B</t>
  </si>
  <si>
    <t>Noncredit Base Revenue</t>
  </si>
  <si>
    <t>C</t>
  </si>
  <si>
    <t>D</t>
  </si>
  <si>
    <t>II</t>
  </si>
  <si>
    <t>III</t>
  </si>
  <si>
    <t>Inflation Adjustment</t>
  </si>
  <si>
    <t>E</t>
  </si>
  <si>
    <t>Other Revenue Adjustments</t>
  </si>
  <si>
    <t>Property Taxes</t>
  </si>
  <si>
    <t>Student Enrollment Fees</t>
  </si>
  <si>
    <t>State General Apportionment</t>
  </si>
  <si>
    <t>Total</t>
  </si>
  <si>
    <t>District Revenue Sources</t>
  </si>
  <si>
    <t>Credit Base Revenue</t>
  </si>
  <si>
    <t>F</t>
  </si>
  <si>
    <t>Funded Credit Growth Revenue</t>
  </si>
  <si>
    <t>Total Growth Revenue</t>
  </si>
  <si>
    <t>IV</t>
  </si>
  <si>
    <t xml:space="preserve">Growth </t>
  </si>
  <si>
    <t>Funded Noncredit Growth Revenue</t>
  </si>
  <si>
    <t>Noncredit FTES</t>
  </si>
  <si>
    <t>Funded Noncredit CDCP Revenue</t>
  </si>
  <si>
    <t>Total Revenue Adjustments</t>
  </si>
  <si>
    <t xml:space="preserve">A  </t>
  </si>
  <si>
    <t xml:space="preserve">B  </t>
  </si>
  <si>
    <t xml:space="preserve">C  </t>
  </si>
  <si>
    <t xml:space="preserve">D  </t>
  </si>
  <si>
    <t>Revenue</t>
  </si>
  <si>
    <t>CALIFORNIA COMMUNITY COLLEGES</t>
  </si>
  <si>
    <t xml:space="preserve">Total Computational Revenue </t>
  </si>
  <si>
    <t>Total FTES:</t>
  </si>
  <si>
    <t>Revenue:</t>
  </si>
  <si>
    <t>Total College</t>
  </si>
  <si>
    <t>Total Center</t>
  </si>
  <si>
    <t>Career Development College Prep NonCr</t>
  </si>
  <si>
    <t>- Current Year Decline</t>
  </si>
  <si>
    <t>Base Revenues +/- Restore or Decline</t>
  </si>
  <si>
    <t>Basic Allocation</t>
  </si>
  <si>
    <t>Basic Allocation Calculation</t>
  </si>
  <si>
    <t>V</t>
  </si>
  <si>
    <t>VIII</t>
  </si>
  <si>
    <t>Rural</t>
  </si>
  <si>
    <t>Marginal</t>
  </si>
  <si>
    <t>Funding Rate</t>
  </si>
  <si>
    <t>FTES</t>
  </si>
  <si>
    <t>VI</t>
  </si>
  <si>
    <t>VII</t>
  </si>
  <si>
    <t>IX</t>
  </si>
  <si>
    <t>Total Base Revenue less Decline</t>
  </si>
  <si>
    <t>(sum of II, III, IV, V &amp; VI)</t>
  </si>
  <si>
    <t xml:space="preserve">Basic Allocation &amp; Restoration </t>
  </si>
  <si>
    <t xml:space="preserve"> Funding Rate</t>
  </si>
  <si>
    <t>250&gt;FTES&gt;100</t>
  </si>
  <si>
    <t>Center</t>
  </si>
  <si>
    <t>Total Basic</t>
  </si>
  <si>
    <t>Allocation</t>
  </si>
  <si>
    <t>Number of Grandfathered Centers @ Total FTES</t>
  </si>
  <si>
    <t>"Grandfathered" Centers:  Funding Rates @ FTES Levels</t>
  </si>
  <si>
    <t>Grandfathered Center Revenue:</t>
  </si>
  <si>
    <t>Basic Allocation Adjustment</t>
  </si>
  <si>
    <t>Actual Growth</t>
  </si>
  <si>
    <t>Other Allowances and Total Apportionments</t>
  </si>
  <si>
    <t>Number of Faculty Not Hired</t>
  </si>
  <si>
    <t>Statewide Average Replacement Cost</t>
  </si>
  <si>
    <t>Full-time Faculty Adjustment</t>
  </si>
  <si>
    <t>Net State General Apportionment</t>
  </si>
  <si>
    <t>College/Center Base Funding Rates:</t>
  </si>
  <si>
    <t>APPORTIONMENT SIMULATION WORKSHEET</t>
  </si>
  <si>
    <t>Property Taxes:</t>
  </si>
  <si>
    <t>Enrollment Fees:</t>
  </si>
  <si>
    <t>District</t>
  </si>
  <si>
    <t>San Francisco</t>
  </si>
  <si>
    <t>South Orange</t>
  </si>
  <si>
    <t xml:space="preserve"> DistName</t>
  </si>
  <si>
    <t>Enter Data</t>
  </si>
  <si>
    <t>Basic Allocation:</t>
  </si>
  <si>
    <t>PART A</t>
  </si>
  <si>
    <t>PART B</t>
  </si>
  <si>
    <t>Single College District Funding Rates: Total FTES</t>
  </si>
  <si>
    <t>Multi-College District Funding Rates: Total FTES</t>
  </si>
  <si>
    <t>Base FTES:</t>
  </si>
  <si>
    <t>credit FTES</t>
  </si>
  <si>
    <t>noncredit FTES</t>
  </si>
  <si>
    <t>credit</t>
  </si>
  <si>
    <t>PART C</t>
  </si>
  <si>
    <t>CDCP</t>
  </si>
  <si>
    <t>CDCP FTES</t>
  </si>
  <si>
    <t>Single Coll.</t>
  </si>
  <si>
    <t>Multi-College</t>
  </si>
  <si>
    <t>Centers</t>
  </si>
  <si>
    <t>Enter the number of colleges and</t>
  </si>
  <si>
    <t>Allocation FTES ranges for</t>
  </si>
  <si>
    <t>FTES/Center</t>
  </si>
  <si>
    <t>Status</t>
  </si>
  <si>
    <t>FTES&gt;=1,000</t>
  </si>
  <si>
    <t>FTES/Status</t>
  </si>
  <si>
    <t>Multi-College District - College FTES</t>
  </si>
  <si>
    <t>centers in each of the Basic</t>
  </si>
  <si>
    <t>Base Credit</t>
  </si>
  <si>
    <t xml:space="preserve"> District Credit Base Funding Rate:</t>
  </si>
  <si>
    <t>"Program Based Funding" districts ONLY:</t>
  </si>
  <si>
    <t xml:space="preserve">Growth Rate : </t>
  </si>
  <si>
    <t>colleges and centers from the</t>
  </si>
  <si>
    <t>100&lt;=FTES&lt;250</t>
  </si>
  <si>
    <t>250&lt;=FTES&lt;500</t>
  </si>
  <si>
    <t>500&lt;=FTES&lt;750</t>
  </si>
  <si>
    <t>750&lt;=FTES&lt;1,000</t>
  </si>
  <si>
    <t>Lompoc Valley Center</t>
  </si>
  <si>
    <t>Palmdale Center</t>
  </si>
  <si>
    <t>Watsonville Center</t>
  </si>
  <si>
    <t>Fontana Learning Center</t>
  </si>
  <si>
    <t>Chino Center</t>
  </si>
  <si>
    <t>San Ramon Valley Center</t>
  </si>
  <si>
    <t>Delano Center</t>
  </si>
  <si>
    <t>Eastern Sierra Center</t>
  </si>
  <si>
    <t>Pacific Coast Campus</t>
  </si>
  <si>
    <t>Indian Valley Campus</t>
  </si>
  <si>
    <t>San Elijo Center</t>
  </si>
  <si>
    <t>Community Learning Center</t>
  </si>
  <si>
    <t>Menifee Valley Center</t>
  </si>
  <si>
    <t>North Orange County CCD</t>
  </si>
  <si>
    <t>School of Continuing Education</t>
  </si>
  <si>
    <t>Palomar CCD</t>
  </si>
  <si>
    <t>Escondido Center</t>
  </si>
  <si>
    <t>Riverside CCD</t>
  </si>
  <si>
    <t>Norco Valley Center</t>
  </si>
  <si>
    <t>Moreno Valley Center</t>
  </si>
  <si>
    <t>San Francisco CCD</t>
  </si>
  <si>
    <t>San Francisco Downtown CC Center</t>
  </si>
  <si>
    <t>San Luis Obispo County CCD</t>
  </si>
  <si>
    <t>North County Center</t>
  </si>
  <si>
    <t>Santa Clarita CCD</t>
  </si>
  <si>
    <t>Canyon Country Center</t>
  </si>
  <si>
    <t>Santa Monica CCD</t>
  </si>
  <si>
    <t>Academy of Entertainment Technology</t>
  </si>
  <si>
    <t>Sequoias CCD</t>
  </si>
  <si>
    <t>Center for Agriculture Science and Technology</t>
  </si>
  <si>
    <t>Sierra CCD</t>
  </si>
  <si>
    <t>Western Nevada County Center</t>
  </si>
  <si>
    <t>Solano County CCD</t>
  </si>
  <si>
    <t>Vacaville Center</t>
  </si>
  <si>
    <t>Sonoma County JCD</t>
  </si>
  <si>
    <t>Petaluma Center</t>
  </si>
  <si>
    <t>Southwestern CCD</t>
  </si>
  <si>
    <t>Otay Mesa Center</t>
  </si>
  <si>
    <t>State Center CCD</t>
  </si>
  <si>
    <t>Vocational Training Center</t>
  </si>
  <si>
    <t>Madera County Education Center</t>
  </si>
  <si>
    <t>Willow International Center</t>
  </si>
  <si>
    <t>Yuba CCD</t>
  </si>
  <si>
    <t>Woodland Center</t>
  </si>
  <si>
    <t>Lake County Center</t>
  </si>
  <si>
    <t>Middlefield Center</t>
  </si>
  <si>
    <t>Garfield Center</t>
  </si>
  <si>
    <t>King City Center</t>
  </si>
  <si>
    <t>Southwest Center</t>
  </si>
  <si>
    <t>El Dorado Center</t>
  </si>
  <si>
    <t>Willits Center</t>
  </si>
  <si>
    <t>Los Baños Center</t>
  </si>
  <si>
    <t>Ft. Ord Center</t>
  </si>
  <si>
    <t>Upper Valley Center</t>
  </si>
  <si>
    <t>Ohlone CCD</t>
  </si>
  <si>
    <t>Palo Verde CCD</t>
  </si>
  <si>
    <t>Needles Center</t>
  </si>
  <si>
    <t>Pasadena Area</t>
  </si>
  <si>
    <t>Community Education Center</t>
  </si>
  <si>
    <t>Rancho Santiago CCD</t>
  </si>
  <si>
    <t>Centennial Education Center</t>
  </si>
  <si>
    <t>Redwoods CCD</t>
  </si>
  <si>
    <t>Del Norte Center</t>
  </si>
  <si>
    <t xml:space="preserve">Mendocino Coast Center </t>
  </si>
  <si>
    <t>San Diego CCD</t>
  </si>
  <si>
    <t>Education Cultural Complex</t>
  </si>
  <si>
    <t>John Adams CC Center</t>
  </si>
  <si>
    <t>Alemany CC Center</t>
  </si>
  <si>
    <t>Mission CC Center</t>
  </si>
  <si>
    <t>Southeast CC Center</t>
  </si>
  <si>
    <t>Airport CC Center</t>
  </si>
  <si>
    <t>Chinatown/North Beach CC Center</t>
  </si>
  <si>
    <t>Santa Barbara CCD</t>
  </si>
  <si>
    <t>Schott Continuing Ed. Center</t>
  </si>
  <si>
    <t>Goleta Valley Center</t>
  </si>
  <si>
    <t>Criminal Justice Training Center, Windsor</t>
  </si>
  <si>
    <t>West Hills CCD</t>
  </si>
  <si>
    <t>North District Center</t>
  </si>
  <si>
    <t>IMPORTANT!!:  The worksheets included in this workbook are TOTALLY</t>
  </si>
  <si>
    <t xml:space="preserve">Enter 98 percent of the total student fees reported by the district on its </t>
  </si>
  <si>
    <t>attached Tab #5:</t>
  </si>
  <si>
    <t>Statewide Inflation Adjustment</t>
  </si>
  <si>
    <t>Current Year Base Revenue + Inflation Adjustment</t>
  </si>
  <si>
    <t>Noncredit - CDCP</t>
  </si>
  <si>
    <t>Mira Costa</t>
  </si>
  <si>
    <t xml:space="preserve">Actual </t>
  </si>
  <si>
    <t>Funded</t>
  </si>
  <si>
    <t>Previous revenue decline not yet restored</t>
  </si>
  <si>
    <t>Total Centers:</t>
  </si>
  <si>
    <t>Worksheet Calculations</t>
  </si>
  <si>
    <t>Foothill-De Anza CCD</t>
  </si>
  <si>
    <t>Lake Tahoe CCD</t>
  </si>
  <si>
    <t>Lassen CCD</t>
  </si>
  <si>
    <t>Marin CCD</t>
  </si>
  <si>
    <t>San Jose-Evergreen CCD</t>
  </si>
  <si>
    <t>West Kern CCD</t>
  </si>
  <si>
    <t>UNPROTECTED.  Therefore, If you chance any of the formulas in the</t>
  </si>
  <si>
    <t>results. When all else fails, download the file again.</t>
  </si>
  <si>
    <t>San Joaquin Delta CCD</t>
  </si>
  <si>
    <t>Tracy Center</t>
  </si>
  <si>
    <t>Workload</t>
  </si>
  <si>
    <t xml:space="preserve"> </t>
  </si>
  <si>
    <t>Measures:</t>
  </si>
  <si>
    <t>Stability</t>
  </si>
  <si>
    <t>Stability Adjustment</t>
  </si>
  <si>
    <t>below and enter your district specific data or insure the area is blank.</t>
  </si>
  <si>
    <t>APPORTIONMENT INPUTS - UPDATE WITH DISTRICT SPECIFIC DATA:</t>
  </si>
  <si>
    <t>Enter the base FTES for credit, noncredit, and Career Development College Prep</t>
  </si>
  <si>
    <t xml:space="preserve">(CDCP) noncredit FTES.  The base FTES each year is the funded FTES from the </t>
  </si>
  <si>
    <t>Enter total estimated property tax for the district as reported by each of</t>
  </si>
  <si>
    <t>Actual/Estimated</t>
  </si>
  <si>
    <t>FTES:</t>
  </si>
  <si>
    <t>CDCP Funding Rate Adjustment</t>
  </si>
  <si>
    <t>Cr + NCr</t>
  </si>
  <si>
    <t>Restore:</t>
  </si>
  <si>
    <t>CHECKS</t>
  </si>
  <si>
    <t>NCr</t>
  </si>
  <si>
    <t>Growth (net of restoration):</t>
  </si>
  <si>
    <t>Growth NCr FTES net of cdcp</t>
  </si>
  <si>
    <t xml:space="preserve">NCr </t>
  </si>
  <si>
    <t xml:space="preserve"> "Growth" revenue</t>
  </si>
  <si>
    <t xml:space="preserve"> Growth FTES </t>
  </si>
  <si>
    <t>ncr</t>
  </si>
  <si>
    <t>Potential CDCP</t>
  </si>
  <si>
    <t>Avail. Growth/</t>
  </si>
  <si>
    <t>Restoration Rev</t>
  </si>
  <si>
    <t>Cr+NCr Offset</t>
  </si>
  <si>
    <t>total NCr</t>
  </si>
  <si>
    <t>non-stability</t>
  </si>
  <si>
    <t>Restored if Reg. NCr &lt; 0</t>
  </si>
  <si>
    <t>Restored if Reg. NCr &gt;= 0</t>
  </si>
  <si>
    <t>FTES Restored (NCR&lt;0)</t>
  </si>
  <si>
    <t>FTES Restored (NCR&gt;=0)</t>
  </si>
  <si>
    <t>net of funding adjustment</t>
  </si>
  <si>
    <t>CY Chg in total NCr Base</t>
  </si>
  <si>
    <t>Stability FTES:</t>
  </si>
  <si>
    <t>CDCP TForm from reg NCr</t>
  </si>
  <si>
    <t>Southern Kern</t>
  </si>
  <si>
    <t>Educational Centers Approved for Apportionment</t>
  </si>
  <si>
    <t xml:space="preserve">College centers eligible for the Basic Allocation.  This list includes both State approved educational centers and grandfathered or prevously approved centers </t>
  </si>
  <si>
    <t>Please review the centers listed below associated with your district.  Contact Ed Monroe at (916) 327-6226 or emonroe@cccco.edu if you have questions or updates to this list.</t>
  </si>
  <si>
    <t xml:space="preserve">State Approved Centers </t>
  </si>
  <si>
    <t>Allan Hancock Joint CCD/</t>
  </si>
  <si>
    <t>Cabrillo CCD/</t>
  </si>
  <si>
    <t>Chaffey CCD/</t>
  </si>
  <si>
    <t>Contra Costa CCD/</t>
  </si>
  <si>
    <t>Kern CCD/</t>
  </si>
  <si>
    <t>Long Beach CCD/</t>
  </si>
  <si>
    <t>Los Rios CCD/</t>
  </si>
  <si>
    <t>Natomas Education Center</t>
  </si>
  <si>
    <t>Marin CCD/</t>
  </si>
  <si>
    <t>MiraCosta CCD/</t>
  </si>
  <si>
    <t>Mt. San Jacinto CCD/</t>
  </si>
  <si>
    <t>Antelope Valley CCD/</t>
  </si>
  <si>
    <t>Foothill-DeAnza CCD/</t>
  </si>
  <si>
    <t>Glendale CCD/</t>
  </si>
  <si>
    <t>Hartnell CCD/</t>
  </si>
  <si>
    <t>Mendocino-Lake CCD/</t>
  </si>
  <si>
    <t>Merced CCDMerced CCD/</t>
  </si>
  <si>
    <t>Monterey Peninsula CCD/</t>
  </si>
  <si>
    <t>Napa Valley CCD/</t>
  </si>
  <si>
    <t>Newark Center</t>
  </si>
  <si>
    <t>West City Campus</t>
  </si>
  <si>
    <t>Mid-City Campus</t>
  </si>
  <si>
    <t>North City Campus</t>
  </si>
  <si>
    <t>Centre City Campus &amp; Skills Center</t>
  </si>
  <si>
    <t>John O'Connell/Evans Trade Tech Center</t>
  </si>
  <si>
    <r>
      <t>Note:</t>
    </r>
    <r>
      <rPr>
        <sz val="10"/>
        <rFont val="Arial"/>
      </rPr>
      <t xml:space="preserve"> The SB 361 grandparented centers (now referred to as "State approved" centers) shown on this list are derived from a list of centers identified as CPEC approved "grandfathered" centers in operation prior to April 1974.  That list of approved grandparented centers was further modified based on the following considerations:   1)  The center is owned or controlled thru a long-term lease by the district; 2) It has been in continuous operation since 1974; 3) It is a "comprehensive" center with an administrator and student services on site; 4) It served at least 100 FTES during 2006-07. </t>
    </r>
  </si>
  <si>
    <t>(Applies only if CDCP Base =0)</t>
  </si>
  <si>
    <t>at 3232.0676</t>
  </si>
  <si>
    <t>at 2744.9578</t>
  </si>
  <si>
    <t>Check Stab. Sum</t>
  </si>
  <si>
    <t xml:space="preserve">Poss $ NCr Restore </t>
  </si>
  <si>
    <t>CDCP usable as restoration</t>
  </si>
  <si>
    <t>stability</t>
  </si>
  <si>
    <t>Total Growth:</t>
  </si>
  <si>
    <t xml:space="preserve">Sect IV growth + rate adj: </t>
  </si>
  <si>
    <t>State/CPEC Appr:</t>
  </si>
  <si>
    <t>Restoration: CDCP Base &gt; 0; Potential Restoration &gt; Growth/Restoration Available</t>
  </si>
  <si>
    <t>previous year's recalculation.</t>
  </si>
  <si>
    <t>Potential Restore</t>
  </si>
  <si>
    <t>Restoration: CDCP Base = 0; Potential Restoration (D153) &gt; Growth/Restoration Available (F156+G156)</t>
  </si>
  <si>
    <t>F+G</t>
  </si>
  <si>
    <t>From CDCP Growth</t>
  </si>
  <si>
    <t>Within Total NCr</t>
  </si>
  <si>
    <t>Temp - Output</t>
  </si>
  <si>
    <t>Temp - Input</t>
  </si>
  <si>
    <t>Restoration: CDCP Base = 0; Growth/Restoration Available (F156+G156) &gt;= Potential Restoration (D153)</t>
  </si>
  <si>
    <t>Restoration: CDCP Base &gt; 0; Growth/Restoration Available (I156) &gt;= Potential Restoration (D153)</t>
  </si>
  <si>
    <t>worksheet, you willingly accept any potentially incorrect or improved</t>
  </si>
  <si>
    <t>Estimated general deficit coefficient:</t>
  </si>
  <si>
    <t>Basic Allocation Adjustment COLA</t>
  </si>
  <si>
    <t>Number of first-year State-Approved Centers not reported in a previous year having &gt;= 1,000 FTES:</t>
  </si>
  <si>
    <t>Updated: 03/20/08</t>
  </si>
  <si>
    <t>Grandparented or Previously Approved Centers</t>
  </si>
  <si>
    <t>&gt;=19,880</t>
  </si>
  <si>
    <t>9,940&lt;=x&lt;19,880</t>
  </si>
  <si>
    <t>x&lt;9,940</t>
  </si>
  <si>
    <t xml:space="preserve"> FTES</t>
  </si>
  <si>
    <t>Total College Rev.</t>
  </si>
  <si>
    <t>State Approved Centers</t>
  </si>
  <si>
    <t># of Centers:</t>
  </si>
  <si>
    <t>&gt;994</t>
  </si>
  <si>
    <t>&gt;746</t>
  </si>
  <si>
    <t>&gt;497</t>
  </si>
  <si>
    <t>&gt;249</t>
  </si>
  <si>
    <t>Total Centers</t>
  </si>
  <si>
    <t>Total State Approved</t>
  </si>
  <si>
    <t xml:space="preserve"> Center Revenue</t>
  </si>
  <si>
    <t xml:space="preserve">Unconstrained Growth Rate </t>
  </si>
  <si>
    <t>Constrained Growth Rate</t>
  </si>
  <si>
    <t>Constrained Growth Cap</t>
  </si>
  <si>
    <t>G</t>
  </si>
  <si>
    <t>A 1</t>
  </si>
  <si>
    <t xml:space="preserve">A2 </t>
  </si>
  <si>
    <t>Estimated EPA</t>
  </si>
  <si>
    <t>Restored</t>
  </si>
  <si>
    <t xml:space="preserve">Unfunded </t>
  </si>
  <si>
    <t>Basic FTES Revenue Before Workload Reduction</t>
  </si>
  <si>
    <t>Workload Reduction</t>
  </si>
  <si>
    <t>Revised Base FTES Revenue</t>
  </si>
  <si>
    <t xml:space="preserve">Stability Restoration </t>
  </si>
  <si>
    <t>Restoration of 11-12 Workload Reduction</t>
  </si>
  <si>
    <t>Total Basic Allocation &amp; Restoration</t>
  </si>
  <si>
    <t>Misc. Revenue Adjustments</t>
  </si>
  <si>
    <t>Full-time Faculty Hiring</t>
  </si>
  <si>
    <t>Base Increase</t>
  </si>
  <si>
    <t>Less Property Taxes Excess</t>
  </si>
  <si>
    <t>Available Revenue</t>
  </si>
  <si>
    <t>Revenue Shortfall</t>
  </si>
  <si>
    <t>Total Revenue plus Shortfall</t>
  </si>
  <si>
    <t>X</t>
  </si>
  <si>
    <t>Unrestored Decline as of July 1st of Current Year</t>
  </si>
  <si>
    <t>1st Year</t>
  </si>
  <si>
    <t>2nd Year</t>
  </si>
  <si>
    <t>3rd Year</t>
  </si>
  <si>
    <t>FTES&lt;9,940</t>
  </si>
  <si>
    <t>9,940&lt;=FTES&lt;19,880</t>
  </si>
  <si>
    <t>FTES&gt;=19,880</t>
  </si>
  <si>
    <t>Enter the constrained growth rate here:</t>
  </si>
  <si>
    <t xml:space="preserve">for the current year.  </t>
  </si>
  <si>
    <t>Enter the estimated actual credit, noncredit, and CDCP FTES</t>
  </si>
  <si>
    <t xml:space="preserve"> the district's respective county auditors:</t>
  </si>
  <si>
    <t xml:space="preserve">most recent Enrollment Fee Revenue report. </t>
  </si>
  <si>
    <t>Restoration/Growth Adjustment - Enter the following data from the last P report:</t>
  </si>
  <si>
    <t>Unrestored Decline remaining since the previous Recalculation:</t>
  </si>
  <si>
    <t>Enter the district's growth rate from Budget Book or last P report in the format shown here:</t>
  </si>
  <si>
    <t>Enter the appropriate credit base funding rate for your district (only those shown in</t>
  </si>
  <si>
    <t>Tab #4--enter to 5 decimal places):</t>
  </si>
  <si>
    <t>Tab #4: Base Funding Districts for "PBF" funded districts</t>
  </si>
  <si>
    <t>Enter the base funding rate from the last P report</t>
  </si>
  <si>
    <t>Apportioment Simulation Worksheet</t>
  </si>
  <si>
    <t>This worksheet was developed by Ed Monroe at the Chancellor's Office.</t>
  </si>
  <si>
    <t xml:space="preserve">It has been updated for P-1 2015/16 by Kathy Blackwood.  Much of the </t>
  </si>
  <si>
    <t>information must be keyed in by the user.  This worksheet is a simulation</t>
  </si>
  <si>
    <t xml:space="preserve">and is guaranteed to not be exactly what your district will receive in </t>
  </si>
  <si>
    <t xml:space="preserve">funding.  Hopefully you will find it useful in reviewing the </t>
  </si>
  <si>
    <t>Exhibit Cs and projecting your district's revenue.</t>
  </si>
  <si>
    <t>This worksheet includes data for a 2015/16 P1 April Revision.  All entries must be</t>
  </si>
  <si>
    <t>removed or replaced with updated data for your district.  Please review all the yellow shaded areas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</si>
</sst>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00"/>
    <numFmt numFmtId="168" formatCode="0.00000000"/>
    <numFmt numFmtId="169" formatCode="_(&quot;$&quot;* #,##0_);_(&quot;$&quot;* \(#,##0\);_(&quot;$&quot;* &quot;-&quot;??_);_(@_)"/>
    <numFmt numFmtId="170" formatCode="&quot;$&quot;#,##0"/>
    <numFmt numFmtId="171" formatCode="_(* #,##0_);_(* \(#,##0\);_(* &quot;-&quot;??_);_(@_)"/>
    <numFmt numFmtId="172" formatCode="&quot;$&quot;#,##0.00"/>
    <numFmt numFmtId="173" formatCode="#,##0.0000"/>
    <numFmt numFmtId="174" formatCode="#,##0.00000"/>
    <numFmt numFmtId="175" formatCode="#,##0.000000"/>
    <numFmt numFmtId="176" formatCode="#,##0.00000000"/>
    <numFmt numFmtId="177" formatCode="#,##0.0000_);\(#,##0.0000\)"/>
    <numFmt numFmtId="178" formatCode="#,##0.000000_);\(#,##0.000000\)"/>
    <numFmt numFmtId="179" formatCode="mm/dd/yy;@"/>
    <numFmt numFmtId="180" formatCode="&quot;$&quot;#,##0.0000000"/>
  </numFmts>
  <fonts count="42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6"/>
      <name val="SAS Monospace"/>
      <family val="3"/>
    </font>
    <font>
      <b/>
      <sz val="6"/>
      <name val="SAS Monospace"/>
      <family val="3"/>
    </font>
    <font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b/>
      <u/>
      <sz val="9"/>
      <name val="SAS Monospace"/>
      <family val="3"/>
    </font>
    <font>
      <b/>
      <u/>
      <sz val="12"/>
      <name val="SAS Monospace"/>
      <family val="3"/>
    </font>
    <font>
      <sz val="8"/>
      <name val="SAS Monospace"/>
      <family val="3"/>
    </font>
    <font>
      <b/>
      <u/>
      <sz val="11"/>
      <color indexed="8"/>
      <name val="SAS Monospace"/>
      <family val="3"/>
    </font>
    <font>
      <b/>
      <sz val="6"/>
      <name val="SAS Monospace"/>
      <family val="3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u/>
      <sz val="10"/>
      <name val="Arial"/>
      <family val="2"/>
    </font>
    <font>
      <sz val="7"/>
      <name val="SAS Monospace"/>
      <family val="3"/>
    </font>
    <font>
      <b/>
      <sz val="11"/>
      <name val="Arial"/>
      <family val="2"/>
    </font>
    <font>
      <sz val="11"/>
      <name val="Arial"/>
      <family val="2"/>
    </font>
    <font>
      <b/>
      <sz val="6"/>
      <name val="SAS Monospace"/>
      <family val="3"/>
    </font>
    <font>
      <sz val="6"/>
      <name val="SAS Monospace"/>
      <family val="3"/>
    </font>
    <font>
      <sz val="11"/>
      <color indexed="8"/>
      <name val="Calibri"/>
      <family val="2"/>
    </font>
    <font>
      <u/>
      <sz val="8"/>
      <color indexed="10"/>
      <name val="Arial"/>
      <family val="2"/>
    </font>
    <font>
      <b/>
      <sz val="6"/>
      <color indexed="10"/>
      <name val="SAS Monospace"/>
      <family val="3"/>
    </font>
    <font>
      <sz val="6"/>
      <color indexed="10"/>
      <name val="SAS Monospace"/>
      <family val="3"/>
    </font>
    <font>
      <sz val="9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FF0000"/>
      <name val="Arial"/>
      <family val="2"/>
    </font>
    <font>
      <sz val="9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otted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</cellStyleXfs>
  <cellXfs count="276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Border="1"/>
    <xf numFmtId="0" fontId="3" fillId="0" borderId="1" xfId="0" applyFont="1" applyBorder="1"/>
    <xf numFmtId="0" fontId="3" fillId="0" borderId="0" xfId="0" applyFont="1" applyAlignment="1">
      <alignment horizontal="right"/>
    </xf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/>
    <xf numFmtId="166" fontId="7" fillId="0" borderId="0" xfId="1" applyFont="1" applyBorder="1"/>
    <xf numFmtId="0" fontId="3" fillId="0" borderId="0" xfId="0" applyFont="1" applyBorder="1"/>
    <xf numFmtId="170" fontId="3" fillId="0" borderId="0" xfId="0" applyNumberFormat="1" applyFont="1"/>
    <xf numFmtId="1" fontId="7" fillId="0" borderId="0" xfId="1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7" fontId="7" fillId="0" borderId="0" xfId="1" applyNumberFormat="1" applyFont="1" applyBorder="1"/>
    <xf numFmtId="170" fontId="3" fillId="0" borderId="0" xfId="3" applyNumberFormat="1" applyFont="1" applyAlignment="1"/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165" fontId="3" fillId="0" borderId="0" xfId="0" applyNumberFormat="1" applyFont="1"/>
    <xf numFmtId="0" fontId="9" fillId="0" borderId="0" xfId="0" applyFont="1"/>
    <xf numFmtId="0" fontId="10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66" fontId="9" fillId="0" borderId="0" xfId="1" applyFont="1" applyBorder="1" applyAlignment="1">
      <alignment horizontal="center"/>
    </xf>
    <xf numFmtId="166" fontId="9" fillId="0" borderId="0" xfId="1" applyFont="1" applyBorder="1"/>
    <xf numFmtId="0" fontId="9" fillId="0" borderId="0" xfId="0" applyFont="1" applyFill="1" applyBorder="1" applyAlignment="1">
      <alignment horizontal="left"/>
    </xf>
    <xf numFmtId="170" fontId="9" fillId="0" borderId="0" xfId="0" applyNumberFormat="1" applyFont="1" applyBorder="1"/>
    <xf numFmtId="170" fontId="9" fillId="0" borderId="0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2" fontId="3" fillId="0" borderId="0" xfId="0" applyNumberFormat="1" applyFont="1"/>
    <xf numFmtId="0" fontId="11" fillId="0" borderId="1" xfId="0" applyFont="1" applyBorder="1" applyAlignment="1">
      <alignment horizontal="center"/>
    </xf>
    <xf numFmtId="0" fontId="8" fillId="0" borderId="0" xfId="0" applyFont="1"/>
    <xf numFmtId="3" fontId="9" fillId="0" borderId="0" xfId="0" applyNumberFormat="1" applyFont="1" applyBorder="1"/>
    <xf numFmtId="3" fontId="9" fillId="0" borderId="0" xfId="3" applyNumberFormat="1" applyFont="1" applyBorder="1" applyAlignment="1">
      <alignment horizontal="right"/>
    </xf>
    <xf numFmtId="169" fontId="3" fillId="0" borderId="0" xfId="3" applyNumberFormat="1" applyFont="1"/>
    <xf numFmtId="0" fontId="11" fillId="0" borderId="0" xfId="0" applyFont="1"/>
    <xf numFmtId="0" fontId="11" fillId="0" borderId="0" xfId="0" applyFont="1" applyAlignment="1">
      <alignment horizontal="center"/>
    </xf>
    <xf numFmtId="4" fontId="9" fillId="0" borderId="0" xfId="0" applyNumberFormat="1" applyFont="1"/>
    <xf numFmtId="0" fontId="13" fillId="0" borderId="0" xfId="0" applyFont="1" applyAlignment="1">
      <alignment horizontal="center"/>
    </xf>
    <xf numFmtId="169" fontId="9" fillId="2" borderId="4" xfId="3" applyNumberFormat="1" applyFont="1" applyFill="1" applyBorder="1"/>
    <xf numFmtId="4" fontId="9" fillId="2" borderId="5" xfId="0" applyNumberFormat="1" applyFont="1" applyFill="1" applyBorder="1"/>
    <xf numFmtId="3" fontId="9" fillId="2" borderId="4" xfId="0" applyNumberFormat="1" applyFont="1" applyFill="1" applyBorder="1"/>
    <xf numFmtId="0" fontId="12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14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1" fontId="9" fillId="2" borderId="10" xfId="0" applyNumberFormat="1" applyFont="1" applyFill="1" applyBorder="1" applyAlignment="1">
      <alignment horizontal="center"/>
    </xf>
    <xf numFmtId="1" fontId="9" fillId="2" borderId="11" xfId="0" applyNumberFormat="1" applyFont="1" applyFill="1" applyBorder="1" applyAlignment="1">
      <alignment horizontal="center"/>
    </xf>
    <xf numFmtId="1" fontId="9" fillId="2" borderId="12" xfId="0" applyNumberFormat="1" applyFont="1" applyFill="1" applyBorder="1" applyAlignment="1">
      <alignment horizontal="center"/>
    </xf>
    <xf numFmtId="1" fontId="9" fillId="2" borderId="13" xfId="0" applyNumberFormat="1" applyFont="1" applyFill="1" applyBorder="1" applyAlignment="1">
      <alignment horizontal="center"/>
    </xf>
    <xf numFmtId="1" fontId="9" fillId="2" borderId="14" xfId="0" applyNumberFormat="1" applyFont="1" applyFill="1" applyBorder="1" applyAlignment="1">
      <alignment horizontal="center"/>
    </xf>
    <xf numFmtId="166" fontId="3" fillId="0" borderId="0" xfId="1" applyFont="1"/>
    <xf numFmtId="4" fontId="9" fillId="0" borderId="0" xfId="0" applyNumberFormat="1" applyFont="1" applyBorder="1"/>
    <xf numFmtId="0" fontId="11" fillId="0" borderId="0" xfId="0" applyFont="1" applyBorder="1"/>
    <xf numFmtId="174" fontId="11" fillId="0" borderId="0" xfId="0" applyNumberFormat="1" applyFont="1" applyBorder="1"/>
    <xf numFmtId="3" fontId="9" fillId="0" borderId="0" xfId="0" applyNumberFormat="1" applyFont="1" applyBorder="1" applyAlignment="1">
      <alignment horizontal="center"/>
    </xf>
    <xf numFmtId="167" fontId="9" fillId="2" borderId="15" xfId="0" applyNumberFormat="1" applyFont="1" applyFill="1" applyBorder="1" applyAlignment="1">
      <alignment horizontal="center"/>
    </xf>
    <xf numFmtId="170" fontId="3" fillId="0" borderId="0" xfId="0" applyNumberFormat="1" applyFont="1" applyBorder="1"/>
    <xf numFmtId="170" fontId="3" fillId="0" borderId="0" xfId="3" applyNumberFormat="1" applyFont="1" applyBorder="1" applyAlignment="1">
      <alignment horizontal="right"/>
    </xf>
    <xf numFmtId="0" fontId="2" fillId="0" borderId="0" xfId="4" applyAlignment="1" applyProtection="1"/>
    <xf numFmtId="0" fontId="3" fillId="2" borderId="0" xfId="0" applyFont="1" applyFill="1"/>
    <xf numFmtId="4" fontId="3" fillId="2" borderId="0" xfId="0" applyNumberFormat="1" applyFont="1" applyFill="1"/>
    <xf numFmtId="4" fontId="3" fillId="2" borderId="0" xfId="0" applyNumberFormat="1" applyFont="1" applyFill="1" applyAlignment="1">
      <alignment horizontal="right"/>
    </xf>
    <xf numFmtId="4" fontId="15" fillId="2" borderId="0" xfId="0" applyNumberFormat="1" applyFont="1" applyFill="1" applyAlignment="1">
      <alignment horizontal="center"/>
    </xf>
    <xf numFmtId="166" fontId="3" fillId="0" borderId="0" xfId="0" applyNumberFormat="1" applyFont="1"/>
    <xf numFmtId="165" fontId="4" fillId="0" borderId="0" xfId="0" applyNumberFormat="1" applyFont="1"/>
    <xf numFmtId="0" fontId="16" fillId="0" borderId="0" xfId="0" applyFont="1"/>
    <xf numFmtId="2" fontId="4" fillId="0" borderId="0" xfId="0" applyNumberFormat="1" applyFont="1"/>
    <xf numFmtId="0" fontId="0" fillId="0" borderId="0" xfId="0" applyBorder="1"/>
    <xf numFmtId="0" fontId="20" fillId="0" borderId="0" xfId="0" applyFont="1"/>
    <xf numFmtId="0" fontId="21" fillId="0" borderId="0" xfId="0" applyFont="1" applyAlignment="1">
      <alignment horizontal="center"/>
    </xf>
    <xf numFmtId="0" fontId="19" fillId="0" borderId="0" xfId="0" applyFont="1"/>
    <xf numFmtId="0" fontId="18" fillId="0" borderId="0" xfId="0" applyFont="1"/>
    <xf numFmtId="4" fontId="4" fillId="0" borderId="0" xfId="0" applyNumberFormat="1" applyFont="1"/>
    <xf numFmtId="4" fontId="3" fillId="0" borderId="0" xfId="1" applyNumberFormat="1" applyFont="1"/>
    <xf numFmtId="171" fontId="3" fillId="0" borderId="0" xfId="1" applyNumberFormat="1" applyFont="1"/>
    <xf numFmtId="166" fontId="3" fillId="0" borderId="0" xfId="1" applyFont="1" applyAlignment="1">
      <alignment horizontal="right"/>
    </xf>
    <xf numFmtId="0" fontId="17" fillId="0" borderId="0" xfId="0" applyFont="1"/>
    <xf numFmtId="170" fontId="3" fillId="0" borderId="0" xfId="3" applyNumberFormat="1" applyFont="1" applyBorder="1" applyAlignment="1"/>
    <xf numFmtId="172" fontId="3" fillId="0" borderId="0" xfId="0" applyNumberFormat="1" applyFont="1"/>
    <xf numFmtId="169" fontId="4" fillId="0" borderId="0" xfId="0" applyNumberFormat="1" applyFont="1" applyBorder="1"/>
    <xf numFmtId="169" fontId="6" fillId="0" borderId="0" xfId="0" applyNumberFormat="1" applyFont="1" applyBorder="1" applyAlignment="1">
      <alignment horizontal="right"/>
    </xf>
    <xf numFmtId="173" fontId="9" fillId="0" borderId="0" xfId="0" applyNumberFormat="1" applyFont="1" applyBorder="1"/>
    <xf numFmtId="173" fontId="9" fillId="0" borderId="0" xfId="0" applyNumberFormat="1" applyFont="1" applyBorder="1" applyAlignment="1">
      <alignment horizontal="center"/>
    </xf>
    <xf numFmtId="175" fontId="9" fillId="0" borderId="0" xfId="0" applyNumberFormat="1" applyFont="1" applyBorder="1"/>
    <xf numFmtId="0" fontId="22" fillId="0" borderId="0" xfId="0" applyFont="1"/>
    <xf numFmtId="4" fontId="5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right"/>
    </xf>
    <xf numFmtId="4" fontId="5" fillId="0" borderId="0" xfId="0" applyNumberFormat="1" applyFont="1" applyAlignment="1"/>
    <xf numFmtId="4" fontId="16" fillId="0" borderId="0" xfId="0" applyNumberFormat="1" applyFont="1"/>
    <xf numFmtId="178" fontId="3" fillId="0" borderId="0" xfId="3" applyNumberFormat="1" applyFont="1" applyAlignment="1">
      <alignment horizontal="center"/>
    </xf>
    <xf numFmtId="0" fontId="29" fillId="0" borderId="0" xfId="0" applyFont="1"/>
    <xf numFmtId="0" fontId="8" fillId="0" borderId="0" xfId="0" applyFont="1" applyBorder="1" applyAlignment="1">
      <alignment horizontal="center"/>
    </xf>
    <xf numFmtId="3" fontId="4" fillId="0" borderId="0" xfId="0" applyNumberFormat="1" applyFont="1"/>
    <xf numFmtId="4" fontId="3" fillId="0" borderId="0" xfId="0" applyNumberFormat="1" applyFont="1" applyBorder="1"/>
    <xf numFmtId="3" fontId="3" fillId="0" borderId="0" xfId="0" applyNumberFormat="1" applyFont="1"/>
    <xf numFmtId="3" fontId="5" fillId="0" borderId="0" xfId="0" applyNumberFormat="1" applyFont="1" applyAlignment="1"/>
    <xf numFmtId="3" fontId="3" fillId="0" borderId="0" xfId="0" applyNumberFormat="1" applyFont="1" applyBorder="1"/>
    <xf numFmtId="4" fontId="4" fillId="0" borderId="0" xfId="0" applyNumberFormat="1" applyFont="1" applyBorder="1"/>
    <xf numFmtId="3" fontId="4" fillId="0" borderId="0" xfId="0" applyNumberFormat="1" applyFont="1" applyBorder="1"/>
    <xf numFmtId="39" fontId="3" fillId="0" borderId="0" xfId="3" applyNumberFormat="1" applyFont="1" applyAlignment="1"/>
    <xf numFmtId="4" fontId="8" fillId="2" borderId="4" xfId="0" applyNumberFormat="1" applyFont="1" applyFill="1" applyBorder="1"/>
    <xf numFmtId="165" fontId="3" fillId="0" borderId="0" xfId="0" quotePrefix="1" applyNumberFormat="1" applyFont="1"/>
    <xf numFmtId="170" fontId="4" fillId="0" borderId="0" xfId="0" applyNumberFormat="1" applyFont="1"/>
    <xf numFmtId="3" fontId="4" fillId="3" borderId="0" xfId="0" applyNumberFormat="1" applyFont="1" applyFill="1"/>
    <xf numFmtId="3" fontId="30" fillId="0" borderId="0" xfId="0" applyNumberFormat="1" applyFont="1"/>
    <xf numFmtId="171" fontId="3" fillId="0" borderId="0" xfId="0" applyNumberFormat="1" applyFont="1"/>
    <xf numFmtId="171" fontId="4" fillId="0" borderId="0" xfId="1" applyNumberFormat="1" applyFont="1"/>
    <xf numFmtId="3" fontId="3" fillId="4" borderId="0" xfId="0" applyNumberFormat="1" applyFont="1" applyFill="1"/>
    <xf numFmtId="0" fontId="3" fillId="4" borderId="0" xfId="0" applyFont="1" applyFill="1"/>
    <xf numFmtId="4" fontId="8" fillId="2" borderId="5" xfId="0" applyNumberFormat="1" applyFont="1" applyFill="1" applyBorder="1"/>
    <xf numFmtId="3" fontId="3" fillId="0" borderId="1" xfId="0" applyNumberFormat="1" applyFont="1" applyBorder="1"/>
    <xf numFmtId="171" fontId="3" fillId="0" borderId="0" xfId="1" applyNumberFormat="1" applyFont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>
      <alignment horizontal="left" wrapText="1"/>
    </xf>
    <xf numFmtId="179" fontId="24" fillId="0" borderId="0" xfId="0" applyNumberFormat="1" applyFont="1" applyBorder="1"/>
    <xf numFmtId="0" fontId="24" fillId="0" borderId="0" xfId="0" applyFont="1" applyBorder="1"/>
    <xf numFmtId="0" fontId="24" fillId="0" borderId="18" xfId="0" applyFont="1" applyBorder="1"/>
    <xf numFmtId="0" fontId="25" fillId="0" borderId="0" xfId="0" applyFont="1" applyBorder="1"/>
    <xf numFmtId="0" fontId="25" fillId="0" borderId="0" xfId="0" applyFont="1" applyBorder="1" applyAlignment="1">
      <alignment horizontal="left"/>
    </xf>
    <xf numFmtId="0" fontId="25" fillId="0" borderId="0" xfId="0" applyFont="1" applyBorder="1" applyAlignment="1"/>
    <xf numFmtId="0" fontId="25" fillId="0" borderId="18" xfId="0" applyFont="1" applyBorder="1"/>
    <xf numFmtId="0" fontId="24" fillId="0" borderId="0" xfId="0" applyFont="1" applyBorder="1" applyAlignment="1"/>
    <xf numFmtId="0" fontId="25" fillId="0" borderId="0" xfId="0" applyFont="1" applyFill="1" applyBorder="1"/>
    <xf numFmtId="0" fontId="24" fillId="0" borderId="0" xfId="0" applyFont="1" applyBorder="1" applyAlignment="1">
      <alignment horizontal="left" indent="8"/>
    </xf>
    <xf numFmtId="179" fontId="25" fillId="0" borderId="18" xfId="0" applyNumberFormat="1" applyFont="1" applyBorder="1"/>
    <xf numFmtId="3" fontId="26" fillId="0" borderId="0" xfId="0" applyNumberFormat="1" applyFont="1"/>
    <xf numFmtId="0" fontId="27" fillId="0" borderId="0" xfId="0" applyFont="1" applyAlignment="1">
      <alignment horizontal="left"/>
    </xf>
    <xf numFmtId="3" fontId="5" fillId="0" borderId="0" xfId="0" applyNumberFormat="1" applyFont="1" applyAlignment="1">
      <alignment horizontal="center"/>
    </xf>
    <xf numFmtId="170" fontId="5" fillId="0" borderId="0" xfId="3" applyNumberFormat="1" applyFont="1" applyAlignment="1">
      <alignment horizontal="right"/>
    </xf>
    <xf numFmtId="37" fontId="3" fillId="0" borderId="1" xfId="3" applyNumberFormat="1" applyFont="1" applyBorder="1"/>
    <xf numFmtId="3" fontId="3" fillId="0" borderId="0" xfId="3" applyNumberFormat="1" applyFont="1" applyBorder="1" applyAlignment="1">
      <alignment horizontal="right"/>
    </xf>
    <xf numFmtId="170" fontId="23" fillId="0" borderId="0" xfId="0" quotePrefix="1" applyNumberFormat="1" applyFont="1" applyBorder="1"/>
    <xf numFmtId="0" fontId="31" fillId="0" borderId="0" xfId="0" applyFont="1"/>
    <xf numFmtId="4" fontId="4" fillId="0" borderId="1" xfId="0" applyNumberFormat="1" applyFont="1" applyBorder="1"/>
    <xf numFmtId="3" fontId="4" fillId="0" borderId="1" xfId="0" applyNumberFormat="1" applyFont="1" applyBorder="1"/>
    <xf numFmtId="3" fontId="11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76" fontId="9" fillId="2" borderId="4" xfId="0" applyNumberFormat="1" applyFont="1" applyFill="1" applyBorder="1"/>
    <xf numFmtId="180" fontId="32" fillId="0" borderId="0" xfId="0" applyNumberFormat="1" applyFont="1" applyFill="1" applyBorder="1"/>
    <xf numFmtId="180" fontId="0" fillId="0" borderId="0" xfId="0" applyNumberFormat="1" applyFill="1" applyBorder="1"/>
    <xf numFmtId="0" fontId="33" fillId="0" borderId="0" xfId="0" applyFont="1" applyAlignment="1">
      <alignment horizontal="center"/>
    </xf>
    <xf numFmtId="1" fontId="9" fillId="2" borderId="0" xfId="0" applyNumberFormat="1" applyFont="1" applyFill="1" applyBorder="1" applyAlignment="1">
      <alignment horizontal="center"/>
    </xf>
    <xf numFmtId="166" fontId="3" fillId="0" borderId="0" xfId="1" applyFont="1" applyBorder="1" applyAlignment="1">
      <alignment horizontal="right"/>
    </xf>
    <xf numFmtId="168" fontId="3" fillId="0" borderId="0" xfId="0" applyNumberFormat="1" applyFont="1" applyBorder="1"/>
    <xf numFmtId="4" fontId="3" fillId="0" borderId="0" xfId="3" applyNumberFormat="1" applyFont="1" applyBorder="1" applyAlignment="1">
      <alignment horizontal="right"/>
    </xf>
    <xf numFmtId="170" fontId="4" fillId="0" borderId="0" xfId="3" applyNumberFormat="1" applyFont="1" applyBorder="1" applyAlignment="1">
      <alignment horizontal="right"/>
    </xf>
    <xf numFmtId="171" fontId="3" fillId="0" borderId="1" xfId="1" applyNumberFormat="1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70" fontId="3" fillId="0" borderId="0" xfId="3" applyNumberFormat="1" applyFont="1" applyFill="1" applyBorder="1" applyAlignment="1"/>
    <xf numFmtId="3" fontId="4" fillId="0" borderId="0" xfId="0" applyNumberFormat="1" applyFont="1" applyFill="1"/>
    <xf numFmtId="0" fontId="3" fillId="0" borderId="0" xfId="1" applyNumberFormat="1" applyFont="1" applyBorder="1"/>
    <xf numFmtId="0" fontId="1" fillId="0" borderId="0" xfId="0" applyFont="1"/>
    <xf numFmtId="169" fontId="5" fillId="0" borderId="0" xfId="3" applyNumberFormat="1" applyFont="1" applyFill="1" applyBorder="1" applyAlignment="1">
      <alignment horizontal="center"/>
    </xf>
    <xf numFmtId="0" fontId="3" fillId="0" borderId="0" xfId="0" applyFont="1" applyFill="1" applyBorder="1"/>
    <xf numFmtId="170" fontId="3" fillId="0" borderId="0" xfId="3" applyNumberFormat="1" applyFont="1" applyFill="1" applyBorder="1" applyAlignment="1">
      <alignment horizontal="right"/>
    </xf>
    <xf numFmtId="170" fontId="3" fillId="0" borderId="0" xfId="0" applyNumberFormat="1" applyFont="1" applyFill="1" applyBorder="1"/>
    <xf numFmtId="0" fontId="37" fillId="0" borderId="0" xfId="0" applyFont="1"/>
    <xf numFmtId="0" fontId="37" fillId="0" borderId="0" xfId="0" applyFont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right"/>
    </xf>
    <xf numFmtId="4" fontId="38" fillId="0" borderId="0" xfId="0" applyNumberFormat="1" applyFont="1"/>
    <xf numFmtId="0" fontId="39" fillId="0" borderId="0" xfId="0" applyFont="1" applyBorder="1"/>
    <xf numFmtId="0" fontId="38" fillId="0" borderId="0" xfId="0" applyFont="1" applyBorder="1"/>
    <xf numFmtId="0" fontId="38" fillId="0" borderId="0" xfId="0" applyFont="1" applyBorder="1" applyAlignment="1">
      <alignment horizontal="right"/>
    </xf>
    <xf numFmtId="0" fontId="38" fillId="0" borderId="21" xfId="0" applyFont="1" applyBorder="1"/>
    <xf numFmtId="0" fontId="38" fillId="0" borderId="22" xfId="0" applyFont="1" applyBorder="1"/>
    <xf numFmtId="0" fontId="38" fillId="0" borderId="22" xfId="0" applyFont="1" applyBorder="1" applyAlignment="1">
      <alignment horizontal="right"/>
    </xf>
    <xf numFmtId="0" fontId="39" fillId="0" borderId="22" xfId="0" applyFont="1" applyBorder="1" applyAlignment="1">
      <alignment horizontal="center"/>
    </xf>
    <xf numFmtId="0" fontId="38" fillId="0" borderId="19" xfId="0" applyFont="1" applyBorder="1"/>
    <xf numFmtId="0" fontId="38" fillId="0" borderId="8" xfId="0" applyFont="1" applyBorder="1"/>
    <xf numFmtId="0" fontId="39" fillId="0" borderId="0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8" xfId="0" applyFont="1" applyFill="1" applyBorder="1" applyAlignment="1">
      <alignment horizontal="left"/>
    </xf>
    <xf numFmtId="0" fontId="39" fillId="0" borderId="1" xfId="0" applyFont="1" applyBorder="1" applyAlignment="1">
      <alignment horizontal="center"/>
    </xf>
    <xf numFmtId="0" fontId="38" fillId="0" borderId="2" xfId="0" applyFont="1" applyBorder="1"/>
    <xf numFmtId="178" fontId="38" fillId="0" borderId="0" xfId="3" applyNumberFormat="1" applyFont="1" applyBorder="1" applyAlignment="1"/>
    <xf numFmtId="177" fontId="38" fillId="0" borderId="0" xfId="3" applyNumberFormat="1" applyFont="1" applyBorder="1" applyAlignment="1"/>
    <xf numFmtId="4" fontId="38" fillId="0" borderId="0" xfId="0" applyNumberFormat="1" applyFont="1" applyBorder="1"/>
    <xf numFmtId="4" fontId="38" fillId="0" borderId="0" xfId="0" applyNumberFormat="1" applyFont="1" applyBorder="1" applyAlignment="1">
      <alignment horizontal="right"/>
    </xf>
    <xf numFmtId="4" fontId="38" fillId="0" borderId="2" xfId="0" applyNumberFormat="1" applyFont="1" applyBorder="1"/>
    <xf numFmtId="0" fontId="38" fillId="0" borderId="1" xfId="0" applyFont="1" applyBorder="1"/>
    <xf numFmtId="0" fontId="38" fillId="0" borderId="1" xfId="0" applyFont="1" applyBorder="1" applyAlignment="1">
      <alignment horizontal="right"/>
    </xf>
    <xf numFmtId="0" fontId="38" fillId="0" borderId="3" xfId="0" applyFont="1" applyBorder="1"/>
    <xf numFmtId="0" fontId="39" fillId="0" borderId="8" xfId="0" applyFont="1" applyBorder="1"/>
    <xf numFmtId="0" fontId="38" fillId="0" borderId="9" xfId="0" applyFont="1" applyBorder="1"/>
    <xf numFmtId="4" fontId="38" fillId="0" borderId="1" xfId="0" applyNumberFormat="1" applyFont="1" applyBorder="1"/>
    <xf numFmtId="4" fontId="38" fillId="0" borderId="1" xfId="0" applyNumberFormat="1" applyFont="1" applyBorder="1" applyAlignment="1">
      <alignment horizontal="right"/>
    </xf>
    <xf numFmtId="0" fontId="39" fillId="0" borderId="0" xfId="0" applyFont="1" applyBorder="1" applyAlignment="1">
      <alignment horizontal="right"/>
    </xf>
    <xf numFmtId="0" fontId="38" fillId="0" borderId="8" xfId="0" applyFont="1" applyBorder="1" applyAlignment="1">
      <alignment horizontal="center"/>
    </xf>
    <xf numFmtId="170" fontId="38" fillId="0" borderId="0" xfId="0" applyNumberFormat="1" applyFont="1" applyBorder="1"/>
    <xf numFmtId="170" fontId="38" fillId="0" borderId="2" xfId="3" applyNumberFormat="1" applyFont="1" applyBorder="1" applyAlignment="1">
      <alignment horizontal="right"/>
    </xf>
    <xf numFmtId="170" fontId="38" fillId="0" borderId="0" xfId="3" applyNumberFormat="1" applyFont="1" applyBorder="1" applyAlignment="1"/>
    <xf numFmtId="169" fontId="38" fillId="2" borderId="15" xfId="3" applyNumberFormat="1" applyFont="1" applyFill="1" applyBorder="1" applyAlignment="1">
      <alignment horizontal="center"/>
    </xf>
    <xf numFmtId="170" fontId="38" fillId="0" borderId="0" xfId="3" applyNumberFormat="1" applyFont="1" applyBorder="1" applyAlignment="1">
      <alignment horizontal="right"/>
    </xf>
    <xf numFmtId="0" fontId="38" fillId="0" borderId="0" xfId="0" quotePrefix="1" applyFont="1" applyBorder="1"/>
    <xf numFmtId="170" fontId="38" fillId="0" borderId="2" xfId="3" applyNumberFormat="1" applyFont="1" applyFill="1" applyBorder="1" applyAlignment="1"/>
    <xf numFmtId="169" fontId="38" fillId="0" borderId="0" xfId="3" applyNumberFormat="1" applyFont="1" applyBorder="1" applyAlignment="1"/>
    <xf numFmtId="170" fontId="38" fillId="0" borderId="2" xfId="0" applyNumberFormat="1" applyFont="1" applyBorder="1"/>
    <xf numFmtId="10" fontId="38" fillId="0" borderId="0" xfId="10" applyNumberFormat="1" applyFont="1" applyBorder="1" applyAlignment="1">
      <alignment horizontal="right"/>
    </xf>
    <xf numFmtId="170" fontId="38" fillId="0" borderId="0" xfId="0" applyNumberFormat="1" applyFont="1" applyBorder="1" applyAlignment="1">
      <alignment horizontal="right"/>
    </xf>
    <xf numFmtId="170" fontId="38" fillId="0" borderId="2" xfId="3" applyNumberFormat="1" applyFont="1" applyBorder="1" applyAlignment="1"/>
    <xf numFmtId="0" fontId="38" fillId="0" borderId="0" xfId="0" applyFont="1" applyBorder="1" applyAlignment="1">
      <alignment wrapText="1"/>
    </xf>
    <xf numFmtId="172" fontId="38" fillId="0" borderId="0" xfId="0" applyNumberFormat="1" applyFont="1" applyBorder="1"/>
    <xf numFmtId="170" fontId="38" fillId="7" borderId="2" xfId="3" applyNumberFormat="1" applyFont="1" applyFill="1" applyBorder="1" applyAlignment="1"/>
    <xf numFmtId="168" fontId="38" fillId="0" borderId="0" xfId="0" applyNumberFormat="1" applyFont="1" applyBorder="1"/>
    <xf numFmtId="49" fontId="38" fillId="0" borderId="0" xfId="0" applyNumberFormat="1" applyFont="1" applyBorder="1" applyAlignment="1">
      <alignment horizontal="right"/>
    </xf>
    <xf numFmtId="0" fontId="38" fillId="0" borderId="2" xfId="1" applyNumberFormat="1" applyFont="1" applyBorder="1"/>
    <xf numFmtId="10" fontId="38" fillId="0" borderId="0" xfId="10" applyNumberFormat="1" applyFont="1" applyFill="1" applyBorder="1" applyAlignment="1">
      <alignment horizontal="right"/>
    </xf>
    <xf numFmtId="10" fontId="38" fillId="0" borderId="0" xfId="0" applyNumberFormat="1" applyFont="1" applyFill="1" applyBorder="1"/>
    <xf numFmtId="170" fontId="38" fillId="6" borderId="0" xfId="3" applyNumberFormat="1" applyFont="1" applyFill="1" applyBorder="1" applyAlignment="1"/>
    <xf numFmtId="170" fontId="38" fillId="0" borderId="0" xfId="3" applyNumberFormat="1" applyFont="1" applyBorder="1"/>
    <xf numFmtId="170" fontId="39" fillId="0" borderId="0" xfId="0" applyNumberFormat="1" applyFont="1" applyBorder="1" applyAlignment="1">
      <alignment horizontal="right"/>
    </xf>
    <xf numFmtId="0" fontId="39" fillId="0" borderId="0" xfId="0" applyFont="1" applyBorder="1" applyAlignment="1">
      <alignment horizontal="left"/>
    </xf>
    <xf numFmtId="170" fontId="38" fillId="0" borderId="0" xfId="0" applyNumberFormat="1" applyFont="1" applyBorder="1" applyAlignment="1">
      <alignment horizontal="left"/>
    </xf>
    <xf numFmtId="170" fontId="38" fillId="7" borderId="2" xfId="3" applyNumberFormat="1" applyFont="1" applyFill="1" applyBorder="1" applyAlignment="1">
      <alignment horizontal="right"/>
    </xf>
    <xf numFmtId="170" fontId="38" fillId="0" borderId="0" xfId="3" applyNumberFormat="1" applyFont="1" applyFill="1" applyBorder="1" applyAlignment="1"/>
    <xf numFmtId="0" fontId="38" fillId="0" borderId="0" xfId="0" applyFont="1" applyBorder="1" applyAlignment="1">
      <alignment horizontal="left"/>
    </xf>
    <xf numFmtId="0" fontId="38" fillId="0" borderId="9" xfId="0" applyFont="1" applyBorder="1" applyAlignment="1">
      <alignment horizontal="center"/>
    </xf>
    <xf numFmtId="0" fontId="39" fillId="0" borderId="1" xfId="0" applyFont="1" applyBorder="1"/>
    <xf numFmtId="170" fontId="38" fillId="0" borderId="1" xfId="3" applyNumberFormat="1" applyFont="1" applyBorder="1" applyAlignment="1"/>
    <xf numFmtId="166" fontId="39" fillId="0" borderId="0" xfId="1" applyFont="1" applyBorder="1" applyAlignment="1">
      <alignment horizontal="left"/>
    </xf>
    <xf numFmtId="166" fontId="39" fillId="0" borderId="0" xfId="1" applyFont="1" applyBorder="1" applyAlignment="1">
      <alignment horizontal="center"/>
    </xf>
    <xf numFmtId="166" fontId="39" fillId="0" borderId="1" xfId="1" applyFont="1" applyBorder="1" applyAlignment="1">
      <alignment horizontal="center"/>
    </xf>
    <xf numFmtId="166" fontId="39" fillId="0" borderId="3" xfId="1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170" fontId="38" fillId="0" borderId="0" xfId="0" applyNumberFormat="1" applyFont="1" applyAlignment="1">
      <alignment horizontal="center"/>
    </xf>
    <xf numFmtId="170" fontId="38" fillId="5" borderId="16" xfId="0" applyNumberFormat="1" applyFont="1" applyFill="1" applyBorder="1" applyAlignment="1">
      <alignment horizontal="center"/>
    </xf>
    <xf numFmtId="170" fontId="38" fillId="0" borderId="0" xfId="0" applyNumberFormat="1" applyFont="1" applyBorder="1" applyAlignment="1">
      <alignment horizontal="center"/>
    </xf>
    <xf numFmtId="0" fontId="38" fillId="0" borderId="17" xfId="0" applyFont="1" applyBorder="1"/>
    <xf numFmtId="37" fontId="38" fillId="0" borderId="0" xfId="1" applyNumberFormat="1" applyFont="1" applyBorder="1"/>
    <xf numFmtId="37" fontId="38" fillId="0" borderId="16" xfId="1" applyNumberFormat="1" applyFont="1" applyBorder="1"/>
    <xf numFmtId="1" fontId="38" fillId="0" borderId="0" xfId="1" applyNumberFormat="1" applyFont="1" applyBorder="1" applyAlignment="1">
      <alignment horizontal="center"/>
    </xf>
    <xf numFmtId="166" fontId="38" fillId="0" borderId="0" xfId="1" applyFont="1" applyBorder="1"/>
    <xf numFmtId="166" fontId="39" fillId="0" borderId="0" xfId="1" applyFont="1" applyBorder="1"/>
    <xf numFmtId="164" fontId="38" fillId="0" borderId="0" xfId="1" applyNumberFormat="1" applyFont="1" applyBorder="1"/>
    <xf numFmtId="164" fontId="38" fillId="0" borderId="16" xfId="1" applyNumberFormat="1" applyFont="1" applyBorder="1"/>
    <xf numFmtId="0" fontId="38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170" fontId="38" fillId="0" borderId="0" xfId="0" applyNumberFormat="1" applyFont="1"/>
    <xf numFmtId="1" fontId="38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right"/>
    </xf>
    <xf numFmtId="1" fontId="38" fillId="0" borderId="0" xfId="0" applyNumberFormat="1" applyFont="1"/>
    <xf numFmtId="10" fontId="38" fillId="5" borderId="0" xfId="10" applyNumberFormat="1" applyFont="1" applyFill="1" applyBorder="1" applyAlignment="1">
      <alignment horizontal="right"/>
    </xf>
    <xf numFmtId="167" fontId="40" fillId="2" borderId="15" xfId="0" applyNumberFormat="1" applyFont="1" applyFill="1" applyBorder="1" applyAlignment="1">
      <alignment horizontal="center"/>
    </xf>
    <xf numFmtId="167" fontId="8" fillId="2" borderId="15" xfId="0" applyNumberFormat="1" applyFont="1" applyFill="1" applyBorder="1" applyAlignment="1">
      <alignment horizontal="center"/>
    </xf>
    <xf numFmtId="170" fontId="9" fillId="0" borderId="0" xfId="0" applyNumberFormat="1" applyFont="1"/>
    <xf numFmtId="3" fontId="40" fillId="2" borderId="4" xfId="0" applyNumberFormat="1" applyFont="1" applyFill="1" applyBorder="1"/>
    <xf numFmtId="176" fontId="40" fillId="2" borderId="4" xfId="0" applyNumberFormat="1" applyFont="1" applyFill="1" applyBorder="1"/>
    <xf numFmtId="170" fontId="41" fillId="0" borderId="2" xfId="3" applyNumberFormat="1" applyFont="1" applyBorder="1" applyAlignment="1"/>
    <xf numFmtId="0" fontId="9" fillId="0" borderId="0" xfId="0" applyFont="1" applyAlignment="1">
      <alignment horizontal="right"/>
    </xf>
    <xf numFmtId="169" fontId="9" fillId="0" borderId="4" xfId="3" applyNumberFormat="1" applyFont="1" applyFill="1" applyBorder="1"/>
    <xf numFmtId="3" fontId="8" fillId="2" borderId="4" xfId="0" applyNumberFormat="1" applyFont="1" applyFill="1" applyBorder="1"/>
    <xf numFmtId="3" fontId="8" fillId="2" borderId="4" xfId="0" applyNumberFormat="1" applyFont="1" applyFill="1" applyBorder="1" applyAlignment="1">
      <alignment horizontal="center"/>
    </xf>
    <xf numFmtId="3" fontId="40" fillId="0" borderId="4" xfId="0" applyNumberFormat="1" applyFont="1" applyFill="1" applyBorder="1"/>
    <xf numFmtId="166" fontId="8" fillId="0" borderId="0" xfId="1" applyFont="1" applyFill="1" applyBorder="1"/>
    <xf numFmtId="170" fontId="7" fillId="0" borderId="0" xfId="1" applyNumberFormat="1" applyFont="1" applyBorder="1"/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>
      <alignment wrapText="1"/>
    </xf>
    <xf numFmtId="0" fontId="25" fillId="0" borderId="0" xfId="0" applyFont="1" applyAlignment="1">
      <alignment wrapText="1"/>
    </xf>
    <xf numFmtId="0" fontId="2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9" fillId="0" borderId="0" xfId="0" applyFont="1" applyAlignment="1">
      <alignment horizontal="right"/>
    </xf>
    <xf numFmtId="0" fontId="9" fillId="0" borderId="20" xfId="0" applyFont="1" applyBorder="1" applyAlignment="1">
      <alignment horizontal="right"/>
    </xf>
  </cellXfs>
  <cellStyles count="11">
    <cellStyle name="Comma" xfId="1" builtinId="3"/>
    <cellStyle name="Comma 2" xfId="2"/>
    <cellStyle name="Currency" xfId="3" builtinId="4"/>
    <cellStyle name="Hyperlink" xfId="4" builtinId="8"/>
    <cellStyle name="Normal" xfId="0" builtinId="0"/>
    <cellStyle name="Normal 2" xfId="5"/>
    <cellStyle name="Normal 3" xfId="6"/>
    <cellStyle name="Normal 4" xfId="7"/>
    <cellStyle name="Normal 5" xfId="8"/>
    <cellStyle name="Normal 6" xfId="9"/>
    <cellStyle name="Percent" xfId="10" builtin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80" Type="http://schemas.openxmlformats.org/officeDocument/2006/relationships/calcChain" Target="calcChain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theme" Target="theme/theme1.xml"/><Relationship Id="rId78" Type="http://schemas.openxmlformats.org/officeDocument/2006/relationships/styles" Target="styles.xml"/><Relationship Id="rId79" Type="http://schemas.openxmlformats.org/officeDocument/2006/relationships/sharedStrings" Target="sharedStrings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Relationship Id="rId2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Relationship Id="rId2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Relationship Id="rId2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Relationship Id="rId2" Type="http://schemas.openxmlformats.org/officeDocument/2006/relationships/comments" Target="../comments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Relationship Id="rId2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Relationship Id="rId2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Relationship Id="rId2" Type="http://schemas.openxmlformats.org/officeDocument/2006/relationships/comments" Target="../comments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Relationship Id="rId2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Relationship Id="rId2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Relationship Id="rId2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Relationship Id="rId2" Type="http://schemas.openxmlformats.org/officeDocument/2006/relationships/comments" Target="../comments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Relationship Id="rId2" Type="http://schemas.openxmlformats.org/officeDocument/2006/relationships/comments" Target="../comments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Relationship Id="rId2" Type="http://schemas.openxmlformats.org/officeDocument/2006/relationships/comments" Target="../comments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Relationship Id="rId2" Type="http://schemas.openxmlformats.org/officeDocument/2006/relationships/comments" Target="../comments2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Relationship Id="rId2" Type="http://schemas.openxmlformats.org/officeDocument/2006/relationships/comments" Target="../comments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Relationship Id="rId2" Type="http://schemas.openxmlformats.org/officeDocument/2006/relationships/comments" Target="../comments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Relationship Id="rId2" Type="http://schemas.openxmlformats.org/officeDocument/2006/relationships/comments" Target="../comments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Relationship Id="rId2" Type="http://schemas.openxmlformats.org/officeDocument/2006/relationships/comments" Target="../comments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Relationship Id="rId2" Type="http://schemas.openxmlformats.org/officeDocument/2006/relationships/comments" Target="../comments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Relationship Id="rId2" Type="http://schemas.openxmlformats.org/officeDocument/2006/relationships/comments" Target="../comments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Relationship Id="rId2" Type="http://schemas.openxmlformats.org/officeDocument/2006/relationships/comments" Target="../comments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Relationship Id="rId2" Type="http://schemas.openxmlformats.org/officeDocument/2006/relationships/comments" Target="../comments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Relationship Id="rId2" Type="http://schemas.openxmlformats.org/officeDocument/2006/relationships/comments" Target="../comments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Relationship Id="rId2" Type="http://schemas.openxmlformats.org/officeDocument/2006/relationships/comments" Target="../comments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Relationship Id="rId2" Type="http://schemas.openxmlformats.org/officeDocument/2006/relationships/comments" Target="../comments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Relationship Id="rId2" Type="http://schemas.openxmlformats.org/officeDocument/2006/relationships/comments" Target="../comments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Relationship Id="rId2" Type="http://schemas.openxmlformats.org/officeDocument/2006/relationships/comments" Target="../comments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Relationship Id="rId2" Type="http://schemas.openxmlformats.org/officeDocument/2006/relationships/comments" Target="../comments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Relationship Id="rId2" Type="http://schemas.openxmlformats.org/officeDocument/2006/relationships/comments" Target="../comments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Relationship Id="rId2" Type="http://schemas.openxmlformats.org/officeDocument/2006/relationships/comments" Target="../comments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Relationship Id="rId2" Type="http://schemas.openxmlformats.org/officeDocument/2006/relationships/comments" Target="../comments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Relationship Id="rId2" Type="http://schemas.openxmlformats.org/officeDocument/2006/relationships/comments" Target="../comments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Relationship Id="rId2" Type="http://schemas.openxmlformats.org/officeDocument/2006/relationships/comments" Target="../comments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Relationship Id="rId2" Type="http://schemas.openxmlformats.org/officeDocument/2006/relationships/comments" Target="../comments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Relationship Id="rId2" Type="http://schemas.openxmlformats.org/officeDocument/2006/relationships/comments" Target="../comments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Relationship Id="rId2" Type="http://schemas.openxmlformats.org/officeDocument/2006/relationships/comments" Target="../comments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Relationship Id="rId2" Type="http://schemas.openxmlformats.org/officeDocument/2006/relationships/comments" Target="../comments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Relationship Id="rId2" Type="http://schemas.openxmlformats.org/officeDocument/2006/relationships/comments" Target="../comments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Relationship Id="rId2" Type="http://schemas.openxmlformats.org/officeDocument/2006/relationships/comments" Target="../comments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Relationship Id="rId2" Type="http://schemas.openxmlformats.org/officeDocument/2006/relationships/comments" Target="../comments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Relationship Id="rId2" Type="http://schemas.openxmlformats.org/officeDocument/2006/relationships/comments" Target="../comments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Relationship Id="rId2" Type="http://schemas.openxmlformats.org/officeDocument/2006/relationships/comments" Target="../comments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Relationship Id="rId2" Type="http://schemas.openxmlformats.org/officeDocument/2006/relationships/comments" Target="../comments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Relationship Id="rId2" Type="http://schemas.openxmlformats.org/officeDocument/2006/relationships/comments" Target="../comments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Relationship Id="rId2" Type="http://schemas.openxmlformats.org/officeDocument/2006/relationships/comments" Target="../comments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Relationship Id="rId2" Type="http://schemas.openxmlformats.org/officeDocument/2006/relationships/comments" Target="../comments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Relationship Id="rId2" Type="http://schemas.openxmlformats.org/officeDocument/2006/relationships/comments" Target="../comments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Relationship Id="rId2" Type="http://schemas.openxmlformats.org/officeDocument/2006/relationships/comments" Target="../comments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Relationship Id="rId2" Type="http://schemas.openxmlformats.org/officeDocument/2006/relationships/comments" Target="../comments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Relationship Id="rId2" Type="http://schemas.openxmlformats.org/officeDocument/2006/relationships/comments" Target="../comments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Relationship Id="rId2" Type="http://schemas.openxmlformats.org/officeDocument/2006/relationships/comments" Target="../comments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4.vml"/><Relationship Id="rId2" Type="http://schemas.openxmlformats.org/officeDocument/2006/relationships/comments" Target="../comments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5.vml"/><Relationship Id="rId2" Type="http://schemas.openxmlformats.org/officeDocument/2006/relationships/comments" Target="../comments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6.vml"/><Relationship Id="rId2" Type="http://schemas.openxmlformats.org/officeDocument/2006/relationships/comments" Target="../comments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7.vml"/><Relationship Id="rId2" Type="http://schemas.openxmlformats.org/officeDocument/2006/relationships/comments" Target="../comments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8.vml"/><Relationship Id="rId2" Type="http://schemas.openxmlformats.org/officeDocument/2006/relationships/comments" Target="../comments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9.vml"/><Relationship Id="rId2" Type="http://schemas.openxmlformats.org/officeDocument/2006/relationships/comments" Target="../comments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0.vml"/><Relationship Id="rId2" Type="http://schemas.openxmlformats.org/officeDocument/2006/relationships/comments" Target="../comments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1.vml"/><Relationship Id="rId2" Type="http://schemas.openxmlformats.org/officeDocument/2006/relationships/comments" Target="../comments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2.vml"/><Relationship Id="rId2" Type="http://schemas.openxmlformats.org/officeDocument/2006/relationships/comments" Target="../comments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3.vml"/><Relationship Id="rId2" Type="http://schemas.openxmlformats.org/officeDocument/2006/relationships/comments" Target="../comments7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3:J28"/>
  <sheetViews>
    <sheetView tabSelected="1" workbookViewId="0">
      <selection activeCell="B11" sqref="B11"/>
    </sheetView>
  </sheetViews>
  <sheetFormatPr baseColWidth="10" defaultColWidth="8.83203125" defaultRowHeight="12" x14ac:dyDescent="0"/>
  <sheetData>
    <row r="3" spans="1:10" ht="18">
      <c r="E3" s="78" t="s">
        <v>363</v>
      </c>
    </row>
    <row r="4" spans="1:10" ht="17">
      <c r="E4" s="150"/>
    </row>
    <row r="5" spans="1:10">
      <c r="B5" s="162" t="s">
        <v>364</v>
      </c>
    </row>
    <row r="6" spans="1:10">
      <c r="B6" s="162" t="s">
        <v>365</v>
      </c>
    </row>
    <row r="7" spans="1:10">
      <c r="B7" s="162" t="s">
        <v>366</v>
      </c>
    </row>
    <row r="8" spans="1:10" ht="15">
      <c r="A8" s="77"/>
      <c r="B8" s="162" t="s">
        <v>367</v>
      </c>
      <c r="C8" s="80"/>
      <c r="D8" s="80"/>
      <c r="E8" s="80"/>
      <c r="F8" s="80"/>
      <c r="G8" s="80"/>
      <c r="H8" s="80"/>
      <c r="I8" s="85"/>
      <c r="J8" s="80"/>
    </row>
    <row r="9" spans="1:10" ht="15">
      <c r="A9" s="77"/>
      <c r="B9" s="162" t="s">
        <v>368</v>
      </c>
      <c r="C9" s="80"/>
      <c r="D9" s="80"/>
      <c r="E9" s="80"/>
      <c r="F9" s="80"/>
      <c r="G9" s="80"/>
      <c r="H9" s="80"/>
      <c r="I9" s="85"/>
      <c r="J9" s="80"/>
    </row>
    <row r="10" spans="1:10" ht="15">
      <c r="A10" s="77"/>
      <c r="B10" s="162" t="s">
        <v>369</v>
      </c>
      <c r="I10" s="77"/>
    </row>
    <row r="11" spans="1:10" ht="15">
      <c r="A11" s="77"/>
      <c r="B11" s="162"/>
      <c r="I11" s="77"/>
    </row>
    <row r="12" spans="1:10" ht="15">
      <c r="A12" s="77"/>
      <c r="B12" s="93"/>
      <c r="I12" s="77"/>
    </row>
    <row r="13" spans="1:10" ht="15">
      <c r="A13" s="77"/>
      <c r="I13" s="77"/>
    </row>
    <row r="14" spans="1:10" ht="15">
      <c r="A14" s="77"/>
      <c r="B14" s="79" t="s">
        <v>190</v>
      </c>
      <c r="I14" s="77"/>
    </row>
    <row r="15" spans="1:10" ht="15">
      <c r="A15" s="77"/>
      <c r="B15" t="s">
        <v>208</v>
      </c>
      <c r="I15" s="77"/>
    </row>
    <row r="16" spans="1:10" ht="15">
      <c r="A16" s="77"/>
      <c r="B16" t="s">
        <v>301</v>
      </c>
      <c r="I16" s="77"/>
    </row>
    <row r="17" spans="1:9" ht="15">
      <c r="A17" s="77"/>
      <c r="B17" t="s">
        <v>209</v>
      </c>
      <c r="I17" s="77"/>
    </row>
    <row r="18" spans="1:9" ht="15">
      <c r="A18" s="77"/>
      <c r="I18" s="77"/>
    </row>
    <row r="19" spans="1:9" ht="15">
      <c r="A19" s="77"/>
      <c r="B19" s="77"/>
      <c r="C19" s="77"/>
      <c r="D19" s="77"/>
      <c r="E19" s="77"/>
      <c r="F19" s="77"/>
      <c r="G19" s="77"/>
      <c r="H19" s="77"/>
      <c r="I19" s="77"/>
    </row>
    <row r="20" spans="1:9" ht="15">
      <c r="A20" s="77"/>
      <c r="B20" s="77"/>
      <c r="C20" s="77"/>
      <c r="D20" s="77"/>
      <c r="E20" s="77"/>
      <c r="F20" s="77"/>
      <c r="G20" s="77"/>
      <c r="H20" s="77"/>
      <c r="I20" s="77"/>
    </row>
    <row r="21" spans="1:9" ht="15">
      <c r="A21" s="77"/>
      <c r="B21" s="77"/>
      <c r="C21" s="77"/>
      <c r="D21" s="77"/>
      <c r="E21" s="77"/>
      <c r="F21" s="77"/>
      <c r="G21" s="77"/>
      <c r="H21" s="77"/>
      <c r="I21" s="77"/>
    </row>
    <row r="22" spans="1:9" ht="15">
      <c r="A22" s="77"/>
      <c r="B22" s="77"/>
      <c r="C22" s="77"/>
      <c r="D22" s="77"/>
      <c r="E22" s="77"/>
      <c r="F22" s="77"/>
      <c r="G22" s="77"/>
      <c r="H22" s="77"/>
      <c r="I22" s="77"/>
    </row>
    <row r="23" spans="1:9" ht="15">
      <c r="A23" s="77"/>
      <c r="B23" s="77"/>
      <c r="C23" s="77"/>
      <c r="D23" s="77"/>
      <c r="E23" s="77"/>
      <c r="F23" s="77"/>
      <c r="G23" s="77"/>
      <c r="H23" s="77"/>
      <c r="I23" s="77"/>
    </row>
    <row r="24" spans="1:9" ht="15">
      <c r="A24" s="77"/>
      <c r="B24" s="77"/>
      <c r="C24" s="77"/>
      <c r="D24" s="77"/>
      <c r="E24" s="77"/>
      <c r="F24" s="77"/>
      <c r="G24" s="77"/>
      <c r="H24" s="77"/>
      <c r="I24" s="77"/>
    </row>
    <row r="25" spans="1:9" ht="15">
      <c r="A25" s="77"/>
      <c r="B25" s="77"/>
      <c r="C25" s="77"/>
      <c r="D25" s="77"/>
      <c r="E25" s="77"/>
      <c r="F25" s="77"/>
      <c r="G25" s="77"/>
      <c r="H25" s="77"/>
      <c r="I25" s="77"/>
    </row>
    <row r="26" spans="1:9" ht="15">
      <c r="A26" s="77"/>
      <c r="B26" s="77"/>
      <c r="C26" s="77"/>
      <c r="D26" s="77"/>
      <c r="E26" s="77"/>
      <c r="F26" s="77"/>
      <c r="G26" s="77"/>
      <c r="H26" s="77"/>
      <c r="I26" s="77"/>
    </row>
    <row r="27" spans="1:9" ht="15">
      <c r="B27" s="77"/>
      <c r="D27" s="77"/>
      <c r="E27" s="77"/>
      <c r="F27" s="67"/>
      <c r="G27" s="77"/>
      <c r="H27" s="77"/>
    </row>
    <row r="28" spans="1:9" ht="15">
      <c r="D28" s="77"/>
      <c r="E28" s="77"/>
      <c r="F28" s="77"/>
      <c r="G28" s="77"/>
      <c r="H28" s="77"/>
    </row>
  </sheetData>
  <phoneticPr fontId="8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17074.78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121.76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17071.39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119.49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35299917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8923836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0.98778355689999997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2.1000000000000001E-2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2.0400000000000001E-2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17074.78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-3.3899999999994179</v>
      </c>
      <c r="J57" s="190">
        <f>SUM(E57:I57)</f>
        <v>17071.39</v>
      </c>
      <c r="K57" s="190">
        <f>IF((+L57-J57)&gt;0,(L57-J57),0)</f>
        <v>0</v>
      </c>
      <c r="L57" s="192">
        <f>I15</f>
        <v>17071.39</v>
      </c>
      <c r="M57" s="102"/>
      <c r="N57" s="102"/>
      <c r="O57" s="102">
        <f>E57+H57+G57</f>
        <v>17074.78</v>
      </c>
      <c r="P57" s="108">
        <f>L57-E57</f>
        <v>-3.3899999999994179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121.76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-2.2700000000000102</v>
      </c>
      <c r="J58" s="190">
        <f>E58+H58+G58+I58</f>
        <v>119.49</v>
      </c>
      <c r="K58" s="190">
        <f>IF((+L58-J58)&gt;0,(L58-J58),0)</f>
        <v>0</v>
      </c>
      <c r="L58" s="192">
        <f>I16</f>
        <v>119.49</v>
      </c>
      <c r="M58" s="102"/>
      <c r="N58" s="102"/>
      <c r="O58" s="102">
        <f>IF(E59=0,J58+J59,J58)</f>
        <v>119.49</v>
      </c>
      <c r="P58" s="108">
        <f>L58+L59-E58</f>
        <v>-2.2700000000000102</v>
      </c>
      <c r="Q58" s="1">
        <f>L59*466-(P58)*487.11</f>
        <v>1105.7397000000051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119.49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17196.539999999997</v>
      </c>
      <c r="F61" s="190"/>
      <c r="G61" s="190">
        <f>SUM(G57:G60)</f>
        <v>0</v>
      </c>
      <c r="H61" s="190">
        <f>SUM(H57:H60)</f>
        <v>0</v>
      </c>
      <c r="I61" s="190">
        <f>SUM(I57:I59)</f>
        <v>-5.6599999999994282</v>
      </c>
      <c r="J61" s="190">
        <f>SUM(J57:J60)</f>
        <v>17190.88</v>
      </c>
      <c r="K61" s="190">
        <f>SUM(K57:K60)</f>
        <v>0</v>
      </c>
      <c r="L61" s="192">
        <f>SUM(L57:L60)</f>
        <v>17190.88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7371802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22460.77525160728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80182374.405127943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936870</v>
      </c>
      <c r="M66" s="163"/>
      <c r="N66" s="163"/>
      <c r="O66" s="152">
        <f>L66/487.11</f>
        <v>1923.3232740038184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4199196</v>
      </c>
      <c r="M67" s="163"/>
      <c r="N67" s="163"/>
      <c r="O67" s="13"/>
      <c r="P67" s="139">
        <f>I57*D57</f>
        <v>-16012.994691057251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80182374.405127943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-6447.7805605500298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79840015.470284268</v>
      </c>
      <c r="F69" s="202"/>
      <c r="G69" s="176"/>
      <c r="H69" s="174" t="s">
        <v>27</v>
      </c>
      <c r="I69" s="175"/>
      <c r="J69" s="175"/>
      <c r="K69" s="175"/>
      <c r="L69" s="203">
        <f>SUM(L65:L67)</f>
        <v>5136066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342358.93484368001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-22460.77525160728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22460.77525160728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-22233.988509247309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93583295.004519805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87531942.41661869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35299917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892825.81264951068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88424768.229268193</v>
      </c>
      <c r="G79" s="176" t="s">
        <v>29</v>
      </c>
      <c r="H79" s="175" t="s">
        <v>14</v>
      </c>
      <c r="I79" s="175"/>
      <c r="J79" s="175"/>
      <c r="K79" s="175"/>
      <c r="L79" s="213">
        <f>I23</f>
        <v>8923836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34282162.005986571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13934125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92440040.005986571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0.98778355689999997</v>
      </c>
      <c r="K84" s="175"/>
      <c r="L84" s="210">
        <f>+(1-J84)*L73</f>
        <v>1143254.9985332333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93583295.004519805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34282162.005986571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2.1000000000000001E-2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2.0400000000000001E-2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34282162.005986571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1652404.7923009356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1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3402370</v>
      </c>
      <c r="J113" s="242">
        <f>SUM(B113:I113)</f>
        <v>7371802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7371802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-16012.994691057251</v>
      </c>
      <c r="E141" s="101">
        <f>(L58-E58)*D58</f>
        <v>-6447.7805605500298</v>
      </c>
      <c r="F141" s="101">
        <f>ROUND(D141+E141,0)</f>
        <v>-22461</v>
      </c>
      <c r="G141" s="145">
        <f>IF(E59&gt;0,0,O168)</f>
        <v>0</v>
      </c>
      <c r="H141" s="101">
        <f>(L59-E59)*D59</f>
        <v>0</v>
      </c>
      <c r="I141" s="101">
        <f>ROUND(D141+E141+H141,2)</f>
        <v>-22460.78</v>
      </c>
      <c r="J141" s="113">
        <f>I144+I145+I150+I151+I162+I163+I156+I157+I168</f>
        <v>0</v>
      </c>
      <c r="K141" s="113"/>
      <c r="O141" s="146">
        <f>F141+G141</f>
        <v>-22461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119.49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119.49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-2.2700000000000102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-3.3899999999994179</v>
      </c>
      <c r="E172" s="8">
        <f>IF(I141&lt;0,E141/D58,0)</f>
        <v>-2.2700000000000102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22460.77525160728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-16012.994691057251</v>
      </c>
      <c r="E180" s="101">
        <f>E141</f>
        <v>-6447.7805605500298</v>
      </c>
      <c r="F180" s="101"/>
      <c r="G180" s="101">
        <f>G141</f>
        <v>0</v>
      </c>
      <c r="H180" s="101">
        <f>H141</f>
        <v>0</v>
      </c>
      <c r="I180" s="101">
        <f>I141</f>
        <v>-22460.78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14337.391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340.73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15487.19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357.06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21339407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5194000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0.98778356329999994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2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8.3099999999999993E-2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7.9399999999999998E-2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14337.391</v>
      </c>
      <c r="F57" s="190"/>
      <c r="G57" s="191">
        <f>D169</f>
        <v>1149.7990000000009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15487.19</v>
      </c>
      <c r="K57" s="190">
        <f>IF((+L57-J57)&gt;0,(L57-J57),0)</f>
        <v>0</v>
      </c>
      <c r="L57" s="192">
        <f>I15</f>
        <v>15487.19</v>
      </c>
      <c r="M57" s="102"/>
      <c r="N57" s="102"/>
      <c r="O57" s="102">
        <f>E57+H57+G57</f>
        <v>15487.19</v>
      </c>
      <c r="P57" s="108">
        <f>L57-E57</f>
        <v>1149.7990000000009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340.73</v>
      </c>
      <c r="F58" s="190"/>
      <c r="G58" s="191">
        <f>E169</f>
        <v>16.329999999999984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357.06</v>
      </c>
      <c r="K58" s="190">
        <f>IF((+L58-J58)&gt;0,(L58-J58),0)</f>
        <v>0</v>
      </c>
      <c r="L58" s="192">
        <f>I16</f>
        <v>357.06</v>
      </c>
      <c r="M58" s="102"/>
      <c r="N58" s="102"/>
      <c r="O58" s="102">
        <f>IF(E59=0,J58+J59,J58)</f>
        <v>357.06</v>
      </c>
      <c r="P58" s="108">
        <f>L58+L59-E58</f>
        <v>16.329999999999984</v>
      </c>
      <c r="Q58" s="1">
        <f>L59*466-(P58)*487.11</f>
        <v>-7954.5062999999927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357.06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14678.120999999999</v>
      </c>
      <c r="F61" s="190"/>
      <c r="G61" s="190">
        <f>SUM(G57:G60)</f>
        <v>1166.1290000000008</v>
      </c>
      <c r="H61" s="190">
        <f>SUM(H57:H60)</f>
        <v>0</v>
      </c>
      <c r="I61" s="190">
        <f>SUM(I57:I59)</f>
        <v>0</v>
      </c>
      <c r="J61" s="190">
        <f>SUM(J57:J60)</f>
        <v>15844.25</v>
      </c>
      <c r="K61" s="190">
        <f>SUM(K57:K60)</f>
        <v>0</v>
      </c>
      <c r="L61" s="192">
        <f>SUM(L57:L60)</f>
        <v>15844.25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6804739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67998298.252493054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858101</v>
      </c>
      <c r="M66" s="163"/>
      <c r="N66" s="163"/>
      <c r="O66" s="152">
        <f>L66/487.11</f>
        <v>1761.6164726653117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3848673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67998298.252493054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67040249.961845167</v>
      </c>
      <c r="F69" s="202"/>
      <c r="G69" s="176"/>
      <c r="H69" s="174" t="s">
        <v>27</v>
      </c>
      <c r="I69" s="175"/>
      <c r="J69" s="175"/>
      <c r="K69" s="175"/>
      <c r="L69" s="203">
        <f>SUM(L65:L67)</f>
        <v>4706774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958048.29064789007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85750373.88550888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74803037.252493054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21339407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762990.97997542925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75566028.232468486</v>
      </c>
      <c r="G79" s="176" t="s">
        <v>29</v>
      </c>
      <c r="H79" s="175" t="s">
        <v>14</v>
      </c>
      <c r="I79" s="175"/>
      <c r="J79" s="175"/>
      <c r="K79" s="175"/>
      <c r="L79" s="213">
        <f>I23</f>
        <v>5194000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44910605.870935224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13258797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5431187.3990519503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84702809.870935231</v>
      </c>
      <c r="M83" s="86"/>
      <c r="N83" s="86"/>
      <c r="O83" s="107">
        <f>G58*D58</f>
        <v>46384.253988449957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0.98778356329999994</v>
      </c>
      <c r="K84" s="175"/>
      <c r="L84" s="210">
        <f>+(1-J84)*L73</f>
        <v>1047564.014573657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85750373.885508895</v>
      </c>
      <c r="M85" s="86"/>
      <c r="N85" s="86"/>
      <c r="O85" s="107">
        <f>SUM(O82:O84)</f>
        <v>5477571.6530404007</v>
      </c>
      <c r="P85" s="103">
        <f>I168+G174</f>
        <v>5477571.6530404007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44910605.870935224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8.3099999999999993E-2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7.9399999999999998E-2</v>
      </c>
      <c r="F92" s="175"/>
      <c r="G92" s="176"/>
      <c r="H92" s="174" t="s">
        <v>70</v>
      </c>
      <c r="I92" s="175"/>
      <c r="J92" s="175"/>
      <c r="K92" s="175"/>
      <c r="L92" s="210">
        <f>+L88-L91</f>
        <v>44910605.870935224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5454135.3625603663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5477571.6530404007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5431187.3990519503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46384.253988449957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5477571.6530404007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2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2268246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2268246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6804739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5431187.3990519503</v>
      </c>
      <c r="E141" s="101">
        <f>(L58-E58)*D58</f>
        <v>46384.253988449957</v>
      </c>
      <c r="F141" s="101">
        <f>ROUND(D141+E141,0)</f>
        <v>5477572</v>
      </c>
      <c r="G141" s="145">
        <f>IF(E59&gt;0,0,O168)</f>
        <v>0</v>
      </c>
      <c r="H141" s="101">
        <f>(L59-E59)*D59</f>
        <v>0</v>
      </c>
      <c r="I141" s="101">
        <f>ROUND(D141+E141+H141,2)</f>
        <v>5477571.6500000004</v>
      </c>
      <c r="J141" s="113">
        <f>I144+I145+I150+I151+I162+I163+I156+I157+I168</f>
        <v>5477571.6530404007</v>
      </c>
      <c r="K141" s="113"/>
      <c r="O141" s="146">
        <f>F141+G141</f>
        <v>5477572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357.06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357.06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16.329999999999984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5431187.3990519503</v>
      </c>
      <c r="E168" s="134">
        <f>IF(I141&lt;0,0,IF(AND(E59=0,I141&gt;=0),E141-E144-E145-E150-E151,IF(AND(E59&gt;0,I141&gt;=0),E141-E156-E157-E162-E163,0)))</f>
        <v>46384.253988449957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5477571.6530404007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1149.7990000000009</v>
      </c>
      <c r="E169" s="8">
        <f>IF(E168=0,0,IF(I141&lt;0,0,L58-H58-E58))</f>
        <v>16.329999999999984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5477571.6530404007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16.329999999999984</v>
      </c>
      <c r="F171" s="101"/>
      <c r="G171" s="101"/>
      <c r="H171" s="101"/>
      <c r="I171" s="136" t="s">
        <v>283</v>
      </c>
      <c r="J171" s="103">
        <f>I144+I145+I168</f>
        <v>5477571.6530404007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5477571.6530404007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5431187.3990519503</v>
      </c>
      <c r="E177" s="107">
        <f>E144+E145+E150+E151+E162+E163+E156+E157+E168</f>
        <v>46384.253988449957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5431187.3990519503</v>
      </c>
      <c r="E180" s="101">
        <f>E141</f>
        <v>46384.253988449957</v>
      </c>
      <c r="F180" s="101"/>
      <c r="G180" s="101">
        <f>G141</f>
        <v>0</v>
      </c>
      <c r="H180" s="101">
        <f>H141</f>
        <v>0</v>
      </c>
      <c r="I180" s="101">
        <f>I141</f>
        <v>5477571.6500000004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11116.74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215.39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114.42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11417.8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354.13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73.23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5107261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4204386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0.98778356450000004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3.3399999999999999E-2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3.2199999999999999E-2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11116.74</v>
      </c>
      <c r="F57" s="190"/>
      <c r="G57" s="191">
        <f>D169</f>
        <v>301.05999999999949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11417.8</v>
      </c>
      <c r="K57" s="190">
        <f>IF((+L57-J57)&gt;0,(L57-J57),0)</f>
        <v>0</v>
      </c>
      <c r="L57" s="192">
        <f>I15</f>
        <v>11417.8</v>
      </c>
      <c r="M57" s="102"/>
      <c r="N57" s="102"/>
      <c r="O57" s="102">
        <f>E57+H57+G57</f>
        <v>11417.8</v>
      </c>
      <c r="P57" s="108">
        <f>L57-E57</f>
        <v>301.05999999999949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215.39</v>
      </c>
      <c r="F58" s="190"/>
      <c r="G58" s="191">
        <f>E169</f>
        <v>138.74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354.13</v>
      </c>
      <c r="K58" s="190">
        <f>IF((+L58-J58)&gt;0,(L58-J58),0)</f>
        <v>0</v>
      </c>
      <c r="L58" s="192">
        <f>I16</f>
        <v>354.13</v>
      </c>
      <c r="M58" s="102"/>
      <c r="N58" s="102"/>
      <c r="O58" s="102">
        <f>IF(E59=0,J58+J59,J58)</f>
        <v>354.13</v>
      </c>
      <c r="P58" s="108">
        <f>L58+L59-E58</f>
        <v>211.97000000000003</v>
      </c>
      <c r="Q58" s="1">
        <f>L59*466-(P58)*487.11</f>
        <v>-69127.526700000017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114.42</v>
      </c>
      <c r="F59" s="190"/>
      <c r="G59" s="191">
        <f>H169</f>
        <v>-41.19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73.23</v>
      </c>
      <c r="K59" s="190">
        <f>IF((+L59-J59)&gt;0,(L59-J59),0)</f>
        <v>0</v>
      </c>
      <c r="L59" s="192">
        <f>I17</f>
        <v>73.23</v>
      </c>
      <c r="M59" s="102"/>
      <c r="N59" s="102"/>
      <c r="O59" s="102">
        <f>IF(E59=0,L58+L59,L59)</f>
        <v>73.23</v>
      </c>
      <c r="P59" s="108">
        <f>L59-E59</f>
        <v>-41.19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11446.55</v>
      </c>
      <c r="F61" s="190"/>
      <c r="G61" s="190">
        <f>SUM(G57:G60)</f>
        <v>398.6099999999995</v>
      </c>
      <c r="H61" s="190">
        <f>SUM(H57:H60)</f>
        <v>0</v>
      </c>
      <c r="I61" s="190">
        <f>SUM(I57:I59)</f>
        <v>0</v>
      </c>
      <c r="J61" s="190">
        <f>SUM(J57:J60)</f>
        <v>11845.159999999998</v>
      </c>
      <c r="K61" s="190">
        <f>SUM(K57:K60)</f>
        <v>0</v>
      </c>
      <c r="L61" s="192">
        <f>SUM(L57:L60)</f>
        <v>11845.159999999998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35671.065300000002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-35671.065300000002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53121438.314746574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639617</v>
      </c>
      <c r="M66" s="163"/>
      <c r="N66" s="163"/>
      <c r="O66" s="152">
        <f>L66/487.11</f>
        <v>1313.0853400669253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2843050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53121438.314746574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51980798.20525524</v>
      </c>
      <c r="F69" s="202"/>
      <c r="G69" s="176"/>
      <c r="H69" s="174" t="s">
        <v>27</v>
      </c>
      <c r="I69" s="175"/>
      <c r="J69" s="175"/>
      <c r="K69" s="175"/>
      <c r="L69" s="203">
        <f>SUM(L65:L67)</f>
        <v>3482667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605623.28331126994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535016.82618006004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63350311.963378064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57657931.314746574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5107261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588110.89941041509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58246042.214156985</v>
      </c>
      <c r="G79" s="176" t="s">
        <v>29</v>
      </c>
      <c r="H79" s="175" t="s">
        <v>14</v>
      </c>
      <c r="I79" s="175"/>
      <c r="J79" s="175"/>
      <c r="K79" s="175"/>
      <c r="L79" s="213">
        <f>I23</f>
        <v>4204386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43529904.963372581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9734845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1422086.1892892376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62576396.963372581</v>
      </c>
      <c r="M83" s="86"/>
      <c r="N83" s="86"/>
      <c r="O83" s="107">
        <f>G58*D58</f>
        <v>394081.53082410007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0.98778356450000004</v>
      </c>
      <c r="K84" s="175"/>
      <c r="L84" s="210">
        <f>+(1-J84)*L73</f>
        <v>773915.00000548374</v>
      </c>
      <c r="M84" s="65"/>
      <c r="N84" s="65"/>
      <c r="O84" s="143">
        <f>G59*D59</f>
        <v>-194564.97089226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63350311.963378064</v>
      </c>
      <c r="M85" s="86"/>
      <c r="N85" s="86"/>
      <c r="O85" s="107">
        <f>SUM(O82:O84)</f>
        <v>1621602.7492210777</v>
      </c>
      <c r="P85" s="103">
        <f>I168+G174</f>
        <v>1621602.7492210777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43529904.963372581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3.3399999999999999E-2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3.2199999999999999E-2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43529904.963372581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1727957.5250728671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1621602.7492210777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1422086.1892892376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394081.53082410007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-194564.97089226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1621602.7492210777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1422086.1892892376</v>
      </c>
      <c r="E141" s="101">
        <f>(L58-E58)*D58</f>
        <v>394081.53082410007</v>
      </c>
      <c r="F141" s="101">
        <f>ROUND(D141+E141,0)</f>
        <v>1816168</v>
      </c>
      <c r="G141" s="145">
        <f>IF(E59&gt;0,0,O168)</f>
        <v>0</v>
      </c>
      <c r="H141" s="101">
        <f>(L59-E59)*D59</f>
        <v>-194564.97089226</v>
      </c>
      <c r="I141" s="101">
        <f>ROUND(D141+E141+H141,2)</f>
        <v>1621602.75</v>
      </c>
      <c r="J141" s="113">
        <f>I144+I145+I150+I151+I162+I163+I156+I157+I168</f>
        <v>1621602.7492210777</v>
      </c>
      <c r="K141" s="113"/>
      <c r="O141" s="146">
        <f>F141+G141</f>
        <v>1816168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427.36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73.230000000000018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427.36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211.97000000000003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1422086.1892892376</v>
      </c>
      <c r="E168" s="134">
        <f>IF(I141&lt;0,0,IF(AND(E59=0,I141&gt;=0),E141-E144-E145-E150-E151,IF(AND(E59&gt;0,I141&gt;=0),E141-E156-E157-E162-E163,0)))</f>
        <v>394081.53082410007</v>
      </c>
      <c r="F168" s="134"/>
      <c r="G168" s="134"/>
      <c r="H168" s="134">
        <f>IF(I141&lt;0,0,IF(AND(E59=0,I141&gt;=0),H141-H144-H145-H150-H151,IF(AND(E59&gt;0,I141&gt;=0),H141-H156-H157-H162-H163,0)))</f>
        <v>-194564.97089226</v>
      </c>
      <c r="I168" s="101">
        <f>IF(I141&gt;0,D168+E168+H168,0)</f>
        <v>1621602.7492210777</v>
      </c>
      <c r="L168" s="111"/>
      <c r="M168" s="111"/>
      <c r="N168" s="111"/>
      <c r="O168" s="113">
        <f>L147*D58</f>
        <v>208004.83279695007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301.05999999999949</v>
      </c>
      <c r="E169" s="8">
        <f>IF(E168=0,0,IF(I141&lt;0,0,L58-H58-E58))</f>
        <v>138.74</v>
      </c>
      <c r="F169" s="8"/>
      <c r="G169" s="8"/>
      <c r="H169" s="8">
        <f>IF(AND(E59=0,H141-I145=0),0,IF(I141&lt;0,0,IF(E59=0,(H168)/D59,IF(E59&gt;0,(H141-H156-H157-H162-H163)/D59,0))))</f>
        <v>-41.19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1621602.7492210777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138.74</v>
      </c>
      <c r="F171" s="101"/>
      <c r="G171" s="101"/>
      <c r="H171" s="101"/>
      <c r="I171" s="136" t="s">
        <v>283</v>
      </c>
      <c r="J171" s="103">
        <f>I144+I145+I168</f>
        <v>1621602.7492210777</v>
      </c>
      <c r="K171" s="103"/>
      <c r="L171" s="103">
        <f>L147+O167</f>
        <v>73.230000000000018</v>
      </c>
      <c r="M171" s="103"/>
      <c r="N171" s="103"/>
      <c r="O171" s="115">
        <f>O167*D58+L147*D59+O167*487.11</f>
        <v>345909.0269104201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1621602.7492210777</v>
      </c>
      <c r="M173" s="103"/>
      <c r="N173" s="103"/>
      <c r="O173" s="103">
        <f>L147*3232.0676</f>
        <v>236684.31034800006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236684.31034800006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1422086.1892892376</v>
      </c>
      <c r="E177" s="107">
        <f>E144+E145+E150+E151+E162+E163+E156+E157+E168</f>
        <v>394081.53082410007</v>
      </c>
      <c r="F177" s="107"/>
      <c r="G177" s="107"/>
      <c r="H177" s="107">
        <f>H144+H145+H156+H157+H168</f>
        <v>-194564.97089226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-55735.126200000006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-20064.0609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1422086.1892892376</v>
      </c>
      <c r="E180" s="101">
        <f>E141</f>
        <v>394081.53082410007</v>
      </c>
      <c r="F180" s="101"/>
      <c r="G180" s="101">
        <f>G141</f>
        <v>0</v>
      </c>
      <c r="H180" s="101">
        <f>H141</f>
        <v>-194564.97089226</v>
      </c>
      <c r="I180" s="101">
        <f>I141</f>
        <v>1621602.75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30678.87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245.2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32668.34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263.86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120456735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15296250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7933416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0.98778355949999996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2.6800000000000001E-2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2.5899999999999999E-2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30678.87</v>
      </c>
      <c r="F57" s="190"/>
      <c r="G57" s="191">
        <f>D169</f>
        <v>319.36110344628986</v>
      </c>
      <c r="H57" s="190">
        <f>IF(AND(E141&lt;0,E59&gt;0),D159+D165,IF(AND(E141&gt;0,E59&gt;0),D158+D164,IF(AND(E141&gt;0,E59=0),D146+D152,D147+D153)))</f>
        <v>1670.1088965537115</v>
      </c>
      <c r="I57" s="191">
        <f>D172</f>
        <v>0</v>
      </c>
      <c r="J57" s="190">
        <f>SUM(E57:I57)</f>
        <v>32668.34</v>
      </c>
      <c r="K57" s="190">
        <f>IF((+L57-J57)&gt;0,(L57-J57),0)</f>
        <v>0</v>
      </c>
      <c r="L57" s="192">
        <f>I15</f>
        <v>32668.34</v>
      </c>
      <c r="M57" s="102"/>
      <c r="N57" s="102"/>
      <c r="O57" s="102">
        <f>E57+H57+G57</f>
        <v>32668.34</v>
      </c>
      <c r="P57" s="108">
        <f>L57-E57</f>
        <v>1989.4700000000012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245.2</v>
      </c>
      <c r="F58" s="190"/>
      <c r="G58" s="191">
        <f>E169</f>
        <v>2.9954099284270512</v>
      </c>
      <c r="H58" s="190">
        <f>IF(AND(E141&lt;0,E59&gt;0),E159+E165,IF(AND(E141&gt;=0,E59&gt;0),E158+E164,IF(AND(E141&gt;=0,E59=0),E146+E152,E147+E153)))</f>
        <v>15.66459007157297</v>
      </c>
      <c r="I58" s="191">
        <f>E172</f>
        <v>0</v>
      </c>
      <c r="J58" s="190">
        <f>E58+H58+G58+I58</f>
        <v>263.86</v>
      </c>
      <c r="K58" s="190">
        <f>IF((+L58-J58)&gt;0,(L58-J58),0)</f>
        <v>0</v>
      </c>
      <c r="L58" s="192">
        <f>I16</f>
        <v>263.86</v>
      </c>
      <c r="M58" s="102"/>
      <c r="N58" s="102"/>
      <c r="O58" s="102">
        <f>IF(E59=0,J58+J59,J58)</f>
        <v>263.86</v>
      </c>
      <c r="P58" s="108">
        <f>L58+L59-E58</f>
        <v>18.660000000000025</v>
      </c>
      <c r="Q58" s="1">
        <f>L59*466-(P58)*487.11</f>
        <v>-9089.4726000000119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263.86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30924.07</v>
      </c>
      <c r="F61" s="190"/>
      <c r="G61" s="190">
        <f>SUM(G57:G60)</f>
        <v>322.35651337471688</v>
      </c>
      <c r="H61" s="190">
        <f>SUM(H57:H60)</f>
        <v>1685.7734866252845</v>
      </c>
      <c r="I61" s="190">
        <f>SUM(I57:I59)</f>
        <v>0</v>
      </c>
      <c r="J61" s="190">
        <f>SUM(J57:J60)</f>
        <v>32932.199999999997</v>
      </c>
      <c r="K61" s="190">
        <f>SUM(K57:K60)</f>
        <v>0</v>
      </c>
      <c r="L61" s="192">
        <f>SUM(L57:L60)</f>
        <v>32932.199999999997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11341234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144140862.68046421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1793980</v>
      </c>
      <c r="M66" s="163"/>
      <c r="N66" s="163"/>
      <c r="O66" s="152">
        <f>L66/487.11</f>
        <v>3682.9052985978524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7907782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144140862.68046421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143451421.06726062</v>
      </c>
      <c r="F69" s="202"/>
      <c r="G69" s="176"/>
      <c r="H69" s="174" t="s">
        <v>27</v>
      </c>
      <c r="I69" s="175"/>
      <c r="J69" s="175"/>
      <c r="K69" s="175"/>
      <c r="L69" s="203">
        <f>SUM(L65:L67)</f>
        <v>9701762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689441.61320359993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176220233.55598724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155482096.68046421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7888921.797642082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120456735</v>
      </c>
      <c r="M77" s="159"/>
      <c r="N77" s="159"/>
      <c r="O77" s="86">
        <f>H58*D58</f>
        <v>44494.202357917507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1585917.3861407351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157068014.06660494</v>
      </c>
      <c r="G79" s="176" t="s">
        <v>29</v>
      </c>
      <c r="H79" s="175" t="s">
        <v>14</v>
      </c>
      <c r="I79" s="175"/>
      <c r="J79" s="175"/>
      <c r="K79" s="175"/>
      <c r="L79" s="213">
        <f>I23</f>
        <v>15296250</v>
      </c>
      <c r="M79" s="159"/>
      <c r="N79" s="159"/>
      <c r="O79" s="86">
        <f>SUM(O76:O78)</f>
        <v>7933415.9999999991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11827939.55785441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26486525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1508533.2312733049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174067449.55785441</v>
      </c>
      <c r="M83" s="86"/>
      <c r="N83" s="86"/>
      <c r="O83" s="107">
        <f>G58*D58</f>
        <v>8508.2581089825599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0.98778355949999996</v>
      </c>
      <c r="K84" s="175"/>
      <c r="L84" s="210">
        <f>+(1-J84)*L73</f>
        <v>2152783.9981328282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7933415.9999999991</v>
      </c>
      <c r="G85" s="176"/>
      <c r="H85" s="174" t="s">
        <v>342</v>
      </c>
      <c r="I85" s="175"/>
      <c r="J85" s="175"/>
      <c r="K85" s="175"/>
      <c r="L85" s="213">
        <f>+L84+L83</f>
        <v>176220233.55598724</v>
      </c>
      <c r="M85" s="86"/>
      <c r="N85" s="86"/>
      <c r="O85" s="107">
        <f>SUM(O82:O84)</f>
        <v>1517041.4893822875</v>
      </c>
      <c r="P85" s="103">
        <f>I168+G174</f>
        <v>1517041.4893822873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7933415.9999999991</v>
      </c>
      <c r="G88" s="176" t="s">
        <v>28</v>
      </c>
      <c r="H88" s="175" t="s">
        <v>15</v>
      </c>
      <c r="I88" s="175"/>
      <c r="J88" s="175"/>
      <c r="K88" s="175"/>
      <c r="L88" s="210">
        <f>L80</f>
        <v>11827939.55785441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2.6800000000000001E-2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2.5899999999999999E-2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11827939.55785441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3771327.4901461015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1517041.4893822875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1508533.2312733047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8508.258108982569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7933416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1517041.4893822873</v>
      </c>
      <c r="G99" s="176"/>
      <c r="H99" s="174" t="s">
        <v>16</v>
      </c>
      <c r="I99" s="175"/>
      <c r="J99" s="175"/>
      <c r="K99" s="175"/>
      <c r="L99" s="203">
        <f>SUM(L96:L98)</f>
        <v>7933416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1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3402370</v>
      </c>
      <c r="J113" s="242">
        <f>SUM(B113:I113)</f>
        <v>11341234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11341234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7933416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9397455.0289153866</v>
      </c>
      <c r="E141" s="101">
        <f>(L58-E58)*D58</f>
        <v>53002.460466900076</v>
      </c>
      <c r="F141" s="101">
        <f>ROUND(D141+E141,0)</f>
        <v>9450457</v>
      </c>
      <c r="G141" s="145">
        <f>IF(E59&gt;0,0,O168)</f>
        <v>0</v>
      </c>
      <c r="H141" s="101">
        <f>(L59-E59)*D59</f>
        <v>0</v>
      </c>
      <c r="I141" s="101">
        <f>ROUND(D141+E141+H141,2)</f>
        <v>9450457.4900000002</v>
      </c>
      <c r="J141" s="113">
        <f>I144+I145+I150+I151+I162+I163+I156+I157+I168</f>
        <v>9450457.4893822856</v>
      </c>
      <c r="K141" s="113"/>
      <c r="O141" s="146">
        <f>F141+G141</f>
        <v>9450457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263.86</v>
      </c>
      <c r="M145" s="81"/>
      <c r="N145" s="81"/>
      <c r="O145" s="104">
        <f>D138/(D141+O168)*D141</f>
        <v>7933415.9999999991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7888921.797642082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44494.202357917507</v>
      </c>
      <c r="F150" s="112">
        <f>D150+E150</f>
        <v>7933415.9999999991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7933415.9999999991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263.86</v>
      </c>
      <c r="M151" s="81"/>
      <c r="N151" s="81"/>
      <c r="O151" s="104">
        <f>D138/(D141+O168)*D141</f>
        <v>7933415.9999999991</v>
      </c>
      <c r="P151" s="1" t="s">
        <v>239</v>
      </c>
    </row>
    <row r="152" spans="1:16">
      <c r="A152" s="23"/>
      <c r="B152" s="13" t="s">
        <v>244</v>
      </c>
      <c r="D152" s="8">
        <f>D150/D57</f>
        <v>1670.1088965537115</v>
      </c>
      <c r="E152" s="8">
        <f>E150/D58</f>
        <v>15.66459007157297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18.660000000000025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7888921.7971264366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1508533.2312733047</v>
      </c>
      <c r="E168" s="134">
        <f>IF(I141&lt;0,0,IF(AND(E59=0,I141&gt;=0),E141-E144-E145-E150-E151,IF(AND(E59&gt;0,I141&gt;=0),E141-E156-E157-E162-E163,0)))</f>
        <v>8508.258108982569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1517041.4893822873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319.36110344628986</v>
      </c>
      <c r="E169" s="8">
        <f>IF(E168=0,0,IF(I141&lt;0,0,L58-H58-E58))</f>
        <v>2.9954099284270512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9450457.4893822856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2.9954099284270548</v>
      </c>
      <c r="F171" s="101"/>
      <c r="G171" s="101"/>
      <c r="H171" s="101"/>
      <c r="I171" s="136" t="s">
        <v>283</v>
      </c>
      <c r="J171" s="103">
        <f>I144+I145+I168</f>
        <v>1517041.4893822873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1517041.4893822873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9397455.0289153866</v>
      </c>
      <c r="E177" s="107">
        <f>E144+E145+E150+E151+E162+E163+E156+E157+E168</f>
        <v>53002.460466900076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9397455.0289153866</v>
      </c>
      <c r="E180" s="101">
        <f>E141</f>
        <v>53002.460466900076</v>
      </c>
      <c r="F180" s="101"/>
      <c r="G180" s="101">
        <f>G141</f>
        <v>0</v>
      </c>
      <c r="H180" s="101">
        <f>H141</f>
        <v>0</v>
      </c>
      <c r="I180" s="101">
        <f>I141</f>
        <v>9450457.4900000002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5193.76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22.84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5990.1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69.900000000000006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4544836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1020592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3943732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0.98778355380000005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5193.76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796.34000000000015</v>
      </c>
      <c r="I57" s="191">
        <f>D172</f>
        <v>0</v>
      </c>
      <c r="J57" s="190">
        <f>SUM(E57:I57)</f>
        <v>5990.1</v>
      </c>
      <c r="K57" s="190">
        <f>IF((+L57-J57)&gt;0,(L57-J57),0)</f>
        <v>0</v>
      </c>
      <c r="L57" s="192">
        <f>I15</f>
        <v>5990.1</v>
      </c>
      <c r="M57" s="102"/>
      <c r="N57" s="102"/>
      <c r="O57" s="102">
        <f>E57+H57+G57</f>
        <v>5990.1</v>
      </c>
      <c r="P57" s="108">
        <f>L57-E57</f>
        <v>796.34000000000015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22.84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47.06</v>
      </c>
      <c r="I58" s="191">
        <f>E172</f>
        <v>0</v>
      </c>
      <c r="J58" s="190">
        <f>E58+H58+G58+I58</f>
        <v>69.900000000000006</v>
      </c>
      <c r="K58" s="190">
        <f>IF((+L58-J58)&gt;0,(L58-J58),0)</f>
        <v>0</v>
      </c>
      <c r="L58" s="192">
        <f>I16</f>
        <v>69.900000000000006</v>
      </c>
      <c r="M58" s="102"/>
      <c r="N58" s="102"/>
      <c r="O58" s="102">
        <f>IF(E59=0,J58+J59,J58)</f>
        <v>69.900000000000006</v>
      </c>
      <c r="P58" s="108">
        <f>L58+L59-E58</f>
        <v>47.06</v>
      </c>
      <c r="Q58" s="1">
        <f>L59*466-(P58)*487.11</f>
        <v>-22923.3966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69.900000000000006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5216.6000000000004</v>
      </c>
      <c r="F61" s="190"/>
      <c r="G61" s="190">
        <f>SUM(G57:G60)</f>
        <v>0</v>
      </c>
      <c r="H61" s="190">
        <f>SUM(H57:H60)</f>
        <v>843.40000000000009</v>
      </c>
      <c r="I61" s="190">
        <f>SUM(I57:I59)</f>
        <v>0</v>
      </c>
      <c r="J61" s="190">
        <f>SUM(J57:J60)</f>
        <v>6060</v>
      </c>
      <c r="K61" s="190">
        <f>SUM(K57:K60)</f>
        <v>0</v>
      </c>
      <c r="L61" s="192">
        <f>SUM(L57:L60)</f>
        <v>6060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24349738.51812188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329653</v>
      </c>
      <c r="M66" s="163"/>
      <c r="N66" s="163"/>
      <c r="O66" s="152">
        <f>L66/487.11</f>
        <v>676.75268419864096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1516342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24349738.51812188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24285518.100317761</v>
      </c>
      <c r="F69" s="202"/>
      <c r="G69" s="176"/>
      <c r="H69" s="174" t="s">
        <v>27</v>
      </c>
      <c r="I69" s="175"/>
      <c r="J69" s="175"/>
      <c r="K69" s="175"/>
      <c r="L69" s="203">
        <f>SUM(L65:L67)</f>
        <v>1845995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64220.417804119999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33776435.190529987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27752108.51812188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3761589.4372503608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4544836</v>
      </c>
      <c r="M77" s="159"/>
      <c r="N77" s="159"/>
      <c r="O77" s="86">
        <f>H58*D58</f>
        <v>133670.72827290001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283071.50688484317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28035180.025006723</v>
      </c>
      <c r="G79" s="176" t="s">
        <v>29</v>
      </c>
      <c r="H79" s="175" t="s">
        <v>14</v>
      </c>
      <c r="I79" s="175"/>
      <c r="J79" s="175"/>
      <c r="K79" s="175"/>
      <c r="L79" s="213">
        <f>I23</f>
        <v>1020592</v>
      </c>
      <c r="M79" s="159"/>
      <c r="N79" s="159"/>
      <c r="O79" s="86">
        <f>SUM(O76:O78)</f>
        <v>3895260.1655232608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22407086.187197093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5391293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33363807.187197093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0.98778355380000005</v>
      </c>
      <c r="K84" s="175"/>
      <c r="L84" s="210">
        <f>+(1-J84)*L73</f>
        <v>412628.00333289476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3895260.1655232608</v>
      </c>
      <c r="G85" s="176"/>
      <c r="H85" s="174" t="s">
        <v>342</v>
      </c>
      <c r="I85" s="175"/>
      <c r="J85" s="175"/>
      <c r="K85" s="175"/>
      <c r="L85" s="213">
        <f>+L84+L83</f>
        <v>33776435.190529987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3895260.1655232608</v>
      </c>
      <c r="G88" s="176" t="s">
        <v>28</v>
      </c>
      <c r="H88" s="175" t="s">
        <v>15</v>
      </c>
      <c r="I88" s="175"/>
      <c r="J88" s="175"/>
      <c r="K88" s="175"/>
      <c r="L88" s="210">
        <f>L80</f>
        <v>22407086.187197093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22407086.187197093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245981.05940015643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3943732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3943732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3943732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3761589.4372503608</v>
      </c>
      <c r="E141" s="101">
        <f>(L58-E58)*D58</f>
        <v>133670.72827290001</v>
      </c>
      <c r="F141" s="101">
        <f>ROUND(D141+E141,0)</f>
        <v>3895260</v>
      </c>
      <c r="G141" s="145">
        <f>IF(E59&gt;0,0,O168)</f>
        <v>0</v>
      </c>
      <c r="H141" s="101">
        <f>(L59-E59)*D59</f>
        <v>0</v>
      </c>
      <c r="I141" s="101">
        <f>ROUND(D141+E141+H141,2)</f>
        <v>3895260.17</v>
      </c>
      <c r="J141" s="113">
        <f>I144+I145+I150+I151+I162+I163+I156+I157+I168</f>
        <v>3895260.1655232608</v>
      </c>
      <c r="K141" s="113"/>
      <c r="O141" s="146">
        <f>F141+G141</f>
        <v>3895260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3761589.4372503608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133670.72827290001</v>
      </c>
      <c r="F144" s="112">
        <f>D144+E144</f>
        <v>3895260.1655232608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3895260.1655232608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69.900000000000006</v>
      </c>
      <c r="M145" s="81"/>
      <c r="N145" s="81"/>
      <c r="O145" s="104">
        <f>D138/(D141+O168)*D141</f>
        <v>3943732</v>
      </c>
      <c r="P145" s="1" t="s">
        <v>239</v>
      </c>
    </row>
    <row r="146" spans="1:16">
      <c r="A146" s="23"/>
      <c r="B146" s="13" t="s">
        <v>244</v>
      </c>
      <c r="D146" s="8">
        <f>D144/D57</f>
        <v>796.34000000000015</v>
      </c>
      <c r="E146" s="8">
        <f>E144/D58</f>
        <v>47.06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69.900000000000006</v>
      </c>
      <c r="M151" s="81"/>
      <c r="N151" s="81"/>
      <c r="O151" s="104">
        <f>D138/(D141+O168)*D141</f>
        <v>3943732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47.06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3808397.8956779768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3895260.1655232608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3895260.1655232608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3895260.1655232608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3761589.4372503608</v>
      </c>
      <c r="E177" s="107">
        <f>E144+E145+E150+E151+E162+E163+E156+E157+E168</f>
        <v>133670.72827290001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3761589.4372503608</v>
      </c>
      <c r="E180" s="101">
        <f>E141</f>
        <v>133670.72827290001</v>
      </c>
      <c r="F180" s="101"/>
      <c r="G180" s="101">
        <f>G141</f>
        <v>0</v>
      </c>
      <c r="H180" s="101">
        <f>H141</f>
        <v>0</v>
      </c>
      <c r="I180" s="101">
        <f>I141</f>
        <v>3895260.17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24271.62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105.94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28247.919999999998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119.76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91155157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15683715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20637550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0.98778356160000003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2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1.6799999999999999E-2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1.6400000000000001E-2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24271.62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3976.2999999999993</v>
      </c>
      <c r="I57" s="191">
        <f>D172</f>
        <v>0</v>
      </c>
      <c r="J57" s="190">
        <f>SUM(E57:I57)</f>
        <v>28247.919999999998</v>
      </c>
      <c r="K57" s="190">
        <f>IF((+L57-J57)&gt;0,(L57-J57),0)</f>
        <v>0</v>
      </c>
      <c r="L57" s="192">
        <f>I15</f>
        <v>28247.919999999998</v>
      </c>
      <c r="M57" s="102"/>
      <c r="N57" s="102"/>
      <c r="O57" s="102">
        <f>E57+H57+G57</f>
        <v>28247.919999999998</v>
      </c>
      <c r="P57" s="108">
        <f>L57-E57</f>
        <v>3976.2999999999993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105.94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13.820000000000007</v>
      </c>
      <c r="I58" s="191">
        <f>E172</f>
        <v>0</v>
      </c>
      <c r="J58" s="190">
        <f>E58+H58+G58+I58</f>
        <v>119.76</v>
      </c>
      <c r="K58" s="190">
        <f>IF((+L58-J58)&gt;0,(L58-J58),0)</f>
        <v>0</v>
      </c>
      <c r="L58" s="192">
        <f>I16</f>
        <v>119.76</v>
      </c>
      <c r="M58" s="102"/>
      <c r="N58" s="102"/>
      <c r="O58" s="102">
        <f>IF(E59=0,J58+J59,J58)</f>
        <v>119.76</v>
      </c>
      <c r="P58" s="108">
        <f>L58+L59-E58</f>
        <v>13.820000000000007</v>
      </c>
      <c r="Q58" s="1">
        <f>L59*466-(P58)*487.11</f>
        <v>-6731.8602000000037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119.76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24377.559999999998</v>
      </c>
      <c r="F61" s="190"/>
      <c r="G61" s="190">
        <f>SUM(G57:G60)</f>
        <v>0</v>
      </c>
      <c r="H61" s="190">
        <f>SUM(H57:H60)</f>
        <v>3990.1199999999994</v>
      </c>
      <c r="I61" s="190">
        <f>SUM(I57:I59)</f>
        <v>0</v>
      </c>
      <c r="J61" s="190">
        <f>SUM(J57:J60)</f>
        <v>28367.679999999997</v>
      </c>
      <c r="K61" s="190">
        <f>SUM(K57:K60)</f>
        <v>0</v>
      </c>
      <c r="L61" s="192">
        <f>SUM(L57:L60)</f>
        <v>28367.679999999997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13042418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113789618.42065454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1547671</v>
      </c>
      <c r="M66" s="163"/>
      <c r="N66" s="163"/>
      <c r="O66" s="152">
        <f>L66/487.11</f>
        <v>3177.251544825604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6978374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113789618.42065454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113491741.40392211</v>
      </c>
      <c r="F69" s="202"/>
      <c r="G69" s="176"/>
      <c r="H69" s="174" t="s">
        <v>27</v>
      </c>
      <c r="I69" s="175"/>
      <c r="J69" s="175"/>
      <c r="K69" s="175"/>
      <c r="L69" s="203">
        <f>SUM(L65:L67)</f>
        <v>8526045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297877.01673242002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155473462.72298172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126832036.42065454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18782439.761080198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91155157</v>
      </c>
      <c r="M77" s="159"/>
      <c r="N77" s="159"/>
      <c r="O77" s="86">
        <f>H58*D58</f>
        <v>39254.769756300026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1293686.7714906763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128125723.19214521</v>
      </c>
      <c r="G79" s="176" t="s">
        <v>29</v>
      </c>
      <c r="H79" s="175" t="s">
        <v>14</v>
      </c>
      <c r="I79" s="175"/>
      <c r="J79" s="175"/>
      <c r="K79" s="175"/>
      <c r="L79" s="213">
        <f>I23</f>
        <v>15683715</v>
      </c>
      <c r="M79" s="159"/>
      <c r="N79" s="159"/>
      <c r="O79" s="86">
        <f>SUM(O76:O78)</f>
        <v>18821694.530836497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23727223.742791723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23008035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153574130.74279171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0.98778356160000003</v>
      </c>
      <c r="K84" s="175"/>
      <c r="L84" s="210">
        <f>+(1-J84)*L73</f>
        <v>1899331.9801899984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18821694.530836497</v>
      </c>
      <c r="G85" s="176"/>
      <c r="H85" s="174" t="s">
        <v>342</v>
      </c>
      <c r="I85" s="175"/>
      <c r="J85" s="175"/>
      <c r="K85" s="175"/>
      <c r="L85" s="213">
        <f>+L84+L83</f>
        <v>155473462.72298172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18821694.530836497</v>
      </c>
      <c r="G88" s="176" t="s">
        <v>28</v>
      </c>
      <c r="H88" s="175" t="s">
        <v>15</v>
      </c>
      <c r="I88" s="175"/>
      <c r="J88" s="175"/>
      <c r="K88" s="175"/>
      <c r="L88" s="210">
        <f>L80</f>
        <v>23727223.742791723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1.6799999999999999E-2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1.6400000000000001E-2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23727223.742791723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1885184.4762898588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20637550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20637550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2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6804740</v>
      </c>
      <c r="J113" s="242">
        <f>SUM(B113:I113)</f>
        <v>10774172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2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2268246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2268246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13042418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20637550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18782439.761080198</v>
      </c>
      <c r="E141" s="101">
        <f>(L58-E58)*D58</f>
        <v>39254.769756300026</v>
      </c>
      <c r="F141" s="101">
        <f>ROUND(D141+E141,0)</f>
        <v>18821695</v>
      </c>
      <c r="G141" s="145">
        <f>IF(E59&gt;0,0,O168)</f>
        <v>0</v>
      </c>
      <c r="H141" s="101">
        <f>(L59-E59)*D59</f>
        <v>0</v>
      </c>
      <c r="I141" s="101">
        <f>ROUND(D141+E141+H141,2)</f>
        <v>18821694.530000001</v>
      </c>
      <c r="J141" s="113">
        <f>I144+I145+I150+I151+I162+I163+I156+I157+I168</f>
        <v>18821694.530836497</v>
      </c>
      <c r="K141" s="113"/>
      <c r="O141" s="146">
        <f>F141+G141</f>
        <v>18821695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18782439.761080198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39254.769756300026</v>
      </c>
      <c r="F144" s="112">
        <f>D144+E144</f>
        <v>18821694.530836497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18821694.530836497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119.76</v>
      </c>
      <c r="M145" s="81"/>
      <c r="N145" s="81"/>
      <c r="O145" s="104">
        <f>D138/(D141+O168)*D141</f>
        <v>20637550</v>
      </c>
      <c r="P145" s="1" t="s">
        <v>239</v>
      </c>
    </row>
    <row r="146" spans="1:16">
      <c r="A146" s="23"/>
      <c r="B146" s="13" t="s">
        <v>244</v>
      </c>
      <c r="D146" s="8">
        <f>D144/D57</f>
        <v>3976.2999999999993</v>
      </c>
      <c r="E146" s="8">
        <f>E144/D58</f>
        <v>13.820000000000007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119.76</v>
      </c>
      <c r="M151" s="81"/>
      <c r="N151" s="81"/>
      <c r="O151" s="104">
        <f>D138/(D141+O168)*D141</f>
        <v>20637550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13.820000000000007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20594508.059486639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18821694.530836497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18821694.530836497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18821694.530836497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18782439.761080198</v>
      </c>
      <c r="E177" s="107">
        <f>E144+E145+E150+E151+E162+E163+E156+E157+E168</f>
        <v>39254.769756300026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18782439.761080198</v>
      </c>
      <c r="E180" s="101">
        <f>E141</f>
        <v>39254.769756300026</v>
      </c>
      <c r="F180" s="101"/>
      <c r="G180" s="101">
        <f>G141</f>
        <v>0</v>
      </c>
      <c r="H180" s="101">
        <f>H141</f>
        <v>0</v>
      </c>
      <c r="I180" s="101">
        <f>I141</f>
        <v>18821694.530000001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1350.95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68.14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4.66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1404.29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74.92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2.29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1322716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196000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726522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0.98778359630000001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1350.95</v>
      </c>
      <c r="F57" s="190"/>
      <c r="G57" s="191">
        <f>D169</f>
        <v>2.2017135998863067</v>
      </c>
      <c r="H57" s="190">
        <f>IF(AND(E141&lt;0,E59&gt;0),D159+D165,IF(AND(E141&gt;0,E59&gt;0),D158+D164,IF(AND(E141&gt;0,E59=0),D146+D152,D147+D153)))</f>
        <v>51.138286400113614</v>
      </c>
      <c r="I57" s="191">
        <f>D172</f>
        <v>0</v>
      </c>
      <c r="J57" s="190">
        <f>SUM(E57:I57)</f>
        <v>1404.29</v>
      </c>
      <c r="K57" s="190">
        <f>IF((+L57-J57)&gt;0,(L57-J57),0)</f>
        <v>0</v>
      </c>
      <c r="L57" s="192">
        <f>I15</f>
        <v>1404.29</v>
      </c>
      <c r="M57" s="102"/>
      <c r="N57" s="102"/>
      <c r="O57" s="102">
        <f>E57+H57+G57</f>
        <v>1404.29</v>
      </c>
      <c r="P57" s="108">
        <f>L57-E57</f>
        <v>53.339999999999918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68.14</v>
      </c>
      <c r="F58" s="190"/>
      <c r="G58" s="191">
        <f>E169</f>
        <v>0.27985785915315375</v>
      </c>
      <c r="H58" s="190">
        <f>IF(AND(E141&lt;0,E59&gt;0),E159+E165,IF(AND(E141&gt;=0,E59&gt;0),E158+E164,IF(AND(E141&gt;=0,E59=0),E146+E152,E147+E153)))</f>
        <v>6.5001421408468474</v>
      </c>
      <c r="I58" s="191">
        <f>E172</f>
        <v>0</v>
      </c>
      <c r="J58" s="190">
        <f>E58+H58+G58+I58</f>
        <v>74.92</v>
      </c>
      <c r="K58" s="190">
        <f>IF((+L58-J58)&gt;0,(L58-J58),0)</f>
        <v>0</v>
      </c>
      <c r="L58" s="192">
        <f>I16</f>
        <v>74.92</v>
      </c>
      <c r="M58" s="102"/>
      <c r="N58" s="102"/>
      <c r="O58" s="102">
        <f>IF(E59=0,J58+J59,J58)</f>
        <v>74.92</v>
      </c>
      <c r="P58" s="108">
        <f>L58+L59-E58</f>
        <v>9.0700000000000074</v>
      </c>
      <c r="Q58" s="1">
        <f>L59*466-(P58)*487.11</f>
        <v>-3350.9477000000034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4.66</v>
      </c>
      <c r="F59" s="190"/>
      <c r="G59" s="191">
        <f>H169</f>
        <v>-2.37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2.29</v>
      </c>
      <c r="K59" s="190">
        <f>IF((+L59-J59)&gt;0,(L59-J59),0)</f>
        <v>0</v>
      </c>
      <c r="L59" s="192">
        <f>I17</f>
        <v>2.29</v>
      </c>
      <c r="M59" s="102"/>
      <c r="N59" s="102"/>
      <c r="O59" s="102">
        <f>IF(E59=0,L58+L59,L59)</f>
        <v>2.29</v>
      </c>
      <c r="P59" s="108">
        <f>L59-E59</f>
        <v>-2.37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1423.7500000000002</v>
      </c>
      <c r="F61" s="190"/>
      <c r="G61" s="190">
        <f>SUM(G57:G60)</f>
        <v>0.11157145903946031</v>
      </c>
      <c r="H61" s="190">
        <f>SUM(H57:H60)</f>
        <v>57.638428540960462</v>
      </c>
      <c r="I61" s="190">
        <f>SUM(I57:I59)</f>
        <v>0</v>
      </c>
      <c r="J61" s="190">
        <f>SUM(J57:J60)</f>
        <v>1481.5</v>
      </c>
      <c r="K61" s="190">
        <f>SUM(K57:K60)</f>
        <v>0</v>
      </c>
      <c r="L61" s="192">
        <f>SUM(L57:L60)</f>
        <v>1481.5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1115.4819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-1115.4819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6530293.688772101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79331</v>
      </c>
      <c r="M66" s="163"/>
      <c r="N66" s="163"/>
      <c r="O66" s="152">
        <f>L66/487.11</f>
        <v>162.86054484613331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1061697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6530293.688772101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6316911.1929747006</v>
      </c>
      <c r="F69" s="202"/>
      <c r="G69" s="176"/>
      <c r="H69" s="174" t="s">
        <v>27</v>
      </c>
      <c r="I69" s="175"/>
      <c r="J69" s="175"/>
      <c r="K69" s="175"/>
      <c r="L69" s="203">
        <f>SUM(L65:L67)</f>
        <v>1141028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191592.78761702002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21789.708180380003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12007870.771556657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10499725.688772101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241556.66921384222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1322716</v>
      </c>
      <c r="M77" s="159"/>
      <c r="N77" s="159"/>
      <c r="O77" s="86">
        <f>H58*D58</f>
        <v>18463.21151390492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107097.20202547543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10606822.890797576</v>
      </c>
      <c r="G79" s="176" t="s">
        <v>29</v>
      </c>
      <c r="H79" s="175" t="s">
        <v>14</v>
      </c>
      <c r="I79" s="175"/>
      <c r="J79" s="175"/>
      <c r="K79" s="175"/>
      <c r="L79" s="213">
        <f>I23</f>
        <v>196000</v>
      </c>
      <c r="M79" s="159"/>
      <c r="N79" s="159"/>
      <c r="O79" s="86">
        <f>SUM(O76:O78)</f>
        <v>260019.88072774714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8398342.77463389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1944119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10400.008314517414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11861177.77463389</v>
      </c>
      <c r="M83" s="86"/>
      <c r="N83" s="86"/>
      <c r="O83" s="107">
        <f>G58*D58</f>
        <v>794.9172087950858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0.98778359630000001</v>
      </c>
      <c r="K84" s="175"/>
      <c r="L84" s="210">
        <f>+(1-J84)*L73</f>
        <v>146692.99692276647</v>
      </c>
      <c r="M84" s="65"/>
      <c r="N84" s="65"/>
      <c r="O84" s="143">
        <f>G59*D59</f>
        <v>-11194.925491980001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260019.88072774714</v>
      </c>
      <c r="G85" s="176"/>
      <c r="H85" s="174" t="s">
        <v>342</v>
      </c>
      <c r="I85" s="175"/>
      <c r="J85" s="175"/>
      <c r="K85" s="175"/>
      <c r="L85" s="213">
        <f>+L84+L83</f>
        <v>12007870.771556657</v>
      </c>
      <c r="M85" s="86"/>
      <c r="N85" s="86"/>
      <c r="O85" s="107">
        <f>SUM(O82:O84)</f>
        <v>3.1332499929703772E-5</v>
      </c>
      <c r="P85" s="103">
        <f>I168+G174</f>
        <v>3.1332496291724965E-5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260019.88072774714</v>
      </c>
      <c r="G88" s="176" t="s">
        <v>28</v>
      </c>
      <c r="H88" s="175" t="s">
        <v>15</v>
      </c>
      <c r="I88" s="175"/>
      <c r="J88" s="175"/>
      <c r="K88" s="175"/>
      <c r="L88" s="210">
        <f>L80</f>
        <v>8398342.77463389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8398342.77463389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65969.027075900405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3.1332499929703772E-5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10400.008314517414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794.91720879508284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255801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-11194.925491980001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470721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3.1332496291724965E-5</v>
      </c>
      <c r="G99" s="176"/>
      <c r="H99" s="174" t="s">
        <v>16</v>
      </c>
      <c r="I99" s="175"/>
      <c r="J99" s="175"/>
      <c r="K99" s="175"/>
      <c r="L99" s="203">
        <f>SUM(L96:L98)</f>
        <v>726522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726522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251956.67752835964</v>
      </c>
      <c r="E141" s="101">
        <f>(L58-E58)*D58</f>
        <v>19258.128722700003</v>
      </c>
      <c r="F141" s="101">
        <f>ROUND(D141+E141,0)</f>
        <v>271215</v>
      </c>
      <c r="G141" s="145">
        <f>IF(E59&gt;0,0,O168)</f>
        <v>0</v>
      </c>
      <c r="H141" s="101">
        <f>(L59-E59)*D59</f>
        <v>-11194.925491980001</v>
      </c>
      <c r="I141" s="101">
        <f>ROUND(D141+E141+H141,2)</f>
        <v>260019.88</v>
      </c>
      <c r="J141" s="113">
        <f>I144+I145+I150+I151+I162+I163+I156+I157+I168</f>
        <v>260019.88075907962</v>
      </c>
      <c r="K141" s="113"/>
      <c r="O141" s="146">
        <f>F141+G141</f>
        <v>271215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77.210000000000008</v>
      </c>
      <c r="M145" s="81"/>
      <c r="N145" s="81"/>
      <c r="O145" s="104">
        <f>D138/(D141+O168)*D141</f>
        <v>708237.91738106403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2.2900000000000063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77.210000000000008</v>
      </c>
      <c r="M151" s="81"/>
      <c r="N151" s="81"/>
      <c r="O151" s="104">
        <f>D138/(D141+O168)*D141</f>
        <v>708237.91738106403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9.0700000000000074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703992.59191742924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241556.66921384222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18463.21151390492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260019.88072774714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51.138286400113614</v>
      </c>
      <c r="E164" s="8">
        <f>E162/D58</f>
        <v>6.5001421408468474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-6.2172489379008766E-15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10400.008314517414</v>
      </c>
      <c r="E168" s="134">
        <f>IF(I141&lt;0,0,IF(AND(E59=0,I141&gt;=0),E141-E144-E145-E150-E151,IF(AND(E59&gt;0,I141&gt;=0),E141-E156-E157-E162-E163,0)))</f>
        <v>794.91720879508284</v>
      </c>
      <c r="F168" s="134"/>
      <c r="G168" s="134"/>
      <c r="H168" s="134">
        <f>IF(I141&lt;0,0,IF(AND(E59=0,I141&gt;=0),H141-H144-H145-H150-H151,IF(AND(E59&gt;0,I141&gt;=0),H141-H156-H157-H162-H163,0)))</f>
        <v>-11194.925491980001</v>
      </c>
      <c r="I168" s="101">
        <f>IF(I141&gt;0,D168+E168+H168,0)</f>
        <v>3.1332496291724965E-5</v>
      </c>
      <c r="L168" s="111"/>
      <c r="M168" s="111"/>
      <c r="N168" s="111"/>
      <c r="O168" s="113">
        <f>L147*D58</f>
        <v>6504.5891998500183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2.2017135998863067</v>
      </c>
      <c r="E169" s="8">
        <f>IF(E168=0,0,IF(I141&lt;0,0,L58-H58-E58))</f>
        <v>0.27985785915315375</v>
      </c>
      <c r="F169" s="8"/>
      <c r="G169" s="8"/>
      <c r="H169" s="8">
        <f>IF(AND(E59=0,H141-I145=0),0,IF(I141&lt;0,0,IF(E59=0,(H168)/D59,IF(E59&gt;0,(H141-H156-H157-H162-H163)/D59,0))))</f>
        <v>-2.37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260019.88075907962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0.2798578591531527</v>
      </c>
      <c r="F171" s="101"/>
      <c r="G171" s="101"/>
      <c r="H171" s="101"/>
      <c r="I171" s="136" t="s">
        <v>283</v>
      </c>
      <c r="J171" s="103">
        <f>I144+I145+I168</f>
        <v>3.1332496291724965E-5</v>
      </c>
      <c r="K171" s="103"/>
      <c r="L171" s="103">
        <f>L147+O167</f>
        <v>2.29</v>
      </c>
      <c r="M171" s="103"/>
      <c r="N171" s="103"/>
      <c r="O171" s="115">
        <f>O167*D58+L147*D59+O167*487.11</f>
        <v>10817.037711660008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-3.028484130140896E-12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3.1332493263240838E-5</v>
      </c>
      <c r="M173" s="103"/>
      <c r="N173" s="103"/>
      <c r="O173" s="103">
        <f>L147*3232.0676</f>
        <v>7401.4348040000195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-1.7066085966632728E-11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-3.028484130140896E-12</v>
      </c>
      <c r="O175" s="103">
        <f>O173+O174</f>
        <v>7401.4348040000023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251956.67752835964</v>
      </c>
      <c r="E177" s="107">
        <f>E144+E145+E150+E151+E162+E163+E156+E157+E168</f>
        <v>19258.128722700003</v>
      </c>
      <c r="F177" s="107"/>
      <c r="G177" s="107"/>
      <c r="H177" s="107">
        <f>H144+H145+H156+H157+H168</f>
        <v>-11194.925491980001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-2269.9326000000033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-1154.4507000000001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251956.67752835964</v>
      </c>
      <c r="E180" s="101">
        <f>E141</f>
        <v>19258.128722700003</v>
      </c>
      <c r="F180" s="101"/>
      <c r="G180" s="101">
        <f>G141</f>
        <v>0</v>
      </c>
      <c r="H180" s="101">
        <f>H141</f>
        <v>-11194.925491980001</v>
      </c>
      <c r="I180" s="101">
        <f>I141</f>
        <v>260019.88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7341.4570000000003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37.409999999999997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521.4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7545.45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328.04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304.8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24224750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2185761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0.98778356899999997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9.0999999999999998E-2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8.6800000000000002E-2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7341.4570000000003</v>
      </c>
      <c r="F57" s="190"/>
      <c r="G57" s="191">
        <f>D169</f>
        <v>203.99299999999948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7545.45</v>
      </c>
      <c r="K57" s="190">
        <f>IF((+L57-J57)&gt;0,(L57-J57),0)</f>
        <v>0</v>
      </c>
      <c r="L57" s="192">
        <f>I15</f>
        <v>7545.45</v>
      </c>
      <c r="M57" s="102"/>
      <c r="N57" s="102"/>
      <c r="O57" s="102">
        <f>E57+H57+G57</f>
        <v>7545.45</v>
      </c>
      <c r="P57" s="108">
        <f>L57-E57</f>
        <v>203.99299999999948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37.409999999999997</v>
      </c>
      <c r="F58" s="190"/>
      <c r="G58" s="191">
        <f>E169</f>
        <v>290.63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328.03999999999996</v>
      </c>
      <c r="K58" s="190">
        <f>IF((+L58-J58)&gt;0,(L58-J58),0)</f>
        <v>5.6843418860808015E-14</v>
      </c>
      <c r="L58" s="192">
        <f>I16</f>
        <v>328.04</v>
      </c>
      <c r="M58" s="102"/>
      <c r="N58" s="102"/>
      <c r="O58" s="102">
        <f>IF(E59=0,J58+J59,J58)</f>
        <v>328.03999999999996</v>
      </c>
      <c r="P58" s="108">
        <f>L58+L59-E58</f>
        <v>595.43000000000006</v>
      </c>
      <c r="Q58" s="1">
        <f>L59*466-(P58)*487.11</f>
        <v>-148003.1073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521.4</v>
      </c>
      <c r="F59" s="190"/>
      <c r="G59" s="191">
        <f>H169</f>
        <v>-216.59999999999997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304.8</v>
      </c>
      <c r="K59" s="190">
        <f>IF((+L59-J59)&gt;0,(L59-J59),0)</f>
        <v>0</v>
      </c>
      <c r="L59" s="192">
        <f>I17</f>
        <v>304.8</v>
      </c>
      <c r="M59" s="102"/>
      <c r="N59" s="102"/>
      <c r="O59" s="102">
        <f>IF(E59=0,L58+L59,L59)</f>
        <v>304.8</v>
      </c>
      <c r="P59" s="108">
        <f>L59-E59</f>
        <v>-216.59999999999997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7900.2669999999998</v>
      </c>
      <c r="F61" s="190"/>
      <c r="G61" s="190">
        <f>SUM(G57:G60)</f>
        <v>278.02299999999951</v>
      </c>
      <c r="H61" s="190">
        <f>SUM(H57:H60)</f>
        <v>0</v>
      </c>
      <c r="I61" s="190">
        <f>SUM(I57:I59)</f>
        <v>0</v>
      </c>
      <c r="J61" s="190">
        <f>SUM(J57:J60)</f>
        <v>8178.29</v>
      </c>
      <c r="K61" s="190">
        <f>SUM(K57:K60)</f>
        <v>5.6843418860808015E-14</v>
      </c>
      <c r="L61" s="192">
        <f>SUM(L57:L60)</f>
        <v>8178.29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148471.128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</v>
      </c>
      <c r="G65" s="176" t="s">
        <v>28</v>
      </c>
      <c r="H65" s="175" t="s">
        <v>336</v>
      </c>
      <c r="I65" s="175"/>
      <c r="J65" s="175"/>
      <c r="K65" s="175"/>
      <c r="L65" s="205">
        <v>-1150846</v>
      </c>
      <c r="M65" s="66"/>
      <c r="N65" s="66"/>
      <c r="O65" s="154"/>
      <c r="P65" s="140">
        <f>L71-P64</f>
        <v>-148471.128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36871144.493968219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439793</v>
      </c>
      <c r="M66" s="163"/>
      <c r="N66" s="163"/>
      <c r="O66" s="152">
        <f>L66/487.11</f>
        <v>902.86177660076771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1968428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36871144.493968219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34327941.001548886</v>
      </c>
      <c r="F69" s="202"/>
      <c r="G69" s="176"/>
      <c r="H69" s="174" t="s">
        <v>27</v>
      </c>
      <c r="I69" s="175"/>
      <c r="J69" s="175"/>
      <c r="K69" s="175"/>
      <c r="L69" s="203">
        <f>SUM(L65:L67)</f>
        <v>1257375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105187.64579913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2438015.8466202002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42707643.693213463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40273514.493968219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24224750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410789.84783847583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40684304.341806695</v>
      </c>
      <c r="G79" s="176" t="s">
        <v>29</v>
      </c>
      <c r="H79" s="175" t="s">
        <v>14</v>
      </c>
      <c r="I79" s="175"/>
      <c r="J79" s="175"/>
      <c r="K79" s="175"/>
      <c r="L79" s="213">
        <f>I23</f>
        <v>2185761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9105889.7108627334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6669508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963580.7746352196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42185908.710862733</v>
      </c>
      <c r="M83" s="86"/>
      <c r="N83" s="86"/>
      <c r="O83" s="107">
        <f>G58*D58</f>
        <v>825514.74198795005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0.98778356899999997</v>
      </c>
      <c r="K84" s="175"/>
      <c r="L84" s="210">
        <f>+(1-J84)*L73</f>
        <v>521734.98235072859</v>
      </c>
      <c r="M84" s="65"/>
      <c r="N84" s="65"/>
      <c r="O84" s="143">
        <f>G59*D59</f>
        <v>-1023131.1652163999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42707643.693213463</v>
      </c>
      <c r="M85" s="86"/>
      <c r="N85" s="86"/>
      <c r="O85" s="107">
        <f>SUM(O82:O84)</f>
        <v>765964.35140676971</v>
      </c>
      <c r="P85" s="103">
        <f>I168+G174</f>
        <v>765964.35140676971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9105889.7108627334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9.0999999999999998E-2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8.6800000000000002E-2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9105889.7108627334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3233059.5894849426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765964.35140676971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963580.7746352196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825514.74198795005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-1023131.1652163999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765964.35140676971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963580.7746352196</v>
      </c>
      <c r="E141" s="101">
        <f>(L58-E58)*D58</f>
        <v>825514.74198795005</v>
      </c>
      <c r="F141" s="101">
        <f>ROUND(D141+E141,0)</f>
        <v>1789096</v>
      </c>
      <c r="G141" s="145">
        <f>IF(E59&gt;0,0,O168)</f>
        <v>0</v>
      </c>
      <c r="H141" s="101">
        <f>(L59-E59)*D59</f>
        <v>-1023131.1652163999</v>
      </c>
      <c r="I141" s="101">
        <f>ROUND(D141+E141+H141,2)</f>
        <v>765964.35</v>
      </c>
      <c r="J141" s="113">
        <f>I144+I145+I150+I151+I162+I163+I156+I157+I168</f>
        <v>765964.35140676971</v>
      </c>
      <c r="K141" s="113"/>
      <c r="O141" s="146">
        <f>F141+G141</f>
        <v>1789096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632.84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304.80000000000007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632.84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595.43000000000006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963580.7746352196</v>
      </c>
      <c r="E168" s="134">
        <f>IF(I141&lt;0,0,IF(AND(E59=0,I141&gt;=0),E141-E144-E145-E150-E151,IF(AND(E59&gt;0,I141&gt;=0),E141-E156-E157-E162-E163,0)))</f>
        <v>825514.74198795005</v>
      </c>
      <c r="F168" s="134"/>
      <c r="G168" s="134"/>
      <c r="H168" s="134">
        <f>IF(I141&lt;0,0,IF(AND(E59=0,I141&gt;=0),H141-H144-H145-H150-H151,IF(AND(E59&gt;0,I141&gt;=0),H141-H156-H157-H162-H163,0)))</f>
        <v>-1023131.1652163999</v>
      </c>
      <c r="I168" s="101">
        <f>IF(I141&gt;0,D168+E168+H168,0)</f>
        <v>765964.35140676971</v>
      </c>
      <c r="L168" s="111"/>
      <c r="M168" s="111"/>
      <c r="N168" s="111"/>
      <c r="O168" s="113">
        <f>L147*D58</f>
        <v>865763.66293200024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203.99299999999948</v>
      </c>
      <c r="E169" s="8">
        <f>IF(E168=0,0,IF(I141&lt;0,0,L58-H58-E58))</f>
        <v>290.63</v>
      </c>
      <c r="F169" s="8"/>
      <c r="G169" s="8"/>
      <c r="H169" s="8">
        <f>IF(AND(E59=0,H141-I145=0),0,IF(I141&lt;0,0,IF(E59=0,(H168)/D59,IF(E59&gt;0,(H141-H156-H157-H162-H163)/D59,0))))</f>
        <v>-216.59999999999997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765964.35140676971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290.63</v>
      </c>
      <c r="F171" s="101"/>
      <c r="G171" s="101"/>
      <c r="H171" s="101"/>
      <c r="I171" s="136" t="s">
        <v>283</v>
      </c>
      <c r="J171" s="103">
        <f>I144+I145+I168</f>
        <v>765964.35140676971</v>
      </c>
      <c r="K171" s="103"/>
      <c r="L171" s="103">
        <f>L147+O167</f>
        <v>304.80000000000007</v>
      </c>
      <c r="M171" s="103"/>
      <c r="N171" s="103"/>
      <c r="O171" s="115">
        <f>O167*D58+L147*D59+O167*487.11</f>
        <v>1439752.4430192003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765964.35140676971</v>
      </c>
      <c r="M173" s="103"/>
      <c r="N173" s="103"/>
      <c r="O173" s="103">
        <f>L147*3232.0676</f>
        <v>985134.20448000019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985134.20448000019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963580.7746352196</v>
      </c>
      <c r="E177" s="107">
        <f>E144+E145+E150+E151+E162+E163+E156+E157+E168</f>
        <v>825514.74198795005</v>
      </c>
      <c r="F177" s="107"/>
      <c r="G177" s="107"/>
      <c r="H177" s="107">
        <f>H144+H145+H156+H157+H168</f>
        <v>-1023131.1652163999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-253979.15400000004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-105508.02599999998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963580.7746352196</v>
      </c>
      <c r="E180" s="101">
        <f>E141</f>
        <v>825514.74198795005</v>
      </c>
      <c r="F180" s="101"/>
      <c r="G180" s="101">
        <f>G141</f>
        <v>0</v>
      </c>
      <c r="H180" s="101">
        <f>H141</f>
        <v>-1023131.1652163999</v>
      </c>
      <c r="I180" s="101">
        <f>I141</f>
        <v>765964.35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19137.25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25.75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19519.05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19.95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29968370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7178449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0.98778356180000004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2.0500000000000001E-2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19137.25</v>
      </c>
      <c r="F57" s="190"/>
      <c r="G57" s="191">
        <f>D169</f>
        <v>381.79999999999927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19519.05</v>
      </c>
      <c r="K57" s="190">
        <f>IF((+L57-J57)&gt;0,(L57-J57),0)</f>
        <v>0</v>
      </c>
      <c r="L57" s="192">
        <f>I15</f>
        <v>19519.05</v>
      </c>
      <c r="M57" s="102"/>
      <c r="N57" s="102"/>
      <c r="O57" s="102">
        <f>E57+H57+G57</f>
        <v>19519.05</v>
      </c>
      <c r="P57" s="108">
        <f>L57-E57</f>
        <v>381.79999999999927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25.75</v>
      </c>
      <c r="F58" s="190"/>
      <c r="G58" s="191">
        <f>E169</f>
        <v>-5.8000000000000007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19.95</v>
      </c>
      <c r="K58" s="190">
        <f>IF((+L58-J58)&gt;0,(L58-J58),0)</f>
        <v>0</v>
      </c>
      <c r="L58" s="192">
        <f>I16</f>
        <v>19.95</v>
      </c>
      <c r="M58" s="102"/>
      <c r="N58" s="102"/>
      <c r="O58" s="102">
        <f>IF(E59=0,J58+J59,J58)</f>
        <v>19.95</v>
      </c>
      <c r="P58" s="108">
        <f>L58+L59-E58</f>
        <v>-5.8000000000000007</v>
      </c>
      <c r="Q58" s="1">
        <f>L59*466-(P58)*487.11</f>
        <v>2825.2380000000003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19.95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19163</v>
      </c>
      <c r="F61" s="190"/>
      <c r="G61" s="190">
        <f>SUM(G57:G60)</f>
        <v>375.99999999999926</v>
      </c>
      <c r="H61" s="190">
        <f>SUM(H57:H60)</f>
        <v>0</v>
      </c>
      <c r="I61" s="190">
        <f>SUM(I57:I59)</f>
        <v>0</v>
      </c>
      <c r="J61" s="190">
        <f>SUM(J57:J60)</f>
        <v>19539</v>
      </c>
      <c r="K61" s="190">
        <f>SUM(K57:K60)</f>
        <v>0</v>
      </c>
      <c r="L61" s="192">
        <f>SUM(L57:L60)</f>
        <v>19539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7938863</v>
      </c>
      <c r="G65" s="176" t="s">
        <v>28</v>
      </c>
      <c r="H65" s="175" t="s">
        <v>336</v>
      </c>
      <c r="I65" s="175"/>
      <c r="J65" s="175"/>
      <c r="K65" s="175"/>
      <c r="L65" s="205">
        <v>1145691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89556327.800713241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1067362</v>
      </c>
      <c r="M66" s="163"/>
      <c r="N66" s="163"/>
      <c r="O66" s="152">
        <f>L66/487.11</f>
        <v>2191.2134836073988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4762029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89556327.800713241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89483925.184318498</v>
      </c>
      <c r="F69" s="202"/>
      <c r="G69" s="176"/>
      <c r="H69" s="174" t="s">
        <v>27</v>
      </c>
      <c r="I69" s="175"/>
      <c r="J69" s="175"/>
      <c r="K69" s="175"/>
      <c r="L69" s="203">
        <f>SUM(L65:L67)</f>
        <v>6975082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72402.616394750003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107251718.67306072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97495190.800713241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29968370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994450.94616727508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98489641.746880516</v>
      </c>
      <c r="G79" s="176" t="s">
        <v>29</v>
      </c>
      <c r="H79" s="175" t="s">
        <v>14</v>
      </c>
      <c r="I79" s="175"/>
      <c r="J79" s="175"/>
      <c r="K79" s="175"/>
      <c r="L79" s="213">
        <f>I23</f>
        <v>7178449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52323577.68004749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16471088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1803469.4315771966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105941484.68004748</v>
      </c>
      <c r="M83" s="86"/>
      <c r="N83" s="86"/>
      <c r="O83" s="107">
        <f>G58*D58</f>
        <v>-16474.505397000004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0.98778356180000004</v>
      </c>
      <c r="K84" s="175"/>
      <c r="L84" s="210">
        <f>+(1-J84)*L73</f>
        <v>1310233.9930132276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107251718.67306072</v>
      </c>
      <c r="M85" s="86"/>
      <c r="N85" s="86"/>
      <c r="O85" s="107">
        <f>SUM(O82:O84)</f>
        <v>1786994.9261801965</v>
      </c>
      <c r="P85" s="103">
        <f>I168+G174</f>
        <v>1786994.9261801965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52323577.68004749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2.0500000000000001E-2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0.02</v>
      </c>
      <c r="F92" s="175"/>
      <c r="G92" s="176"/>
      <c r="H92" s="174" t="s">
        <v>70</v>
      </c>
      <c r="I92" s="175"/>
      <c r="J92" s="175"/>
      <c r="K92" s="175"/>
      <c r="L92" s="210">
        <f>+L88-L91</f>
        <v>52323577.68004749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1809396.0534442051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1786994.9261801965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1803469.4315771966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-16474.505397000004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1786994.9261801965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7938863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7938863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1803469.4315771966</v>
      </c>
      <c r="E141" s="101">
        <f>(L58-E58)*D58</f>
        <v>-16474.505397000004</v>
      </c>
      <c r="F141" s="101">
        <f>ROUND(D141+E141,0)</f>
        <v>1786995</v>
      </c>
      <c r="G141" s="145">
        <f>IF(E59&gt;0,0,O168)</f>
        <v>0</v>
      </c>
      <c r="H141" s="101">
        <f>(L59-E59)*D59</f>
        <v>0</v>
      </c>
      <c r="I141" s="101">
        <f>ROUND(D141+E141+H141,2)</f>
        <v>1786994.93</v>
      </c>
      <c r="J141" s="113">
        <f>I144+I145+I150+I151+I162+I163+I156+I157+I168</f>
        <v>1786994.9261801965</v>
      </c>
      <c r="K141" s="113"/>
      <c r="O141" s="146">
        <f>F141+G141</f>
        <v>1786995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19.95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19.95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-5.8000000000000007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1803469.4315771966</v>
      </c>
      <c r="E168" s="134">
        <f>IF(I141&lt;0,0,IF(AND(E59=0,I141&gt;=0),E141-E144-E145-E150-E151,IF(AND(E59&gt;0,I141&gt;=0),E141-E156-E157-E162-E163,0)))</f>
        <v>-16474.505397000004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1786994.9261801965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381.79999999999927</v>
      </c>
      <c r="E169" s="8">
        <f>IF(E168=0,0,IF(I141&lt;0,0,L58-H58-E58))</f>
        <v>-5.8000000000000007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1786994.9261801965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-5.8000000000000007</v>
      </c>
      <c r="F171" s="101"/>
      <c r="G171" s="101"/>
      <c r="H171" s="101"/>
      <c r="I171" s="136" t="s">
        <v>283</v>
      </c>
      <c r="J171" s="103">
        <f>I144+I145+I168</f>
        <v>1786994.9261801965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1786994.9261801965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1803469.4315771966</v>
      </c>
      <c r="E177" s="107">
        <f>E144+E145+E150+E151+E162+E163+E156+E157+E168</f>
        <v>-16474.505397000004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1803469.4315771966</v>
      </c>
      <c r="E180" s="101">
        <f>E141</f>
        <v>-16474.505397000004</v>
      </c>
      <c r="F180" s="101"/>
      <c r="G180" s="101">
        <f>G141</f>
        <v>0</v>
      </c>
      <c r="H180" s="101">
        <f>H141</f>
        <v>0</v>
      </c>
      <c r="I180" s="101">
        <f>I141</f>
        <v>1786994.93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1510.96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40.630000000000003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59.16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1572.57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46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5587848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657695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133599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0.98778354869999996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2.9499999999999998E-2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2.8500000000000001E-2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1510.96</v>
      </c>
      <c r="F57" s="190"/>
      <c r="G57" s="191">
        <f>D169</f>
        <v>56.213701744388366</v>
      </c>
      <c r="H57" s="190">
        <f>IF(AND(E141&lt;0,E59&gt;0),D159+D165,IF(AND(E141&gt;0,E59&gt;0),D158+D164,IF(AND(E141&gt;0,E59=0),D146+D152,D147+D153)))</f>
        <v>5.3962982556115291</v>
      </c>
      <c r="I57" s="191">
        <f>D172</f>
        <v>0</v>
      </c>
      <c r="J57" s="190">
        <f>SUM(E57:I57)</f>
        <v>1572.57</v>
      </c>
      <c r="K57" s="190">
        <f>IF((+L57-J57)&gt;0,(L57-J57),0)</f>
        <v>0</v>
      </c>
      <c r="L57" s="192">
        <f>I15</f>
        <v>1572.57</v>
      </c>
      <c r="M57" s="102"/>
      <c r="N57" s="102"/>
      <c r="O57" s="102">
        <f>E57+H57+G57</f>
        <v>1572.57</v>
      </c>
      <c r="P57" s="108">
        <f>L57-E57</f>
        <v>61.6099999999999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40.630000000000003</v>
      </c>
      <c r="F58" s="190"/>
      <c r="G58" s="191">
        <f>E169</f>
        <v>4.899652302667846</v>
      </c>
      <c r="H58" s="190">
        <f>IF(AND(E141&lt;0,E59&gt;0),E159+E165,IF(AND(E141&gt;=0,E59&gt;0),E158+E164,IF(AND(E141&gt;=0,E59=0),E146+E152,E147+E153)))</f>
        <v>0.47034769733215304</v>
      </c>
      <c r="I58" s="191">
        <f>E172</f>
        <v>0</v>
      </c>
      <c r="J58" s="190">
        <f>E58+H58+G58+I58</f>
        <v>46</v>
      </c>
      <c r="K58" s="190">
        <f>IF((+L58-J58)&gt;0,(L58-J58),0)</f>
        <v>0</v>
      </c>
      <c r="L58" s="192">
        <f>I16</f>
        <v>46</v>
      </c>
      <c r="M58" s="102"/>
      <c r="N58" s="102"/>
      <c r="O58" s="102">
        <f>IF(E59=0,J58+J59,J58)</f>
        <v>46</v>
      </c>
      <c r="P58" s="108">
        <f>L58+L59-E58</f>
        <v>5.3699999999999974</v>
      </c>
      <c r="Q58" s="1">
        <f>L59*466-(P58)*487.11</f>
        <v>-2615.7806999999989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59.16</v>
      </c>
      <c r="F59" s="190"/>
      <c r="G59" s="191">
        <f>H169</f>
        <v>-59.16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0</v>
      </c>
      <c r="P59" s="108">
        <f>L59-E59</f>
        <v>-59.16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1610.7500000000002</v>
      </c>
      <c r="F61" s="190"/>
      <c r="G61" s="190">
        <f>SUM(G57:G60)</f>
        <v>1.9533540470562158</v>
      </c>
      <c r="H61" s="190">
        <f>SUM(H57:H60)</f>
        <v>5.8666459529436823</v>
      </c>
      <c r="I61" s="190">
        <f>SUM(I57:I59)</f>
        <v>0</v>
      </c>
      <c r="J61" s="190">
        <f>SUM(J57:J60)</f>
        <v>1618.57</v>
      </c>
      <c r="K61" s="190">
        <f>SUM(K57:K60)</f>
        <v>0</v>
      </c>
      <c r="L61" s="192">
        <f>SUM(L57:L60)</f>
        <v>1618.57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7455970.3477274301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87452</v>
      </c>
      <c r="M66" s="163"/>
      <c r="N66" s="163"/>
      <c r="O66" s="152">
        <f>L66/487.11</f>
        <v>179.53234382377696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1095030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7455970.3477274301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7065102.4361649603</v>
      </c>
      <c r="F69" s="202"/>
      <c r="G69" s="176"/>
      <c r="H69" s="174" t="s">
        <v>27</v>
      </c>
      <c r="I69" s="175"/>
      <c r="J69" s="175"/>
      <c r="K69" s="175"/>
      <c r="L69" s="203">
        <f>SUM(L65:L67)</f>
        <v>1182482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114241.48753859001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276626.42402387998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12751249.384598598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11425402.347727429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25489.939621971611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5587848</v>
      </c>
      <c r="M77" s="159"/>
      <c r="N77" s="159"/>
      <c r="O77" s="86">
        <f>H58*D58</f>
        <v>1335.9906341663927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116539.10394681979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11541941.451674249</v>
      </c>
      <c r="G79" s="176" t="s">
        <v>29</v>
      </c>
      <c r="H79" s="175" t="s">
        <v>14</v>
      </c>
      <c r="I79" s="175"/>
      <c r="J79" s="175"/>
      <c r="K79" s="175"/>
      <c r="L79" s="213">
        <f>I23</f>
        <v>657695</v>
      </c>
      <c r="M79" s="159"/>
      <c r="N79" s="159"/>
      <c r="O79" s="86">
        <f>SUM(O76:O78)</f>
        <v>26825.930256138003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4359449.3674774934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1990482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265530.8871969679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12595474.367477493</v>
      </c>
      <c r="M83" s="86"/>
      <c r="N83" s="86"/>
      <c r="O83" s="107">
        <f>G58*D58</f>
        <v>13917.129017883606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0.98778354869999996</v>
      </c>
      <c r="K84" s="175"/>
      <c r="L84" s="210">
        <f>+(1-J84)*L73</f>
        <v>155775.01712110426</v>
      </c>
      <c r="M84" s="65"/>
      <c r="N84" s="65"/>
      <c r="O84" s="143">
        <f>G59*D59</f>
        <v>-279448.01354664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26825.930256138003</v>
      </c>
      <c r="G85" s="176"/>
      <c r="H85" s="174" t="s">
        <v>342</v>
      </c>
      <c r="I85" s="175"/>
      <c r="J85" s="175"/>
      <c r="K85" s="175"/>
      <c r="L85" s="213">
        <f>+L84+L83</f>
        <v>12751249.384598598</v>
      </c>
      <c r="M85" s="86"/>
      <c r="N85" s="86"/>
      <c r="O85" s="107">
        <f>SUM(O82:O84)</f>
        <v>2.6682115276344121E-3</v>
      </c>
      <c r="P85" s="103">
        <f>I168+G174</f>
        <v>2.6682115276344121E-3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26825.930256138003</v>
      </c>
      <c r="G88" s="176" t="s">
        <v>28</v>
      </c>
      <c r="H88" s="175" t="s">
        <v>15</v>
      </c>
      <c r="I88" s="175"/>
      <c r="J88" s="175"/>
      <c r="K88" s="175"/>
      <c r="L88" s="210">
        <f>L80</f>
        <v>4359449.3674774934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2.9499999999999998E-2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2.8500000000000001E-2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4359449.3674774934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214662.60622887028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2.6682115276344121E-3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265530.8871969679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13917.129017883603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-279448.01354664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133599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2.6682115276344121E-3</v>
      </c>
      <c r="G99" s="176"/>
      <c r="H99" s="174" t="s">
        <v>16</v>
      </c>
      <c r="I99" s="175"/>
      <c r="J99" s="175"/>
      <c r="K99" s="175"/>
      <c r="L99" s="203">
        <f>SUM(L96:L98)</f>
        <v>133599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133599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291020.82681893953</v>
      </c>
      <c r="E141" s="101">
        <f>(L58-E58)*D58</f>
        <v>15253.119652049994</v>
      </c>
      <c r="F141" s="101">
        <f>ROUND(D141+E141,0)</f>
        <v>306274</v>
      </c>
      <c r="G141" s="145">
        <f>IF(E59&gt;0,0,O168)</f>
        <v>0</v>
      </c>
      <c r="H141" s="101">
        <f>(L59-E59)*D59</f>
        <v>-279448.01354664</v>
      </c>
      <c r="I141" s="101">
        <f>ROUND(D141+E141+H141,2)</f>
        <v>26825.93</v>
      </c>
      <c r="J141" s="113">
        <f>I144+I145+I150+I151+I162+I163+I156+I157+I168</f>
        <v>26825.93292434953</v>
      </c>
      <c r="K141" s="113"/>
      <c r="O141" s="146">
        <f>F141+G141</f>
        <v>306274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46</v>
      </c>
      <c r="M145" s="81"/>
      <c r="N145" s="81"/>
      <c r="O145" s="104">
        <f>D138/(D141+O168)*D141</f>
        <v>133599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46</v>
      </c>
      <c r="M151" s="81"/>
      <c r="N151" s="81"/>
      <c r="O151" s="104">
        <f>D138/(D141+O168)*D141</f>
        <v>133599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5.3699999999999974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1449347.383005305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25489.939621971611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1335.9906341663927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26825.930256138003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5.3962982556115291</v>
      </c>
      <c r="E164" s="8">
        <f>E162/D58</f>
        <v>0.47034769733215304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265530.8871969679</v>
      </c>
      <c r="E168" s="134">
        <f>IF(I141&lt;0,0,IF(AND(E59=0,I141&gt;=0),E141-E144-E145-E150-E151,IF(AND(E59&gt;0,I141&gt;=0),E141-E156-E157-E162-E163,0)))</f>
        <v>13917.129017883603</v>
      </c>
      <c r="F168" s="134"/>
      <c r="G168" s="134"/>
      <c r="H168" s="134">
        <f>IF(I141&lt;0,0,IF(AND(E59=0,I141&gt;=0),H141-H144-H145-H150-H151,IF(AND(E59&gt;0,I141&gt;=0),H141-H156-H157-H162-H163,0)))</f>
        <v>-279448.01354664</v>
      </c>
      <c r="I168" s="101">
        <f>IF(I141&gt;0,D168+E168+H168,0)</f>
        <v>2.6682115276344121E-3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56.213701744388366</v>
      </c>
      <c r="E169" s="8">
        <f>IF(E168=0,0,IF(I141&lt;0,0,L58-H58-E58))</f>
        <v>4.899652302667846</v>
      </c>
      <c r="F169" s="8"/>
      <c r="G169" s="8"/>
      <c r="H169" s="8">
        <f>IF(AND(E59=0,H141-I145=0),0,IF(I141&lt;0,0,IF(E59=0,(H168)/D59,IF(E59&gt;0,(H141-H156-H157-H162-H163)/D59,0))))</f>
        <v>-59.16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26825.93292434953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4.8996523026678451</v>
      </c>
      <c r="F171" s="101"/>
      <c r="G171" s="101"/>
      <c r="H171" s="101"/>
      <c r="I171" s="136" t="s">
        <v>283</v>
      </c>
      <c r="J171" s="103">
        <f>I144+I145+I168</f>
        <v>2.6682115276344121E-3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2.6682115276344121E-3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291020.82681893953</v>
      </c>
      <c r="E177" s="107">
        <f>E144+E145+E150+E151+E162+E163+E156+E157+E168</f>
        <v>15253.119652049994</v>
      </c>
      <c r="F177" s="107"/>
      <c r="G177" s="107"/>
      <c r="H177" s="107">
        <f>H144+H145+H156+H157+H168</f>
        <v>-279448.01354664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-28817.427599999999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-28817.427599999999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291020.82681893953</v>
      </c>
      <c r="E180" s="101">
        <f>E141</f>
        <v>15253.119652049994</v>
      </c>
      <c r="F180" s="101"/>
      <c r="G180" s="101">
        <f>G141</f>
        <v>0</v>
      </c>
      <c r="H180" s="101">
        <f>H141</f>
        <v>-279448.01354664</v>
      </c>
      <c r="I180" s="101">
        <f>I141</f>
        <v>26825.93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W118"/>
  <sheetViews>
    <sheetView workbookViewId="0">
      <selection activeCell="E21" sqref="E21"/>
    </sheetView>
  </sheetViews>
  <sheetFormatPr baseColWidth="10" defaultColWidth="9.1640625" defaultRowHeight="10" x14ac:dyDescent="0"/>
  <cols>
    <col min="1" max="1" width="2.6640625" style="25" customWidth="1"/>
    <col min="2" max="2" width="22.33203125" style="25" bestFit="1" customWidth="1"/>
    <col min="3" max="3" width="16.5" style="25" bestFit="1" customWidth="1"/>
    <col min="4" max="6" width="16.5" style="25" customWidth="1"/>
    <col min="7" max="7" width="16.1640625" style="25" bestFit="1" customWidth="1"/>
    <col min="8" max="8" width="10.5" style="25" bestFit="1" customWidth="1"/>
    <col min="9" max="9" width="9.1640625" style="25"/>
    <col min="10" max="10" width="9.5" style="25" bestFit="1" customWidth="1"/>
    <col min="11" max="12" width="9.1640625" style="25"/>
    <col min="13" max="13" width="9.5" style="25" bestFit="1" customWidth="1"/>
    <col min="14" max="14" width="9.5" style="25" customWidth="1"/>
    <col min="15" max="15" width="9.5" style="25" bestFit="1" customWidth="1"/>
    <col min="16" max="16" width="9.5" style="25" customWidth="1"/>
    <col min="17" max="17" width="11.1640625" style="25" bestFit="1" customWidth="1"/>
    <col min="18" max="20" width="9.1640625" style="25"/>
    <col min="21" max="21" width="9.5" style="25" bestFit="1" customWidth="1"/>
    <col min="22" max="22" width="9.1640625" style="25"/>
    <col min="23" max="23" width="9.5" style="25" bestFit="1" customWidth="1"/>
    <col min="24" max="16384" width="9.1640625" style="25"/>
  </cols>
  <sheetData>
    <row r="1" spans="1:23">
      <c r="B1" s="61" t="s">
        <v>361</v>
      </c>
    </row>
    <row r="2" spans="1:23" ht="12">
      <c r="C2" s="33"/>
      <c r="D2" s="61"/>
      <c r="F2" s="76"/>
      <c r="G2" s="90"/>
      <c r="H2" s="92"/>
    </row>
    <row r="3" spans="1:23" ht="12">
      <c r="F3" s="76"/>
      <c r="G3" s="90"/>
      <c r="H3" s="92"/>
      <c r="I3" s="26"/>
      <c r="J3" s="26"/>
      <c r="K3" s="26"/>
      <c r="L3" s="26"/>
      <c r="M3" s="26"/>
      <c r="N3" s="26"/>
      <c r="O3" s="26"/>
      <c r="P3" s="26"/>
      <c r="Q3" s="33"/>
    </row>
    <row r="4" spans="1:23" ht="12">
      <c r="C4" s="33" t="s">
        <v>103</v>
      </c>
      <c r="D4" s="33"/>
      <c r="E4" s="33"/>
      <c r="F4" s="76"/>
      <c r="G4" s="91"/>
      <c r="H4" s="92"/>
      <c r="I4" s="26"/>
      <c r="J4" s="26"/>
      <c r="K4" s="26"/>
      <c r="L4" s="26"/>
      <c r="M4" s="26"/>
      <c r="N4" s="26"/>
      <c r="O4" s="26"/>
      <c r="P4" s="26"/>
      <c r="Q4" s="33"/>
    </row>
    <row r="5" spans="1:23" ht="13" customHeight="1">
      <c r="B5" s="35" t="s">
        <v>78</v>
      </c>
      <c r="C5" s="35" t="s">
        <v>48</v>
      </c>
      <c r="D5" s="33"/>
      <c r="E5" s="33"/>
      <c r="F5" s="76"/>
      <c r="G5" s="91"/>
      <c r="H5" s="92"/>
      <c r="I5" s="63"/>
      <c r="J5" s="63"/>
      <c r="K5" s="63"/>
      <c r="L5" s="63"/>
      <c r="M5" s="63"/>
      <c r="N5" s="63"/>
      <c r="O5" s="26"/>
      <c r="P5" s="26"/>
      <c r="Q5" s="33"/>
    </row>
    <row r="6" spans="1:23" ht="13" customHeight="1">
      <c r="B6" s="36" t="s">
        <v>202</v>
      </c>
      <c r="C6" s="148"/>
      <c r="D6" s="28"/>
      <c r="E6" s="92"/>
      <c r="F6" s="76"/>
      <c r="G6" s="90"/>
      <c r="H6" s="92"/>
      <c r="I6" s="37"/>
      <c r="J6" s="37"/>
      <c r="K6" s="37"/>
      <c r="L6" s="37"/>
      <c r="M6" s="37"/>
      <c r="N6" s="37"/>
      <c r="O6" s="37"/>
      <c r="P6" s="60"/>
      <c r="Q6" s="62"/>
      <c r="R6" s="36"/>
      <c r="T6" s="37"/>
      <c r="U6" s="37"/>
      <c r="V6" s="37"/>
      <c r="W6" s="37"/>
    </row>
    <row r="7" spans="1:23" ht="13" customHeight="1">
      <c r="B7" s="36" t="s">
        <v>203</v>
      </c>
      <c r="C7" s="148"/>
      <c r="D7" s="28"/>
      <c r="F7" s="76"/>
      <c r="G7" s="90"/>
      <c r="H7" s="92"/>
      <c r="I7" s="37"/>
      <c r="J7" s="37"/>
      <c r="K7" s="37"/>
      <c r="L7" s="37"/>
      <c r="M7" s="37"/>
      <c r="N7" s="37"/>
      <c r="O7" s="37"/>
      <c r="P7" s="60"/>
      <c r="Q7" s="62"/>
      <c r="R7" s="36"/>
      <c r="T7" s="37"/>
      <c r="U7" s="37"/>
      <c r="V7" s="37"/>
      <c r="W7" s="37"/>
    </row>
    <row r="8" spans="1:23" ht="13" customHeight="1">
      <c r="B8" s="36" t="s">
        <v>204</v>
      </c>
      <c r="C8" s="148"/>
      <c r="D8" s="28"/>
      <c r="F8" s="76"/>
      <c r="G8" s="90"/>
      <c r="H8" s="92"/>
      <c r="I8" s="37"/>
      <c r="J8" s="37"/>
      <c r="K8" s="37"/>
      <c r="L8" s="37"/>
      <c r="M8" s="37"/>
      <c r="N8" s="37"/>
      <c r="O8" s="37"/>
      <c r="P8" s="60"/>
      <c r="Q8" s="62"/>
      <c r="R8" s="36"/>
      <c r="T8" s="37"/>
      <c r="U8" s="37"/>
      <c r="V8" s="37"/>
      <c r="W8" s="37"/>
    </row>
    <row r="9" spans="1:23" ht="13" customHeight="1">
      <c r="B9" s="36" t="s">
        <v>205</v>
      </c>
      <c r="C9" s="148"/>
      <c r="D9" s="28"/>
      <c r="F9" s="76"/>
      <c r="G9" s="90"/>
      <c r="H9" s="92"/>
      <c r="I9" s="37"/>
      <c r="J9" s="37"/>
      <c r="K9" s="37"/>
      <c r="L9" s="37"/>
      <c r="M9" s="37"/>
      <c r="N9" s="37"/>
      <c r="O9" s="37"/>
      <c r="P9" s="60"/>
      <c r="Q9" s="62"/>
      <c r="R9" s="36"/>
      <c r="T9" s="37"/>
      <c r="U9" s="37"/>
      <c r="V9" s="37"/>
      <c r="W9" s="37"/>
    </row>
    <row r="10" spans="1:23" ht="13" customHeight="1">
      <c r="A10" s="29"/>
      <c r="B10" s="25" t="s">
        <v>196</v>
      </c>
      <c r="C10" s="148"/>
      <c r="D10" s="28"/>
      <c r="F10" s="76"/>
      <c r="G10" s="90"/>
      <c r="H10" s="92"/>
      <c r="I10" s="37"/>
      <c r="J10" s="37"/>
      <c r="K10" s="37"/>
      <c r="L10" s="37"/>
      <c r="M10" s="37"/>
      <c r="N10" s="37"/>
      <c r="O10" s="37"/>
      <c r="P10" s="60"/>
      <c r="Q10" s="62"/>
      <c r="R10" s="36"/>
      <c r="T10" s="37"/>
      <c r="U10" s="37"/>
      <c r="V10" s="37"/>
      <c r="W10" s="37"/>
    </row>
    <row r="11" spans="1:23" ht="13" customHeight="1">
      <c r="B11" s="25" t="s">
        <v>76</v>
      </c>
      <c r="C11" s="148"/>
      <c r="D11" s="28"/>
      <c r="F11" s="76"/>
      <c r="G11" s="90"/>
      <c r="H11" s="92"/>
      <c r="I11" s="37"/>
      <c r="J11" s="37"/>
      <c r="K11" s="37"/>
      <c r="L11" s="37"/>
      <c r="M11" s="37"/>
      <c r="N11" s="37"/>
      <c r="O11" s="37"/>
      <c r="P11" s="60"/>
      <c r="Q11" s="62"/>
      <c r="R11" s="36"/>
      <c r="T11" s="37"/>
      <c r="U11" s="37"/>
      <c r="V11" s="37"/>
      <c r="W11" s="37"/>
    </row>
    <row r="12" spans="1:23" ht="13" customHeight="1">
      <c r="B12" s="36" t="s">
        <v>206</v>
      </c>
      <c r="C12" s="148"/>
      <c r="F12" s="76"/>
      <c r="G12" s="90"/>
      <c r="H12" s="92"/>
      <c r="I12" s="37"/>
      <c r="J12" s="37"/>
      <c r="K12" s="37"/>
      <c r="L12" s="37"/>
      <c r="M12" s="37"/>
      <c r="N12" s="37"/>
      <c r="O12" s="37"/>
      <c r="P12" s="60"/>
      <c r="Q12" s="62"/>
      <c r="R12" s="36"/>
      <c r="T12" s="37"/>
      <c r="U12" s="37"/>
      <c r="V12" s="37"/>
      <c r="W12" s="37"/>
    </row>
    <row r="13" spans="1:23" ht="13" customHeight="1">
      <c r="B13" s="36" t="s">
        <v>138</v>
      </c>
      <c r="C13" s="148"/>
      <c r="F13" s="76"/>
      <c r="G13" s="90"/>
      <c r="H13" s="92"/>
      <c r="I13" s="37"/>
      <c r="J13" s="37"/>
      <c r="K13" s="37"/>
      <c r="L13" s="37"/>
      <c r="M13" s="37"/>
      <c r="N13" s="37"/>
      <c r="R13" s="36"/>
      <c r="T13" s="37"/>
      <c r="U13" s="37"/>
      <c r="V13" s="37"/>
      <c r="W13" s="37"/>
    </row>
    <row r="14" spans="1:23" ht="13" customHeight="1">
      <c r="B14" s="25" t="s">
        <v>77</v>
      </c>
      <c r="C14" s="148"/>
      <c r="F14" s="76"/>
      <c r="G14" s="90"/>
      <c r="H14" s="92"/>
      <c r="I14" s="37"/>
      <c r="J14" s="37"/>
      <c r="K14" s="37"/>
      <c r="L14" s="37"/>
      <c r="M14" s="37"/>
      <c r="N14" s="37"/>
      <c r="R14" s="36"/>
      <c r="T14" s="37"/>
      <c r="U14" s="37"/>
      <c r="V14" s="37"/>
      <c r="W14" s="37"/>
    </row>
    <row r="15" spans="1:23" ht="13" customHeight="1">
      <c r="B15" s="36" t="s">
        <v>207</v>
      </c>
      <c r="C15" s="148"/>
      <c r="F15" s="76"/>
      <c r="G15" s="90"/>
      <c r="H15" s="92"/>
      <c r="I15" s="37"/>
      <c r="J15" s="37"/>
      <c r="K15" s="37"/>
      <c r="L15" s="37"/>
      <c r="M15" s="37"/>
      <c r="N15" s="37"/>
      <c r="R15" s="36"/>
      <c r="T15" s="37"/>
      <c r="U15" s="37"/>
      <c r="V15" s="37"/>
      <c r="W15" s="37"/>
    </row>
    <row r="16" spans="1:23" ht="13" customHeight="1">
      <c r="B16" s="36"/>
      <c r="C16" s="37"/>
      <c r="D16" s="37"/>
      <c r="E16" s="37"/>
      <c r="F16" s="76"/>
      <c r="G16" s="90"/>
      <c r="H16" s="92"/>
      <c r="I16" s="37"/>
      <c r="J16" s="37"/>
      <c r="K16" s="37"/>
      <c r="L16" s="37"/>
      <c r="M16" s="37"/>
      <c r="N16" s="37"/>
      <c r="R16" s="36"/>
      <c r="T16" s="37"/>
      <c r="U16" s="37"/>
      <c r="V16" s="37"/>
      <c r="W16" s="37"/>
    </row>
    <row r="17" spans="1:23" ht="13" customHeight="1">
      <c r="B17" s="36" t="s">
        <v>362</v>
      </c>
      <c r="C17" s="37"/>
      <c r="D17" s="37"/>
      <c r="E17" s="37"/>
      <c r="F17" s="76"/>
      <c r="G17" s="90"/>
      <c r="H17" s="92"/>
      <c r="I17" s="37"/>
      <c r="J17" s="37"/>
      <c r="K17" s="37"/>
      <c r="L17" s="37"/>
      <c r="M17" s="37"/>
      <c r="N17" s="37"/>
      <c r="R17" s="36"/>
      <c r="T17" s="37"/>
      <c r="U17" s="37"/>
      <c r="V17" s="37"/>
      <c r="W17" s="37"/>
    </row>
    <row r="18" spans="1:23" ht="13" customHeight="1">
      <c r="B18" s="36"/>
      <c r="C18" s="37"/>
      <c r="D18" s="37"/>
      <c r="E18" s="37"/>
      <c r="F18" s="76"/>
      <c r="G18" s="90"/>
      <c r="H18" s="92"/>
      <c r="I18" s="37"/>
      <c r="J18" s="37"/>
      <c r="K18" s="37"/>
      <c r="L18" s="37"/>
      <c r="M18" s="37"/>
      <c r="N18" s="37"/>
      <c r="R18" s="36"/>
      <c r="T18" s="37"/>
      <c r="U18" s="37"/>
      <c r="V18" s="37"/>
      <c r="W18" s="37"/>
    </row>
    <row r="19" spans="1:23" ht="13" customHeight="1">
      <c r="B19" s="36"/>
      <c r="C19" s="37"/>
      <c r="D19" s="37"/>
      <c r="E19" s="37"/>
      <c r="F19" s="76"/>
      <c r="G19" s="90"/>
      <c r="H19" s="92"/>
      <c r="R19" s="36"/>
      <c r="T19" s="37"/>
      <c r="U19" s="37"/>
      <c r="V19" s="37"/>
      <c r="W19" s="37"/>
    </row>
    <row r="20" spans="1:23" ht="13" customHeight="1">
      <c r="B20" s="36"/>
      <c r="C20" s="37"/>
      <c r="D20" s="37"/>
      <c r="E20" s="37"/>
      <c r="F20" s="76"/>
      <c r="G20" s="90"/>
      <c r="H20" s="92"/>
      <c r="R20" s="36"/>
      <c r="T20" s="37"/>
      <c r="U20" s="37"/>
      <c r="V20" s="37"/>
      <c r="W20" s="37"/>
    </row>
    <row r="21" spans="1:23" ht="13" customHeight="1">
      <c r="A21" s="26"/>
      <c r="B21" s="36"/>
      <c r="C21" s="37"/>
      <c r="D21" s="37"/>
      <c r="E21" s="37"/>
      <c r="F21" s="76"/>
      <c r="G21" s="90"/>
      <c r="H21" s="92"/>
      <c r="R21" s="36"/>
      <c r="T21" s="37"/>
      <c r="U21" s="37"/>
      <c r="V21" s="37"/>
      <c r="W21" s="37"/>
    </row>
    <row r="22" spans="1:23" ht="13" customHeight="1">
      <c r="A22" s="26"/>
      <c r="C22" s="37"/>
      <c r="D22" s="37"/>
      <c r="E22" s="37"/>
      <c r="F22" s="76"/>
      <c r="G22" s="90"/>
      <c r="H22" s="92"/>
      <c r="R22" s="40"/>
      <c r="T22" s="37"/>
      <c r="U22" s="37"/>
      <c r="V22" s="37"/>
      <c r="W22" s="37"/>
    </row>
    <row r="23" spans="1:23" ht="13" customHeight="1">
      <c r="B23" s="36"/>
      <c r="C23" s="37"/>
      <c r="D23" s="37"/>
      <c r="E23" s="37"/>
      <c r="F23" s="76"/>
      <c r="G23" s="90"/>
      <c r="H23" s="92"/>
      <c r="R23" s="36"/>
      <c r="T23" s="37"/>
      <c r="U23" s="37"/>
      <c r="V23" s="37"/>
      <c r="W23" s="37"/>
    </row>
    <row r="24" spans="1:23" ht="13" customHeight="1">
      <c r="B24" s="36"/>
      <c r="C24" s="37"/>
      <c r="D24" s="37"/>
      <c r="E24" s="37"/>
      <c r="F24" s="76"/>
      <c r="G24" s="90"/>
      <c r="H24" s="92"/>
      <c r="R24" s="36"/>
      <c r="T24" s="37"/>
      <c r="U24" s="37"/>
      <c r="V24" s="37"/>
      <c r="W24" s="37"/>
    </row>
    <row r="25" spans="1:23" ht="13" customHeight="1">
      <c r="B25" s="36"/>
      <c r="C25" s="37"/>
      <c r="D25" s="37"/>
      <c r="E25" s="37"/>
      <c r="F25" s="76"/>
      <c r="G25" s="90"/>
      <c r="H25" s="92"/>
      <c r="R25" s="36"/>
      <c r="T25" s="37"/>
      <c r="U25" s="37"/>
      <c r="V25" s="37"/>
      <c r="W25" s="37"/>
    </row>
    <row r="26" spans="1:23" ht="13" customHeight="1">
      <c r="A26" s="26"/>
      <c r="B26" s="36"/>
      <c r="C26" s="37"/>
      <c r="D26" s="37"/>
      <c r="E26" s="37"/>
      <c r="F26" s="76"/>
      <c r="G26" s="90"/>
      <c r="H26" s="92"/>
      <c r="R26" s="36"/>
      <c r="T26" s="37"/>
      <c r="U26" s="37"/>
      <c r="V26" s="37"/>
      <c r="W26" s="37"/>
    </row>
    <row r="27" spans="1:23" ht="13" customHeight="1">
      <c r="A27" s="26"/>
      <c r="B27" s="36"/>
      <c r="C27" s="37"/>
      <c r="D27" s="37"/>
      <c r="E27" s="37"/>
      <c r="F27" s="76"/>
      <c r="G27" s="90"/>
      <c r="H27" s="92"/>
      <c r="R27" s="36"/>
      <c r="T27" s="37"/>
      <c r="U27" s="37"/>
      <c r="V27" s="37"/>
      <c r="W27" s="37"/>
    </row>
    <row r="28" spans="1:23" ht="13" customHeight="1">
      <c r="A28" s="26"/>
      <c r="B28" s="36"/>
      <c r="C28" s="37"/>
      <c r="D28" s="37"/>
      <c r="E28" s="37"/>
      <c r="F28" s="76"/>
      <c r="G28" s="90"/>
      <c r="H28" s="92"/>
      <c r="R28" s="36"/>
      <c r="T28" s="37"/>
      <c r="U28" s="37"/>
      <c r="V28" s="37"/>
      <c r="W28" s="37"/>
    </row>
    <row r="29" spans="1:23" ht="13" customHeight="1">
      <c r="A29" s="26"/>
      <c r="C29" s="37"/>
      <c r="D29" s="37"/>
      <c r="E29" s="37"/>
      <c r="F29" s="76"/>
      <c r="G29" s="90"/>
      <c r="H29" s="92"/>
      <c r="R29" s="40"/>
      <c r="T29" s="37"/>
      <c r="U29" s="37"/>
      <c r="V29" s="37"/>
      <c r="W29" s="37"/>
    </row>
    <row r="30" spans="1:23" ht="13" customHeight="1">
      <c r="C30" s="37"/>
      <c r="D30" s="37"/>
      <c r="E30" s="37"/>
      <c r="F30" s="76"/>
      <c r="G30" s="90"/>
      <c r="H30" s="92"/>
      <c r="R30" s="40"/>
      <c r="T30" s="37"/>
      <c r="U30" s="37"/>
      <c r="V30" s="37"/>
      <c r="W30" s="37"/>
    </row>
    <row r="31" spans="1:23" ht="13" customHeight="1">
      <c r="A31" s="26"/>
      <c r="B31" s="36"/>
      <c r="C31" s="37"/>
      <c r="D31" s="37"/>
      <c r="E31" s="37"/>
      <c r="F31" s="76"/>
      <c r="G31" s="90"/>
      <c r="H31" s="92"/>
      <c r="R31" s="36"/>
      <c r="T31" s="37"/>
      <c r="U31" s="37"/>
      <c r="V31" s="37"/>
      <c r="W31" s="37"/>
    </row>
    <row r="32" spans="1:23" ht="13" customHeight="1">
      <c r="B32" s="36"/>
      <c r="C32" s="37"/>
      <c r="D32" s="37"/>
      <c r="E32" s="37"/>
      <c r="F32" s="76"/>
      <c r="G32" s="90"/>
      <c r="H32" s="92"/>
      <c r="R32" s="36"/>
      <c r="T32" s="37"/>
      <c r="U32" s="37"/>
      <c r="V32" s="37"/>
      <c r="W32" s="37"/>
    </row>
    <row r="33" spans="1:23" ht="13" customHeight="1">
      <c r="B33" s="36"/>
      <c r="C33" s="37"/>
      <c r="D33" s="37"/>
      <c r="E33" s="37"/>
      <c r="F33" s="76"/>
      <c r="G33" s="90"/>
      <c r="H33" s="92"/>
      <c r="R33" s="36"/>
      <c r="T33" s="37"/>
      <c r="U33" s="37"/>
      <c r="V33" s="37"/>
      <c r="W33" s="37"/>
    </row>
    <row r="34" spans="1:23" ht="13" customHeight="1">
      <c r="A34" s="26"/>
      <c r="C34" s="37"/>
      <c r="D34" s="37"/>
      <c r="E34" s="37"/>
      <c r="F34" s="76"/>
      <c r="G34" s="90"/>
      <c r="H34" s="92"/>
      <c r="R34" s="40"/>
      <c r="T34" s="37"/>
      <c r="U34" s="37"/>
      <c r="V34" s="37"/>
      <c r="W34" s="37"/>
    </row>
    <row r="35" spans="1:23" ht="13" customHeight="1">
      <c r="A35" s="26"/>
      <c r="B35" s="36"/>
      <c r="C35" s="37"/>
      <c r="D35" s="37"/>
      <c r="E35" s="37"/>
      <c r="F35" s="76"/>
      <c r="G35" s="90"/>
      <c r="H35" s="92"/>
      <c r="R35" s="36"/>
      <c r="T35" s="37"/>
      <c r="U35" s="37"/>
      <c r="V35" s="37"/>
      <c r="W35" s="37"/>
    </row>
    <row r="36" spans="1:23" ht="13" customHeight="1">
      <c r="A36" s="26"/>
      <c r="B36" s="36"/>
      <c r="C36" s="37"/>
      <c r="D36" s="37"/>
      <c r="E36" s="37"/>
      <c r="F36" s="76"/>
      <c r="G36" s="90"/>
      <c r="H36" s="92"/>
      <c r="R36" s="36"/>
      <c r="T36" s="37"/>
      <c r="U36" s="37"/>
      <c r="V36" s="37"/>
      <c r="W36" s="37"/>
    </row>
    <row r="37" spans="1:23" ht="13" customHeight="1">
      <c r="C37" s="37"/>
      <c r="D37" s="37"/>
      <c r="E37" s="37"/>
      <c r="F37" s="76"/>
      <c r="G37" s="90"/>
      <c r="H37" s="92"/>
      <c r="R37" s="36"/>
      <c r="T37" s="37"/>
      <c r="U37" s="37"/>
      <c r="V37" s="37"/>
      <c r="W37" s="37"/>
    </row>
    <row r="38" spans="1:23" ht="13" customHeight="1">
      <c r="B38" s="36"/>
      <c r="C38" s="37"/>
      <c r="D38" s="37"/>
      <c r="E38" s="37"/>
      <c r="F38" s="76"/>
      <c r="G38" s="90"/>
      <c r="H38" s="92"/>
      <c r="R38" s="36"/>
      <c r="T38" s="37"/>
      <c r="U38" s="37"/>
      <c r="V38" s="37"/>
      <c r="W38" s="37"/>
    </row>
    <row r="39" spans="1:23" ht="13" customHeight="1">
      <c r="B39" s="36"/>
      <c r="C39" s="37"/>
      <c r="D39" s="37"/>
      <c r="E39" s="37"/>
      <c r="F39" s="76"/>
      <c r="G39" s="90"/>
      <c r="H39" s="92"/>
      <c r="R39" s="36"/>
      <c r="T39" s="37"/>
      <c r="U39" s="37"/>
      <c r="V39" s="37"/>
      <c r="W39" s="37"/>
    </row>
    <row r="40" spans="1:23" ht="13" customHeight="1">
      <c r="B40" s="36"/>
      <c r="C40" s="37"/>
      <c r="D40" s="37"/>
      <c r="E40" s="37"/>
      <c r="F40" s="76"/>
      <c r="G40" s="90"/>
      <c r="H40" s="92"/>
      <c r="R40" s="36"/>
      <c r="T40" s="37"/>
      <c r="U40" s="37"/>
      <c r="V40" s="37"/>
      <c r="W40" s="37"/>
    </row>
    <row r="41" spans="1:23" ht="13" customHeight="1">
      <c r="A41" s="26"/>
      <c r="B41" s="36"/>
      <c r="C41" s="37"/>
      <c r="D41" s="37"/>
      <c r="E41" s="37"/>
      <c r="F41" s="76"/>
      <c r="G41" s="90"/>
      <c r="H41" s="92"/>
      <c r="R41" s="36"/>
      <c r="T41" s="37"/>
      <c r="U41" s="37"/>
      <c r="V41" s="37"/>
      <c r="W41" s="37"/>
    </row>
    <row r="42" spans="1:23" ht="13" customHeight="1">
      <c r="A42" s="26"/>
      <c r="B42" s="36"/>
      <c r="C42" s="37"/>
      <c r="D42" s="37"/>
      <c r="E42" s="37"/>
      <c r="F42" s="76"/>
      <c r="G42" s="90"/>
      <c r="H42" s="92"/>
      <c r="R42" s="36"/>
      <c r="T42" s="37"/>
      <c r="U42" s="37"/>
      <c r="V42" s="37"/>
      <c r="W42" s="37"/>
    </row>
    <row r="43" spans="1:23" ht="13" customHeight="1">
      <c r="A43" s="26"/>
      <c r="B43" s="36"/>
      <c r="C43" s="37"/>
      <c r="D43" s="37"/>
      <c r="E43" s="37"/>
      <c r="F43" s="76"/>
      <c r="G43" s="90"/>
      <c r="H43" s="92"/>
      <c r="R43" s="36"/>
      <c r="T43" s="37"/>
      <c r="U43" s="37"/>
      <c r="V43" s="37"/>
      <c r="W43" s="37"/>
    </row>
    <row r="44" spans="1:23" ht="13" customHeight="1">
      <c r="A44" s="26"/>
      <c r="B44" s="36"/>
      <c r="C44" s="37"/>
      <c r="D44" s="37"/>
      <c r="E44" s="37"/>
      <c r="F44" s="76"/>
      <c r="G44" s="90"/>
      <c r="H44" s="92"/>
      <c r="R44" s="36"/>
      <c r="T44" s="37"/>
      <c r="U44" s="37"/>
      <c r="V44" s="37"/>
      <c r="W44" s="37"/>
    </row>
    <row r="45" spans="1:23" ht="13" customHeight="1">
      <c r="A45" s="26"/>
      <c r="B45" s="36"/>
      <c r="C45" s="37"/>
      <c r="D45" s="37"/>
      <c r="E45" s="37"/>
      <c r="F45" s="76"/>
      <c r="G45" s="90"/>
      <c r="H45" s="92"/>
      <c r="R45" s="36"/>
      <c r="T45" s="37"/>
      <c r="U45" s="37"/>
      <c r="V45" s="37"/>
      <c r="W45" s="37"/>
    </row>
    <row r="46" spans="1:23" ht="13" customHeight="1">
      <c r="A46" s="26"/>
      <c r="B46" s="36"/>
      <c r="C46" s="37"/>
      <c r="D46" s="37"/>
      <c r="E46" s="37"/>
      <c r="F46" s="76"/>
      <c r="G46" s="90"/>
      <c r="H46" s="92"/>
      <c r="R46" s="36"/>
      <c r="T46" s="37"/>
      <c r="U46" s="37"/>
      <c r="V46" s="37"/>
      <c r="W46" s="37"/>
    </row>
    <row r="47" spans="1:23" ht="13" customHeight="1">
      <c r="A47" s="26"/>
      <c r="B47" s="36"/>
      <c r="C47" s="37"/>
      <c r="D47" s="37"/>
      <c r="E47" s="37"/>
      <c r="F47" s="76"/>
      <c r="G47" s="90"/>
      <c r="H47" s="92"/>
      <c r="R47" s="36"/>
      <c r="T47" s="37"/>
      <c r="U47" s="37"/>
      <c r="V47" s="37"/>
      <c r="W47" s="37"/>
    </row>
    <row r="48" spans="1:23" ht="13" customHeight="1">
      <c r="A48" s="26"/>
      <c r="B48" s="36"/>
      <c r="C48" s="37"/>
      <c r="D48" s="37"/>
      <c r="E48" s="37"/>
      <c r="F48" s="76"/>
      <c r="G48" s="90"/>
      <c r="H48" s="92"/>
      <c r="R48" s="36"/>
      <c r="T48" s="37"/>
      <c r="U48" s="37"/>
      <c r="V48" s="37"/>
      <c r="W48" s="37"/>
    </row>
    <row r="49" spans="2:23" ht="13" customHeight="1">
      <c r="B49" s="36"/>
      <c r="C49" s="37"/>
      <c r="D49" s="37"/>
      <c r="E49" s="37"/>
      <c r="F49" s="76"/>
      <c r="G49" s="90"/>
      <c r="H49" s="92"/>
      <c r="R49" s="36"/>
      <c r="T49" s="37"/>
      <c r="U49" s="37"/>
      <c r="V49" s="37"/>
      <c r="W49" s="37"/>
    </row>
    <row r="50" spans="2:23" ht="13" customHeight="1">
      <c r="B50" s="36"/>
      <c r="C50" s="38"/>
      <c r="D50" s="38"/>
      <c r="E50" s="38"/>
      <c r="F50" s="76"/>
      <c r="G50" s="90"/>
      <c r="H50" s="92"/>
      <c r="R50" s="36"/>
      <c r="T50" s="37"/>
      <c r="U50" s="37"/>
      <c r="V50" s="37"/>
      <c r="W50" s="37"/>
    </row>
    <row r="51" spans="2:23" ht="13" customHeight="1">
      <c r="B51" s="36"/>
      <c r="C51" s="38"/>
      <c r="D51" s="38"/>
      <c r="E51" s="38"/>
      <c r="F51" s="76"/>
      <c r="G51" s="90"/>
      <c r="H51" s="92"/>
      <c r="R51" s="36"/>
      <c r="T51" s="37"/>
      <c r="U51" s="37"/>
      <c r="V51" s="37"/>
      <c r="W51" s="37"/>
    </row>
    <row r="52" spans="2:23" ht="13" customHeight="1">
      <c r="F52" s="76"/>
      <c r="G52" s="90"/>
      <c r="H52" s="92"/>
      <c r="R52" s="36"/>
      <c r="T52" s="37"/>
      <c r="U52" s="37"/>
      <c r="V52" s="37"/>
      <c r="W52" s="37"/>
    </row>
    <row r="53" spans="2:23" ht="13" customHeight="1">
      <c r="F53" s="76"/>
      <c r="G53" s="90"/>
      <c r="H53" s="92"/>
      <c r="R53" s="36"/>
      <c r="T53" s="37"/>
      <c r="U53" s="37"/>
      <c r="V53" s="37"/>
      <c r="W53" s="37"/>
    </row>
    <row r="54" spans="2:23" ht="13" customHeight="1">
      <c r="F54" s="76"/>
      <c r="G54" s="90"/>
      <c r="H54" s="92"/>
      <c r="R54" s="36"/>
      <c r="T54" s="37"/>
      <c r="U54" s="37"/>
      <c r="V54" s="37"/>
      <c r="W54" s="37"/>
    </row>
    <row r="55" spans="2:23" ht="13" customHeight="1">
      <c r="F55" s="76"/>
      <c r="G55" s="90"/>
      <c r="H55" s="92"/>
      <c r="R55" s="36"/>
      <c r="T55" s="37"/>
      <c r="U55" s="37"/>
      <c r="V55" s="37"/>
      <c r="W55" s="37"/>
    </row>
    <row r="56" spans="2:23" ht="13" customHeight="1">
      <c r="F56" s="76"/>
      <c r="G56" s="90"/>
      <c r="H56" s="92"/>
      <c r="R56" s="40"/>
      <c r="T56" s="37"/>
      <c r="U56" s="37"/>
      <c r="V56" s="37"/>
      <c r="W56" s="37"/>
    </row>
    <row r="57" spans="2:23" ht="13" customHeight="1">
      <c r="F57" s="76"/>
      <c r="G57" s="90"/>
      <c r="H57" s="92"/>
      <c r="R57" s="36"/>
      <c r="T57" s="37"/>
      <c r="U57" s="37"/>
      <c r="V57" s="37"/>
      <c r="W57" s="37"/>
    </row>
    <row r="58" spans="2:23" ht="13" customHeight="1">
      <c r="F58" s="76"/>
      <c r="G58" s="90"/>
      <c r="H58" s="92"/>
      <c r="R58" s="36"/>
      <c r="T58" s="37"/>
      <c r="U58" s="37"/>
      <c r="V58" s="37"/>
      <c r="W58" s="37"/>
    </row>
    <row r="59" spans="2:23" ht="13" customHeight="1">
      <c r="F59" s="76"/>
      <c r="G59" s="90"/>
      <c r="H59" s="92"/>
      <c r="R59" s="36"/>
      <c r="T59" s="37"/>
      <c r="U59" s="37"/>
      <c r="V59" s="37"/>
      <c r="W59" s="37"/>
    </row>
    <row r="60" spans="2:23" ht="13" customHeight="1">
      <c r="F60" s="76"/>
      <c r="G60" s="90"/>
      <c r="H60" s="92"/>
      <c r="R60" s="36"/>
      <c r="T60" s="37"/>
      <c r="U60" s="37"/>
      <c r="V60" s="37"/>
      <c r="W60" s="37"/>
    </row>
    <row r="61" spans="2:23" ht="13" customHeight="1">
      <c r="F61" s="76"/>
      <c r="G61" s="90"/>
      <c r="H61" s="92"/>
      <c r="R61" s="40"/>
      <c r="T61" s="37"/>
      <c r="U61" s="37"/>
      <c r="V61" s="37"/>
      <c r="W61" s="37"/>
    </row>
    <row r="62" spans="2:23" ht="13" customHeight="1">
      <c r="F62" s="76"/>
      <c r="G62" s="90"/>
      <c r="H62" s="92"/>
      <c r="R62" s="36"/>
      <c r="T62" s="37"/>
      <c r="U62" s="37"/>
      <c r="V62" s="37"/>
      <c r="W62" s="37"/>
    </row>
    <row r="63" spans="2:23" ht="13" customHeight="1">
      <c r="F63" s="76"/>
      <c r="G63" s="90"/>
      <c r="H63" s="92"/>
      <c r="R63" s="36"/>
      <c r="T63" s="37"/>
      <c r="U63" s="37"/>
      <c r="V63" s="37"/>
      <c r="W63" s="37"/>
    </row>
    <row r="64" spans="2:23" ht="13" customHeight="1">
      <c r="F64" s="76"/>
      <c r="G64" s="90"/>
      <c r="H64" s="92"/>
      <c r="R64" s="36"/>
      <c r="T64" s="37"/>
      <c r="U64" s="37"/>
      <c r="V64" s="37"/>
      <c r="W64" s="37"/>
    </row>
    <row r="65" spans="2:23" ht="13" customHeight="1">
      <c r="F65" s="76"/>
      <c r="G65" s="90"/>
      <c r="H65" s="92"/>
      <c r="R65" s="36"/>
      <c r="T65" s="37"/>
      <c r="U65" s="37"/>
      <c r="V65" s="37"/>
      <c r="W65" s="37"/>
    </row>
    <row r="66" spans="2:23" ht="13" customHeight="1">
      <c r="F66" s="76"/>
      <c r="G66" s="90"/>
      <c r="H66" s="92"/>
      <c r="R66" s="36"/>
      <c r="T66" s="37"/>
      <c r="U66" s="37"/>
      <c r="V66" s="37"/>
      <c r="W66" s="37"/>
    </row>
    <row r="67" spans="2:23" ht="13" customHeight="1">
      <c r="F67" s="76"/>
      <c r="G67" s="90"/>
      <c r="H67" s="92"/>
      <c r="R67" s="36"/>
      <c r="T67" s="37"/>
      <c r="U67" s="37"/>
      <c r="V67" s="37"/>
      <c r="W67" s="37"/>
    </row>
    <row r="68" spans="2:23" ht="13" customHeight="1">
      <c r="F68" s="76"/>
      <c r="G68" s="90"/>
      <c r="H68" s="92"/>
      <c r="R68" s="36"/>
      <c r="T68" s="37"/>
      <c r="U68" s="37"/>
      <c r="V68" s="37"/>
      <c r="W68" s="37"/>
    </row>
    <row r="69" spans="2:23" ht="13" customHeight="1">
      <c r="F69" s="76"/>
      <c r="G69" s="90"/>
      <c r="H69" s="92"/>
      <c r="R69" s="36"/>
      <c r="T69" s="37"/>
      <c r="U69" s="37"/>
      <c r="V69" s="37"/>
      <c r="W69" s="37"/>
    </row>
    <row r="70" spans="2:23" ht="13" customHeight="1">
      <c r="F70" s="76"/>
      <c r="G70" s="90"/>
      <c r="H70" s="92"/>
      <c r="R70" s="36"/>
      <c r="T70" s="37"/>
      <c r="U70" s="37"/>
      <c r="V70" s="37"/>
      <c r="W70" s="37"/>
    </row>
    <row r="71" spans="2:23" ht="13" customHeight="1">
      <c r="F71" s="76"/>
      <c r="G71" s="90"/>
      <c r="H71" s="92"/>
      <c r="R71" s="36"/>
      <c r="T71" s="37"/>
      <c r="U71" s="37"/>
      <c r="V71" s="37"/>
      <c r="W71" s="37"/>
    </row>
    <row r="72" spans="2:23" ht="13" customHeight="1">
      <c r="F72" s="76"/>
      <c r="G72" s="90"/>
      <c r="H72" s="92"/>
      <c r="R72" s="36"/>
      <c r="T72" s="37"/>
      <c r="U72" s="37"/>
      <c r="V72" s="37"/>
      <c r="W72" s="37"/>
    </row>
    <row r="73" spans="2:23" ht="13" customHeight="1">
      <c r="F73" s="76"/>
      <c r="G73" s="90"/>
      <c r="H73" s="92"/>
      <c r="R73" s="36"/>
      <c r="T73" s="37"/>
      <c r="U73" s="37"/>
      <c r="V73" s="37"/>
      <c r="W73" s="37"/>
    </row>
    <row r="74" spans="2:23" ht="13" customHeight="1">
      <c r="G74" s="90"/>
      <c r="R74" s="40"/>
      <c r="T74" s="37"/>
      <c r="U74" s="37"/>
      <c r="V74" s="37"/>
      <c r="W74" s="37"/>
    </row>
    <row r="75" spans="2:23" ht="13" customHeight="1">
      <c r="G75" s="90"/>
      <c r="R75" s="36"/>
      <c r="T75" s="37"/>
      <c r="U75" s="37"/>
      <c r="V75" s="37"/>
      <c r="W75" s="37"/>
    </row>
    <row r="76" spans="2:23" ht="13" customHeight="1">
      <c r="R76" s="36"/>
      <c r="T76" s="37"/>
      <c r="U76" s="37"/>
      <c r="V76" s="37"/>
      <c r="W76" s="37"/>
    </row>
    <row r="77" spans="2:23" ht="13" customHeight="1">
      <c r="R77" s="36"/>
      <c r="T77" s="37"/>
      <c r="U77" s="37"/>
      <c r="V77" s="37"/>
      <c r="W77" s="37"/>
    </row>
    <row r="78" spans="2:23" ht="13" customHeight="1">
      <c r="T78" s="37"/>
      <c r="U78" s="37"/>
      <c r="V78" s="37"/>
      <c r="W78" s="37"/>
    </row>
    <row r="79" spans="2:23" ht="13" customHeight="1">
      <c r="T79" s="37"/>
      <c r="U79" s="37"/>
      <c r="V79" s="37"/>
      <c r="W79" s="37"/>
    </row>
    <row r="80" spans="2:23" ht="13" customHeight="1">
      <c r="B80" s="28"/>
      <c r="U80" s="37"/>
      <c r="V80" s="37"/>
      <c r="W80" s="37"/>
    </row>
    <row r="81" spans="2:23" ht="13" customHeight="1">
      <c r="B81" s="27"/>
      <c r="U81" s="37"/>
      <c r="V81" s="37"/>
      <c r="W81" s="37"/>
    </row>
    <row r="82" spans="2:23" ht="13" customHeight="1">
      <c r="B82" s="32"/>
      <c r="U82" s="37"/>
      <c r="V82" s="37"/>
      <c r="W82" s="37"/>
    </row>
    <row r="83" spans="2:23" ht="13" customHeight="1">
      <c r="C83" s="26"/>
      <c r="D83" s="26"/>
      <c r="E83" s="26"/>
      <c r="F83" s="26"/>
      <c r="U83" s="37"/>
      <c r="V83" s="37"/>
      <c r="W83" s="37"/>
    </row>
    <row r="84" spans="2:23" ht="13" customHeight="1">
      <c r="B84" s="28"/>
      <c r="C84" s="27"/>
      <c r="D84" s="27"/>
      <c r="E84" s="27"/>
      <c r="F84" s="27"/>
      <c r="U84" s="37"/>
      <c r="V84" s="37"/>
      <c r="W84" s="37"/>
    </row>
    <row r="85" spans="2:23" ht="13" customHeight="1">
      <c r="B85" s="27"/>
      <c r="C85" s="26"/>
      <c r="D85" s="26"/>
      <c r="E85" s="26"/>
      <c r="F85" s="26"/>
      <c r="U85" s="37"/>
      <c r="V85" s="37"/>
      <c r="W85" s="37"/>
    </row>
    <row r="86" spans="2:23" ht="13" customHeight="1">
      <c r="B86" s="31"/>
      <c r="C86" s="30"/>
      <c r="D86" s="30"/>
      <c r="E86" s="30"/>
      <c r="F86" s="30"/>
      <c r="U86" s="37"/>
      <c r="V86" s="37"/>
      <c r="W86" s="37"/>
    </row>
    <row r="87" spans="2:23" ht="13" customHeight="1">
      <c r="U87" s="37"/>
      <c r="V87" s="37"/>
      <c r="W87" s="37"/>
    </row>
    <row r="88" spans="2:23" ht="13" customHeight="1">
      <c r="U88" s="37"/>
      <c r="V88" s="37"/>
      <c r="W88" s="37"/>
    </row>
    <row r="89" spans="2:23" ht="13" customHeight="1">
      <c r="U89" s="37"/>
      <c r="V89" s="37"/>
      <c r="W89" s="37"/>
    </row>
    <row r="90" spans="2:23" ht="13" customHeight="1">
      <c r="U90" s="37"/>
      <c r="V90" s="37"/>
      <c r="W90" s="37"/>
    </row>
    <row r="91" spans="2:23" ht="13" customHeight="1">
      <c r="U91" s="37"/>
      <c r="V91" s="37"/>
      <c r="W91" s="37"/>
    </row>
    <row r="92" spans="2:23" ht="13" customHeight="1">
      <c r="U92" s="37"/>
      <c r="V92" s="37"/>
      <c r="W92" s="37"/>
    </row>
    <row r="93" spans="2:23" ht="13" customHeight="1">
      <c r="U93" s="37"/>
      <c r="V93" s="37"/>
      <c r="W93" s="37"/>
    </row>
    <row r="94" spans="2:23" ht="13" customHeight="1">
      <c r="U94" s="37"/>
      <c r="V94" s="37"/>
      <c r="W94" s="37"/>
    </row>
    <row r="95" spans="2:23" ht="13" customHeight="1">
      <c r="U95" s="37"/>
      <c r="V95" s="37"/>
      <c r="W95" s="37"/>
    </row>
    <row r="96" spans="2:23" ht="13" customHeight="1">
      <c r="U96" s="37"/>
      <c r="V96" s="37"/>
      <c r="W96" s="37"/>
    </row>
    <row r="97" spans="21:23" ht="13" customHeight="1">
      <c r="U97" s="37"/>
      <c r="V97" s="37"/>
      <c r="W97" s="37"/>
    </row>
    <row r="98" spans="21:23" ht="13" customHeight="1">
      <c r="U98" s="37"/>
      <c r="V98" s="37"/>
      <c r="W98" s="37"/>
    </row>
    <row r="99" spans="21:23" ht="13" customHeight="1">
      <c r="U99" s="37"/>
      <c r="V99" s="37"/>
      <c r="W99" s="37"/>
    </row>
    <row r="100" spans="21:23" ht="13" customHeight="1">
      <c r="U100" s="37"/>
      <c r="V100" s="37"/>
      <c r="W100" s="37"/>
    </row>
    <row r="101" spans="21:23" ht="13" customHeight="1">
      <c r="U101" s="37"/>
      <c r="V101" s="37"/>
      <c r="W101" s="37"/>
    </row>
    <row r="102" spans="21:23" ht="13" customHeight="1">
      <c r="U102" s="37"/>
      <c r="V102" s="37"/>
      <c r="W102" s="37"/>
    </row>
    <row r="103" spans="21:23" ht="13" customHeight="1"/>
    <row r="104" spans="21:23" ht="13" customHeight="1"/>
    <row r="105" spans="21:23" ht="13" customHeight="1"/>
    <row r="106" spans="21:23" ht="13" customHeight="1"/>
    <row r="107" spans="21:23" ht="13" customHeight="1"/>
    <row r="108" spans="21:23" ht="13" customHeight="1"/>
    <row r="109" spans="21:23" ht="13" customHeight="1"/>
    <row r="110" spans="21:23" ht="13" customHeight="1"/>
    <row r="111" spans="21:23" ht="13" customHeight="1"/>
    <row r="112" spans="21:23" ht="13" customHeight="1"/>
    <row r="113" ht="13" customHeight="1"/>
    <row r="114" ht="13" customHeight="1"/>
    <row r="115" ht="13" customHeight="1"/>
    <row r="116" ht="13" customHeight="1"/>
    <row r="117" ht="13" customHeight="1"/>
    <row r="118" ht="13" customHeight="1"/>
  </sheetData>
  <phoneticPr fontId="8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26998.62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199.35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154.99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26757.52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177.89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171.04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94551528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21560000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9948448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0.98778355640000004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4699.4293040000002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4699.4293040000002</v>
      </c>
      <c r="D57" s="189">
        <v>4723.5972540000002</v>
      </c>
      <c r="E57" s="190">
        <f>I10</f>
        <v>26998.62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-241.09999999999854</v>
      </c>
      <c r="J57" s="190">
        <f>SUM(E57:I57)</f>
        <v>26757.52</v>
      </c>
      <c r="K57" s="190">
        <f>IF((+L57-J57)&gt;0,(L57-J57),0)</f>
        <v>0</v>
      </c>
      <c r="L57" s="192">
        <f>I15</f>
        <v>26757.52</v>
      </c>
      <c r="M57" s="102"/>
      <c r="N57" s="102"/>
      <c r="O57" s="102">
        <f>E57+H57+G57</f>
        <v>26998.62</v>
      </c>
      <c r="P57" s="108">
        <f>L57-E57</f>
        <v>-241.09999999999854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199.35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-21.460000000000008</v>
      </c>
      <c r="J58" s="190">
        <f>E58+H58+G58+I58</f>
        <v>177.89</v>
      </c>
      <c r="K58" s="190">
        <f>IF((+L58-J58)&gt;0,(L58-J58),0)</f>
        <v>0</v>
      </c>
      <c r="L58" s="192">
        <f>I16</f>
        <v>177.89</v>
      </c>
      <c r="M58" s="102"/>
      <c r="N58" s="102"/>
      <c r="O58" s="102">
        <f>IF(E59=0,J58+J59,J58)</f>
        <v>177.89</v>
      </c>
      <c r="P58" s="108">
        <f>L58+L59-E58</f>
        <v>149.57999999999996</v>
      </c>
      <c r="Q58" s="1">
        <f>L59*466-(P58)*487.11</f>
        <v>6842.7262000000192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154.99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16.049999999999983</v>
      </c>
      <c r="J59" s="190">
        <f>E59+H59+G59+I59</f>
        <v>171.04</v>
      </c>
      <c r="K59" s="190">
        <f>IF((+L59-J59)&gt;0,(L59-J59),0)</f>
        <v>0</v>
      </c>
      <c r="L59" s="192">
        <f>I17</f>
        <v>171.04</v>
      </c>
      <c r="M59" s="102"/>
      <c r="N59" s="102"/>
      <c r="O59" s="102">
        <f>IF(E59=0,L58+L59,L59)</f>
        <v>171.04</v>
      </c>
      <c r="P59" s="108">
        <f>L59-E59</f>
        <v>16.049999999999983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27352.959999999999</v>
      </c>
      <c r="F61" s="190"/>
      <c r="G61" s="190">
        <f>SUM(G57:G60)</f>
        <v>0</v>
      </c>
      <c r="H61" s="190">
        <f>SUM(H57:H60)</f>
        <v>0</v>
      </c>
      <c r="I61" s="190">
        <f>SUM(I57:I59)</f>
        <v>-246.5099999999986</v>
      </c>
      <c r="J61" s="190">
        <f>SUM(J57:J60)</f>
        <v>27106.45</v>
      </c>
      <c r="K61" s="190">
        <f>SUM(K57:K60)</f>
        <v>0</v>
      </c>
      <c r="L61" s="192">
        <f>SUM(L57:L60)</f>
        <v>27106.45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83315.294399999999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9072987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1040685.9356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128163346.98793459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1477479</v>
      </c>
      <c r="M66" s="163"/>
      <c r="N66" s="163"/>
      <c r="O66" s="152">
        <f>L66/487.11</f>
        <v>3033.1526759869434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6499831</v>
      </c>
      <c r="M67" s="163"/>
      <c r="N67" s="163"/>
      <c r="O67" s="13"/>
      <c r="P67" s="139">
        <f>I57*D57</f>
        <v>-1138859.2979393932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128163346.98793459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-60955.669968900031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126878105.99556048</v>
      </c>
      <c r="F69" s="202"/>
      <c r="G69" s="176"/>
      <c r="H69" s="174" t="s">
        <v>27</v>
      </c>
      <c r="I69" s="175"/>
      <c r="J69" s="175"/>
      <c r="K69" s="175"/>
      <c r="L69" s="203">
        <f>SUM(L65:L67)</f>
        <v>7977310</v>
      </c>
      <c r="M69" s="165"/>
      <c r="N69" s="165"/>
      <c r="O69" s="155"/>
      <c r="P69" s="138">
        <f>IF(AND(E59=0,L71&gt;0),(I59+L147)*D58,IF(AND(E59&gt;0,L71&gt;0),I59*D59,0))</f>
        <v>75813.735926699926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560522.77973954997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-1124001.2319815934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724718.21263457008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1124001.23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-1112652.1756442233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146613454.59677571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136123681.81229037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94551528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1388461.5544853618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137512143.36677572</v>
      </c>
      <c r="G79" s="176" t="s">
        <v>29</v>
      </c>
      <c r="H79" s="175" t="s">
        <v>14</v>
      </c>
      <c r="I79" s="175"/>
      <c r="J79" s="175"/>
      <c r="K79" s="175"/>
      <c r="L79" s="213">
        <f>I23</f>
        <v>21560000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8128247.5976930447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20582584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144822359.59769303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0.98778355640000004</v>
      </c>
      <c r="K84" s="175"/>
      <c r="L84" s="210">
        <f>+(1-J84)*L73</f>
        <v>1791094.9990826654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146613454.59677568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8128247.5976930447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8128247.5976930447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1288289.577444097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451095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1690713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7806640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9948448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0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0</v>
      </c>
      <c r="J113" s="242">
        <f>SUM(B113:I113)</f>
        <v>7938864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9072987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9948448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-1138859.2979393932</v>
      </c>
      <c r="E141" s="101">
        <f>(L58-E58)*D58</f>
        <v>-60955.669968900031</v>
      </c>
      <c r="F141" s="101">
        <f>ROUND(D141+E141,0)</f>
        <v>-1199815</v>
      </c>
      <c r="G141" s="145">
        <f>IF(E59&gt;0,0,O168)</f>
        <v>0</v>
      </c>
      <c r="H141" s="101">
        <f>(L59-E59)*D59</f>
        <v>75813.735926699926</v>
      </c>
      <c r="I141" s="101">
        <f>ROUND(D141+E141+H141,2)</f>
        <v>-1124001.23</v>
      </c>
      <c r="J141" s="113">
        <f>I144+I145+I150+I151+I162+I163+I156+I157+I168</f>
        <v>0</v>
      </c>
      <c r="K141" s="113"/>
      <c r="O141" s="146">
        <f>F141+G141</f>
        <v>-1199815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348.92999999999995</v>
      </c>
      <c r="M145" s="81"/>
      <c r="N145" s="81"/>
      <c r="O145" s="104">
        <f>D138/(D141+O168)*D141</f>
        <v>15868460.93104949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149.57999999999996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348.92999999999995</v>
      </c>
      <c r="M151" s="81"/>
      <c r="N151" s="81"/>
      <c r="O151" s="104">
        <f>D138/(D141+O168)*D141</f>
        <v>15868460.93104949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149.57999999999996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10079955.610783949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21.460000000000036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424871.81332469994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171.04</v>
      </c>
      <c r="M171" s="103"/>
      <c r="N171" s="103"/>
      <c r="O171" s="115">
        <f>O167*D58+L147*D59+O167*487.11</f>
        <v>777964.72782222007</v>
      </c>
    </row>
    <row r="172" spans="1:16">
      <c r="A172" s="23"/>
      <c r="B172" s="2" t="s">
        <v>247</v>
      </c>
      <c r="D172" s="8">
        <f>IF(I141&lt;0,D141/D57,0)</f>
        <v>-241.09999999999854</v>
      </c>
      <c r="E172" s="8">
        <f>IF(I141&lt;0,E141/D58,0)</f>
        <v>-21.460000000000008</v>
      </c>
      <c r="F172" s="8"/>
      <c r="G172" s="8"/>
      <c r="H172" s="8">
        <f>IF(I141&lt;0,H141/D59,0)</f>
        <v>16.049999999999983</v>
      </c>
      <c r="I172" s="137">
        <f>IF(AND(E59=0,L71&gt;0),-D172*D57-E172*D58-(H172+L147)*D58,IF(AND(E59&gt;0,L71&gt;0),-D172*D57-E172*D58-H172*D59,0))</f>
        <v>1124001.2319815934</v>
      </c>
      <c r="J172" s="103"/>
      <c r="K172" s="103"/>
      <c r="L172" s="119">
        <f>O167*487.11</f>
        <v>10453.380600000019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10453.380600000019</v>
      </c>
      <c r="M173" s="103"/>
      <c r="N173" s="103"/>
      <c r="O173" s="103">
        <f>L147*3232.0676</f>
        <v>483452.67160799983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58906.794388000104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10453.380600000019</v>
      </c>
      <c r="O175" s="103">
        <f>O173+O174</f>
        <v>542359.46599599998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-72861.91379999998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-1138859.2979393932</v>
      </c>
      <c r="E180" s="101">
        <f>E141</f>
        <v>-60955.669968900031</v>
      </c>
      <c r="F180" s="101"/>
      <c r="G180" s="101">
        <f>G141</f>
        <v>0</v>
      </c>
      <c r="H180" s="101">
        <f>H141</f>
        <v>75813.735926699926</v>
      </c>
      <c r="I180" s="101">
        <f>I141</f>
        <v>-1124001.23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activeCellId="1" sqref="L71 K71:L72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4713.58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518.71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21.09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4936.97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414.2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88.92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17295562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1391481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0.98778354639999999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2.35E-2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2.2800000000000001E-2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4713.58</v>
      </c>
      <c r="F57" s="190"/>
      <c r="G57" s="191">
        <f>D169</f>
        <v>223.3900000000003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4936.97</v>
      </c>
      <c r="K57" s="190">
        <f>IF((+L57-J57)&gt;0,(L57-J57),0)</f>
        <v>0</v>
      </c>
      <c r="L57" s="192">
        <f>I15</f>
        <v>4936.97</v>
      </c>
      <c r="M57" s="102"/>
      <c r="N57" s="102"/>
      <c r="O57" s="102">
        <f>E57+H57+G57</f>
        <v>4936.97</v>
      </c>
      <c r="P57" s="108">
        <f>L57-E57</f>
        <v>223.39000000000033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518.71</v>
      </c>
      <c r="F58" s="190"/>
      <c r="G58" s="191">
        <f>E169</f>
        <v>-104.51000000000005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414.2</v>
      </c>
      <c r="K58" s="190">
        <f>IF((+L58-J58)&gt;0,(L58-J58),0)</f>
        <v>0</v>
      </c>
      <c r="L58" s="192">
        <f>I16</f>
        <v>414.2</v>
      </c>
      <c r="M58" s="102"/>
      <c r="N58" s="102"/>
      <c r="O58" s="102">
        <f>IF(E59=0,J58+J59,J58)</f>
        <v>414.2</v>
      </c>
      <c r="P58" s="108">
        <f>L58+L59-E58</f>
        <v>-15.590000000000032</v>
      </c>
      <c r="Q58" s="1">
        <f>L59*466-(P58)*487.11</f>
        <v>49030.764900000016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21.09</v>
      </c>
      <c r="F59" s="190"/>
      <c r="G59" s="191">
        <f>H169</f>
        <v>67.83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88.92</v>
      </c>
      <c r="K59" s="190">
        <f>IF((+L59-J59)&gt;0,(L59-J59),0)</f>
        <v>0</v>
      </c>
      <c r="L59" s="192">
        <f>I17</f>
        <v>88.92</v>
      </c>
      <c r="M59" s="102"/>
      <c r="N59" s="102"/>
      <c r="O59" s="102">
        <f>IF(E59=0,L58+L59,L59)</f>
        <v>88.92</v>
      </c>
      <c r="P59" s="108">
        <f>L59-E59</f>
        <v>67.83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5253.38</v>
      </c>
      <c r="F61" s="190"/>
      <c r="G61" s="190">
        <f>SUM(G57:G60)</f>
        <v>186.71000000000026</v>
      </c>
      <c r="H61" s="190">
        <f>SUM(H57:H60)</f>
        <v>0</v>
      </c>
      <c r="I61" s="190">
        <f>SUM(I57:I59)</f>
        <v>0</v>
      </c>
      <c r="J61" s="190">
        <f>SUM(J57:J60)</f>
        <v>5440.09</v>
      </c>
      <c r="K61" s="190">
        <f>SUM(K57:K60)</f>
        <v>0</v>
      </c>
      <c r="L61" s="192">
        <f>SUM(L57:L60)</f>
        <v>5440.09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43313.821199999998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-43313.821199999998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23597341.708629981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288274</v>
      </c>
      <c r="M66" s="163"/>
      <c r="N66" s="163"/>
      <c r="O66" s="152">
        <f>L66/487.11</f>
        <v>591.80472583194762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1919340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23597341.708629981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22040242.985293079</v>
      </c>
      <c r="F69" s="202"/>
      <c r="G69" s="176"/>
      <c r="H69" s="174" t="s">
        <v>27</v>
      </c>
      <c r="I69" s="175"/>
      <c r="J69" s="175"/>
      <c r="K69" s="175"/>
      <c r="L69" s="203">
        <f>SUM(L65:L67)</f>
        <v>2207614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1458483.9281600302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98614.79517687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31134321.248105738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27566773.708629981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17295562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281181.09182802582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27847954.800458007</v>
      </c>
      <c r="G79" s="176" t="s">
        <v>29</v>
      </c>
      <c r="H79" s="175" t="s">
        <v>14</v>
      </c>
      <c r="I79" s="175"/>
      <c r="J79" s="175"/>
      <c r="K79" s="175"/>
      <c r="L79" s="213">
        <f>I23</f>
        <v>1391481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7171544.2572107604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4895383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1055204.3905710615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30753970.257210761</v>
      </c>
      <c r="M83" s="86"/>
      <c r="N83" s="86"/>
      <c r="O83" s="107">
        <f>G58*D58</f>
        <v>-296853.54466215015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0.98778354639999999</v>
      </c>
      <c r="K84" s="175"/>
      <c r="L84" s="210">
        <f>+(1-J84)*L73</f>
        <v>380350.99089497817</v>
      </c>
      <c r="M84" s="65"/>
      <c r="N84" s="65"/>
      <c r="O84" s="143">
        <f>G59*D59</f>
        <v>320401.60173882003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31134321.248105738</v>
      </c>
      <c r="M85" s="86"/>
      <c r="N85" s="86"/>
      <c r="O85" s="107">
        <f>SUM(O82:O84)</f>
        <v>1078752.4476477315</v>
      </c>
      <c r="P85" s="103">
        <f>I168+G174</f>
        <v>1078752.4476477315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7171544.2572107604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2.35E-2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2.2800000000000001E-2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7171544.2572107604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543507.19059367827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1078752.4476477315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1055204.3905710615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-296853.54466215015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320401.60173882003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1078752.4476477315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1055204.3905710615</v>
      </c>
      <c r="E141" s="101">
        <f>(L58-E58)*D58</f>
        <v>-296853.54466215015</v>
      </c>
      <c r="F141" s="101">
        <f>ROUND(D141+E141,0)</f>
        <v>758351</v>
      </c>
      <c r="G141" s="145">
        <f>IF(E59&gt;0,0,O168)</f>
        <v>0</v>
      </c>
      <c r="H141" s="101">
        <f>(L59-E59)*D59</f>
        <v>320401.60173882003</v>
      </c>
      <c r="I141" s="101">
        <f>ROUND(D141+E141+H141,2)</f>
        <v>1078752.45</v>
      </c>
      <c r="J141" s="113">
        <f>I144+I145+I150+I151+I162+I163+I156+I157+I168</f>
        <v>1078752.4476477315</v>
      </c>
      <c r="K141" s="113"/>
      <c r="O141" s="146">
        <f>F141+G141</f>
        <v>758351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503.12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503.12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-15.590000000000032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88.92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1055204.3905710615</v>
      </c>
      <c r="E168" s="134">
        <f>IF(I141&lt;0,0,IF(AND(E59=0,I141&gt;=0),E141-E144-E145-E150-E151,IF(AND(E59&gt;0,I141&gt;=0),E141-E156-E157-E162-E163,0)))</f>
        <v>-296853.54466215015</v>
      </c>
      <c r="F168" s="134"/>
      <c r="G168" s="134"/>
      <c r="H168" s="134">
        <f>IF(I141&lt;0,0,IF(AND(E59=0,I141&gt;=0),H141-H144-H145-H150-H151,IF(AND(E59&gt;0,I141&gt;=0),H141-H156-H157-H162-H163,0)))</f>
        <v>320401.60173882003</v>
      </c>
      <c r="I168" s="101">
        <f>IF(I141&gt;0,D168+E168+H168,0)</f>
        <v>1078752.4476477315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223.3900000000003</v>
      </c>
      <c r="E169" s="8">
        <f>IF(E168=0,0,IF(I141&lt;0,0,L58-H58-E58))</f>
        <v>-104.51000000000005</v>
      </c>
      <c r="F169" s="8"/>
      <c r="G169" s="8"/>
      <c r="H169" s="8">
        <f>IF(AND(E59=0,H141-I145=0),0,IF(I141&lt;0,0,IF(E59=0,(H168)/D59,IF(E59&gt;0,(H141-H156-H157-H162-H163)/D59,0))))</f>
        <v>67.83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1078752.4476477315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-104.51000000000005</v>
      </c>
      <c r="F171" s="101"/>
      <c r="G171" s="101"/>
      <c r="H171" s="101"/>
      <c r="I171" s="136" t="s">
        <v>283</v>
      </c>
      <c r="J171" s="103">
        <f>I144+I145+I168</f>
        <v>1078752.4476477315</v>
      </c>
      <c r="K171" s="103"/>
      <c r="L171" s="103">
        <f>L147+O167</f>
        <v>88.92</v>
      </c>
      <c r="M171" s="103"/>
      <c r="N171" s="103"/>
      <c r="O171" s="115">
        <f>O167*D58+L147*D59+O167*487.11</f>
        <v>295885.03152780002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43313.821199999998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1122066.2688477314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244081.64757600002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43313.821199999998</v>
      </c>
      <c r="O175" s="103">
        <f>O173+O174</f>
        <v>244081.64757600002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1055204.3905710615</v>
      </c>
      <c r="E177" s="107">
        <f>E144+E145+E150+E151+E162+E163+E156+E157+E168</f>
        <v>-296853.54466215015</v>
      </c>
      <c r="F177" s="107"/>
      <c r="G177" s="107"/>
      <c r="H177" s="107">
        <f>H144+H145+H156+H157+H168</f>
        <v>320401.60173882003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33040.671300000002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33040.671300000002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1055204.3905710615</v>
      </c>
      <c r="E180" s="101">
        <f>E141</f>
        <v>-296853.54466215015</v>
      </c>
      <c r="F180" s="101"/>
      <c r="G180" s="101">
        <f>G141</f>
        <v>0</v>
      </c>
      <c r="H180" s="101">
        <f>H141</f>
        <v>320401.60173882003</v>
      </c>
      <c r="I180" s="101">
        <f>I141</f>
        <v>1078752.45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12541.47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271.39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2649.01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11633.91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321.47000000000003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2442.31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14467777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4413591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0.98778356349999996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1.55E-2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1.52E-2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12541.47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-907.55999999999949</v>
      </c>
      <c r="J57" s="190">
        <f>SUM(E57:I57)</f>
        <v>11633.91</v>
      </c>
      <c r="K57" s="190">
        <f>IF((+L57-J57)&gt;0,(L57-J57),0)</f>
        <v>0</v>
      </c>
      <c r="L57" s="192">
        <f>I15</f>
        <v>11633.91</v>
      </c>
      <c r="M57" s="102"/>
      <c r="N57" s="102"/>
      <c r="O57" s="102">
        <f>E57+H57+G57</f>
        <v>12541.47</v>
      </c>
      <c r="P57" s="108">
        <f>L57-E57</f>
        <v>-907.55999999999949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271.39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50.080000000000034</v>
      </c>
      <c r="J58" s="190">
        <f>E58+H58+G58+I58</f>
        <v>321.47000000000003</v>
      </c>
      <c r="K58" s="190">
        <f>IF((+L58-J58)&gt;0,(L58-J58),0)</f>
        <v>0</v>
      </c>
      <c r="L58" s="192">
        <f>I16</f>
        <v>321.47000000000003</v>
      </c>
      <c r="M58" s="102"/>
      <c r="N58" s="102"/>
      <c r="O58" s="102">
        <f>IF(E59=0,J58+J59,J58)</f>
        <v>321.47000000000003</v>
      </c>
      <c r="P58" s="108">
        <f>L58+L59-E58</f>
        <v>2492.39</v>
      </c>
      <c r="Q58" s="1">
        <f>L59*466-(P58)*487.11</f>
        <v>-75951.632900000084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2649.01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-206.70000000000027</v>
      </c>
      <c r="J59" s="190">
        <f>E59+H59+G59+I59</f>
        <v>2442.31</v>
      </c>
      <c r="K59" s="190">
        <f>IF((+L59-J59)&gt;0,(L59-J59),0)</f>
        <v>0</v>
      </c>
      <c r="L59" s="192">
        <f>I17</f>
        <v>2442.31</v>
      </c>
      <c r="M59" s="102"/>
      <c r="N59" s="102"/>
      <c r="O59" s="102">
        <f>IF(E59=0,L58+L59,L59)</f>
        <v>2442.31</v>
      </c>
      <c r="P59" s="108">
        <f>L59-E59</f>
        <v>-206.70000000000027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15461.869999999999</v>
      </c>
      <c r="F61" s="190"/>
      <c r="G61" s="190">
        <f>SUM(G57:G60)</f>
        <v>0</v>
      </c>
      <c r="H61" s="190">
        <f>SUM(H57:H60)</f>
        <v>0</v>
      </c>
      <c r="I61" s="190">
        <f>SUM(I57:I59)</f>
        <v>-1064.1799999999998</v>
      </c>
      <c r="J61" s="190">
        <f>SUM(J57:J60)</f>
        <v>14397.689999999999</v>
      </c>
      <c r="K61" s="190">
        <f>SUM(K57:K60)</f>
        <v>0</v>
      </c>
      <c r="L61" s="192">
        <f>SUM(L57:L60)</f>
        <v>14397.689999999999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1189673.6240999999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3931393.0159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71792292.843944907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779823</v>
      </c>
      <c r="M66" s="163"/>
      <c r="N66" s="163"/>
      <c r="O66" s="152">
        <f>L66/487.11</f>
        <v>1600.9176572026852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3472958</v>
      </c>
      <c r="M67" s="163"/>
      <c r="N67" s="163"/>
      <c r="O67" s="13"/>
      <c r="P67" s="139">
        <f>I57*D57</f>
        <v>-4286947.9238402378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71792292.843944907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142248.83280720012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58642697.523488216</v>
      </c>
      <c r="F69" s="202"/>
      <c r="G69" s="176"/>
      <c r="H69" s="174" t="s">
        <v>27</v>
      </c>
      <c r="I69" s="175"/>
      <c r="J69" s="175"/>
      <c r="K69" s="175"/>
      <c r="L69" s="203">
        <f>SUM(L65:L67)</f>
        <v>4252781</v>
      </c>
      <c r="M69" s="165"/>
      <c r="N69" s="165"/>
      <c r="O69" s="155"/>
      <c r="P69" s="138">
        <f>IF(AND(E59=0,L71&gt;0),(I59+L147)*D58,IF(AND(E59&gt;0,L71&gt;0),I59*D59,0))</f>
        <v>-976367.55240180134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763081.40051926998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-5121066.6434348393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12386513.919937432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5121066.6399999997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-5069359.1644472191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82505811.526228562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72393549.679497689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14467777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738414.20673087647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73131963.886228561</v>
      </c>
      <c r="G79" s="176" t="s">
        <v>29</v>
      </c>
      <c r="H79" s="175" t="s">
        <v>14</v>
      </c>
      <c r="I79" s="175"/>
      <c r="J79" s="175"/>
      <c r="K79" s="175"/>
      <c r="L79" s="213">
        <f>I23</f>
        <v>4413591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49763295.518837422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12853221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81497884.518837422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0.98778356349999996</v>
      </c>
      <c r="K84" s="175"/>
      <c r="L84" s="210">
        <f>+(1-J84)*L73</f>
        <v>1007927.0073911425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82505811.526228562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49763295.518837422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1.55E-2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1.52E-2</v>
      </c>
      <c r="F92" s="175"/>
      <c r="G92" s="176"/>
      <c r="H92" s="174" t="s">
        <v>70</v>
      </c>
      <c r="I92" s="175"/>
      <c r="J92" s="175"/>
      <c r="K92" s="175"/>
      <c r="L92" s="210">
        <f>+L88-L91</f>
        <v>49763295.518837422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1102373.5315780337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-4286947.9238402378</v>
      </c>
      <c r="E141" s="101">
        <f>(L58-E58)*D58</f>
        <v>142248.83280720012</v>
      </c>
      <c r="F141" s="101">
        <f>ROUND(D141+E141,0)</f>
        <v>-4144699</v>
      </c>
      <c r="G141" s="145">
        <f>IF(E59&gt;0,0,O168)</f>
        <v>0</v>
      </c>
      <c r="H141" s="101">
        <f>(L59-E59)*D59</f>
        <v>-976367.55240180134</v>
      </c>
      <c r="I141" s="101">
        <f>ROUND(D141+E141+H141,2)</f>
        <v>-5121066.6399999997</v>
      </c>
      <c r="J141" s="113">
        <f>I144+I145+I150+I151+I162+I163+I156+I157+I168</f>
        <v>0</v>
      </c>
      <c r="K141" s="113"/>
      <c r="O141" s="146">
        <f>F141+G141</f>
        <v>-4144699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2763.7799999999997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2442.31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2763.7799999999997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2492.39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6937215.3924391503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2442.31</v>
      </c>
      <c r="M171" s="103"/>
      <c r="N171" s="103"/>
      <c r="O171" s="115">
        <f>O167*D58+L147*D59+O167*487.11</f>
        <v>11536488.809416741</v>
      </c>
    </row>
    <row r="172" spans="1:16">
      <c r="A172" s="23"/>
      <c r="B172" s="2" t="s">
        <v>247</v>
      </c>
      <c r="D172" s="8">
        <f>IF(I141&lt;0,D141/D57,0)</f>
        <v>-907.55999999999949</v>
      </c>
      <c r="E172" s="8">
        <f>IF(I141&lt;0,E141/D58,0)</f>
        <v>50.080000000000034</v>
      </c>
      <c r="F172" s="8"/>
      <c r="G172" s="8"/>
      <c r="H172" s="8">
        <f>IF(I141&lt;0,H141/D59,0)</f>
        <v>-206.70000000000027</v>
      </c>
      <c r="I172" s="137">
        <f>IF(AND(E59=0,L71&gt;0),-D172*D57-E172*D58-(H172+L147)*D58,IF(AND(E59&gt;0,L71&gt;0),-D172*D57-E172*D58-H172*D59,0))</f>
        <v>5121066.6434348393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7893711.0201559998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7893711.0201559998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-1189673.6240999999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-4286947.9238402378</v>
      </c>
      <c r="E180" s="101">
        <f>E141</f>
        <v>142248.83280720012</v>
      </c>
      <c r="F180" s="101"/>
      <c r="G180" s="101">
        <f>G141</f>
        <v>0</v>
      </c>
      <c r="H180" s="101">
        <f>H141</f>
        <v>-976367.55240180134</v>
      </c>
      <c r="I180" s="101">
        <f>I141</f>
        <v>-5121066.6399999997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18134.93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62.26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18720.61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22.39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35101517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7225911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0.98778355650000005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3.1699999999999999E-2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3.0599999999999999E-2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18134.93</v>
      </c>
      <c r="F57" s="190"/>
      <c r="G57" s="191">
        <f>D169</f>
        <v>585.68000000000029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18720.61</v>
      </c>
      <c r="K57" s="190">
        <f>IF((+L57-J57)&gt;0,(L57-J57),0)</f>
        <v>0</v>
      </c>
      <c r="L57" s="192">
        <f>I15</f>
        <v>18720.61</v>
      </c>
      <c r="M57" s="102"/>
      <c r="N57" s="102"/>
      <c r="O57" s="102">
        <f>E57+H57+G57</f>
        <v>18720.61</v>
      </c>
      <c r="P57" s="108">
        <f>L57-E57</f>
        <v>585.68000000000029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62.26</v>
      </c>
      <c r="F58" s="190"/>
      <c r="G58" s="191">
        <f>E169</f>
        <v>-39.869999999999997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22.39</v>
      </c>
      <c r="K58" s="190">
        <f>IF((+L58-J58)&gt;0,(L58-J58),0)</f>
        <v>0</v>
      </c>
      <c r="L58" s="192">
        <f>I16</f>
        <v>22.39</v>
      </c>
      <c r="M58" s="102"/>
      <c r="N58" s="102"/>
      <c r="O58" s="102">
        <f>IF(E59=0,J58+J59,J58)</f>
        <v>22.39</v>
      </c>
      <c r="P58" s="108">
        <f>L58+L59-E58</f>
        <v>-39.869999999999997</v>
      </c>
      <c r="Q58" s="1">
        <f>L59*466-(P58)*487.11</f>
        <v>19421.075699999998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22.39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18197.189999999999</v>
      </c>
      <c r="F61" s="190"/>
      <c r="G61" s="190">
        <f>SUM(G57:G60)</f>
        <v>545.81000000000029</v>
      </c>
      <c r="H61" s="190">
        <f>SUM(H57:H60)</f>
        <v>0</v>
      </c>
      <c r="I61" s="190">
        <f>SUM(I57:I59)</f>
        <v>0</v>
      </c>
      <c r="J61" s="190">
        <f>SUM(J57:J60)</f>
        <v>18743</v>
      </c>
      <c r="K61" s="190">
        <f>SUM(K57:K60)</f>
        <v>0</v>
      </c>
      <c r="L61" s="192">
        <f>SUM(L57:L60)</f>
        <v>18743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7371802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84972233.748608366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1023808</v>
      </c>
      <c r="M66" s="163"/>
      <c r="N66" s="163"/>
      <c r="O66" s="152">
        <f>L66/487.11</f>
        <v>2101.8004146907269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4556049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84972233.748608366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84797174.063298181</v>
      </c>
      <c r="F69" s="202"/>
      <c r="G69" s="176"/>
      <c r="H69" s="174" t="s">
        <v>27</v>
      </c>
      <c r="I69" s="175"/>
      <c r="J69" s="175"/>
      <c r="K69" s="175"/>
      <c r="L69" s="203">
        <f>SUM(L65:L67)</f>
        <v>5579857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175059.68531018001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101519070.33052234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92344035.748608366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35101517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941909.16463580541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93285944.913244173</v>
      </c>
      <c r="G79" s="176" t="s">
        <v>29</v>
      </c>
      <c r="H79" s="175" t="s">
        <v>14</v>
      </c>
      <c r="I79" s="175"/>
      <c r="J79" s="175"/>
      <c r="K79" s="175"/>
      <c r="L79" s="213">
        <f>I23</f>
        <v>7225911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42431702.343656994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15519738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2766516.4397227215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100278868.34365699</v>
      </c>
      <c r="M83" s="86"/>
      <c r="N83" s="86"/>
      <c r="O83" s="107">
        <f>G58*D58</f>
        <v>-113248.02244455001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0.98778355650000005</v>
      </c>
      <c r="K84" s="175"/>
      <c r="L84" s="210">
        <f>+(1-J84)*L73</f>
        <v>1240201.9868653477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101519070.33052233</v>
      </c>
      <c r="M85" s="86"/>
      <c r="N85" s="86"/>
      <c r="O85" s="107">
        <f>SUM(O82:O84)</f>
        <v>2653268.4172781715</v>
      </c>
      <c r="P85" s="103">
        <f>I168+G174</f>
        <v>2653268.4172781715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42431702.343656994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3.1699999999999999E-2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3.0599999999999999E-2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42431702.343656994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2626671.8958148677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2653268.4172781715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2766516.4397227215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-113248.02244455001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2653268.4172781715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1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3402370</v>
      </c>
      <c r="J113" s="242">
        <f>SUM(B113:I113)</f>
        <v>7371802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7371802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2766516.4397227215</v>
      </c>
      <c r="E141" s="101">
        <f>(L58-E58)*D58</f>
        <v>-113248.02244455001</v>
      </c>
      <c r="F141" s="101">
        <f>ROUND(D141+E141,0)</f>
        <v>2653268</v>
      </c>
      <c r="G141" s="145">
        <f>IF(E59&gt;0,0,O168)</f>
        <v>0</v>
      </c>
      <c r="H141" s="101">
        <f>(L59-E59)*D59</f>
        <v>0</v>
      </c>
      <c r="I141" s="101">
        <f>ROUND(D141+E141+H141,2)</f>
        <v>2653268.42</v>
      </c>
      <c r="J141" s="113">
        <f>I144+I145+I150+I151+I162+I163+I156+I157+I168</f>
        <v>2653268.4172781715</v>
      </c>
      <c r="K141" s="113"/>
      <c r="O141" s="146">
        <f>F141+G141</f>
        <v>2653268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22.39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22.39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-39.869999999999997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2766516.4397227215</v>
      </c>
      <c r="E168" s="134">
        <f>IF(I141&lt;0,0,IF(AND(E59=0,I141&gt;=0),E141-E144-E145-E150-E151,IF(AND(E59&gt;0,I141&gt;=0),E141-E156-E157-E162-E163,0)))</f>
        <v>-113248.02244455001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2653268.4172781715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585.68000000000029</v>
      </c>
      <c r="E169" s="8">
        <f>IF(E168=0,0,IF(I141&lt;0,0,L58-H58-E58))</f>
        <v>-39.869999999999997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2653268.4172781715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-39.869999999999997</v>
      </c>
      <c r="F171" s="101"/>
      <c r="G171" s="101"/>
      <c r="H171" s="101"/>
      <c r="I171" s="136" t="s">
        <v>283</v>
      </c>
      <c r="J171" s="103">
        <f>I144+I145+I168</f>
        <v>2653268.4172781715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2653268.4172781715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2766516.4397227215</v>
      </c>
      <c r="E177" s="107">
        <f>E144+E145+E150+E151+E162+E163+E156+E157+E168</f>
        <v>-113248.02244455001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2766516.4397227215</v>
      </c>
      <c r="E180" s="101">
        <f>E141</f>
        <v>-113248.02244455001</v>
      </c>
      <c r="F180" s="101"/>
      <c r="G180" s="101">
        <f>G141</f>
        <v>0</v>
      </c>
      <c r="H180" s="101">
        <f>H141</f>
        <v>0</v>
      </c>
      <c r="I180" s="101">
        <f>I141</f>
        <v>2653268.42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7026.2359999999999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14.74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7433.93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16.89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21220717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1879150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0.98778354840000004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4.1099999999999998E-2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3.95E-2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7026.2359999999999</v>
      </c>
      <c r="F57" s="190"/>
      <c r="G57" s="191">
        <f>D169</f>
        <v>407.69400000000041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7433.93</v>
      </c>
      <c r="K57" s="190">
        <f>IF((+L57-J57)&gt;0,(L57-J57),0)</f>
        <v>0</v>
      </c>
      <c r="L57" s="192">
        <f>I15</f>
        <v>7433.93</v>
      </c>
      <c r="M57" s="102"/>
      <c r="N57" s="102"/>
      <c r="O57" s="102">
        <f>E57+H57+G57</f>
        <v>7433.93</v>
      </c>
      <c r="P57" s="108">
        <f>L57-E57</f>
        <v>407.69400000000041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14.74</v>
      </c>
      <c r="F58" s="190"/>
      <c r="G58" s="191">
        <f>E169</f>
        <v>2.1500000000000004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16.89</v>
      </c>
      <c r="K58" s="190">
        <f>IF((+L58-J58)&gt;0,(L58-J58),0)</f>
        <v>0</v>
      </c>
      <c r="L58" s="192">
        <f>I16</f>
        <v>16.89</v>
      </c>
      <c r="M58" s="102"/>
      <c r="N58" s="102"/>
      <c r="O58" s="102">
        <f>IF(E59=0,J58+J59,J58)</f>
        <v>16.89</v>
      </c>
      <c r="P58" s="108">
        <f>L58+L59-E58</f>
        <v>2.1500000000000004</v>
      </c>
      <c r="Q58" s="1">
        <f>L59*466-(P58)*487.11</f>
        <v>-1047.2865000000002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16.89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7040.9759999999997</v>
      </c>
      <c r="F61" s="190"/>
      <c r="G61" s="190">
        <f>SUM(G57:G60)</f>
        <v>409.84400000000039</v>
      </c>
      <c r="H61" s="190">
        <f>SUM(H57:H60)</f>
        <v>0</v>
      </c>
      <c r="I61" s="190">
        <f>SUM(I57:I59)</f>
        <v>0</v>
      </c>
      <c r="J61" s="190">
        <f>SUM(J57:J60)</f>
        <v>7450.8200000000006</v>
      </c>
      <c r="K61" s="190">
        <f>SUM(K57:K60)</f>
        <v>0</v>
      </c>
      <c r="L61" s="192">
        <f>SUM(L57:L60)</f>
        <v>7450.8200000000006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3685901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32895443.399640955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406816</v>
      </c>
      <c r="M66" s="163"/>
      <c r="N66" s="163"/>
      <c r="O66" s="152">
        <f>L66/487.11</f>
        <v>835.16248896553134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1846671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32895443.399640955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32853998.173790134</v>
      </c>
      <c r="F69" s="202"/>
      <c r="G69" s="176"/>
      <c r="H69" s="174" t="s">
        <v>27</v>
      </c>
      <c r="I69" s="175"/>
      <c r="J69" s="175"/>
      <c r="K69" s="175"/>
      <c r="L69" s="203">
        <f>SUM(L65:L67)</f>
        <v>2253487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41445.225850820003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41139850.300114319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36581344.399640955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21220717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373129.71287633776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36954474.11251729</v>
      </c>
      <c r="G79" s="176" t="s">
        <v>29</v>
      </c>
      <c r="H79" s="175" t="s">
        <v>14</v>
      </c>
      <c r="I79" s="175"/>
      <c r="J79" s="175"/>
      <c r="K79" s="175"/>
      <c r="L79" s="213">
        <f>I23</f>
        <v>1879150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11075470.310091728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6461930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1925782.258872278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40637267.310091726</v>
      </c>
      <c r="M83" s="86"/>
      <c r="N83" s="86"/>
      <c r="O83" s="107">
        <f>G58*D58</f>
        <v>6106.9287247500015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0.98778354840000004</v>
      </c>
      <c r="K84" s="175"/>
      <c r="L84" s="210">
        <f>+(1-J84)*L73</f>
        <v>502582.99002259021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41139850.300114319</v>
      </c>
      <c r="M85" s="86"/>
      <c r="N85" s="86"/>
      <c r="O85" s="107">
        <f>SUM(O82:O84)</f>
        <v>1931889.187597028</v>
      </c>
      <c r="P85" s="103">
        <f>I168+G174</f>
        <v>1931889.187597028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11075470.310091728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4.1099999999999998E-2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3.95E-2</v>
      </c>
      <c r="F92" s="175"/>
      <c r="G92" s="176"/>
      <c r="H92" s="174" t="s">
        <v>70</v>
      </c>
      <c r="I92" s="175"/>
      <c r="J92" s="175"/>
      <c r="K92" s="175"/>
      <c r="L92" s="210">
        <f>+L88-L91</f>
        <v>11075470.310091728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1312623.5931874418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1931889.187597028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1925782.258872278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6106.9287247500015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1931889.187597028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283531</v>
      </c>
      <c r="I127" s="169"/>
      <c r="J127" s="251">
        <f>H118+H127</f>
        <v>283531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3685901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1925782.258872278</v>
      </c>
      <c r="E141" s="101">
        <f>(L58-E58)*D58</f>
        <v>6106.9287247500015</v>
      </c>
      <c r="F141" s="101">
        <f>ROUND(D141+E141,0)</f>
        <v>1931889</v>
      </c>
      <c r="G141" s="145">
        <f>IF(E59&gt;0,0,O168)</f>
        <v>0</v>
      </c>
      <c r="H141" s="101">
        <f>(L59-E59)*D59</f>
        <v>0</v>
      </c>
      <c r="I141" s="101">
        <f>ROUND(D141+E141+H141,2)</f>
        <v>1931889.19</v>
      </c>
      <c r="J141" s="113">
        <f>I144+I145+I150+I151+I162+I163+I156+I157+I168</f>
        <v>1931889.187597028</v>
      </c>
      <c r="K141" s="113"/>
      <c r="O141" s="146">
        <f>F141+G141</f>
        <v>1931889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16.89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16.89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2.1500000000000004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1925782.258872278</v>
      </c>
      <c r="E168" s="134">
        <f>IF(I141&lt;0,0,IF(AND(E59=0,I141&gt;=0),E141-E144-E145-E150-E151,IF(AND(E59&gt;0,I141&gt;=0),E141-E156-E157-E162-E163,0)))</f>
        <v>6106.9287247500015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1931889.187597028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407.69400000000041</v>
      </c>
      <c r="E169" s="8">
        <f>IF(E168=0,0,IF(I141&lt;0,0,L58-H58-E58))</f>
        <v>2.1500000000000004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1931889.187597028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2.1500000000000004</v>
      </c>
      <c r="F171" s="101"/>
      <c r="G171" s="101"/>
      <c r="H171" s="101"/>
      <c r="I171" s="136" t="s">
        <v>283</v>
      </c>
      <c r="J171" s="103">
        <f>I144+I145+I168</f>
        <v>1931889.187597028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1931889.187597028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1925782.258872278</v>
      </c>
      <c r="E177" s="107">
        <f>E144+E145+E150+E151+E162+E163+E156+E157+E168</f>
        <v>6106.9287247500015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1925782.258872278</v>
      </c>
      <c r="E180" s="101">
        <f>E141</f>
        <v>6106.9287247500015</v>
      </c>
      <c r="F180" s="101"/>
      <c r="G180" s="101">
        <f>G141</f>
        <v>0</v>
      </c>
      <c r="H180" s="101">
        <f>H141</f>
        <v>0</v>
      </c>
      <c r="I180" s="101">
        <f>I141</f>
        <v>1931889.19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69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6814.39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35.53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14.71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6898.75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35.06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8.19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6406353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1233456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0.98778355470000001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3.73E-2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3.5900000000000001E-2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6814.39</v>
      </c>
      <c r="F57" s="190"/>
      <c r="G57" s="191">
        <f>D169</f>
        <v>84.359999999999673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6898.75</v>
      </c>
      <c r="K57" s="190">
        <f>IF((+L57-J57)&gt;0,(L57-J57),0)</f>
        <v>0</v>
      </c>
      <c r="L57" s="192">
        <f>I15</f>
        <v>6898.75</v>
      </c>
      <c r="M57" s="102"/>
      <c r="N57" s="102"/>
      <c r="O57" s="102">
        <f>E57+H57+G57</f>
        <v>6898.75</v>
      </c>
      <c r="P57" s="108">
        <f>L57-E57</f>
        <v>84.359999999999673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35.53</v>
      </c>
      <c r="F58" s="190"/>
      <c r="G58" s="191">
        <f>E169</f>
        <v>-0.46999999999999886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35.06</v>
      </c>
      <c r="K58" s="190">
        <f>IF((+L58-J58)&gt;0,(L58-J58),0)</f>
        <v>0</v>
      </c>
      <c r="L58" s="192">
        <f>I16</f>
        <v>35.06</v>
      </c>
      <c r="M58" s="102"/>
      <c r="N58" s="102"/>
      <c r="O58" s="102">
        <f>IF(E59=0,J58+J59,J58)</f>
        <v>35.06</v>
      </c>
      <c r="P58" s="108">
        <f>L58+L59-E58</f>
        <v>7.7199999999999989</v>
      </c>
      <c r="Q58" s="1">
        <f>L59*466-(P58)*487.11</f>
        <v>56.050800000000436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14.71</v>
      </c>
      <c r="F59" s="190"/>
      <c r="G59" s="191">
        <f>H169</f>
        <v>-6.5200000000000014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8.19</v>
      </c>
      <c r="K59" s="190">
        <f>IF((+L59-J59)&gt;0,(L59-J59),0)</f>
        <v>0</v>
      </c>
      <c r="L59" s="192">
        <f>I17</f>
        <v>8.19</v>
      </c>
      <c r="M59" s="102"/>
      <c r="N59" s="102"/>
      <c r="O59" s="102">
        <f>IF(E59=0,L58+L59,L59)</f>
        <v>8.19</v>
      </c>
      <c r="P59" s="108">
        <f>L59-E59</f>
        <v>-6.5200000000000014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6864.63</v>
      </c>
      <c r="F61" s="190"/>
      <c r="G61" s="190">
        <f>SUM(G57:G60)</f>
        <v>77.369999999999678</v>
      </c>
      <c r="H61" s="190">
        <f>SUM(H57:H60)</f>
        <v>0</v>
      </c>
      <c r="I61" s="190">
        <f>SUM(I57:I59)</f>
        <v>0</v>
      </c>
      <c r="J61" s="190">
        <f>SUM(J57:J60)</f>
        <v>6942</v>
      </c>
      <c r="K61" s="190">
        <f>SUM(K57:K60)</f>
        <v>0</v>
      </c>
      <c r="L61" s="192">
        <f>SUM(L57:L60)</f>
        <v>6942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3989.4308999999998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-3989.4308999999998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32032110.906970959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378613</v>
      </c>
      <c r="M66" s="163"/>
      <c r="N66" s="163"/>
      <c r="O66" s="152">
        <f>L66/487.11</f>
        <v>777.26386237194879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1717307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32032110.906970959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31863426.821344141</v>
      </c>
      <c r="F69" s="202"/>
      <c r="G69" s="176"/>
      <c r="H69" s="174" t="s">
        <v>27</v>
      </c>
      <c r="I69" s="175"/>
      <c r="J69" s="175"/>
      <c r="K69" s="175"/>
      <c r="L69" s="203">
        <f>SUM(L65:L67)</f>
        <v>2095920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99901.551864289999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68782.533762530002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38258182.419449873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35434480.906970963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6406353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361431.70525110385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35795912.612222068</v>
      </c>
      <c r="G79" s="176" t="s">
        <v>29</v>
      </c>
      <c r="H79" s="175" t="s">
        <v>14</v>
      </c>
      <c r="I79" s="175"/>
      <c r="J79" s="175"/>
      <c r="K79" s="175"/>
      <c r="L79" s="213">
        <f>I23</f>
        <v>1233456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24057083.426645242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6093911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398482.66434743849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37790803.426645242</v>
      </c>
      <c r="M83" s="86"/>
      <c r="N83" s="86"/>
      <c r="O83" s="107">
        <f>G58*D58</f>
        <v>-1335.0030235499969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0.98778355470000001</v>
      </c>
      <c r="K84" s="175"/>
      <c r="L84" s="210">
        <f>+(1-J84)*L73</f>
        <v>467378.99280463066</v>
      </c>
      <c r="M84" s="65"/>
      <c r="N84" s="65"/>
      <c r="O84" s="143">
        <f>G59*D59</f>
        <v>-30797.854096080009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38258182.419449873</v>
      </c>
      <c r="M85" s="86"/>
      <c r="N85" s="86"/>
      <c r="O85" s="107">
        <f>SUM(O82:O84)</f>
        <v>366349.80722780852</v>
      </c>
      <c r="P85" s="103">
        <f>I168+G174</f>
        <v>366349.80722780852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24057083.426645242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3.73E-2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3.5900000000000001E-2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24057083.426645242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1161682.3041247821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366349.80722780852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398482.66434743849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-1335.0030235499969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-30797.854096080009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366349.80722780852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398482.66434743849</v>
      </c>
      <c r="E141" s="101">
        <f>(L58-E58)*D58</f>
        <v>-1335.0030235499969</v>
      </c>
      <c r="F141" s="101">
        <f>ROUND(D141+E141,0)</f>
        <v>397148</v>
      </c>
      <c r="G141" s="145">
        <f>IF(E59&gt;0,0,O168)</f>
        <v>0</v>
      </c>
      <c r="H141" s="101">
        <f>(L59-E59)*D59</f>
        <v>-30797.854096080009</v>
      </c>
      <c r="I141" s="101">
        <f>ROUND(D141+E141+H141,2)</f>
        <v>366349.81</v>
      </c>
      <c r="J141" s="113">
        <f>I144+I145+I150+I151+I162+I163+I156+I157+I168</f>
        <v>366349.80722780852</v>
      </c>
      <c r="K141" s="113"/>
      <c r="O141" s="146">
        <f>F141+G141</f>
        <v>397148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43.25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7.7199999999999989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43.25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7.7199999999999989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0.47000000000000064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398482.66434743849</v>
      </c>
      <c r="E168" s="134">
        <f>IF(I141&lt;0,0,IF(AND(E59=0,I141&gt;=0),E141-E144-E145-E150-E151,IF(AND(E59&gt;0,I141&gt;=0),E141-E156-E157-E162-E163,0)))</f>
        <v>-1335.0030235499969</v>
      </c>
      <c r="F168" s="134"/>
      <c r="G168" s="134"/>
      <c r="H168" s="134">
        <f>IF(I141&lt;0,0,IF(AND(E59=0,I141&gt;=0),H141-H144-H145-H150-H151,IF(AND(E59&gt;0,I141&gt;=0),H141-H156-H157-H162-H163,0)))</f>
        <v>-30797.854096080009</v>
      </c>
      <c r="I168" s="101">
        <f>IF(I141&gt;0,D168+E168+H168,0)</f>
        <v>366349.80722780852</v>
      </c>
      <c r="L168" s="111"/>
      <c r="M168" s="111"/>
      <c r="N168" s="111"/>
      <c r="O168" s="113">
        <f>L147*D58</f>
        <v>21928.134769799999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84.359999999999673</v>
      </c>
      <c r="E169" s="8">
        <f>IF(E168=0,0,IF(I141&lt;0,0,L58-H58-E58))</f>
        <v>-0.46999999999999886</v>
      </c>
      <c r="F169" s="8"/>
      <c r="G169" s="8"/>
      <c r="H169" s="8">
        <f>IF(AND(E59=0,H141-I145=0),0,IF(I141&lt;0,0,IF(E59=0,(H168)/D59,IF(E59&gt;0,(H141-H156-H157-H162-H163)/D59,0))))</f>
        <v>-6.5200000000000014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366349.80722780852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-0.46999999999999886</v>
      </c>
      <c r="F171" s="101"/>
      <c r="G171" s="101"/>
      <c r="H171" s="101"/>
      <c r="I171" s="136" t="s">
        <v>283</v>
      </c>
      <c r="J171" s="103">
        <f>I144+I145+I168</f>
        <v>366349.80722780852</v>
      </c>
      <c r="K171" s="103"/>
      <c r="L171" s="103">
        <f>L147+O167</f>
        <v>8.19</v>
      </c>
      <c r="M171" s="103"/>
      <c r="N171" s="103"/>
      <c r="O171" s="115">
        <f>O167*D58+L147*D59+O167*487.11</f>
        <v>38030.115524430003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228.94170000000031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366578.74892780854</v>
      </c>
      <c r="M173" s="103"/>
      <c r="N173" s="103"/>
      <c r="O173" s="103">
        <f>L147*3232.0676</f>
        <v>24951.561871999995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1290.1301660000017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228.94170000000031</v>
      </c>
      <c r="O175" s="103">
        <f>O173+O174</f>
        <v>26241.692037999997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398482.66434743849</v>
      </c>
      <c r="E177" s="107">
        <f>E144+E145+E150+E151+E162+E163+E156+E157+E168</f>
        <v>-1335.0030235499969</v>
      </c>
      <c r="F177" s="107"/>
      <c r="G177" s="107"/>
      <c r="H177" s="107">
        <f>H144+H145+H156+H157+H168</f>
        <v>-30797.854096080009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-6936.4464000000007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-3175.9572000000007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398482.66434743849</v>
      </c>
      <c r="E180" s="101">
        <f>E141</f>
        <v>-1335.0030235499969</v>
      </c>
      <c r="F180" s="101"/>
      <c r="G180" s="101">
        <f>G141</f>
        <v>0</v>
      </c>
      <c r="H180" s="101">
        <f>H141</f>
        <v>-30797.854096080009</v>
      </c>
      <c r="I180" s="101">
        <f>I141</f>
        <v>366349.81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1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19795.073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53.11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20405.05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62.28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51934707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5792296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0.9877835559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2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3.5099999999999999E-2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3.3799999999999997E-2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19795.073</v>
      </c>
      <c r="F57" s="190"/>
      <c r="G57" s="191">
        <f>D169</f>
        <v>609.97699999999895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20405.05</v>
      </c>
      <c r="K57" s="190">
        <f>IF((+L57-J57)&gt;0,(L57-J57),0)</f>
        <v>0</v>
      </c>
      <c r="L57" s="192">
        <f>I15</f>
        <v>20405.05</v>
      </c>
      <c r="M57" s="102"/>
      <c r="N57" s="102"/>
      <c r="O57" s="102">
        <f>E57+H57+G57</f>
        <v>20405.05</v>
      </c>
      <c r="P57" s="108">
        <f>L57-E57</f>
        <v>609.97699999999895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53.11</v>
      </c>
      <c r="F58" s="190"/>
      <c r="G58" s="191">
        <f>E169</f>
        <v>9.1700000000000017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62.28</v>
      </c>
      <c r="K58" s="190">
        <f>IF((+L58-J58)&gt;0,(L58-J58),0)</f>
        <v>0</v>
      </c>
      <c r="L58" s="192">
        <f>I16</f>
        <v>62.28</v>
      </c>
      <c r="M58" s="102"/>
      <c r="N58" s="102"/>
      <c r="O58" s="102">
        <f>IF(E59=0,J58+J59,J58)</f>
        <v>62.28</v>
      </c>
      <c r="P58" s="108">
        <f>L58+L59-E58</f>
        <v>9.1700000000000017</v>
      </c>
      <c r="Q58" s="1">
        <f>L59*466-(P58)*487.11</f>
        <v>-4466.7987000000012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62.28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19848.183000000001</v>
      </c>
      <c r="F61" s="190"/>
      <c r="G61" s="190">
        <f>SUM(G57:G60)</f>
        <v>619.14699999999891</v>
      </c>
      <c r="H61" s="190">
        <f>SUM(H57:H60)</f>
        <v>0</v>
      </c>
      <c r="I61" s="190">
        <f>SUM(I57:I59)</f>
        <v>0</v>
      </c>
      <c r="J61" s="190">
        <f>SUM(J57:J60)</f>
        <v>20467.329999999998</v>
      </c>
      <c r="K61" s="190">
        <f>SUM(K57:K60)</f>
        <v>0</v>
      </c>
      <c r="L61" s="192">
        <f>SUM(L57:L60)</f>
        <v>20467.329999999998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14460072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92709173.894250125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1117173</v>
      </c>
      <c r="M66" s="163"/>
      <c r="N66" s="163"/>
      <c r="O66" s="152">
        <f>L66/487.11</f>
        <v>2293.4717004372728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5279329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92709173.894250125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92559841.7405909</v>
      </c>
      <c r="F69" s="202"/>
      <c r="G69" s="176"/>
      <c r="H69" s="174" t="s">
        <v>27</v>
      </c>
      <c r="I69" s="175"/>
      <c r="J69" s="175"/>
      <c r="K69" s="175"/>
      <c r="L69" s="203">
        <f>SUM(L65:L67)</f>
        <v>6396502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149332.15365923001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117566206.64569367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107169245.89425012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51934707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1093126.3081213513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108262372.20237148</v>
      </c>
      <c r="G79" s="176" t="s">
        <v>29</v>
      </c>
      <c r="H79" s="175" t="s">
        <v>14</v>
      </c>
      <c r="I79" s="175"/>
      <c r="J79" s="175"/>
      <c r="K79" s="175"/>
      <c r="L79" s="213">
        <f>I23</f>
        <v>5792296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40006062.654157512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18396900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2881285.6822031531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116129965.65415752</v>
      </c>
      <c r="M83" s="86"/>
      <c r="N83" s="86"/>
      <c r="O83" s="107">
        <f>G58*D58</f>
        <v>26046.761119050007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0.9877835559</v>
      </c>
      <c r="K84" s="175"/>
      <c r="L84" s="210">
        <f>+(1-J84)*L73</f>
        <v>1436240.9915361654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117566206.64569369</v>
      </c>
      <c r="M85" s="86"/>
      <c r="N85" s="86"/>
      <c r="O85" s="107">
        <f>SUM(O82:O84)</f>
        <v>2907332.4433222031</v>
      </c>
      <c r="P85" s="103">
        <f>I168+G174</f>
        <v>2907332.4433222031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40006062.654157512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3.5099999999999999E-2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3.3799999999999997E-2</v>
      </c>
      <c r="F92" s="175"/>
      <c r="G92" s="176"/>
      <c r="H92" s="174" t="s">
        <v>70</v>
      </c>
      <c r="I92" s="175"/>
      <c r="J92" s="175"/>
      <c r="K92" s="175"/>
      <c r="L92" s="210">
        <f>+L88-L91</f>
        <v>40006062.654157512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3165532.5038830452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2907332.4433222031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2881285.6822031531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26046.761119050007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2907332.4433222031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2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6804740</v>
      </c>
      <c r="J113" s="242">
        <f>SUM(B113:I113)</f>
        <v>10774172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2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2268246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2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1417654</v>
      </c>
      <c r="I127" s="169"/>
      <c r="J127" s="251">
        <f>H118+H127</f>
        <v>3685900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4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14460072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2881285.6822031531</v>
      </c>
      <c r="E141" s="101">
        <f>(L58-E58)*D58</f>
        <v>26046.761119050007</v>
      </c>
      <c r="F141" s="101">
        <f>ROUND(D141+E141,0)</f>
        <v>2907332</v>
      </c>
      <c r="G141" s="145">
        <f>IF(E59&gt;0,0,O168)</f>
        <v>0</v>
      </c>
      <c r="H141" s="101">
        <f>(L59-E59)*D59</f>
        <v>0</v>
      </c>
      <c r="I141" s="101">
        <f>ROUND(D141+E141+H141,2)</f>
        <v>2907332.44</v>
      </c>
      <c r="J141" s="113">
        <f>I144+I145+I150+I151+I162+I163+I156+I157+I168</f>
        <v>2907332.4433222031</v>
      </c>
      <c r="K141" s="113"/>
      <c r="O141" s="146">
        <f>F141+G141</f>
        <v>2907332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62.28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62.28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9.1700000000000017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2881285.6822031531</v>
      </c>
      <c r="E168" s="134">
        <f>IF(I141&lt;0,0,IF(AND(E59=0,I141&gt;=0),E141-E144-E145-E150-E151,IF(AND(E59&gt;0,I141&gt;=0),E141-E156-E157-E162-E163,0)))</f>
        <v>26046.761119050007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2907332.4433222031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609.97699999999895</v>
      </c>
      <c r="E169" s="8">
        <f>IF(E168=0,0,IF(I141&lt;0,0,L58-H58-E58))</f>
        <v>9.1700000000000017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2907332.4433222031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9.1700000000000017</v>
      </c>
      <c r="F171" s="101"/>
      <c r="G171" s="101"/>
      <c r="H171" s="101"/>
      <c r="I171" s="136" t="s">
        <v>283</v>
      </c>
      <c r="J171" s="103">
        <f>I144+I145+I168</f>
        <v>2907332.4433222031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2907332.4433222031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2881285.6822031531</v>
      </c>
      <c r="E177" s="107">
        <f>E144+E145+E150+E151+E162+E163+E156+E157+E168</f>
        <v>26046.761119050007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2881285.6822031531</v>
      </c>
      <c r="E180" s="101">
        <f>E141</f>
        <v>26046.761119050007</v>
      </c>
      <c r="F180" s="101"/>
      <c r="G180" s="101">
        <f>G141</f>
        <v>0</v>
      </c>
      <c r="H180" s="101">
        <f>H141</f>
        <v>0</v>
      </c>
      <c r="I180" s="101">
        <f>I141</f>
        <v>2907332.44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1677.82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59.98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23.52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1785.14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47.98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28.38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3968644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849749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607476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0.98778357589999999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4800.0345690000004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4800.0345690000004</v>
      </c>
      <c r="D57" s="189">
        <v>4723.5972540000002</v>
      </c>
      <c r="E57" s="190">
        <f>I10</f>
        <v>1677.82</v>
      </c>
      <c r="F57" s="190"/>
      <c r="G57" s="191">
        <f>D169</f>
        <v>6.9033199355849764</v>
      </c>
      <c r="H57" s="190">
        <f>IF(AND(E141&lt;0,E59&gt;0),D159+D165,IF(AND(E141&gt;0,E59&gt;0),D158+D164,IF(AND(E141&gt;0,E59=0),D146+D152,D147+D153)))</f>
        <v>100.41668006441519</v>
      </c>
      <c r="I57" s="191">
        <f>D172</f>
        <v>0</v>
      </c>
      <c r="J57" s="190">
        <f>SUM(E57:I57)</f>
        <v>1785.14</v>
      </c>
      <c r="K57" s="190">
        <f>IF((+L57-J57)&gt;0,(L57-J57),0)</f>
        <v>0</v>
      </c>
      <c r="L57" s="192">
        <f>I15</f>
        <v>1785.14</v>
      </c>
      <c r="M57" s="102"/>
      <c r="N57" s="102"/>
      <c r="O57" s="102">
        <f>E57+H57+G57</f>
        <v>1785.14</v>
      </c>
      <c r="P57" s="108">
        <f>L57-E57</f>
        <v>107.32000000000016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59.98</v>
      </c>
      <c r="F58" s="190"/>
      <c r="G58" s="191">
        <f>E169</f>
        <v>-12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47.98</v>
      </c>
      <c r="K58" s="190">
        <f>IF((+L58-J58)&gt;0,(L58-J58),0)</f>
        <v>0</v>
      </c>
      <c r="L58" s="192">
        <f>I16</f>
        <v>47.98</v>
      </c>
      <c r="M58" s="102"/>
      <c r="N58" s="102"/>
      <c r="O58" s="102">
        <f>IF(E59=0,J58+J59,J58)</f>
        <v>47.98</v>
      </c>
      <c r="P58" s="108">
        <f>L58+L59-E58</f>
        <v>16.380000000000003</v>
      </c>
      <c r="Q58" s="1">
        <f>L59*466-(P58)*487.11</f>
        <v>5246.2181999999984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23.52</v>
      </c>
      <c r="F59" s="190"/>
      <c r="G59" s="191">
        <f>H169</f>
        <v>0.31261773096294182</v>
      </c>
      <c r="H59" s="190">
        <f>IF(AND(E59&gt;0,E141&gt;=0),H158+H164,IF(AND(E59&gt;0,E141&lt;0),H159+H165,IF(E59=0,H146+H152,H147+H153)))</f>
        <v>4.5473822690370573</v>
      </c>
      <c r="I59" s="191">
        <f>H172</f>
        <v>0</v>
      </c>
      <c r="J59" s="190">
        <f>E59+H59+G59+I59</f>
        <v>28.38</v>
      </c>
      <c r="K59" s="190">
        <f>IF((+L59-J59)&gt;0,(L59-J59),0)</f>
        <v>0</v>
      </c>
      <c r="L59" s="192">
        <f>I17</f>
        <v>28.38</v>
      </c>
      <c r="M59" s="102"/>
      <c r="N59" s="102"/>
      <c r="O59" s="102">
        <f>IF(E59=0,L58+L59,L59)</f>
        <v>28.38</v>
      </c>
      <c r="P59" s="108">
        <f>L59-E59</f>
        <v>4.8599999999999994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1761.32</v>
      </c>
      <c r="F61" s="190"/>
      <c r="G61" s="190">
        <f>SUM(G57:G60)</f>
        <v>-4.7840623334520815</v>
      </c>
      <c r="H61" s="190">
        <f>SUM(H57:H60)</f>
        <v>104.96406233345225</v>
      </c>
      <c r="I61" s="190">
        <f>SUM(I57:I59)</f>
        <v>0</v>
      </c>
      <c r="J61" s="190">
        <f>SUM(J57:J60)</f>
        <v>1861.5000000000002</v>
      </c>
      <c r="K61" s="190">
        <f>SUM(K57:K60)</f>
        <v>0</v>
      </c>
      <c r="L61" s="192">
        <f>SUM(L57:L60)</f>
        <v>1861.5000000000002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13824.1818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-13824.1818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8332220.1306690807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100685</v>
      </c>
      <c r="M66" s="163"/>
      <c r="N66" s="163"/>
      <c r="O66" s="152">
        <f>L66/487.11</f>
        <v>206.69869228716306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1149347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8332220.1306690807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8053594.0005595805</v>
      </c>
      <c r="F69" s="202"/>
      <c r="G69" s="176"/>
      <c r="H69" s="174" t="s">
        <v>27</v>
      </c>
      <c r="I69" s="175"/>
      <c r="J69" s="175"/>
      <c r="K69" s="175"/>
      <c r="L69" s="203">
        <f>SUM(L65:L67)</f>
        <v>1250032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168648.89053814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109977.23957136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14172968.942168646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12301652.13066908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474327.95420806814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3968644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125476.85173282462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21480.002398911733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12427128.982401904</v>
      </c>
      <c r="G79" s="176" t="s">
        <v>29</v>
      </c>
      <c r="H79" s="175" t="s">
        <v>14</v>
      </c>
      <c r="I79" s="175"/>
      <c r="J79" s="175"/>
      <c r="K79" s="175"/>
      <c r="L79" s="213">
        <f>I23</f>
        <v>849749</v>
      </c>
      <c r="M79" s="159"/>
      <c r="N79" s="159"/>
      <c r="O79" s="86">
        <f>SUM(O76:O78)</f>
        <v>495807.95660697989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6988560.9428149853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2192872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32608.503091212653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13999825.942814985</v>
      </c>
      <c r="M83" s="86"/>
      <c r="N83" s="86"/>
      <c r="O83" s="107">
        <f>G58*D58</f>
        <v>-34085.183580000004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0.98778357589999999</v>
      </c>
      <c r="K84" s="175"/>
      <c r="L84" s="210">
        <f>+(1-J84)*L73</f>
        <v>173142.99935366071</v>
      </c>
      <c r="M84" s="65"/>
      <c r="N84" s="65"/>
      <c r="O84" s="143">
        <f>G59*D59</f>
        <v>1476.6802555282629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495807.96</v>
      </c>
      <c r="G85" s="176"/>
      <c r="H85" s="174" t="s">
        <v>342</v>
      </c>
      <c r="I85" s="175"/>
      <c r="J85" s="175"/>
      <c r="K85" s="175"/>
      <c r="L85" s="213">
        <f>+L84+L83</f>
        <v>14172968.942168646</v>
      </c>
      <c r="M85" s="86"/>
      <c r="N85" s="86"/>
      <c r="O85" s="107">
        <f>SUM(O82:O84)</f>
        <v>-2.3325908841798082E-4</v>
      </c>
      <c r="P85" s="103">
        <f>I168+G174</f>
        <v>-2.3325908841798082E-4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495807.96</v>
      </c>
      <c r="G88" s="176" t="s">
        <v>28</v>
      </c>
      <c r="H88" s="175" t="s">
        <v>15</v>
      </c>
      <c r="I88" s="175"/>
      <c r="J88" s="175"/>
      <c r="K88" s="175"/>
      <c r="L88" s="210">
        <f>L80</f>
        <v>6988560.9428149853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6988560.9428149853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82068.140613810596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-2.3325908841798082E-4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32608.503091212653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-34085.183580000004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1476.6802555282629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607476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-2.3325908841798082E-4</v>
      </c>
      <c r="G99" s="176"/>
      <c r="H99" s="174" t="s">
        <v>16</v>
      </c>
      <c r="I99" s="175"/>
      <c r="J99" s="175"/>
      <c r="K99" s="175"/>
      <c r="L99" s="203">
        <f>SUM(L96:L98)</f>
        <v>607476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607476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506936.4572992808</v>
      </c>
      <c r="E141" s="101">
        <f>(L58-E58)*D58</f>
        <v>-34085.183580000004</v>
      </c>
      <c r="F141" s="101">
        <f>ROUND(D141+E141,0)</f>
        <v>472851</v>
      </c>
      <c r="G141" s="145">
        <f>IF(E59&gt;0,0,O168)</f>
        <v>0</v>
      </c>
      <c r="H141" s="101">
        <f>(L59-E59)*D59</f>
        <v>22956.682654439999</v>
      </c>
      <c r="I141" s="101">
        <f>ROUND(D141+E141+H141,2)</f>
        <v>495807.96</v>
      </c>
      <c r="J141" s="113">
        <f>I144+I145+I150+I151+I162+I163+I156+I157+I168</f>
        <v>495807.95976674091</v>
      </c>
      <c r="K141" s="113"/>
      <c r="O141" s="146">
        <f>F141+G141</f>
        <v>472851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76.36</v>
      </c>
      <c r="M145" s="81"/>
      <c r="N145" s="81"/>
      <c r="O145" s="104">
        <f>D138/(D141+O168)*D141</f>
        <v>556409.15464814007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16.380000000000003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76.36</v>
      </c>
      <c r="M151" s="81"/>
      <c r="N151" s="81"/>
      <c r="O151" s="104">
        <f>D138/(D141+O168)*D141</f>
        <v>556409.15464814007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16.380000000000003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621110.90619508794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474327.95420806814</v>
      </c>
      <c r="E163" s="112">
        <f>IF(OR(D138=0,I141&lt;=0,E141=0,E59=0),0,IF(AND(E141&lt;0,I141&lt;D138),0,0))</f>
        <v>0</v>
      </c>
      <c r="F163" s="112">
        <f>D163+E163</f>
        <v>474327.95420806814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21480.002398911736</v>
      </c>
      <c r="I163" s="112">
        <f>ROUND(D163+E163+H163,2)</f>
        <v>495807.96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100.41668006441519</v>
      </c>
      <c r="E165" s="8">
        <f>E163/D58</f>
        <v>0</v>
      </c>
      <c r="F165" s="8"/>
      <c r="H165" s="8">
        <f>H163/D59</f>
        <v>4.5473822690370573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11.999999999999996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32608.503091212653</v>
      </c>
      <c r="E168" s="134">
        <f>IF(I141&lt;0,0,IF(AND(E59=0,I141&gt;=0),E141-E144-E145-E150-E151,IF(AND(E59&gt;0,I141&gt;=0),E141-E156-E157-E162-E163,0)))</f>
        <v>-34085.183580000004</v>
      </c>
      <c r="F168" s="134"/>
      <c r="G168" s="134"/>
      <c r="H168" s="134">
        <f>IF(I141&lt;0,0,IF(AND(E59=0,I141&gt;=0),H141-H144-H145-H150-H151,IF(AND(E59&gt;0,I141&gt;=0),H141-H156-H157-H162-H163,0)))</f>
        <v>1476.6802555282629</v>
      </c>
      <c r="I168" s="101">
        <f>IF(I141&gt;0,D168+E168+H168,0)</f>
        <v>-2.3325908841798082E-4</v>
      </c>
      <c r="L168" s="111"/>
      <c r="M168" s="111"/>
      <c r="N168" s="111"/>
      <c r="O168" s="113">
        <f>L147*D58</f>
        <v>46526.275586700009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6.9033199355849764</v>
      </c>
      <c r="E169" s="8">
        <f>IF(E168=0,0,IF(I141&lt;0,0,L58-H58-E58))</f>
        <v>-12</v>
      </c>
      <c r="F169" s="8"/>
      <c r="G169" s="8"/>
      <c r="H169" s="8">
        <f>IF(AND(E59=0,H141-I145=0),0,IF(I141&lt;0,0,IF(E59=0,(H168)/D59,IF(E59&gt;0,(H141-H156-H157-H162-H163)/D59,0))))</f>
        <v>0.31261773096294182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495807.95976674091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-12</v>
      </c>
      <c r="F171" s="101"/>
      <c r="G171" s="101"/>
      <c r="H171" s="101"/>
      <c r="I171" s="136" t="s">
        <v>283</v>
      </c>
      <c r="J171" s="103">
        <f>I144+I145+I168</f>
        <v>-2.3325908841798082E-4</v>
      </c>
      <c r="K171" s="103"/>
      <c r="L171" s="103">
        <f>L147+O167</f>
        <v>28.38</v>
      </c>
      <c r="M171" s="103"/>
      <c r="N171" s="103"/>
      <c r="O171" s="115">
        <f>O167*D58+L147*D59+O167*487.11</f>
        <v>117303.02660052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5845.3199999999988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5845.3197667409104</v>
      </c>
      <c r="M173" s="103"/>
      <c r="N173" s="103"/>
      <c r="O173" s="103">
        <f>L147*3232.0676</f>
        <v>52941.267288000003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32939.493599999994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5845.3199999999988</v>
      </c>
      <c r="O175" s="103">
        <f>O173+O174</f>
        <v>85880.76088799999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506936.4572992808</v>
      </c>
      <c r="E177" s="107">
        <f>E144+E145+E150+E151+E162+E163+E156+E157+E168</f>
        <v>-34085.183580000004</v>
      </c>
      <c r="F177" s="107"/>
      <c r="G177" s="107"/>
      <c r="H177" s="107">
        <f>H144+H145+H156+H157+H168</f>
        <v>1476.6802555282629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-7826.5825770706433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152.27922292935858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506936.4572992808</v>
      </c>
      <c r="E180" s="101">
        <f>E141</f>
        <v>-34085.183580000004</v>
      </c>
      <c r="F180" s="101"/>
      <c r="G180" s="101">
        <f>G141</f>
        <v>0</v>
      </c>
      <c r="H180" s="101">
        <f>H141</f>
        <v>22956.682654439999</v>
      </c>
      <c r="I180" s="101">
        <f>I141</f>
        <v>495807.96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1713.77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47.15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1527.95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22.46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1719421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441980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386713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0.98778356440000004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4760.7835359999999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4760.7835359999999</v>
      </c>
      <c r="D57" s="189">
        <v>4723.5972540000002</v>
      </c>
      <c r="E57" s="190">
        <f>I10</f>
        <v>1713.77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-185.81999999999994</v>
      </c>
      <c r="J57" s="190">
        <f>SUM(E57:I57)</f>
        <v>1527.95</v>
      </c>
      <c r="K57" s="190">
        <f>IF((+L57-J57)&gt;0,(L57-J57),0)</f>
        <v>0</v>
      </c>
      <c r="L57" s="192">
        <f>I15</f>
        <v>1527.95</v>
      </c>
      <c r="M57" s="102"/>
      <c r="N57" s="102"/>
      <c r="O57" s="102">
        <f>E57+H57+G57</f>
        <v>1713.77</v>
      </c>
      <c r="P57" s="108">
        <f>L57-E57</f>
        <v>-185.81999999999994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47.15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-24.689999999999998</v>
      </c>
      <c r="J58" s="190">
        <f>E58+H58+G58+I58</f>
        <v>22.46</v>
      </c>
      <c r="K58" s="190">
        <f>IF((+L58-J58)&gt;0,(L58-J58),0)</f>
        <v>0</v>
      </c>
      <c r="L58" s="192">
        <f>I16</f>
        <v>22.46</v>
      </c>
      <c r="M58" s="102"/>
      <c r="N58" s="102"/>
      <c r="O58" s="102">
        <f>IF(E59=0,J58+J59,J58)</f>
        <v>22.46</v>
      </c>
      <c r="P58" s="108">
        <f>L58+L59-E58</f>
        <v>-24.689999999999998</v>
      </c>
      <c r="Q58" s="1">
        <f>L59*466-(P58)*487.11</f>
        <v>12026.7459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22.46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1760.92</v>
      </c>
      <c r="F61" s="190"/>
      <c r="G61" s="190">
        <f>SUM(G57:G60)</f>
        <v>0</v>
      </c>
      <c r="H61" s="190">
        <f>SUM(H57:H60)</f>
        <v>0</v>
      </c>
      <c r="I61" s="190">
        <f>SUM(I57:I59)</f>
        <v>-210.50999999999993</v>
      </c>
      <c r="J61" s="190">
        <f>SUM(J57:J60)</f>
        <v>1550.41</v>
      </c>
      <c r="K61" s="190">
        <f>SUM(K57:K60)</f>
        <v>0</v>
      </c>
      <c r="L61" s="192">
        <f>SUM(L57:L60)</f>
        <v>1550.41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-162047</v>
      </c>
      <c r="M65" s="66"/>
      <c r="N65" s="66"/>
      <c r="O65" s="154"/>
      <c r="P65" s="140">
        <f>L71-P64</f>
        <v>947869.10695412976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8291462.1116756694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84240</v>
      </c>
      <c r="M66" s="163"/>
      <c r="N66" s="163"/>
      <c r="O66" s="152">
        <f>L66/487.11</f>
        <v>172.93835068054443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1081846</v>
      </c>
      <c r="M67" s="163"/>
      <c r="N67" s="163"/>
      <c r="O67" s="13"/>
      <c r="P67" s="139">
        <f>I57*D57</f>
        <v>-877738.84173827979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8291462.1116756694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-70130.265215849999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8158888.0004907195</v>
      </c>
      <c r="F69" s="202"/>
      <c r="G69" s="176"/>
      <c r="H69" s="174" t="s">
        <v>27</v>
      </c>
      <c r="I69" s="175"/>
      <c r="J69" s="175"/>
      <c r="K69" s="175"/>
      <c r="L69" s="203">
        <f>SUM(L65:L67)</f>
        <v>1004039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132574.11118494999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-947869.10695412976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947869.10695412976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-938298.45946748974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13389994.234814832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11322595.652208179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1719421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115490.47565252344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11438086.127860703</v>
      </c>
      <c r="G79" s="176" t="s">
        <v>29</v>
      </c>
      <c r="H79" s="175" t="s">
        <v>14</v>
      </c>
      <c r="I79" s="175"/>
      <c r="J79" s="175"/>
      <c r="K79" s="175"/>
      <c r="L79" s="213">
        <f>I23</f>
        <v>441980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8933897.2325608451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2131118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13226416.232560845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0.98778356440000004</v>
      </c>
      <c r="K84" s="175"/>
      <c r="L84" s="210">
        <f>+(1-J84)*L73</f>
        <v>163578.0022539862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13389994.234814832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8933897.2325608451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8933897.2325608451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82290.856331373288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386713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386713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386713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-877738.84173827979</v>
      </c>
      <c r="E141" s="101">
        <f>(L58-E58)*D58</f>
        <v>-70130.265215849999</v>
      </c>
      <c r="F141" s="101">
        <f>ROUND(D141+E141,0)</f>
        <v>-947869</v>
      </c>
      <c r="G141" s="145">
        <f>IF(E59&gt;0,0,O168)</f>
        <v>0</v>
      </c>
      <c r="H141" s="101">
        <f>(L59-E59)*D59</f>
        <v>0</v>
      </c>
      <c r="I141" s="101">
        <f>ROUND(D141+E141+H141,2)</f>
        <v>-947869.11</v>
      </c>
      <c r="J141" s="113">
        <f>I144+I145+I150+I151+I162+I163+I156+I157+I168</f>
        <v>0</v>
      </c>
      <c r="K141" s="113"/>
      <c r="O141" s="146">
        <f>F141+G141</f>
        <v>-947869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22.46</v>
      </c>
      <c r="M145" s="81"/>
      <c r="N145" s="81"/>
      <c r="O145" s="104">
        <f>D138/(D141+O168)*D141</f>
        <v>386713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22.46</v>
      </c>
      <c r="M151" s="81"/>
      <c r="N151" s="81"/>
      <c r="O151" s="104">
        <f>D138/(D141+O168)*D141</f>
        <v>386713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-24.689999999999998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358101.1524947104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-185.81999999999994</v>
      </c>
      <c r="E172" s="8">
        <f>IF(I141&lt;0,E141/D58,0)</f>
        <v>-24.689999999999998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947869.10695412976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-877738.84173827979</v>
      </c>
      <c r="E180" s="101">
        <f>E141</f>
        <v>-70130.265215849999</v>
      </c>
      <c r="F180" s="101"/>
      <c r="G180" s="101">
        <f>G141</f>
        <v>0</v>
      </c>
      <c r="H180" s="101">
        <f>H141</f>
        <v>0</v>
      </c>
      <c r="I180" s="101">
        <f>I141</f>
        <v>-947869.11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20347.349999999999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155.37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272.25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20349.669999999998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14.32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411.59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20869161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4758824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0.98778356440000004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1.7600000000000001E-2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1.72E-2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7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20347.349999999999</v>
      </c>
      <c r="F57" s="190"/>
      <c r="G57" s="191">
        <f>D169</f>
        <v>2.319999999999709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20349.669999999998</v>
      </c>
      <c r="K57" s="190">
        <f>IF((+L57-J57)&gt;0,(L57-J57),0)</f>
        <v>0</v>
      </c>
      <c r="L57" s="192">
        <f>I15</f>
        <v>20349.669999999998</v>
      </c>
      <c r="M57" s="102"/>
      <c r="N57" s="102"/>
      <c r="O57" s="102">
        <f>E57+H57+G57</f>
        <v>20349.669999999998</v>
      </c>
      <c r="P57" s="108">
        <f>L57-E57</f>
        <v>2.319999999999709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155.37</v>
      </c>
      <c r="F58" s="190"/>
      <c r="G58" s="191">
        <f>E169</f>
        <v>-141.05000000000001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14.319999999999993</v>
      </c>
      <c r="K58" s="190">
        <f>IF((+L58-J58)&gt;0,(L58-J58),0)</f>
        <v>7.1054273576010019E-15</v>
      </c>
      <c r="L58" s="192">
        <f>I16</f>
        <v>14.32</v>
      </c>
      <c r="M58" s="102"/>
      <c r="N58" s="102"/>
      <c r="O58" s="102">
        <f>IF(E59=0,J58+J59,J58)</f>
        <v>14.319999999999993</v>
      </c>
      <c r="P58" s="108">
        <f>L58+L59-E58</f>
        <v>270.53999999999996</v>
      </c>
      <c r="Q58" s="1">
        <f>L59*466-(P58)*487.11</f>
        <v>60018.200600000011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272.25</v>
      </c>
      <c r="F59" s="190"/>
      <c r="G59" s="191">
        <f>H169</f>
        <v>139.33999999999997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411.59</v>
      </c>
      <c r="K59" s="190">
        <f>IF((+L59-J59)&gt;0,(L59-J59),0)</f>
        <v>0</v>
      </c>
      <c r="L59" s="192">
        <f>I17</f>
        <v>411.59</v>
      </c>
      <c r="M59" s="102"/>
      <c r="N59" s="102"/>
      <c r="O59" s="102">
        <f>IF(E59=0,L58+L59,L59)</f>
        <v>411.59</v>
      </c>
      <c r="P59" s="108">
        <f>L59-E59</f>
        <v>139.33999999999997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20774.969999999998</v>
      </c>
      <c r="F61" s="190"/>
      <c r="G61" s="190">
        <f>SUM(G57:G60)</f>
        <v>0.60999999999967258</v>
      </c>
      <c r="H61" s="190">
        <f>SUM(H57:H60)</f>
        <v>0</v>
      </c>
      <c r="I61" s="190">
        <f>SUM(I57:I59)</f>
        <v>0</v>
      </c>
      <c r="J61" s="190">
        <f>SUM(J57:J60)</f>
        <v>20775.579999999998</v>
      </c>
      <c r="K61" s="190">
        <f>SUM(K57:K60)</f>
        <v>7.1054273576010019E-15</v>
      </c>
      <c r="L61" s="192">
        <f>SUM(L57:L60)</f>
        <v>20775.579999999998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200489.60490000001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-200489.60490000001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96852111.962227255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1135063</v>
      </c>
      <c r="M66" s="163"/>
      <c r="N66" s="163"/>
      <c r="O66" s="152">
        <f>L66/487.11</f>
        <v>2330.1985177885899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4985512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96852111.962227255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95142235.436081097</v>
      </c>
      <c r="F69" s="202"/>
      <c r="G69" s="176"/>
      <c r="H69" s="174" t="s">
        <v>27</v>
      </c>
      <c r="I69" s="175"/>
      <c r="J69" s="175"/>
      <c r="K69" s="175"/>
      <c r="L69" s="203">
        <f>SUM(L65:L67)</f>
        <v>6120575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436861.92268941004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1273014.60345675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111103228.71058036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103656851.96222726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20869161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1057299.8900147181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104714151.85224198</v>
      </c>
      <c r="G79" s="176" t="s">
        <v>29</v>
      </c>
      <c r="H79" s="175" t="s">
        <v>14</v>
      </c>
      <c r="I79" s="175"/>
      <c r="J79" s="175"/>
      <c r="K79" s="175"/>
      <c r="L79" s="213">
        <f>I23</f>
        <v>4758824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66614701.272085495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17503257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10958.745629278626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109745943.27208549</v>
      </c>
      <c r="M83" s="86"/>
      <c r="N83" s="86"/>
      <c r="O83" s="107">
        <f>G58*D58</f>
        <v>-400642.92866325006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0.98778356440000004</v>
      </c>
      <c r="K84" s="175"/>
      <c r="L84" s="210">
        <f>+(1-J84)*L73</f>
        <v>1357285.4384948721</v>
      </c>
      <c r="M84" s="65"/>
      <c r="N84" s="65"/>
      <c r="O84" s="143">
        <f>G59*D59</f>
        <v>658186.04137235996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111103228.71058036</v>
      </c>
      <c r="M85" s="86"/>
      <c r="N85" s="86"/>
      <c r="O85" s="107">
        <f>SUM(O82:O84)</f>
        <v>268501.85833838856</v>
      </c>
      <c r="P85" s="103">
        <f>I168+G174</f>
        <v>268501.85833838856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66614701.272085495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1.7600000000000001E-2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1.72E-2</v>
      </c>
      <c r="F92" s="175"/>
      <c r="G92" s="176"/>
      <c r="H92" s="174" t="s">
        <v>70</v>
      </c>
      <c r="I92" s="175"/>
      <c r="J92" s="175"/>
      <c r="K92" s="175"/>
      <c r="L92" s="210">
        <f>+L88-L91</f>
        <v>66614701.272085495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1682848.0662712636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268501.85833838856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10958.745629278626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-400642.92866325006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658186.04137235996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268501.85833838856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10958.745629278626</v>
      </c>
      <c r="E141" s="101">
        <f>(L58-E58)*D58</f>
        <v>-400642.92866325006</v>
      </c>
      <c r="F141" s="101">
        <f>ROUND(D141+E141,0)</f>
        <v>-389684</v>
      </c>
      <c r="G141" s="145">
        <f>IF(E59&gt;0,0,O168)</f>
        <v>0</v>
      </c>
      <c r="H141" s="101">
        <f>(L59-E59)*D59</f>
        <v>658186.04137235996</v>
      </c>
      <c r="I141" s="101">
        <f>ROUND(D141+E141+H141,2)</f>
        <v>268501.86</v>
      </c>
      <c r="J141" s="113">
        <f>I144+I145+I150+I151+I162+I163+I156+I157+I168</f>
        <v>268501.85833838856</v>
      </c>
      <c r="K141" s="113"/>
      <c r="O141" s="146">
        <f>F141+G141</f>
        <v>-389684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425.90999999999997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270.53999999999996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425.90999999999997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270.53999999999996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141.05000000000001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10958.745629278626</v>
      </c>
      <c r="E168" s="134">
        <f>IF(I141&lt;0,0,IF(AND(E59=0,I141&gt;=0),E141-E144-E145-E150-E151,IF(AND(E59&gt;0,I141&gt;=0),E141-E156-E157-E162-E163,0)))</f>
        <v>-400642.92866325006</v>
      </c>
      <c r="F168" s="134"/>
      <c r="G168" s="134"/>
      <c r="H168" s="134">
        <f>IF(I141&lt;0,0,IF(AND(E59=0,I141&gt;=0),H141-H144-H145-H150-H151,IF(AND(E59&gt;0,I141&gt;=0),H141-H156-H157-H162-H163,0)))</f>
        <v>658186.04137235996</v>
      </c>
      <c r="I168" s="101">
        <f>IF(I141&gt;0,D168+E168+H168,0)</f>
        <v>268501.85833838856</v>
      </c>
      <c r="L168" s="111"/>
      <c r="M168" s="111"/>
      <c r="N168" s="111"/>
      <c r="O168" s="113">
        <f>L147*D58</f>
        <v>768450.46381109999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2.319999999999709</v>
      </c>
      <c r="E169" s="8">
        <f>IF(E168=0,0,IF(I141&lt;0,0,L58-H58-E58))</f>
        <v>-141.05000000000001</v>
      </c>
      <c r="F169" s="8"/>
      <c r="G169" s="8"/>
      <c r="H169" s="8">
        <f>IF(AND(E59=0,H141-I145=0),0,IF(I141&lt;0,0,IF(E59=0,(H168)/D59,IF(E59&gt;0,(H141-H156-H157-H162-H163)/D59,0))))</f>
        <v>139.33999999999997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268501.85833838856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-141.05000000000001</v>
      </c>
      <c r="F171" s="101"/>
      <c r="G171" s="101"/>
      <c r="H171" s="101"/>
      <c r="I171" s="136" t="s">
        <v>283</v>
      </c>
      <c r="J171" s="103">
        <f>I144+I145+I168</f>
        <v>268501.85833838856</v>
      </c>
      <c r="K171" s="103"/>
      <c r="L171" s="103">
        <f>L147+O167</f>
        <v>411.59</v>
      </c>
      <c r="M171" s="103"/>
      <c r="N171" s="103"/>
      <c r="O171" s="115">
        <f>O167*D58+L147*D59+O167*487.11</f>
        <v>1747271.7952604101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68706.865500000014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337208.72383838857</v>
      </c>
      <c r="M173" s="103"/>
      <c r="N173" s="103"/>
      <c r="O173" s="103">
        <f>L147*3232.0676</f>
        <v>874403.56850399985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387176.29769000004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68706.865500000014</v>
      </c>
      <c r="O175" s="103">
        <f>O173+O174</f>
        <v>1261579.866194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10958.745629278626</v>
      </c>
      <c r="E177" s="107">
        <f>E144+E145+E150+E151+E162+E163+E156+E157+E168</f>
        <v>-400642.92866325006</v>
      </c>
      <c r="F177" s="107"/>
      <c r="G177" s="107"/>
      <c r="H177" s="107">
        <f>H144+H145+H156+H157+H168</f>
        <v>658186.04137235996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-63908.831999999995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67873.907399999996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10958.745629278626</v>
      </c>
      <c r="E180" s="101">
        <f>E141</f>
        <v>-400642.92866325006</v>
      </c>
      <c r="F180" s="101"/>
      <c r="G180" s="101">
        <f>G141</f>
        <v>0</v>
      </c>
      <c r="H180" s="101">
        <f>H141</f>
        <v>658186.04137235996</v>
      </c>
      <c r="I180" s="101">
        <f>I141</f>
        <v>268501.86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K88"/>
  <sheetViews>
    <sheetView topLeftCell="B1" workbookViewId="0">
      <selection activeCell="H21" sqref="H21"/>
    </sheetView>
  </sheetViews>
  <sheetFormatPr baseColWidth="10" defaultColWidth="9.1640625" defaultRowHeight="13" x14ac:dyDescent="0"/>
  <cols>
    <col min="1" max="1" width="0.83203125" style="126" hidden="1" customWidth="1"/>
    <col min="2" max="2" width="10.1640625" style="126" bestFit="1" customWidth="1"/>
    <col min="3" max="3" width="9.1640625" style="126"/>
    <col min="4" max="4" width="15.83203125" style="126" customWidth="1"/>
    <col min="5" max="8" width="9.1640625" style="126"/>
    <col min="9" max="9" width="16.83203125" style="126" customWidth="1"/>
    <col min="10" max="16384" width="9.1640625" style="126"/>
  </cols>
  <sheetData>
    <row r="1" spans="2:11" ht="26.25" customHeight="1">
      <c r="B1" s="269" t="s">
        <v>250</v>
      </c>
      <c r="C1" s="269"/>
      <c r="D1" s="269"/>
      <c r="E1" s="269"/>
      <c r="F1" s="269"/>
      <c r="G1" s="269"/>
      <c r="H1" s="269"/>
      <c r="I1" s="269"/>
    </row>
    <row r="2" spans="2:11" ht="45" customHeight="1">
      <c r="B2" s="270" t="s">
        <v>251</v>
      </c>
      <c r="C2" s="271"/>
      <c r="D2" s="271"/>
      <c r="E2" s="271"/>
      <c r="F2" s="271"/>
      <c r="G2" s="271"/>
      <c r="H2" s="271"/>
      <c r="I2" s="271"/>
      <c r="J2" s="124"/>
    </row>
    <row r="3" spans="2:11" ht="59.25" customHeight="1">
      <c r="B3" s="272" t="s">
        <v>252</v>
      </c>
      <c r="C3" s="272"/>
      <c r="D3" s="272"/>
      <c r="E3" s="272"/>
      <c r="F3" s="272"/>
      <c r="G3" s="272"/>
      <c r="H3" s="272"/>
      <c r="I3" s="272"/>
      <c r="J3" s="124"/>
    </row>
    <row r="4" spans="2:11" ht="17.25" customHeight="1">
      <c r="B4" s="122"/>
      <c r="C4" s="122"/>
      <c r="D4" s="122"/>
      <c r="E4" s="122"/>
      <c r="F4" s="122"/>
      <c r="G4" s="122"/>
      <c r="H4" s="122"/>
      <c r="I4" s="122"/>
      <c r="J4" s="124"/>
    </row>
    <row r="5" spans="2:11" ht="15.75" customHeight="1">
      <c r="B5" s="123" t="s">
        <v>305</v>
      </c>
      <c r="C5" s="124"/>
      <c r="D5" s="124"/>
      <c r="E5" s="124"/>
      <c r="F5" s="124"/>
      <c r="G5" s="124"/>
      <c r="H5" s="124"/>
      <c r="I5" s="124"/>
      <c r="J5" s="124"/>
    </row>
    <row r="6" spans="2:11" s="124" customFormat="1" ht="28.5" customHeight="1" thickBot="1">
      <c r="B6" s="125" t="s">
        <v>75</v>
      </c>
      <c r="C6" s="125"/>
      <c r="D6" s="125"/>
      <c r="E6" s="125" t="s">
        <v>253</v>
      </c>
      <c r="F6" s="125"/>
      <c r="G6" s="125"/>
      <c r="H6" s="125"/>
      <c r="I6" s="125"/>
      <c r="J6" s="121"/>
    </row>
    <row r="7" spans="2:11" s="124" customFormat="1" ht="4.5" customHeight="1">
      <c r="J7" s="121"/>
    </row>
    <row r="8" spans="2:11" s="124" customFormat="1" ht="4.5" customHeight="1">
      <c r="J8" s="121"/>
    </row>
    <row r="9" spans="2:11" s="124" customFormat="1" ht="4.5" customHeight="1">
      <c r="J9" s="121"/>
    </row>
    <row r="10" spans="2:11" ht="4.5" customHeight="1"/>
    <row r="11" spans="2:11">
      <c r="B11" s="126" t="s">
        <v>254</v>
      </c>
      <c r="E11" s="126" t="s">
        <v>112</v>
      </c>
    </row>
    <row r="12" spans="2:11">
      <c r="B12" s="126" t="s">
        <v>255</v>
      </c>
      <c r="E12" s="126" t="s">
        <v>114</v>
      </c>
      <c r="K12" s="149"/>
    </row>
    <row r="13" spans="2:11">
      <c r="B13" s="126" t="s">
        <v>256</v>
      </c>
      <c r="E13" s="126" t="s">
        <v>115</v>
      </c>
    </row>
    <row r="14" spans="2:11">
      <c r="E14" s="127" t="s">
        <v>116</v>
      </c>
    </row>
    <row r="15" spans="2:11">
      <c r="B15" s="126" t="s">
        <v>257</v>
      </c>
      <c r="E15" s="126" t="s">
        <v>117</v>
      </c>
    </row>
    <row r="16" spans="2:11">
      <c r="B16" s="126" t="s">
        <v>258</v>
      </c>
      <c r="E16" s="126" t="s">
        <v>118</v>
      </c>
    </row>
    <row r="17" spans="2:5">
      <c r="E17" s="126" t="s">
        <v>119</v>
      </c>
    </row>
    <row r="18" spans="2:5">
      <c r="B18" s="126" t="s">
        <v>259</v>
      </c>
      <c r="E18" s="126" t="s">
        <v>120</v>
      </c>
    </row>
    <row r="19" spans="2:5">
      <c r="B19" s="126" t="s">
        <v>260</v>
      </c>
      <c r="E19" s="126" t="s">
        <v>261</v>
      </c>
    </row>
    <row r="20" spans="2:5">
      <c r="B20" s="126" t="s">
        <v>262</v>
      </c>
      <c r="E20" s="126" t="s">
        <v>121</v>
      </c>
    </row>
    <row r="21" spans="2:5">
      <c r="B21" s="126" t="s">
        <v>263</v>
      </c>
      <c r="E21" s="126" t="s">
        <v>122</v>
      </c>
    </row>
    <row r="22" spans="2:5">
      <c r="E22" s="126" t="s">
        <v>123</v>
      </c>
    </row>
    <row r="23" spans="2:5">
      <c r="B23" s="126" t="s">
        <v>264</v>
      </c>
      <c r="E23" s="126" t="s">
        <v>124</v>
      </c>
    </row>
    <row r="24" spans="2:5">
      <c r="B24" s="126" t="s">
        <v>125</v>
      </c>
      <c r="E24" s="126" t="s">
        <v>126</v>
      </c>
    </row>
    <row r="25" spans="2:5">
      <c r="B25" s="126" t="s">
        <v>127</v>
      </c>
      <c r="E25" s="126" t="s">
        <v>128</v>
      </c>
    </row>
    <row r="26" spans="2:5">
      <c r="B26" s="126" t="s">
        <v>129</v>
      </c>
      <c r="E26" s="126" t="s">
        <v>130</v>
      </c>
    </row>
    <row r="27" spans="2:5">
      <c r="E27" s="126" t="s">
        <v>131</v>
      </c>
    </row>
    <row r="28" spans="2:5">
      <c r="B28" s="126" t="s">
        <v>132</v>
      </c>
      <c r="E28" s="128" t="s">
        <v>133</v>
      </c>
    </row>
    <row r="29" spans="2:5">
      <c r="B29" s="126" t="s">
        <v>134</v>
      </c>
      <c r="E29" s="126" t="s">
        <v>135</v>
      </c>
    </row>
    <row r="30" spans="2:5">
      <c r="B30" s="126" t="s">
        <v>136</v>
      </c>
      <c r="C30" s="124"/>
      <c r="E30" s="126" t="s">
        <v>137</v>
      </c>
    </row>
    <row r="31" spans="2:5">
      <c r="B31" s="126" t="s">
        <v>138</v>
      </c>
      <c r="E31" s="126" t="s">
        <v>139</v>
      </c>
    </row>
    <row r="32" spans="2:5">
      <c r="B32" s="126" t="s">
        <v>140</v>
      </c>
      <c r="E32" s="128" t="s">
        <v>141</v>
      </c>
    </row>
    <row r="33" spans="2:5">
      <c r="B33" s="126" t="s">
        <v>142</v>
      </c>
      <c r="E33" s="126" t="s">
        <v>143</v>
      </c>
    </row>
    <row r="34" spans="2:5">
      <c r="B34" s="126" t="s">
        <v>144</v>
      </c>
      <c r="E34" s="126" t="s">
        <v>145</v>
      </c>
    </row>
    <row r="35" spans="2:5">
      <c r="B35" s="126" t="s">
        <v>146</v>
      </c>
      <c r="E35" s="128" t="s">
        <v>147</v>
      </c>
    </row>
    <row r="36" spans="2:5">
      <c r="B36" s="126" t="s">
        <v>148</v>
      </c>
      <c r="E36" s="126" t="s">
        <v>149</v>
      </c>
    </row>
    <row r="37" spans="2:5">
      <c r="B37" s="126" t="s">
        <v>150</v>
      </c>
      <c r="E37" s="126" t="s">
        <v>151</v>
      </c>
    </row>
    <row r="38" spans="2:5">
      <c r="E38" s="126" t="s">
        <v>152</v>
      </c>
    </row>
    <row r="39" spans="2:5">
      <c r="E39" s="126" t="s">
        <v>153</v>
      </c>
    </row>
    <row r="40" spans="2:5">
      <c r="B40" s="126" t="s">
        <v>154</v>
      </c>
      <c r="E40" s="126" t="s">
        <v>155</v>
      </c>
    </row>
    <row r="41" spans="2:5">
      <c r="E41" s="126" t="s">
        <v>156</v>
      </c>
    </row>
    <row r="43" spans="2:5" ht="3.75" customHeight="1"/>
    <row r="44" spans="2:5" ht="3.75" customHeight="1"/>
    <row r="45" spans="2:5" ht="3.75" customHeight="1"/>
    <row r="46" spans="2:5" ht="3.75" customHeight="1"/>
    <row r="47" spans="2:5" ht="3.75" customHeight="1"/>
    <row r="48" spans="2:5" ht="3.75" customHeight="1"/>
    <row r="49" spans="2:9" ht="3.75" customHeight="1"/>
    <row r="50" spans="2:9" ht="18" customHeight="1" thickBot="1">
      <c r="B50" s="125" t="s">
        <v>75</v>
      </c>
      <c r="C50" s="133" t="str">
        <f>B5</f>
        <v>Updated: 03/20/08</v>
      </c>
      <c r="D50" s="129"/>
      <c r="E50" s="125" t="s">
        <v>306</v>
      </c>
      <c r="F50" s="129"/>
      <c r="G50" s="129"/>
      <c r="H50" s="129"/>
      <c r="I50" s="129"/>
    </row>
    <row r="51" spans="2:9" ht="15" customHeight="1">
      <c r="B51" s="126" t="s">
        <v>265</v>
      </c>
      <c r="E51" s="124" t="s">
        <v>113</v>
      </c>
    </row>
    <row r="52" spans="2:9" ht="15" customHeight="1">
      <c r="B52" s="126" t="s">
        <v>266</v>
      </c>
      <c r="E52" s="124" t="s">
        <v>157</v>
      </c>
    </row>
    <row r="53" spans="2:9">
      <c r="B53" s="126" t="s">
        <v>267</v>
      </c>
      <c r="C53" s="124"/>
      <c r="E53" s="124" t="s">
        <v>158</v>
      </c>
    </row>
    <row r="54" spans="2:9">
      <c r="B54" s="126" t="s">
        <v>268</v>
      </c>
      <c r="C54" s="124"/>
      <c r="E54" s="124" t="s">
        <v>159</v>
      </c>
    </row>
    <row r="55" spans="2:9">
      <c r="B55" s="126" t="s">
        <v>258</v>
      </c>
      <c r="C55" s="124"/>
      <c r="E55" s="124" t="s">
        <v>249</v>
      </c>
    </row>
    <row r="56" spans="2:9">
      <c r="C56" s="124"/>
      <c r="E56" s="124" t="s">
        <v>160</v>
      </c>
    </row>
    <row r="57" spans="2:9">
      <c r="B57" s="126" t="s">
        <v>260</v>
      </c>
      <c r="E57" s="124" t="s">
        <v>161</v>
      </c>
    </row>
    <row r="58" spans="2:9" ht="17.25" customHeight="1">
      <c r="B58" s="126" t="s">
        <v>269</v>
      </c>
      <c r="E58" s="124" t="s">
        <v>162</v>
      </c>
    </row>
    <row r="59" spans="2:9">
      <c r="E59" s="124" t="s">
        <v>156</v>
      </c>
    </row>
    <row r="60" spans="2:9">
      <c r="B60" s="126" t="s">
        <v>270</v>
      </c>
      <c r="E60" s="124" t="s">
        <v>163</v>
      </c>
    </row>
    <row r="61" spans="2:9">
      <c r="B61" s="126" t="s">
        <v>271</v>
      </c>
      <c r="E61" s="124" t="s">
        <v>164</v>
      </c>
    </row>
    <row r="62" spans="2:9">
      <c r="B62" s="126" t="s">
        <v>272</v>
      </c>
      <c r="E62" s="124" t="s">
        <v>165</v>
      </c>
    </row>
    <row r="63" spans="2:9">
      <c r="B63" s="126" t="s">
        <v>166</v>
      </c>
      <c r="E63" s="124" t="s">
        <v>273</v>
      </c>
    </row>
    <row r="64" spans="2:9">
      <c r="B64" s="126" t="s">
        <v>167</v>
      </c>
      <c r="E64" s="124" t="s">
        <v>168</v>
      </c>
    </row>
    <row r="65" spans="2:6">
      <c r="B65" s="126" t="s">
        <v>169</v>
      </c>
      <c r="E65" s="124" t="s">
        <v>170</v>
      </c>
    </row>
    <row r="66" spans="2:6">
      <c r="B66" s="126" t="s">
        <v>171</v>
      </c>
      <c r="E66" s="124" t="s">
        <v>172</v>
      </c>
    </row>
    <row r="67" spans="2:6">
      <c r="B67" s="126" t="s">
        <v>173</v>
      </c>
      <c r="E67" s="124" t="s">
        <v>174</v>
      </c>
      <c r="F67" s="124"/>
    </row>
    <row r="68" spans="2:6">
      <c r="E68" s="124" t="s">
        <v>175</v>
      </c>
    </row>
    <row r="69" spans="2:6">
      <c r="B69" s="126" t="s">
        <v>176</v>
      </c>
      <c r="E69" s="130" t="s">
        <v>274</v>
      </c>
    </row>
    <row r="70" spans="2:6">
      <c r="E70" s="130" t="s">
        <v>177</v>
      </c>
    </row>
    <row r="71" spans="2:6">
      <c r="E71" s="130" t="s">
        <v>275</v>
      </c>
    </row>
    <row r="72" spans="2:6">
      <c r="E72" s="130" t="s">
        <v>276</v>
      </c>
    </row>
    <row r="73" spans="2:6">
      <c r="B73" s="131"/>
      <c r="E73" s="130" t="s">
        <v>277</v>
      </c>
    </row>
    <row r="74" spans="2:6">
      <c r="B74" s="126" t="s">
        <v>132</v>
      </c>
      <c r="E74" s="130" t="s">
        <v>178</v>
      </c>
    </row>
    <row r="75" spans="2:6">
      <c r="E75" s="130" t="s">
        <v>179</v>
      </c>
    </row>
    <row r="76" spans="2:6">
      <c r="E76" s="130" t="s">
        <v>278</v>
      </c>
    </row>
    <row r="77" spans="2:6">
      <c r="E77" s="130" t="s">
        <v>180</v>
      </c>
    </row>
    <row r="78" spans="2:6">
      <c r="E78" s="130" t="s">
        <v>181</v>
      </c>
    </row>
    <row r="79" spans="2:6">
      <c r="B79" s="132"/>
      <c r="E79" s="130" t="s">
        <v>182</v>
      </c>
    </row>
    <row r="80" spans="2:6">
      <c r="E80" s="130" t="s">
        <v>183</v>
      </c>
    </row>
    <row r="81" spans="2:9">
      <c r="B81" s="126" t="s">
        <v>210</v>
      </c>
      <c r="E81" s="130" t="s">
        <v>211</v>
      </c>
    </row>
    <row r="82" spans="2:9">
      <c r="B82" s="126" t="s">
        <v>184</v>
      </c>
      <c r="E82" s="124" t="s">
        <v>185</v>
      </c>
      <c r="F82" s="124"/>
    </row>
    <row r="83" spans="2:9">
      <c r="E83" s="124" t="s">
        <v>186</v>
      </c>
    </row>
    <row r="84" spans="2:9">
      <c r="B84" s="126" t="s">
        <v>146</v>
      </c>
      <c r="E84" s="130" t="s">
        <v>187</v>
      </c>
    </row>
    <row r="85" spans="2:9">
      <c r="B85" s="126" t="s">
        <v>188</v>
      </c>
      <c r="E85" s="124" t="s">
        <v>189</v>
      </c>
    </row>
    <row r="87" spans="2:9" ht="3.75" customHeight="1"/>
    <row r="88" spans="2:9" ht="78" customHeight="1">
      <c r="B88" s="273" t="s">
        <v>279</v>
      </c>
      <c r="C88" s="273"/>
      <c r="D88" s="273"/>
      <c r="E88" s="273"/>
      <c r="F88" s="273"/>
      <c r="G88" s="273"/>
      <c r="H88" s="273"/>
      <c r="I88" s="273"/>
    </row>
  </sheetData>
  <mergeCells count="4">
    <mergeCell ref="B1:I1"/>
    <mergeCell ref="B2:I2"/>
    <mergeCell ref="B3:I3"/>
    <mergeCell ref="B88:I88"/>
  </mergeCells>
  <phoneticPr fontId="8" type="noConversion"/>
  <pageMargins left="0.5" right="0.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98944.019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2149.63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3175.83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103895.88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1948.24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3336.37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191682911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29943510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0.98778355969999998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4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4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1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5.8099999999999999E-2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5.57E-2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7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98944.019</v>
      </c>
      <c r="F57" s="190"/>
      <c r="G57" s="191">
        <f>D169</f>
        <v>4951.8610000000044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103895.88</v>
      </c>
      <c r="K57" s="190">
        <f>IF((+L57-J57)&gt;0,(L57-J57),0)</f>
        <v>0</v>
      </c>
      <c r="L57" s="192">
        <f>I15</f>
        <v>103895.88</v>
      </c>
      <c r="M57" s="102"/>
      <c r="N57" s="102"/>
      <c r="O57" s="102">
        <f>E57+H57+G57</f>
        <v>103895.88</v>
      </c>
      <c r="P57" s="108">
        <f>L57-E57</f>
        <v>4951.8610000000044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2149.63</v>
      </c>
      <c r="F58" s="190"/>
      <c r="G58" s="191">
        <f>E169</f>
        <v>-201.3900000000001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1948.24</v>
      </c>
      <c r="K58" s="190">
        <f>IF((+L58-J58)&gt;0,(L58-J58),0)</f>
        <v>0</v>
      </c>
      <c r="L58" s="192">
        <f>I16</f>
        <v>1948.24</v>
      </c>
      <c r="M58" s="102"/>
      <c r="N58" s="102"/>
      <c r="O58" s="102">
        <f>IF(E59=0,J58+J59,J58)</f>
        <v>1948.24</v>
      </c>
      <c r="P58" s="108">
        <f>L58+L59-E58</f>
        <v>3134.9799999999996</v>
      </c>
      <c r="Q58" s="1">
        <f>L59*466-(P58)*487.11</f>
        <v>27668.312200000044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3175.83</v>
      </c>
      <c r="F59" s="190"/>
      <c r="G59" s="191">
        <f>H169</f>
        <v>160.53999999999996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3336.37</v>
      </c>
      <c r="K59" s="190">
        <f>IF((+L59-J59)&gt;0,(L59-J59),0)</f>
        <v>0</v>
      </c>
      <c r="L59" s="192">
        <f>I17</f>
        <v>3336.37</v>
      </c>
      <c r="M59" s="102"/>
      <c r="N59" s="102"/>
      <c r="O59" s="102">
        <f>IF(E59=0,L58+L59,L59)</f>
        <v>3336.37</v>
      </c>
      <c r="P59" s="108">
        <f>L59-E59</f>
        <v>160.53999999999996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104269.47900000001</v>
      </c>
      <c r="F61" s="190"/>
      <c r="G61" s="190">
        <f>SUM(G57:G60)</f>
        <v>4911.0110000000041</v>
      </c>
      <c r="H61" s="190">
        <f>SUM(H57:H60)</f>
        <v>0</v>
      </c>
      <c r="I61" s="190">
        <f>SUM(I57:I59)</f>
        <v>0</v>
      </c>
      <c r="J61" s="190">
        <f>SUM(J57:J60)</f>
        <v>109180.49</v>
      </c>
      <c r="K61" s="190">
        <f>SUM(K57:K60)</f>
        <v>0</v>
      </c>
      <c r="L61" s="192">
        <f>SUM(L57:L60)</f>
        <v>109180.49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1625179.1906999999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34023701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-1625179.1906999999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483546737.65942776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5924214</v>
      </c>
      <c r="M66" s="163"/>
      <c r="N66" s="163"/>
      <c r="O66" s="152">
        <f>L66/487.11</f>
        <v>12161.963416887356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25949204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483546737.65942776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462652637.8467015</v>
      </c>
      <c r="F69" s="202"/>
      <c r="G69" s="176"/>
      <c r="H69" s="174" t="s">
        <v>27</v>
      </c>
      <c r="I69" s="175"/>
      <c r="J69" s="175"/>
      <c r="K69" s="175"/>
      <c r="L69" s="203">
        <f>SUM(L65:L67)</f>
        <v>31873418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6044226.6516755903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14849873.16105069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578299963.86526942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517570438.65942776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191682911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5279218.4743261635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522849657.1337539</v>
      </c>
      <c r="G79" s="176" t="s">
        <v>29</v>
      </c>
      <c r="H79" s="175" t="s">
        <v>14</v>
      </c>
      <c r="I79" s="175"/>
      <c r="J79" s="175"/>
      <c r="K79" s="175"/>
      <c r="L79" s="213">
        <f>I23</f>
        <v>29943510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259354629.88121718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90254146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23390597.021789715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571235196.88121724</v>
      </c>
      <c r="M83" s="86"/>
      <c r="N83" s="86"/>
      <c r="O83" s="107">
        <f>G58*D58</f>
        <v>-572034.59343135031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0.98778355969999998</v>
      </c>
      <c r="K84" s="175"/>
      <c r="L84" s="210">
        <f>+(1-J84)*L73</f>
        <v>7064766.9840522325</v>
      </c>
      <c r="M84" s="65"/>
      <c r="N84" s="65"/>
      <c r="O84" s="143">
        <f>G59*D59</f>
        <v>758326.30315715983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578299963.86526942</v>
      </c>
      <c r="M85" s="86"/>
      <c r="N85" s="86"/>
      <c r="O85" s="107">
        <f>SUM(O82:O84)</f>
        <v>23576888.731515523</v>
      </c>
      <c r="P85" s="103">
        <f>I168+G174</f>
        <v>23576888.731515523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259354629.88121718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5.8099999999999999E-2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5.57E-2</v>
      </c>
      <c r="F92" s="175"/>
      <c r="G92" s="176"/>
      <c r="H92" s="174" t="s">
        <v>70</v>
      </c>
      <c r="I92" s="175"/>
      <c r="J92" s="175"/>
      <c r="K92" s="175"/>
      <c r="L92" s="210">
        <f>+L88-L91</f>
        <v>259354629.88121718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27208275.625668123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23576888.731515523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23390597.021789715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-572034.59343135031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758326.30315715983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23576888.731515523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1</v>
      </c>
      <c r="H110" s="242">
        <f>H36</f>
        <v>4</v>
      </c>
      <c r="I110" s="242">
        <f>H35</f>
        <v>4</v>
      </c>
      <c r="J110" s="244">
        <f>SUM(G110:I110)</f>
        <v>9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4536493</v>
      </c>
      <c r="H113" s="247">
        <f>H107*H110</f>
        <v>15877728</v>
      </c>
      <c r="I113" s="247">
        <f>I107*I110</f>
        <v>13609480</v>
      </c>
      <c r="J113" s="242">
        <f>SUM(B113:I113)</f>
        <v>34023701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34023701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23390597.021789715</v>
      </c>
      <c r="E141" s="101">
        <f>(L58-E58)*D58</f>
        <v>-572034.59343135031</v>
      </c>
      <c r="F141" s="101">
        <f>ROUND(D141+E141,0)</f>
        <v>22818562</v>
      </c>
      <c r="G141" s="145">
        <f>IF(E59&gt;0,0,O168)</f>
        <v>0</v>
      </c>
      <c r="H141" s="101">
        <f>(L59-E59)*D59</f>
        <v>758326.30315715983</v>
      </c>
      <c r="I141" s="101">
        <f>ROUND(D141+E141+H141,2)</f>
        <v>23576888.73</v>
      </c>
      <c r="J141" s="113">
        <f>I144+I145+I150+I151+I162+I163+I156+I157+I168</f>
        <v>23576888.731515523</v>
      </c>
      <c r="K141" s="113"/>
      <c r="O141" s="146">
        <f>F141+G141</f>
        <v>22818562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5284.61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3134.9799999999996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5284.61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3134.9799999999996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201.39000000000033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23390597.021789715</v>
      </c>
      <c r="E168" s="134">
        <f>IF(I141&lt;0,0,IF(AND(E59=0,I141&gt;=0),E141-E144-E145-E150-E151,IF(AND(E59&gt;0,I141&gt;=0),E141-E156-E157-E162-E163,0)))</f>
        <v>-572034.59343135031</v>
      </c>
      <c r="F168" s="134"/>
      <c r="G168" s="134"/>
      <c r="H168" s="134">
        <f>IF(I141&lt;0,0,IF(AND(E59=0,I141&gt;=0),H141-H144-H145-H150-H151,IF(AND(E59&gt;0,I141&gt;=0),H141-H156-H157-H162-H163,0)))</f>
        <v>758326.30315715983</v>
      </c>
      <c r="I168" s="101">
        <f>IF(I141&gt;0,D168+E168+H168,0)</f>
        <v>23576888.731515523</v>
      </c>
      <c r="L168" s="111"/>
      <c r="M168" s="111"/>
      <c r="N168" s="111"/>
      <c r="O168" s="113">
        <f>L147*D58</f>
        <v>8904697.401635699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4951.8610000000044</v>
      </c>
      <c r="E169" s="8">
        <f>IF(E168=0,0,IF(I141&lt;0,0,L58-H58-E58))</f>
        <v>-201.3900000000001</v>
      </c>
      <c r="F169" s="8"/>
      <c r="G169" s="8"/>
      <c r="H169" s="8">
        <f>IF(AND(E59=0,H141-I145=0),0,IF(I141&lt;0,0,IF(E59=0,(H168)/D59,IF(E59&gt;0,(H141-H156-H157-H162-H163)/D59,0))))</f>
        <v>160.53999999999996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23576888.731515523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-201.3900000000001</v>
      </c>
      <c r="F171" s="101"/>
      <c r="G171" s="101"/>
      <c r="H171" s="101"/>
      <c r="I171" s="136" t="s">
        <v>283</v>
      </c>
      <c r="J171" s="103">
        <f>I144+I145+I168</f>
        <v>23576888.731515523</v>
      </c>
      <c r="K171" s="103"/>
      <c r="L171" s="103">
        <f>L147+O167</f>
        <v>3336.37</v>
      </c>
      <c r="M171" s="103"/>
      <c r="N171" s="103"/>
      <c r="O171" s="115">
        <f>O167*D58+L147*D59+O167*487.11</f>
        <v>15478516.595676271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98099.082900000169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23674987.814415522</v>
      </c>
      <c r="M173" s="103"/>
      <c r="N173" s="103"/>
      <c r="O173" s="103">
        <f>L147*3232.0676</f>
        <v>10132467.284647997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552807.05134200095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98099.082900000169</v>
      </c>
      <c r="O175" s="103">
        <f>O173+O174</f>
        <v>10685274.335989999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23390597.021789715</v>
      </c>
      <c r="E177" s="107">
        <f>E144+E145+E150+E151+E162+E163+E156+E157+E168</f>
        <v>-572034.59343135031</v>
      </c>
      <c r="F177" s="107"/>
      <c r="G177" s="107"/>
      <c r="H177" s="107">
        <f>H144+H145+H156+H157+H168</f>
        <v>758326.30315715983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-1448879.4683999999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78200.639399999985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23390597.021789715</v>
      </c>
      <c r="E180" s="101">
        <f>E141</f>
        <v>-572034.59343135031</v>
      </c>
      <c r="F180" s="101"/>
      <c r="G180" s="101">
        <f>G141</f>
        <v>0</v>
      </c>
      <c r="H180" s="101">
        <f>H141</f>
        <v>758326.30315715983</v>
      </c>
      <c r="I180" s="101">
        <f>I141</f>
        <v>23576888.73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64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51919.44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251.12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51958.66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240.57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65540702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15919130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0.98778356050000005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259">
        <v>1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3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1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2.35E-2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2.29E-2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7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51919.44</v>
      </c>
      <c r="F57" s="190"/>
      <c r="G57" s="191">
        <f>D169</f>
        <v>39.220000000001164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51958.66</v>
      </c>
      <c r="K57" s="190">
        <f>IF((+L57-J57)&gt;0,(L57-J57),0)</f>
        <v>0</v>
      </c>
      <c r="L57" s="192">
        <f>I15</f>
        <v>51958.66</v>
      </c>
      <c r="M57" s="102"/>
      <c r="N57" s="102"/>
      <c r="O57" s="102">
        <f>E57+H57+G57</f>
        <v>51958.66</v>
      </c>
      <c r="P57" s="108">
        <f>L57-E57</f>
        <v>39.220000000001164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251.12</v>
      </c>
      <c r="F58" s="190"/>
      <c r="G58" s="191">
        <f>E169</f>
        <v>-10.550000000000011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240.57</v>
      </c>
      <c r="K58" s="190">
        <f>IF((+L58-J58)&gt;0,(L58-J58),0)</f>
        <v>0</v>
      </c>
      <c r="L58" s="192">
        <f>I16</f>
        <v>240.57</v>
      </c>
      <c r="M58" s="102"/>
      <c r="N58" s="102"/>
      <c r="O58" s="102">
        <f>IF(E59=0,J58+J59,J58)</f>
        <v>240.57</v>
      </c>
      <c r="P58" s="108">
        <f>L58+L59-E58</f>
        <v>-10.550000000000011</v>
      </c>
      <c r="Q58" s="1">
        <f>L59*466-(P58)*487.11</f>
        <v>5139.0105000000058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240.57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52170.560000000005</v>
      </c>
      <c r="F61" s="190"/>
      <c r="G61" s="190">
        <f>SUM(G57:G60)</f>
        <v>28.670000000001153</v>
      </c>
      <c r="H61" s="190">
        <f>SUM(H57:H60)</f>
        <v>0</v>
      </c>
      <c r="I61" s="190">
        <f>SUM(I57:I59)</f>
        <v>0</v>
      </c>
      <c r="J61" s="190">
        <f>SUM(J57:J60)</f>
        <v>52199.23</v>
      </c>
      <c r="K61" s="190">
        <f>SUM(K57:K60)</f>
        <v>0</v>
      </c>
      <c r="L61" s="192">
        <f>SUM(L57:L60)</f>
        <v>52199.23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20414219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243476353.78981963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2847421</v>
      </c>
      <c r="M66" s="163"/>
      <c r="N66" s="163"/>
      <c r="O66" s="152">
        <f>L66/487.11</f>
        <v>5845.5400217609986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12721485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243476353.78981963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242770266.60422546</v>
      </c>
      <c r="F69" s="202"/>
      <c r="G69" s="176"/>
      <c r="H69" s="174" t="s">
        <v>27</v>
      </c>
      <c r="I69" s="175"/>
      <c r="J69" s="175"/>
      <c r="K69" s="175"/>
      <c r="L69" s="203">
        <f>SUM(L65:L67)</f>
        <v>15568906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706087.18559415999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283452146.61394691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263890572.78981963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65540702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2691683.8424561606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266582256.63227579</v>
      </c>
      <c r="G79" s="176" t="s">
        <v>29</v>
      </c>
      <c r="H79" s="175" t="s">
        <v>14</v>
      </c>
      <c r="I79" s="175"/>
      <c r="J79" s="175"/>
      <c r="K79" s="175"/>
      <c r="L79" s="213">
        <f>I23</f>
        <v>15919130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154496202.61369252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44033336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185259.4843018855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1134123</v>
      </c>
      <c r="G83" s="176"/>
      <c r="H83" s="174" t="s">
        <v>340</v>
      </c>
      <c r="I83" s="175"/>
      <c r="J83" s="175"/>
      <c r="K83" s="175"/>
      <c r="L83" s="213">
        <f>SUM(L77:L81)</f>
        <v>279989370.61369252</v>
      </c>
      <c r="M83" s="86"/>
      <c r="N83" s="86"/>
      <c r="O83" s="107">
        <f>G58*D58</f>
        <v>-29966.557230750033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11568.054600000001</v>
      </c>
      <c r="G84" s="176" t="s">
        <v>11</v>
      </c>
      <c r="H84" s="175" t="s">
        <v>341</v>
      </c>
      <c r="I84" s="175"/>
      <c r="J84" s="217">
        <f>I29</f>
        <v>0.98778356050000005</v>
      </c>
      <c r="K84" s="175"/>
      <c r="L84" s="210">
        <f>+(1-J84)*L73</f>
        <v>3462776.0002543991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283452146.61394691</v>
      </c>
      <c r="M85" s="86"/>
      <c r="N85" s="86"/>
      <c r="O85" s="107">
        <f>SUM(O82:O84)</f>
        <v>155292.92707113546</v>
      </c>
      <c r="P85" s="103">
        <f>I168+G174</f>
        <v>155292.92707113546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1145691.0545999999</v>
      </c>
      <c r="G88" s="176" t="s">
        <v>28</v>
      </c>
      <c r="H88" s="175" t="s">
        <v>15</v>
      </c>
      <c r="I88" s="175"/>
      <c r="J88" s="175"/>
      <c r="K88" s="175"/>
      <c r="L88" s="210">
        <f>L80</f>
        <v>154496202.61369252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2.35E-2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2.29E-2</v>
      </c>
      <c r="F92" s="175"/>
      <c r="G92" s="176"/>
      <c r="H92" s="174" t="s">
        <v>70</v>
      </c>
      <c r="I92" s="175"/>
      <c r="J92" s="175"/>
      <c r="K92" s="175"/>
      <c r="L92" s="210">
        <f>+L88-L91</f>
        <v>154496202.61369252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5632479.7288813507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155292.92707113546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185259.4843018855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-29966.557230750033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155292.92707113546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1</v>
      </c>
      <c r="H110" s="242">
        <f>H36</f>
        <v>2</v>
      </c>
      <c r="I110" s="242">
        <f>H35</f>
        <v>1</v>
      </c>
      <c r="J110" s="244">
        <f>SUM(G110:I110)</f>
        <v>4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4536493</v>
      </c>
      <c r="H113" s="247">
        <f>H107*H110</f>
        <v>7938864</v>
      </c>
      <c r="I113" s="247">
        <f>I107*I110</f>
        <v>3402370</v>
      </c>
      <c r="J113" s="242">
        <f>SUM(B113:I113)</f>
        <v>15877727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3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3402369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4536492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4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20414219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58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185259.4843018855</v>
      </c>
      <c r="E141" s="101">
        <f>(L58-E58)*D58</f>
        <v>-29966.557230750033</v>
      </c>
      <c r="F141" s="101">
        <f>ROUND(D141+E141,0)</f>
        <v>155293</v>
      </c>
      <c r="G141" s="145">
        <f>IF(E59&gt;0,0,O168)</f>
        <v>0</v>
      </c>
      <c r="H141" s="101">
        <f>(L59-E59)*D59</f>
        <v>0</v>
      </c>
      <c r="I141" s="101">
        <f>ROUND(D141+E141+H141,2)</f>
        <v>155292.93</v>
      </c>
      <c r="J141" s="113">
        <f>I144+I145+I150+I151+I162+I163+I156+I157+I168</f>
        <v>155292.92707113546</v>
      </c>
      <c r="K141" s="113"/>
      <c r="O141" s="146">
        <f>F141+G141</f>
        <v>155293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240.57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240.57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-10.550000000000011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185259.4843018855</v>
      </c>
      <c r="E168" s="134">
        <f>IF(I141&lt;0,0,IF(AND(E59=0,I141&gt;=0),E141-E144-E145-E150-E151,IF(AND(E59&gt;0,I141&gt;=0),E141-E156-E157-E162-E163,0)))</f>
        <v>-29966.557230750033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155292.92707113546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39.220000000001164</v>
      </c>
      <c r="E169" s="8">
        <f>IF(E168=0,0,IF(I141&lt;0,0,L58-H58-E58))</f>
        <v>-10.550000000000011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155292.92707113546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-10.550000000000011</v>
      </c>
      <c r="F171" s="101"/>
      <c r="G171" s="101"/>
      <c r="H171" s="101"/>
      <c r="I171" s="136" t="s">
        <v>283</v>
      </c>
      <c r="J171" s="103">
        <f>I144+I145+I168</f>
        <v>155292.92707113546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155292.92707113546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185259.4843018855</v>
      </c>
      <c r="E177" s="107">
        <f>E144+E145+E150+E151+E162+E163+E156+E157+E168</f>
        <v>-29966.557230750033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185259.4843018855</v>
      </c>
      <c r="E180" s="101">
        <f>E141</f>
        <v>-29966.557230750033</v>
      </c>
      <c r="F180" s="101"/>
      <c r="G180" s="101">
        <f>G141</f>
        <v>0</v>
      </c>
      <c r="H180" s="101">
        <f>H141</f>
        <v>0</v>
      </c>
      <c r="I180" s="101">
        <f>I141</f>
        <v>155292.93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8" sqref="L78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3583.24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225.22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3432.51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220.87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48239824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1685495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5624465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260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5390.7318519999999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5390.7318519999999</v>
      </c>
      <c r="D57" s="189">
        <v>4723.5972540000002</v>
      </c>
      <c r="E57" s="190">
        <f>I10</f>
        <v>3583.24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-150.72999999999956</v>
      </c>
      <c r="J57" s="190">
        <f>SUM(E57:I57)</f>
        <v>3432.51</v>
      </c>
      <c r="K57" s="190">
        <f>IF((+L57-J57)&gt;0,(L57-J57),0)</f>
        <v>0</v>
      </c>
      <c r="L57" s="192">
        <f>I15</f>
        <v>3432.51</v>
      </c>
      <c r="M57" s="102"/>
      <c r="N57" s="102"/>
      <c r="O57" s="102">
        <f>E57+H57+G57</f>
        <v>3583.24</v>
      </c>
      <c r="P57" s="108">
        <f>L57-E57</f>
        <v>-150.72999999999956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225.22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-4.3499999999999943</v>
      </c>
      <c r="J58" s="190">
        <f>E58+H58+G58+I58</f>
        <v>220.87</v>
      </c>
      <c r="K58" s="190">
        <f>IF((+L58-J58)&gt;0,(L58-J58),0)</f>
        <v>0</v>
      </c>
      <c r="L58" s="192">
        <f>I16</f>
        <v>220.87</v>
      </c>
      <c r="M58" s="102"/>
      <c r="N58" s="102"/>
      <c r="O58" s="102">
        <f>IF(E59=0,J58+J59,J58)</f>
        <v>220.87</v>
      </c>
      <c r="P58" s="108">
        <f>L58+L59-E58</f>
        <v>-4.3499999999999943</v>
      </c>
      <c r="Q58" s="1">
        <f>L59*466-(P58)*487.11</f>
        <v>2118.9284999999973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220.87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3808.4599999999996</v>
      </c>
      <c r="F61" s="190"/>
      <c r="G61" s="190">
        <f>SUM(G57:G60)</f>
        <v>0</v>
      </c>
      <c r="H61" s="190">
        <f>SUM(H57:H60)</f>
        <v>0</v>
      </c>
      <c r="I61" s="190">
        <f>SUM(I57:I59)</f>
        <v>-155.07999999999956</v>
      </c>
      <c r="J61" s="190">
        <f>SUM(J57:J60)</f>
        <v>3653.38</v>
      </c>
      <c r="K61" s="190">
        <f>SUM(K57:K60)</f>
        <v>0</v>
      </c>
      <c r="L61" s="192">
        <f>SUM(L57:L60)</f>
        <v>3653.38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724343.693143168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19949548.807745941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194843</v>
      </c>
      <c r="M66" s="163"/>
      <c r="N66" s="163"/>
      <c r="O66" s="152">
        <f>L66/487.11</f>
        <v>399.9979470756092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962991</v>
      </c>
      <c r="M67" s="163"/>
      <c r="N67" s="163"/>
      <c r="O67" s="13"/>
      <c r="P67" s="139">
        <f>I57*D57</f>
        <v>-711987.81409541797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19949548.807745941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-12355.879047749984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19316286.00136048</v>
      </c>
      <c r="F69" s="202"/>
      <c r="G69" s="176"/>
      <c r="H69" s="174" t="s">
        <v>27</v>
      </c>
      <c r="I69" s="175"/>
      <c r="J69" s="175"/>
      <c r="K69" s="175"/>
      <c r="L69" s="203">
        <f>SUM(L65:L67)</f>
        <v>1157834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633262.80638545996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-724343.693143168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724343.693143168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-717029.98471352784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24747942.38217051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22634888.823032413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48239824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230875.86599493062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-25542714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22865764.689027343</v>
      </c>
      <c r="G79" s="176" t="s">
        <v>29</v>
      </c>
      <c r="H79" s="175" t="s">
        <v>14</v>
      </c>
      <c r="I79" s="175"/>
      <c r="J79" s="175"/>
      <c r="K79" s="175"/>
      <c r="L79" s="213">
        <f>I23</f>
        <v>1685495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-0.61782949045300484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365338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24747942.38217051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24747942.38217051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-0.61782949045300484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-0.61782949045300484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175655.04711580259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2593712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1470649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1560104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5624465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5624465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-711987.81409541797</v>
      </c>
      <c r="E141" s="101">
        <f>(L58-E58)*D58</f>
        <v>-12355.879047749984</v>
      </c>
      <c r="F141" s="101">
        <f>ROUND(D141+E141,0)</f>
        <v>-724344</v>
      </c>
      <c r="G141" s="145">
        <f>IF(E59&gt;0,0,O168)</f>
        <v>0</v>
      </c>
      <c r="H141" s="101">
        <f>(L59-E59)*D59</f>
        <v>0</v>
      </c>
      <c r="I141" s="101">
        <f>ROUND(D141+E141+H141,2)</f>
        <v>-724343.69</v>
      </c>
      <c r="J141" s="113">
        <f>I144+I145+I150+I151+I162+I163+I156+I157+I168</f>
        <v>0</v>
      </c>
      <c r="K141" s="113"/>
      <c r="O141" s="146">
        <f>F141+G141</f>
        <v>-724344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220.87</v>
      </c>
      <c r="M145" s="81"/>
      <c r="N145" s="81"/>
      <c r="O145" s="104">
        <f>D138/(D141+O168)*D141</f>
        <v>5624465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220.87</v>
      </c>
      <c r="M151" s="81"/>
      <c r="N151" s="81"/>
      <c r="O151" s="104">
        <f>D138/(D141+O168)*D141</f>
        <v>5624465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-4.3499999999999943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5528522.7110989057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-150.72999999999956</v>
      </c>
      <c r="E172" s="8">
        <f>IF(I141&lt;0,E141/D58,0)</f>
        <v>-4.3499999999999943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724343.693143168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-711987.81409541797</v>
      </c>
      <c r="E180" s="101">
        <f>E141</f>
        <v>-12355.879047749984</v>
      </c>
      <c r="F180" s="101"/>
      <c r="G180" s="101">
        <f>G141</f>
        <v>0</v>
      </c>
      <c r="H180" s="101">
        <f>H141</f>
        <v>0</v>
      </c>
      <c r="I180" s="101">
        <f>I141</f>
        <v>-724343.69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2952.1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43.08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50.7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2565.9299999999998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37.24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43.36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6535729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701089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160051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0.98778357939999994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2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3.9699999999999999E-2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3.8199999999999998E-2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2952.1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-386.17000000000007</v>
      </c>
      <c r="J57" s="190">
        <f>SUM(E57:I57)</f>
        <v>2565.9299999999998</v>
      </c>
      <c r="K57" s="190">
        <f>IF((+L57-J57)&gt;0,(L57-J57),0)</f>
        <v>0</v>
      </c>
      <c r="L57" s="192">
        <f>I15</f>
        <v>2565.9299999999998</v>
      </c>
      <c r="M57" s="102"/>
      <c r="N57" s="102"/>
      <c r="O57" s="102">
        <f>E57+H57+G57</f>
        <v>2952.1</v>
      </c>
      <c r="P57" s="108">
        <f>L57-E57</f>
        <v>-386.17000000000007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43.08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-5.8399999999999972</v>
      </c>
      <c r="J58" s="190">
        <f>E58+H58+G58+I58</f>
        <v>37.24</v>
      </c>
      <c r="K58" s="190">
        <f>IF((+L58-J58)&gt;0,(L58-J58),0)</f>
        <v>0</v>
      </c>
      <c r="L58" s="192">
        <f>I16</f>
        <v>37.24</v>
      </c>
      <c r="M58" s="102"/>
      <c r="N58" s="102"/>
      <c r="O58" s="102">
        <f>IF(E59=0,J58+J59,J58)</f>
        <v>37.24</v>
      </c>
      <c r="P58" s="108">
        <f>L58+L59-E58</f>
        <v>37.519999999999996</v>
      </c>
      <c r="Q58" s="1">
        <f>L59*466-(P58)*487.11</f>
        <v>1929.3928000000014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50.7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-7.3400000000000034</v>
      </c>
      <c r="J59" s="190">
        <f>E59+H59+G59+I59</f>
        <v>43.36</v>
      </c>
      <c r="K59" s="190">
        <f>IF((+L59-J59)&gt;0,(L59-J59),0)</f>
        <v>0</v>
      </c>
      <c r="L59" s="192">
        <f>I17</f>
        <v>43.36</v>
      </c>
      <c r="M59" s="102"/>
      <c r="N59" s="102"/>
      <c r="O59" s="102">
        <f>IF(E59=0,L58+L59,L59)</f>
        <v>43.36</v>
      </c>
      <c r="P59" s="108">
        <f>L59-E59</f>
        <v>-7.3400000000000034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3045.8799999999997</v>
      </c>
      <c r="F61" s="190"/>
      <c r="G61" s="190">
        <f>SUM(G57:G60)</f>
        <v>0</v>
      </c>
      <c r="H61" s="190">
        <f>SUM(H57:H60)</f>
        <v>0</v>
      </c>
      <c r="I61" s="190">
        <f>SUM(I57:I59)</f>
        <v>-399.35</v>
      </c>
      <c r="J61" s="190">
        <f>SUM(J57:J60)</f>
        <v>2646.5299999999997</v>
      </c>
      <c r="K61" s="190">
        <f>SUM(K57:K60)</f>
        <v>0</v>
      </c>
      <c r="L61" s="192">
        <f>SUM(L57:L60)</f>
        <v>2646.5299999999997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21121.089599999999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4536494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1854249.7903999998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14161931.887501139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143820</v>
      </c>
      <c r="M66" s="163"/>
      <c r="N66" s="163"/>
      <c r="O66" s="152">
        <f>L66/487.11</f>
        <v>295.25158588409187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1353608</v>
      </c>
      <c r="M67" s="163"/>
      <c r="N67" s="163"/>
      <c r="O67" s="13"/>
      <c r="P67" s="139">
        <f>I57*D57</f>
        <v>-1824111.5515771804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14161931.887501139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-16588.122675599992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13803733.323054599</v>
      </c>
      <c r="F69" s="202"/>
      <c r="G69" s="176"/>
      <c r="H69" s="174" t="s">
        <v>27</v>
      </c>
      <c r="I69" s="175"/>
      <c r="J69" s="175"/>
      <c r="K69" s="175"/>
      <c r="L69" s="203">
        <f>SUM(L65:L67)</f>
        <v>1497428</v>
      </c>
      <c r="M69" s="165"/>
      <c r="N69" s="165"/>
      <c r="O69" s="155"/>
      <c r="P69" s="138">
        <f>IF(AND(E59=0,L71&gt;0),(I59+L147)*D58,IF(AND(E59&gt;0,L71&gt;0),I59*D59,0))</f>
        <v>-34671.203844360018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121130.28016644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-1875370.8780971405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237068.28428010002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1875370.88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-1856435.2321091604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20386577.840076976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16841990.65539198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6535729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171788.30468499821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17013778.960076977</v>
      </c>
      <c r="G79" s="176" t="s">
        <v>29</v>
      </c>
      <c r="H79" s="175" t="s">
        <v>14</v>
      </c>
      <c r="I79" s="175"/>
      <c r="J79" s="175"/>
      <c r="K79" s="175"/>
      <c r="L79" s="213">
        <f>I23</f>
        <v>701089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9660668.8305879552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3240040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20137526.830587953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0.98778357939999994</v>
      </c>
      <c r="K84" s="175"/>
      <c r="L84" s="210">
        <f>+(1-J84)*L73</f>
        <v>249051.009489021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20386577.840076976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9660668.8305879552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3.9699999999999999E-2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3.8199999999999998E-2</v>
      </c>
      <c r="F92" s="175"/>
      <c r="G92" s="176"/>
      <c r="H92" s="174" t="s">
        <v>70</v>
      </c>
      <c r="I92" s="175"/>
      <c r="J92" s="175"/>
      <c r="K92" s="175"/>
      <c r="L92" s="210">
        <f>+L88-L91</f>
        <v>9660668.8305879552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546503.85517648177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160051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160051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2</v>
      </c>
      <c r="F124" s="252">
        <f>J40</f>
        <v>0</v>
      </c>
      <c r="G124" s="244"/>
      <c r="H124" s="183">
        <f>SUM(B124:F124)</f>
        <v>2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567062</v>
      </c>
      <c r="F127" s="238">
        <f>F121*F124</f>
        <v>0</v>
      </c>
      <c r="G127" s="169"/>
      <c r="H127" s="253">
        <f>SUM(B127:F127)</f>
        <v>567062</v>
      </c>
      <c r="I127" s="169"/>
      <c r="J127" s="251">
        <f>H118+H127</f>
        <v>567062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4536494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160051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-1824111.5515771804</v>
      </c>
      <c r="E141" s="101">
        <f>(L58-E58)*D58</f>
        <v>-16588.122675599992</v>
      </c>
      <c r="F141" s="101">
        <f>ROUND(D141+E141,0)</f>
        <v>-1840700</v>
      </c>
      <c r="G141" s="145">
        <f>IF(E59&gt;0,0,O168)</f>
        <v>0</v>
      </c>
      <c r="H141" s="101">
        <f>(L59-E59)*D59</f>
        <v>-34671.203844360018</v>
      </c>
      <c r="I141" s="101">
        <f>ROUND(D141+E141+H141,2)</f>
        <v>-1875370.88</v>
      </c>
      <c r="J141" s="113">
        <f>I144+I145+I150+I151+I162+I163+I156+I157+I168</f>
        <v>0</v>
      </c>
      <c r="K141" s="113"/>
      <c r="O141" s="146">
        <f>F141+G141</f>
        <v>-1840700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80.599999999999994</v>
      </c>
      <c r="M145" s="81"/>
      <c r="N145" s="81"/>
      <c r="O145" s="104">
        <f>D138/(D141+O168)*D141</f>
        <v>169982.14038270753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37.519999999999996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80.599999999999994</v>
      </c>
      <c r="M151" s="81"/>
      <c r="N151" s="81"/>
      <c r="O151" s="104">
        <f>D138/(D141+O168)*D141</f>
        <v>169982.14038270753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37.519999999999996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155676.34170659582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5.8400000000000034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106573.0073268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43.36</v>
      </c>
      <c r="M171" s="103"/>
      <c r="N171" s="103"/>
      <c r="O171" s="115">
        <f>O167*D58+L147*D59+O167*487.11</f>
        <v>196662.21404567998</v>
      </c>
    </row>
    <row r="172" spans="1:16">
      <c r="A172" s="23"/>
      <c r="B172" s="2" t="s">
        <v>247</v>
      </c>
      <c r="D172" s="8">
        <f>IF(I141&lt;0,D141/D57,0)</f>
        <v>-386.17000000000007</v>
      </c>
      <c r="E172" s="8">
        <f>IF(I141&lt;0,E141/D58,0)</f>
        <v>-5.8399999999999972</v>
      </c>
      <c r="F172" s="8"/>
      <c r="G172" s="8"/>
      <c r="H172" s="8">
        <f>IF(I141&lt;0,H141/D59,0)</f>
        <v>-7.3400000000000034</v>
      </c>
      <c r="I172" s="137">
        <f>IF(AND(E59=0,L71&gt;0),-D172*D57-E172*D58-(H172+L147)*D58,IF(AND(E59&gt;0,L71&gt;0),-D172*D57-E172*D58-H172*D59,0))</f>
        <v>1875370.8780971405</v>
      </c>
      <c r="J172" s="103"/>
      <c r="K172" s="103"/>
      <c r="L172" s="119">
        <f>O167*487.11</f>
        <v>2844.7224000000019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2844.7224000000019</v>
      </c>
      <c r="M173" s="103"/>
      <c r="N173" s="103"/>
      <c r="O173" s="103">
        <f>L147*3232.0676</f>
        <v>121267.17635199998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16030.55355200001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2844.7224000000019</v>
      </c>
      <c r="O175" s="103">
        <f>O173+O174</f>
        <v>137297.72990399998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-18276.367199999997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-1824111.5515771804</v>
      </c>
      <c r="E180" s="101">
        <f>E141</f>
        <v>-16588.122675599992</v>
      </c>
      <c r="F180" s="101"/>
      <c r="G180" s="101">
        <f>G141</f>
        <v>0</v>
      </c>
      <c r="H180" s="101">
        <f>H141</f>
        <v>-34671.203844360018</v>
      </c>
      <c r="I180" s="101">
        <f>I141</f>
        <v>-1875370.88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8835.5300000000007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298.83999999999997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619.61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8684.17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477.94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592.26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10088436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2182050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0.98778357939999994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2.12E-2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2.06E-2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8835.5300000000007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-151.36000000000058</v>
      </c>
      <c r="J57" s="190">
        <f>SUM(E57:I57)</f>
        <v>8684.17</v>
      </c>
      <c r="K57" s="190">
        <f>IF((+L57-J57)&gt;0,(L57-J57),0)</f>
        <v>0</v>
      </c>
      <c r="L57" s="192">
        <f>I15</f>
        <v>8684.17</v>
      </c>
      <c r="M57" s="102"/>
      <c r="N57" s="102"/>
      <c r="O57" s="102">
        <f>E57+H57+G57</f>
        <v>8835.5300000000007</v>
      </c>
      <c r="P57" s="108">
        <f>L57-E57</f>
        <v>-151.36000000000058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298.83999999999997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179.10000000000002</v>
      </c>
      <c r="J58" s="190">
        <f>E58+H58+G58+I58</f>
        <v>477.94</v>
      </c>
      <c r="K58" s="190">
        <f>IF((+L58-J58)&gt;0,(L58-J58),0)</f>
        <v>0</v>
      </c>
      <c r="L58" s="192">
        <f>I16</f>
        <v>477.94</v>
      </c>
      <c r="M58" s="102"/>
      <c r="N58" s="102"/>
      <c r="O58" s="102">
        <f>IF(E59=0,J58+J59,J58)</f>
        <v>477.94</v>
      </c>
      <c r="P58" s="108">
        <f>L58+L59-E58</f>
        <v>771.36000000000013</v>
      </c>
      <c r="Q58" s="1">
        <f>L59*466-(P58)*487.11</f>
        <v>-99744.009600000107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619.61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-27.350000000000023</v>
      </c>
      <c r="J59" s="190">
        <f>E59+H59+G59+I59</f>
        <v>592.26</v>
      </c>
      <c r="K59" s="190">
        <f>IF((+L59-J59)&gt;0,(L59-J59),0)</f>
        <v>0</v>
      </c>
      <c r="L59" s="192">
        <f>I17</f>
        <v>592.26</v>
      </c>
      <c r="M59" s="102"/>
      <c r="N59" s="102"/>
      <c r="O59" s="102">
        <f>IF(E59=0,L58+L59,L59)</f>
        <v>592.26</v>
      </c>
      <c r="P59" s="108">
        <f>L59-E59</f>
        <v>-27.350000000000023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9753.9800000000014</v>
      </c>
      <c r="F61" s="190"/>
      <c r="G61" s="190">
        <f>SUM(G57:G60)</f>
        <v>0</v>
      </c>
      <c r="H61" s="190">
        <f>SUM(H57:H60)</f>
        <v>0</v>
      </c>
      <c r="I61" s="190">
        <f>SUM(I57:I59)</f>
        <v>0.38999999999941792</v>
      </c>
      <c r="J61" s="190">
        <f>SUM(J57:J60)</f>
        <v>9754.3700000000008</v>
      </c>
      <c r="K61" s="190">
        <f>SUM(K57:K60)</f>
        <v>0</v>
      </c>
      <c r="L61" s="192">
        <f>SUM(L57:L60)</f>
        <v>9754.3700000000008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288495.76860000001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46936.931400000001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45051581.743259132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522659</v>
      </c>
      <c r="M66" s="163"/>
      <c r="N66" s="163"/>
      <c r="O66" s="152">
        <f>L66/487.11</f>
        <v>1072.9794091683602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2417382</v>
      </c>
      <c r="M67" s="163"/>
      <c r="N67" s="163"/>
      <c r="O67" s="13"/>
      <c r="P67" s="139">
        <f>I57*D57</f>
        <v>-714963.68036544276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45051581.743259132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508721.36493150011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41314081.463313781</v>
      </c>
      <c r="F69" s="202"/>
      <c r="G69" s="176"/>
      <c r="H69" s="174" t="s">
        <v>27</v>
      </c>
      <c r="I69" s="175"/>
      <c r="J69" s="175"/>
      <c r="K69" s="175"/>
      <c r="L69" s="203">
        <f>SUM(L65:L67)</f>
        <v>2940041</v>
      </c>
      <c r="M69" s="165"/>
      <c r="N69" s="165"/>
      <c r="O69" s="155"/>
      <c r="P69" s="138">
        <f>IF(AND(E59=0,L71&gt;0),(I59+L147)*D58,IF(AND(E59&gt;0,L71&gt;0),I59*D59,0))</f>
        <v>-129190.38489690011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840263.99547212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-335432.70033084275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2897236.2844732301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335432.7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-332045.83038511273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54179605.162385337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50390151.912874021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10088436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513979.54951131507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50904131.462385334</v>
      </c>
      <c r="G79" s="176" t="s">
        <v>29</v>
      </c>
      <c r="H79" s="175" t="s">
        <v>14</v>
      </c>
      <c r="I79" s="175"/>
      <c r="J79" s="175"/>
      <c r="K79" s="175"/>
      <c r="L79" s="213">
        <f>I23</f>
        <v>2182050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32688946.317779705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8558292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53517724.317779705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0.98778357939999994</v>
      </c>
      <c r="K84" s="175"/>
      <c r="L84" s="210">
        <f>+(1-J84)*L73</f>
        <v>661880.84460563352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54179605.162385337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32688946.317779705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2.12E-2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2.06E-2</v>
      </c>
      <c r="F92" s="175"/>
      <c r="G92" s="176"/>
      <c r="H92" s="174" t="s">
        <v>70</v>
      </c>
      <c r="I92" s="175"/>
      <c r="J92" s="175"/>
      <c r="K92" s="175"/>
      <c r="L92" s="210">
        <f>+L88-L91</f>
        <v>32688946.317779705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937528.82538928697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-714963.68036544276</v>
      </c>
      <c r="E141" s="101">
        <f>(L58-E58)*D58</f>
        <v>508721.36493150011</v>
      </c>
      <c r="F141" s="101">
        <f>ROUND(D141+E141,0)</f>
        <v>-206242</v>
      </c>
      <c r="G141" s="145">
        <f>IF(E59&gt;0,0,O168)</f>
        <v>0</v>
      </c>
      <c r="H141" s="101">
        <f>(L59-E59)*D59</f>
        <v>-129190.38489690011</v>
      </c>
      <c r="I141" s="101">
        <f>ROUND(D141+E141+H141,2)</f>
        <v>-335432.7</v>
      </c>
      <c r="J141" s="113">
        <f>I144+I145+I150+I151+I162+I163+I156+I157+I168</f>
        <v>0</v>
      </c>
      <c r="K141" s="113"/>
      <c r="O141" s="146">
        <f>F141+G141</f>
        <v>-206242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1070.2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592.2600000000001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1070.2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771.36000000000013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1682274.2355909005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592.2600000000001</v>
      </c>
      <c r="M171" s="103"/>
      <c r="N171" s="103"/>
      <c r="O171" s="115">
        <f>O167*D58+L147*D59+O167*487.11</f>
        <v>2797597.7096540406</v>
      </c>
    </row>
    <row r="172" spans="1:16">
      <c r="A172" s="23"/>
      <c r="B172" s="2" t="s">
        <v>247</v>
      </c>
      <c r="D172" s="8">
        <f>IF(I141&lt;0,D141/D57,0)</f>
        <v>-151.36000000000058</v>
      </c>
      <c r="E172" s="8">
        <f>IF(I141&lt;0,E141/D58,0)</f>
        <v>179.10000000000002</v>
      </c>
      <c r="F172" s="8"/>
      <c r="G172" s="8"/>
      <c r="H172" s="8">
        <f>IF(I141&lt;0,H141/D59,0)</f>
        <v>-27.350000000000023</v>
      </c>
      <c r="I172" s="137">
        <f>IF(AND(E59=0,L71&gt;0),-D172*D57-E172*D58-(H172+L147)*D58,IF(AND(E59&gt;0,L71&gt;0),-D172*D57-E172*D58-H172*D59,0))</f>
        <v>335432.70033084275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1914224.3567760002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1914224.3567760002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-288495.76860000007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-714963.68036544276</v>
      </c>
      <c r="E180" s="101">
        <f>E141</f>
        <v>508721.36493150011</v>
      </c>
      <c r="F180" s="101"/>
      <c r="G180" s="101">
        <f>G141</f>
        <v>0</v>
      </c>
      <c r="H180" s="101">
        <f>H141</f>
        <v>-129190.38489690011</v>
      </c>
      <c r="I180" s="101">
        <f>I141</f>
        <v>-335432.7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9909.7199999999993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736.46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10342.5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641.33000000000004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8695985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8692600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260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4685.1854430000003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4685.1854430000003</v>
      </c>
      <c r="D57" s="189">
        <v>4723.5972540000002</v>
      </c>
      <c r="E57" s="190">
        <f>I10</f>
        <v>9909.7199999999993</v>
      </c>
      <c r="F57" s="190"/>
      <c r="G57" s="191">
        <f>D169</f>
        <v>432.78000000000065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10342.5</v>
      </c>
      <c r="K57" s="190">
        <f>IF((+L57-J57)&gt;0,(L57-J57),0)</f>
        <v>0</v>
      </c>
      <c r="L57" s="192">
        <f>I15</f>
        <v>10342.5</v>
      </c>
      <c r="M57" s="102"/>
      <c r="N57" s="102"/>
      <c r="O57" s="102">
        <f>E57+H57+G57</f>
        <v>10342.5</v>
      </c>
      <c r="P57" s="108">
        <f>L57-E57</f>
        <v>432.78000000000065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736.46</v>
      </c>
      <c r="F58" s="190"/>
      <c r="G58" s="191">
        <f>E169</f>
        <v>-95.13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641.33000000000004</v>
      </c>
      <c r="K58" s="190">
        <f>IF((+L58-J58)&gt;0,(L58-J58),0)</f>
        <v>0</v>
      </c>
      <c r="L58" s="192">
        <f>I16</f>
        <v>641.33000000000004</v>
      </c>
      <c r="M58" s="102"/>
      <c r="N58" s="102"/>
      <c r="O58" s="102">
        <f>IF(E59=0,J58+J59,J58)</f>
        <v>641.33000000000004</v>
      </c>
      <c r="P58" s="108">
        <f>L58+L59-E58</f>
        <v>-95.13</v>
      </c>
      <c r="Q58" s="1">
        <f>L59*466-(P58)*487.11</f>
        <v>46338.774299999997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641.33000000000004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10646.18</v>
      </c>
      <c r="F61" s="190"/>
      <c r="G61" s="190">
        <f>SUM(G57:G60)</f>
        <v>337.65000000000066</v>
      </c>
      <c r="H61" s="190">
        <f>SUM(H57:H60)</f>
        <v>0</v>
      </c>
      <c r="I61" s="190">
        <f>SUM(I57:I59)</f>
        <v>0</v>
      </c>
      <c r="J61" s="190">
        <f>SUM(J57:J60)</f>
        <v>10983.83</v>
      </c>
      <c r="K61" s="190">
        <f>SUM(K57:K60)</f>
        <v>0</v>
      </c>
      <c r="L61" s="192">
        <f>SUM(L57:L60)</f>
        <v>10983.83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48499618.834616743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586288</v>
      </c>
      <c r="M66" s="163"/>
      <c r="N66" s="163"/>
      <c r="O66" s="152">
        <f>L66/487.11</f>
        <v>1203.6049352302355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2678561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48499618.834616743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46428875.88820596</v>
      </c>
      <c r="F69" s="202"/>
      <c r="G69" s="176"/>
      <c r="H69" s="174" t="s">
        <v>27</v>
      </c>
      <c r="I69" s="175"/>
      <c r="J69" s="175"/>
      <c r="K69" s="175"/>
      <c r="L69" s="203">
        <f>SUM(L65:L67)</f>
        <v>3264849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2070742.9464107801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59761688.356685504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54170234.834616743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v>86959185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552536.39531309076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-36988480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54722771.229929835</v>
      </c>
      <c r="G79" s="176" t="s">
        <v>29</v>
      </c>
      <c r="H79" s="175" t="s">
        <v>14</v>
      </c>
      <c r="I79" s="175"/>
      <c r="J79" s="175"/>
      <c r="K79" s="175"/>
      <c r="L79" s="213">
        <f>I23</f>
        <v>8692600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0.35668550431728363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1098383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2044278.4195861232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59761688.356685504</v>
      </c>
      <c r="M83" s="86"/>
      <c r="N83" s="86"/>
      <c r="O83" s="107">
        <f>G58*D58</f>
        <v>-270210.29283044999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59761688.356685504</v>
      </c>
      <c r="M85" s="86"/>
      <c r="N85" s="86"/>
      <c r="O85" s="107">
        <f>SUM(O82:O84)</f>
        <v>1774068.1267556732</v>
      </c>
      <c r="P85" s="103">
        <f>I168+G174</f>
        <v>1774068.1267556732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0.35668550431728363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0.35668550431728363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489013.90704852785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1774068.1267556732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2044278.4195861232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-270210.29283044999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1774068.1267556732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2044278.4195861232</v>
      </c>
      <c r="E141" s="101">
        <f>(L58-E58)*D58</f>
        <v>-270210.29283044999</v>
      </c>
      <c r="F141" s="101">
        <f>ROUND(D141+E141,0)</f>
        <v>1774068</v>
      </c>
      <c r="G141" s="145">
        <f>IF(E59&gt;0,0,O168)</f>
        <v>0</v>
      </c>
      <c r="H141" s="101">
        <f>(L59-E59)*D59</f>
        <v>0</v>
      </c>
      <c r="I141" s="101">
        <f>ROUND(D141+E141+H141,2)</f>
        <v>1774068.13</v>
      </c>
      <c r="J141" s="113">
        <f>I144+I145+I150+I151+I162+I163+I156+I157+I168</f>
        <v>1774068.1267556732</v>
      </c>
      <c r="K141" s="113"/>
      <c r="O141" s="146">
        <f>F141+G141</f>
        <v>1774068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641.33000000000004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641.33000000000004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-95.13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2044278.4195861232</v>
      </c>
      <c r="E168" s="134">
        <f>IF(I141&lt;0,0,IF(AND(E59=0,I141&gt;=0),E141-E144-E145-E150-E151,IF(AND(E59&gt;0,I141&gt;=0),E141-E156-E157-E162-E163,0)))</f>
        <v>-270210.29283044999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1774068.1267556732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432.78000000000065</v>
      </c>
      <c r="E169" s="8">
        <f>IF(E168=0,0,IF(I141&lt;0,0,L58-H58-E58))</f>
        <v>-95.13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1774068.1267556732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-95.13</v>
      </c>
      <c r="F171" s="101"/>
      <c r="G171" s="101"/>
      <c r="H171" s="101"/>
      <c r="I171" s="136" t="s">
        <v>283</v>
      </c>
      <c r="J171" s="103">
        <f>I144+I145+I168</f>
        <v>1774068.1267556732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1774068.1267556732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2044278.4195861232</v>
      </c>
      <c r="E177" s="107">
        <f>E144+E145+E150+E151+E162+E163+E156+E157+E168</f>
        <v>-270210.29283044999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2044278.4195861232</v>
      </c>
      <c r="E180" s="101">
        <f>E141</f>
        <v>-270210.29283044999</v>
      </c>
      <c r="F180" s="101"/>
      <c r="G180" s="101">
        <f>G141</f>
        <v>0</v>
      </c>
      <c r="H180" s="101">
        <f>H141</f>
        <v>0</v>
      </c>
      <c r="I180" s="101">
        <f>I141</f>
        <v>1774068.13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5983.87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396.78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128.13999999999999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5972.98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385.56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120.24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17674865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2590455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1385766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0.98778357939999994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5983.87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-10.890000000000327</v>
      </c>
      <c r="J57" s="190">
        <f>SUM(E57:I57)</f>
        <v>5972.98</v>
      </c>
      <c r="K57" s="190">
        <f>IF((+L57-J57)&gt;0,(L57-J57),0)</f>
        <v>0</v>
      </c>
      <c r="L57" s="192">
        <f>I15</f>
        <v>5972.98</v>
      </c>
      <c r="M57" s="102"/>
      <c r="N57" s="102"/>
      <c r="O57" s="102">
        <f>E57+H57+G57</f>
        <v>5983.87</v>
      </c>
      <c r="P57" s="108">
        <f>L57-E57</f>
        <v>-10.890000000000327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396.78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-11.21999999999997</v>
      </c>
      <c r="J58" s="190">
        <f>E58+H58+G58+I58</f>
        <v>385.56</v>
      </c>
      <c r="K58" s="190">
        <f>IF((+L58-J58)&gt;0,(L58-J58),0)</f>
        <v>0</v>
      </c>
      <c r="L58" s="192">
        <f>I16</f>
        <v>385.56</v>
      </c>
      <c r="M58" s="102"/>
      <c r="N58" s="102"/>
      <c r="O58" s="102">
        <f>IF(E59=0,J58+J59,J58)</f>
        <v>385.56</v>
      </c>
      <c r="P58" s="108">
        <f>L58+L59-E58</f>
        <v>109.02000000000004</v>
      </c>
      <c r="Q58" s="1">
        <f>L59*466-(P58)*487.11</f>
        <v>2927.1077999999761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128.13999999999999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-7.8999999999999915</v>
      </c>
      <c r="J59" s="190">
        <f>E59+H59+G59+I59</f>
        <v>120.24</v>
      </c>
      <c r="K59" s="190">
        <f>IF((+L59-J59)&gt;0,(L59-J59),0)</f>
        <v>0</v>
      </c>
      <c r="L59" s="192">
        <f>I17</f>
        <v>120.24</v>
      </c>
      <c r="M59" s="102"/>
      <c r="N59" s="102"/>
      <c r="O59" s="102">
        <f>IF(E59=0,L58+L59,L59)</f>
        <v>120.24</v>
      </c>
      <c r="P59" s="108">
        <f>L59-E59</f>
        <v>-7.8999999999999915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6508.79</v>
      </c>
      <c r="F61" s="190"/>
      <c r="G61" s="190">
        <f>SUM(G57:G60)</f>
        <v>0</v>
      </c>
      <c r="H61" s="190">
        <f>SUM(H57:H60)</f>
        <v>0</v>
      </c>
      <c r="I61" s="190">
        <f>SUM(I57:I59)</f>
        <v>-30.010000000000289</v>
      </c>
      <c r="J61" s="190">
        <f>SUM(J57:J60)</f>
        <v>6478.78</v>
      </c>
      <c r="K61" s="190">
        <f>SUM(K57:K60)</f>
        <v>0</v>
      </c>
      <c r="L61" s="192">
        <f>SUM(L57:L60)</f>
        <v>6478.78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58570.106399999997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3685901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62055.933599999997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29694813.051581178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345662</v>
      </c>
      <c r="M66" s="163"/>
      <c r="N66" s="163"/>
      <c r="O66" s="152">
        <f>L66/487.11</f>
        <v>709.61795077087311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1595665</v>
      </c>
      <c r="M67" s="163"/>
      <c r="N67" s="163"/>
      <c r="O67" s="13"/>
      <c r="P67" s="139">
        <f>I57*D57</f>
        <v>-51439.974096061553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29694813.051581178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-31869.64664729992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27979995.840190619</v>
      </c>
      <c r="F69" s="202"/>
      <c r="G69" s="176"/>
      <c r="H69" s="174" t="s">
        <v>27</v>
      </c>
      <c r="I69" s="175"/>
      <c r="J69" s="175"/>
      <c r="K69" s="175"/>
      <c r="L69" s="203">
        <f>SUM(L65:L67)</f>
        <v>1941327</v>
      </c>
      <c r="M69" s="165"/>
      <c r="N69" s="165"/>
      <c r="O69" s="155"/>
      <c r="P69" s="138">
        <f>IF(AND(E59=0,L71&gt;0),(I59+L147)*D58,IF(AND(E59&gt;0,L71&gt;0),I59*D59,0))</f>
        <v>-37316.41830659996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1115646.9954605401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-120626.03904996143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599170.21593001997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120626.04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-119408.0764763014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35662524.336050943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33261305.975104876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17674865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339265.32094606978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33600571.296050943</v>
      </c>
      <c r="G79" s="176" t="s">
        <v>29</v>
      </c>
      <c r="H79" s="175" t="s">
        <v>14</v>
      </c>
      <c r="I79" s="175"/>
      <c r="J79" s="175"/>
      <c r="K79" s="175"/>
      <c r="L79" s="213">
        <f>I23</f>
        <v>2590455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9518195.9391040057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5443340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35226855.939104006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0.98778357939999994</v>
      </c>
      <c r="K84" s="175"/>
      <c r="L84" s="210">
        <f>+(1-J84)*L73</f>
        <v>435668.39694693603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35662524.336050943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9518195.9391040057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9518195.9391040057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299977.00247493241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123171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1262595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1385766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283531</v>
      </c>
      <c r="I127" s="169"/>
      <c r="J127" s="251">
        <f>H118+H127</f>
        <v>283531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3685901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1385766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-51439.974096061553</v>
      </c>
      <c r="E141" s="101">
        <f>(L58-E58)*D58</f>
        <v>-31869.64664729992</v>
      </c>
      <c r="F141" s="101">
        <f>ROUND(D141+E141,0)</f>
        <v>-83310</v>
      </c>
      <c r="G141" s="145">
        <f>IF(E59&gt;0,0,O168)</f>
        <v>0</v>
      </c>
      <c r="H141" s="101">
        <f>(L59-E59)*D59</f>
        <v>-37316.41830659996</v>
      </c>
      <c r="I141" s="101">
        <f>ROUND(D141+E141+H141,2)</f>
        <v>-120626.04</v>
      </c>
      <c r="J141" s="113">
        <f>I144+I145+I150+I151+I162+I163+I156+I157+I168</f>
        <v>0</v>
      </c>
      <c r="K141" s="113"/>
      <c r="O141" s="146">
        <f>F141+G141</f>
        <v>-83310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505.8</v>
      </c>
      <c r="M145" s="81"/>
      <c r="N145" s="81"/>
      <c r="O145" s="104">
        <f>D138/(D141+O168)*D141</f>
        <v>-276054.08319367841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109.02000000000004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505.8</v>
      </c>
      <c r="M151" s="81"/>
      <c r="N151" s="81"/>
      <c r="O151" s="104">
        <f>D138/(D141+O168)*D141</f>
        <v>-276054.08319367841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109.02000000000004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590948.41497907776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11.219999999999956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309663.89282430016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120.24</v>
      </c>
      <c r="M171" s="103"/>
      <c r="N171" s="103"/>
      <c r="O171" s="115">
        <f>O167*D58+L147*D59+O167*487.11</f>
        <v>552301.59347838012</v>
      </c>
    </row>
    <row r="172" spans="1:16">
      <c r="A172" s="23"/>
      <c r="B172" s="2" t="s">
        <v>247</v>
      </c>
      <c r="D172" s="8">
        <f>IF(I141&lt;0,D141/D57,0)</f>
        <v>-10.890000000000327</v>
      </c>
      <c r="E172" s="8">
        <f>IF(I141&lt;0,E141/D58,0)</f>
        <v>-11.21999999999997</v>
      </c>
      <c r="F172" s="8"/>
      <c r="G172" s="8"/>
      <c r="H172" s="8">
        <f>IF(I141&lt;0,H141/D59,0)</f>
        <v>-7.8999999999999915</v>
      </c>
      <c r="I172" s="137">
        <f>IF(AND(E59=0,L71&gt;0),-D172*D57-E172*D58-(H172+L147)*D58,IF(AND(E59&gt;0,L71&gt;0),-D172*D57-E172*D58-H172*D59,0))</f>
        <v>120626.03904996143</v>
      </c>
      <c r="J172" s="103"/>
      <c r="K172" s="103"/>
      <c r="L172" s="119">
        <f>O167*487.11</f>
        <v>5465.3741999999793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5465.3741999999793</v>
      </c>
      <c r="M173" s="103"/>
      <c r="N173" s="103"/>
      <c r="O173" s="103">
        <f>L147*3232.0676</f>
        <v>352360.0097520001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30798.426515999883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5465.3741999999793</v>
      </c>
      <c r="O175" s="103">
        <f>O173+O174</f>
        <v>383158.43626799999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-53104.73220000002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-51439.974096061553</v>
      </c>
      <c r="E180" s="101">
        <f>E141</f>
        <v>-31869.64664729992</v>
      </c>
      <c r="F180" s="101"/>
      <c r="G180" s="101">
        <f>G141</f>
        <v>0</v>
      </c>
      <c r="H180" s="101">
        <f>H141</f>
        <v>-37316.41830659996</v>
      </c>
      <c r="I180" s="101">
        <f>I141</f>
        <v>-120626.04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24281.386999999999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1802.04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4185.75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25477.89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1323.41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4191.54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31100535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8335231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0.98778355959999997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3.9800000000000002E-2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3.8300000000000001E-2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24281.386999999999</v>
      </c>
      <c r="F57" s="190"/>
      <c r="G57" s="191">
        <f>D169</f>
        <v>1196.5030000000006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25477.89</v>
      </c>
      <c r="K57" s="190">
        <f>IF((+L57-J57)&gt;0,(L57-J57),0)</f>
        <v>0</v>
      </c>
      <c r="L57" s="192">
        <f>I15</f>
        <v>25477.89</v>
      </c>
      <c r="M57" s="102"/>
      <c r="N57" s="102"/>
      <c r="O57" s="102">
        <f>E57+H57+G57</f>
        <v>25477.89</v>
      </c>
      <c r="P57" s="108">
        <f>L57-E57</f>
        <v>1196.5030000000006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1802.04</v>
      </c>
      <c r="F58" s="190"/>
      <c r="G58" s="191">
        <f>E169</f>
        <v>-478.62999999999988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1323.41</v>
      </c>
      <c r="K58" s="190">
        <f>IF((+L58-J58)&gt;0,(L58-J58),0)</f>
        <v>0</v>
      </c>
      <c r="L58" s="192">
        <f>I16</f>
        <v>1323.41</v>
      </c>
      <c r="M58" s="102"/>
      <c r="N58" s="102"/>
      <c r="O58" s="102">
        <f>IF(E59=0,J58+J59,J58)</f>
        <v>1323.41</v>
      </c>
      <c r="P58" s="108">
        <f>L58+L59-E58</f>
        <v>3712.91</v>
      </c>
      <c r="Q58" s="1">
        <f>L59*466-(P58)*487.11</f>
        <v>144662.04989999998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4185.75</v>
      </c>
      <c r="F59" s="190"/>
      <c r="G59" s="191">
        <f>H169</f>
        <v>5.7899999999999636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4191.54</v>
      </c>
      <c r="K59" s="190">
        <f>IF((+L59-J59)&gt;0,(L59-J59),0)</f>
        <v>0</v>
      </c>
      <c r="L59" s="192">
        <f>I17</f>
        <v>4191.54</v>
      </c>
      <c r="M59" s="102"/>
      <c r="N59" s="102"/>
      <c r="O59" s="102">
        <f>IF(E59=0,L58+L59,L59)</f>
        <v>4191.54</v>
      </c>
      <c r="P59" s="108">
        <f>L59-E59</f>
        <v>5.7899999999999636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30269.177</v>
      </c>
      <c r="F61" s="190"/>
      <c r="G61" s="190">
        <f>SUM(G57:G60)</f>
        <v>723.66300000000069</v>
      </c>
      <c r="H61" s="190">
        <f>SUM(H57:H60)</f>
        <v>0</v>
      </c>
      <c r="I61" s="190">
        <f>SUM(I57:I59)</f>
        <v>0</v>
      </c>
      <c r="J61" s="190">
        <f>SUM(J57:J60)</f>
        <v>30992.84</v>
      </c>
      <c r="K61" s="190">
        <f>SUM(K57:K60)</f>
        <v>0</v>
      </c>
      <c r="L61" s="192">
        <f>SUM(L57:L60)</f>
        <v>30992.84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2041741.0494000001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5670617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-2041741.0494000001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138176461.85268402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1664910</v>
      </c>
      <c r="M66" s="163"/>
      <c r="N66" s="163"/>
      <c r="O66" s="152">
        <f>L66/487.11</f>
        <v>3417.9343474779821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7105954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138176461.85268402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113537410.94877705</v>
      </c>
      <c r="F69" s="202"/>
      <c r="G69" s="176"/>
      <c r="H69" s="174" t="s">
        <v>27</v>
      </c>
      <c r="I69" s="175"/>
      <c r="J69" s="175"/>
      <c r="K69" s="175"/>
      <c r="L69" s="203">
        <f>SUM(L65:L67)</f>
        <v>8770864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5066889.74166972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19572161.162237249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158404815.01887685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143847078.85268402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31100535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1467240.204297377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145314319.05698138</v>
      </c>
      <c r="G79" s="176" t="s">
        <v>29</v>
      </c>
      <c r="H79" s="175" t="s">
        <v>14</v>
      </c>
      <c r="I79" s="175"/>
      <c r="J79" s="175"/>
      <c r="K79" s="175"/>
      <c r="L79" s="213">
        <f>I23</f>
        <v>8335231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92333910.037125707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24699996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5651798.2852027649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156469672.03712571</v>
      </c>
      <c r="M83" s="86"/>
      <c r="N83" s="86"/>
      <c r="O83" s="107">
        <f>G58*D58</f>
        <v>-1359515.9514079497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0.98778355959999997</v>
      </c>
      <c r="K84" s="175"/>
      <c r="L84" s="210">
        <f>+(1-J84)*L73</f>
        <v>1935142.9817511383</v>
      </c>
      <c r="M84" s="65"/>
      <c r="N84" s="65"/>
      <c r="O84" s="143">
        <f>G59*D59</f>
        <v>27349.628100659829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158404815.01887685</v>
      </c>
      <c r="M85" s="86"/>
      <c r="N85" s="86"/>
      <c r="O85" s="107">
        <f>SUM(O82:O84)</f>
        <v>4319631.9618954752</v>
      </c>
      <c r="P85" s="103">
        <f>I168+G174</f>
        <v>4319631.9618954752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92333910.037125707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3.9800000000000002E-2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3.8300000000000001E-2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92333910.037125707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5346138.5215189103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4319631.9618954752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5651798.2852027649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-1359515.9514079497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27349.628100659829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4319631.9618954752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5670617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5651798.2852027649</v>
      </c>
      <c r="E141" s="101">
        <f>(L58-E58)*D58</f>
        <v>-1359515.9514079497</v>
      </c>
      <c r="F141" s="101">
        <f>ROUND(D141+E141,0)</f>
        <v>4292282</v>
      </c>
      <c r="G141" s="145">
        <f>IF(E59&gt;0,0,O168)</f>
        <v>0</v>
      </c>
      <c r="H141" s="101">
        <f>(L59-E59)*D59</f>
        <v>27349.628100659829</v>
      </c>
      <c r="I141" s="101">
        <f>ROUND(D141+E141+H141,2)</f>
        <v>4319631.96</v>
      </c>
      <c r="J141" s="113">
        <f>I144+I145+I150+I151+I162+I163+I156+I157+I168</f>
        <v>4319631.9618954752</v>
      </c>
      <c r="K141" s="113"/>
      <c r="O141" s="146">
        <f>F141+G141</f>
        <v>4292282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5514.95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3712.91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5514.95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3712.91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478.63000000000011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5651798.2852027649</v>
      </c>
      <c r="E168" s="134">
        <f>IF(I141&lt;0,0,IF(AND(E59=0,I141&gt;=0),E141-E144-E145-E150-E151,IF(AND(E59&gt;0,I141&gt;=0),E141-E156-E157-E162-E163,0)))</f>
        <v>-1359515.9514079497</v>
      </c>
      <c r="F168" s="134"/>
      <c r="G168" s="134"/>
      <c r="H168" s="134">
        <f>IF(I141&lt;0,0,IF(AND(E59=0,I141&gt;=0),H141-H144-H145-H150-H151,IF(AND(E59&gt;0,I141&gt;=0),H141-H156-H157-H162-H163,0)))</f>
        <v>27349.628100659829</v>
      </c>
      <c r="I168" s="101">
        <f>IF(I141&gt;0,D168+E168+H168,0)</f>
        <v>4319631.9618954752</v>
      </c>
      <c r="L168" s="111"/>
      <c r="M168" s="111"/>
      <c r="N168" s="111"/>
      <c r="O168" s="113">
        <f>L147*D58</f>
        <v>10546268.24716815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1196.5030000000006</v>
      </c>
      <c r="E169" s="8">
        <f>IF(E168=0,0,IF(I141&lt;0,0,L58-H58-E58))</f>
        <v>-478.62999999999988</v>
      </c>
      <c r="F169" s="8"/>
      <c r="G169" s="8"/>
      <c r="H169" s="8">
        <f>IF(AND(E59=0,H141-I145=0),0,IF(I141&lt;0,0,IF(E59=0,(H168)/D59,IF(E59&gt;0,(H141-H156-H157-H162-H163)/D59,0))))</f>
        <v>5.7899999999999636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4319631.9618954752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-478.62999999999982</v>
      </c>
      <c r="F171" s="101"/>
      <c r="G171" s="101"/>
      <c r="H171" s="101"/>
      <c r="I171" s="136" t="s">
        <v>283</v>
      </c>
      <c r="J171" s="103">
        <f>I144+I145+I168</f>
        <v>4319631.9618954752</v>
      </c>
      <c r="K171" s="103"/>
      <c r="L171" s="103">
        <f>L147+O167</f>
        <v>4191.54</v>
      </c>
      <c r="M171" s="103"/>
      <c r="N171" s="103"/>
      <c r="O171" s="115">
        <f>O167*D58+L147*D59+O167*487.11</f>
        <v>19130952.891057089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233145.45930000005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4552777.4211954754</v>
      </c>
      <c r="M173" s="103"/>
      <c r="N173" s="103"/>
      <c r="O173" s="103">
        <f>L147*3232.0676</f>
        <v>12000376.112715999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1313819.1518140004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233145.45930000005</v>
      </c>
      <c r="O175" s="103">
        <f>O173+O174</f>
        <v>13314195.264529999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5651798.2852027649</v>
      </c>
      <c r="E177" s="107">
        <f>E144+E145+E150+E151+E162+E163+E156+E157+E168</f>
        <v>-1359515.9514079497</v>
      </c>
      <c r="F177" s="107"/>
      <c r="G177" s="107"/>
      <c r="H177" s="107">
        <f>H144+H145+H156+H157+H168</f>
        <v>27349.628100659829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-1805775.2231999999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2820.3668999999823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5651798.2852027649</v>
      </c>
      <c r="E180" s="101">
        <f>E141</f>
        <v>-1359515.9514079497</v>
      </c>
      <c r="F180" s="101"/>
      <c r="G180" s="101">
        <f>G141</f>
        <v>0</v>
      </c>
      <c r="H180" s="101">
        <f>H141</f>
        <v>27349.628100659829</v>
      </c>
      <c r="I180" s="101">
        <f>I141</f>
        <v>4319631.96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9990.732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509.32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141.97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11196.28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421.06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230.76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23414539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3085040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0.98778356280000001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0.11559999999999999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0.11020000000000001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9990.732</v>
      </c>
      <c r="F57" s="190"/>
      <c r="G57" s="191">
        <f>D169</f>
        <v>1205.5480000000007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11196.28</v>
      </c>
      <c r="K57" s="190">
        <f>IF((+L57-J57)&gt;0,(L57-J57),0)</f>
        <v>0</v>
      </c>
      <c r="L57" s="192">
        <f>I15</f>
        <v>11196.28</v>
      </c>
      <c r="M57" s="102"/>
      <c r="N57" s="102"/>
      <c r="O57" s="102">
        <f>E57+H57+G57</f>
        <v>11196.28</v>
      </c>
      <c r="P57" s="108">
        <f>L57-E57</f>
        <v>1205.5480000000007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509.32</v>
      </c>
      <c r="F58" s="190"/>
      <c r="G58" s="191">
        <f>E169</f>
        <v>-88.259999999999991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421.06</v>
      </c>
      <c r="K58" s="190">
        <f>IF((+L58-J58)&gt;0,(L58-J58),0)</f>
        <v>0</v>
      </c>
      <c r="L58" s="192">
        <f>I16</f>
        <v>421.06</v>
      </c>
      <c r="M58" s="102"/>
      <c r="N58" s="102"/>
      <c r="O58" s="102">
        <f>IF(E59=0,J58+J59,J58)</f>
        <v>421.06</v>
      </c>
      <c r="P58" s="108">
        <f>L58+L59-E58</f>
        <v>142.49999999999994</v>
      </c>
      <c r="Q58" s="1">
        <f>L59*466-(P58)*487.11</f>
        <v>38120.985000000015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141.97</v>
      </c>
      <c r="F59" s="190"/>
      <c r="G59" s="191">
        <f>H169</f>
        <v>88.789999999999992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230.76</v>
      </c>
      <c r="K59" s="190">
        <f>IF((+L59-J59)&gt;0,(L59-J59),0)</f>
        <v>0</v>
      </c>
      <c r="L59" s="192">
        <f>I17</f>
        <v>230.76</v>
      </c>
      <c r="M59" s="102"/>
      <c r="N59" s="102"/>
      <c r="O59" s="102">
        <f>IF(E59=0,L58+L59,L59)</f>
        <v>230.76</v>
      </c>
      <c r="P59" s="108">
        <f>L59-E59</f>
        <v>88.789999999999992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10642.021999999999</v>
      </c>
      <c r="F61" s="190"/>
      <c r="G61" s="190">
        <f>SUM(G57:G60)</f>
        <v>1206.0780000000007</v>
      </c>
      <c r="H61" s="190">
        <f>SUM(H57:H60)</f>
        <v>0</v>
      </c>
      <c r="I61" s="190">
        <f>SUM(I57:I59)</f>
        <v>0</v>
      </c>
      <c r="J61" s="190">
        <f>SUM(J57:J60)</f>
        <v>11848.1</v>
      </c>
      <c r="K61" s="190">
        <f>SUM(K57:K60)</f>
        <v>0</v>
      </c>
      <c r="L61" s="192">
        <f>SUM(L57:L60)</f>
        <v>11848.1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112405.5036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-112405.5036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48811613.521776505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638319</v>
      </c>
      <c r="M66" s="163"/>
      <c r="N66" s="163"/>
      <c r="O66" s="152">
        <f>L66/487.11</f>
        <v>1310.4206442076738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2892131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48811613.521776505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46715693.990755029</v>
      </c>
      <c r="F69" s="202"/>
      <c r="G69" s="176"/>
      <c r="H69" s="174" t="s">
        <v>27</v>
      </c>
      <c r="I69" s="175"/>
      <c r="J69" s="175"/>
      <c r="K69" s="175"/>
      <c r="L69" s="203">
        <f>SUM(L65:L67)</f>
        <v>3530450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1432081.5760067601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663837.95501471008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64431633.160215579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54482229.521776505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23414539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555718.74112212041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55037948.262898624</v>
      </c>
      <c r="G79" s="176" t="s">
        <v>29</v>
      </c>
      <c r="H79" s="175" t="s">
        <v>14</v>
      </c>
      <c r="I79" s="175"/>
      <c r="J79" s="175"/>
      <c r="K79" s="175"/>
      <c r="L79" s="213">
        <f>I23</f>
        <v>3085040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27047876.16002037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10097053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5694523.2223651959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63644508.160020366</v>
      </c>
      <c r="M83" s="86"/>
      <c r="N83" s="86"/>
      <c r="O83" s="107">
        <f>G58*D58</f>
        <v>-250696.52523090001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0.98778356280000001</v>
      </c>
      <c r="K84" s="175"/>
      <c r="L84" s="210">
        <f>+(1-J84)*L73</f>
        <v>787125.00019521022</v>
      </c>
      <c r="M84" s="65"/>
      <c r="N84" s="65"/>
      <c r="O84" s="143">
        <f>G59*D59</f>
        <v>419408.20018265996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64431633.160215579</v>
      </c>
      <c r="M85" s="86"/>
      <c r="N85" s="86"/>
      <c r="O85" s="107">
        <f>SUM(O82:O84)</f>
        <v>5863234.897316955</v>
      </c>
      <c r="P85" s="103">
        <f>I168+G174</f>
        <v>5863234.897316955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27047876.16002037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0.11559999999999999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0.11020000000000001</v>
      </c>
      <c r="F92" s="175"/>
      <c r="G92" s="176"/>
      <c r="H92" s="174" t="s">
        <v>70</v>
      </c>
      <c r="I92" s="175"/>
      <c r="J92" s="175"/>
      <c r="K92" s="175"/>
      <c r="L92" s="210">
        <f>+L88-L91</f>
        <v>27047876.16002037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5433906.0350637957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5863234.897316955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5694523.2223651959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-250696.52523090001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419408.20018265996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5863234.897316955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5694523.2223651959</v>
      </c>
      <c r="E141" s="101">
        <f>(L58-E58)*D58</f>
        <v>-250696.52523090001</v>
      </c>
      <c r="F141" s="101">
        <f>ROUND(D141+E141,0)</f>
        <v>5443827</v>
      </c>
      <c r="G141" s="145">
        <f>IF(E59&gt;0,0,O168)</f>
        <v>0</v>
      </c>
      <c r="H141" s="101">
        <f>(L59-E59)*D59</f>
        <v>419408.20018265996</v>
      </c>
      <c r="I141" s="101">
        <f>ROUND(D141+E141+H141,2)</f>
        <v>5863234.9000000004</v>
      </c>
      <c r="J141" s="113">
        <f>I144+I145+I150+I151+I162+I163+I156+I157+I168</f>
        <v>5863234.897316955</v>
      </c>
      <c r="K141" s="113"/>
      <c r="O141" s="146">
        <f>F141+G141</f>
        <v>5443827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651.81999999999994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142.49999999999994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651.81999999999994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142.49999999999994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88.260000000000048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5694523.2223651959</v>
      </c>
      <c r="E168" s="134">
        <f>IF(I141&lt;0,0,IF(AND(E59=0,I141&gt;=0),E141-E144-E145-E150-E151,IF(AND(E59&gt;0,I141&gt;=0),E141-E156-E157-E162-E163,0)))</f>
        <v>-250696.52523090001</v>
      </c>
      <c r="F168" s="134"/>
      <c r="G168" s="134"/>
      <c r="H168" s="134">
        <f>IF(I141&lt;0,0,IF(AND(E59=0,I141&gt;=0),H141-H144-H145-H150-H151,IF(AND(E59&gt;0,I141&gt;=0),H141-H156-H157-H162-H163,0)))</f>
        <v>419408.20018265996</v>
      </c>
      <c r="I168" s="101">
        <f>IF(I141&gt;0,D168+E168+H168,0)</f>
        <v>5863234.897316955</v>
      </c>
      <c r="L168" s="111"/>
      <c r="M168" s="111"/>
      <c r="N168" s="111"/>
      <c r="O168" s="113">
        <f>L147*D58</f>
        <v>404761.55501249986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1205.5480000000007</v>
      </c>
      <c r="E169" s="8">
        <f>IF(E168=0,0,IF(I141&lt;0,0,L58-H58-E58))</f>
        <v>-88.259999999999991</v>
      </c>
      <c r="F169" s="8"/>
      <c r="G169" s="8"/>
      <c r="H169" s="8">
        <f>IF(AND(E59=0,H141-I145=0),0,IF(I141&lt;0,0,IF(E59=0,(H168)/D59,IF(E59&gt;0,(H141-H156-H157-H162-H163)/D59,0))))</f>
        <v>88.789999999999992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5863234.897316955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-88.259999999999991</v>
      </c>
      <c r="F171" s="101"/>
      <c r="G171" s="101"/>
      <c r="H171" s="101"/>
      <c r="I171" s="136" t="s">
        <v>283</v>
      </c>
      <c r="J171" s="103">
        <f>I144+I145+I168</f>
        <v>5863234.897316955</v>
      </c>
      <c r="K171" s="103"/>
      <c r="L171" s="103">
        <f>L147+O167</f>
        <v>230.76</v>
      </c>
      <c r="M171" s="103"/>
      <c r="N171" s="103"/>
      <c r="O171" s="115">
        <f>O167*D58+L147*D59+O167*487.11</f>
        <v>966801.46252589987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42992.328600000023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5906227.2259169547</v>
      </c>
      <c r="M173" s="103"/>
      <c r="N173" s="103"/>
      <c r="O173" s="103">
        <f>L147*3232.0676</f>
        <v>460569.6329999998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242269.97542800015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42992.328600000023</v>
      </c>
      <c r="O175" s="103">
        <f>O173+O174</f>
        <v>702839.60842800001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5694523.2223651959</v>
      </c>
      <c r="E177" s="107">
        <f>E144+E145+E150+E151+E162+E163+E156+E157+E168</f>
        <v>-250696.52523090001</v>
      </c>
      <c r="F177" s="107"/>
      <c r="G177" s="107"/>
      <c r="H177" s="107">
        <f>H144+H145+H156+H157+H168</f>
        <v>419408.20018265996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-26162.678099999976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43250.496899999998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5694523.2223651959</v>
      </c>
      <c r="E180" s="101">
        <f>E141</f>
        <v>-250696.52523090001</v>
      </c>
      <c r="F180" s="101"/>
      <c r="G180" s="101">
        <f>G141</f>
        <v>0</v>
      </c>
      <c r="H180" s="101">
        <f>H141</f>
        <v>419408.20018265996</v>
      </c>
      <c r="I180" s="101">
        <f>I141</f>
        <v>5863234.9000000004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5157.9799999999996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474.64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18.940000000000001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5142.1000000000004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509.86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24087095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2110915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0.98778357169999997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1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1.5699999999999999E-2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1.54E-2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5157.9799999999996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-15.8799999999992</v>
      </c>
      <c r="J57" s="190">
        <f>SUM(E57:I57)</f>
        <v>5142.1000000000004</v>
      </c>
      <c r="K57" s="190">
        <f>IF((+L57-J57)&gt;0,(L57-J57),0)</f>
        <v>0</v>
      </c>
      <c r="L57" s="192">
        <f>I15</f>
        <v>5142.1000000000004</v>
      </c>
      <c r="M57" s="102"/>
      <c r="N57" s="102"/>
      <c r="O57" s="102">
        <f>E57+H57+G57</f>
        <v>5157.9799999999996</v>
      </c>
      <c r="P57" s="108">
        <f>L57-E57</f>
        <v>-15.8799999999992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474.64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35.220000000000027</v>
      </c>
      <c r="J58" s="190">
        <f>E58+H58+G58+I58</f>
        <v>509.86</v>
      </c>
      <c r="K58" s="190">
        <f>IF((+L58-J58)&gt;0,(L58-J58),0)</f>
        <v>0</v>
      </c>
      <c r="L58" s="192">
        <f>I16</f>
        <v>509.86</v>
      </c>
      <c r="M58" s="102"/>
      <c r="N58" s="102"/>
      <c r="O58" s="102">
        <f>IF(E59=0,J58+J59,J58)</f>
        <v>509.86</v>
      </c>
      <c r="P58" s="108">
        <f>L58+L59-E58</f>
        <v>35.220000000000027</v>
      </c>
      <c r="Q58" s="1">
        <f>L59*466-(P58)*487.11</f>
        <v>-17156.014200000012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18.940000000000001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-18.940000000000001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0</v>
      </c>
      <c r="P59" s="108">
        <f>L59-E59</f>
        <v>-18.940000000000001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5651.5599999999995</v>
      </c>
      <c r="F61" s="190"/>
      <c r="G61" s="190">
        <f>SUM(G57:G60)</f>
        <v>0</v>
      </c>
      <c r="H61" s="190">
        <f>SUM(H57:H60)</f>
        <v>0</v>
      </c>
      <c r="I61" s="190">
        <f>SUM(I57:I59)</f>
        <v>0.40000000000082636</v>
      </c>
      <c r="J61" s="190">
        <f>SUM(J57:J60)</f>
        <v>5651.96</v>
      </c>
      <c r="K61" s="190">
        <f>SUM(K57:K60)</f>
        <v>0</v>
      </c>
      <c r="L61" s="192">
        <f>SUM(L57:L60)</f>
        <v>5651.96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64435.64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25541345.907103419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297768</v>
      </c>
      <c r="M66" s="163"/>
      <c r="N66" s="163"/>
      <c r="O66" s="152">
        <f>L66/487.11</f>
        <v>611.2951899981523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1412669</v>
      </c>
      <c r="M67" s="163"/>
      <c r="N67" s="163"/>
      <c r="O67" s="13"/>
      <c r="P67" s="139">
        <f>I57*D57</f>
        <v>-75010.724393516226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25541345.907103419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100040.01380730009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24118214.290047478</v>
      </c>
      <c r="F69" s="202"/>
      <c r="G69" s="176"/>
      <c r="H69" s="174" t="s">
        <v>27</v>
      </c>
      <c r="I69" s="175"/>
      <c r="J69" s="175"/>
      <c r="K69" s="175"/>
      <c r="L69" s="203">
        <f>SUM(L65:L67)</f>
        <v>1710437</v>
      </c>
      <c r="M69" s="165"/>
      <c r="N69" s="165"/>
      <c r="O69" s="155"/>
      <c r="P69" s="138">
        <f>IF(AND(E59=0,L71&gt;0),(I59+L147)*D58,IF(AND(E59&gt;0,L71&gt;0),I59*D59,0))</f>
        <v>-89464.931990760015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1334570.0134215199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-64435.642576976155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88561.603634420011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64435.64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-63785.034971836183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31522224.839427326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29446992.872131582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24087095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300359.32729574217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29747352.199427325</v>
      </c>
      <c r="G79" s="176" t="s">
        <v>29</v>
      </c>
      <c r="H79" s="175" t="s">
        <v>14</v>
      </c>
      <c r="I79" s="175"/>
      <c r="J79" s="175"/>
      <c r="K79" s="175"/>
      <c r="L79" s="213">
        <f>I23</f>
        <v>2110915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-0.16018001787597314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4939126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31137135.839819983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0.98778357169999997</v>
      </c>
      <c r="K84" s="175"/>
      <c r="L84" s="210">
        <f>+(1-J84)*L73</f>
        <v>385088.99960734375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31522224.839427326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-0.16018001787597314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1.5699999999999999E-2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1.54E-2</v>
      </c>
      <c r="F92" s="175"/>
      <c r="G92" s="176"/>
      <c r="H92" s="174" t="s">
        <v>70</v>
      </c>
      <c r="I92" s="175"/>
      <c r="J92" s="175"/>
      <c r="K92" s="175"/>
      <c r="L92" s="210">
        <f>+L88-L91</f>
        <v>-0.16018001787597314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397348.76295029727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1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567062</v>
      </c>
      <c r="E127" s="238">
        <f>E121*E124</f>
        <v>0</v>
      </c>
      <c r="F127" s="238">
        <f>F121*F124</f>
        <v>0</v>
      </c>
      <c r="G127" s="169"/>
      <c r="H127" s="253">
        <f>SUM(B127:F127)</f>
        <v>567062</v>
      </c>
      <c r="I127" s="169"/>
      <c r="J127" s="251">
        <f>H118+H127</f>
        <v>567062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-75010.724393516226</v>
      </c>
      <c r="E141" s="101">
        <f>(L58-E58)*D58</f>
        <v>100040.01380730009</v>
      </c>
      <c r="F141" s="101">
        <f>ROUND(D141+E141,0)</f>
        <v>25029</v>
      </c>
      <c r="G141" s="145">
        <f>IF(E59&gt;0,0,O168)</f>
        <v>0</v>
      </c>
      <c r="H141" s="101">
        <f>(L59-E59)*D59</f>
        <v>-89464.931990760015</v>
      </c>
      <c r="I141" s="101">
        <f>ROUND(D141+E141+H141,2)</f>
        <v>-64435.64</v>
      </c>
      <c r="J141" s="113">
        <f>I144+I145+I150+I151+I162+I163+I156+I157+I168</f>
        <v>0</v>
      </c>
      <c r="K141" s="113"/>
      <c r="O141" s="146">
        <f>F141+G141</f>
        <v>25029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509.86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509.86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35.220000000000027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-15.8799999999992</v>
      </c>
      <c r="E172" s="8">
        <f>IF(I141&lt;0,E141/D58,0)</f>
        <v>35.220000000000027</v>
      </c>
      <c r="F172" s="8"/>
      <c r="G172" s="8"/>
      <c r="H172" s="8">
        <f>IF(I141&lt;0,H141/D59,0)</f>
        <v>-18.940000000000001</v>
      </c>
      <c r="I172" s="137">
        <f>IF(AND(E59=0,L71&gt;0),-D172*D57-E172*D58-(H172+L147)*D58,IF(AND(E59&gt;0,L71&gt;0),-D172*D57-E172*D58-H172*D59,0))</f>
        <v>64435.642576976155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-75010.724393516226</v>
      </c>
      <c r="E180" s="101">
        <f>E141</f>
        <v>100040.01380730009</v>
      </c>
      <c r="F180" s="101"/>
      <c r="G180" s="101">
        <f>G141</f>
        <v>0</v>
      </c>
      <c r="H180" s="101">
        <f>H141</f>
        <v>-89464.931990760015</v>
      </c>
      <c r="I180" s="101">
        <f>I141</f>
        <v>-64435.64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8548.66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553.44000000000005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373.05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8263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585.9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345.87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15670674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2524486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0.9877835572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2.0199999999999999E-2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1.9699999999999999E-2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8548.66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-285.65999999999985</v>
      </c>
      <c r="J57" s="190">
        <f>SUM(E57:I57)</f>
        <v>8263</v>
      </c>
      <c r="K57" s="190">
        <f>IF((+L57-J57)&gt;0,(L57-J57),0)</f>
        <v>0</v>
      </c>
      <c r="L57" s="192">
        <f>I15</f>
        <v>8263</v>
      </c>
      <c r="M57" s="102"/>
      <c r="N57" s="102"/>
      <c r="O57" s="102">
        <f>E57+H57+G57</f>
        <v>8548.66</v>
      </c>
      <c r="P57" s="108">
        <f>L57-E57</f>
        <v>-285.65999999999985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553.44000000000005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32.459999999999923</v>
      </c>
      <c r="J58" s="190">
        <f>E58+H58+G58+I58</f>
        <v>585.9</v>
      </c>
      <c r="K58" s="190">
        <f>IF((+L58-J58)&gt;0,(L58-J58),0)</f>
        <v>0</v>
      </c>
      <c r="L58" s="192">
        <f>I16</f>
        <v>585.9</v>
      </c>
      <c r="M58" s="102"/>
      <c r="N58" s="102"/>
      <c r="O58" s="102">
        <f>IF(E59=0,J58+J59,J58)</f>
        <v>585.9</v>
      </c>
      <c r="P58" s="108">
        <f>L58+L59-E58</f>
        <v>378.32999999999993</v>
      </c>
      <c r="Q58" s="1">
        <f>L59*466-(P58)*487.11</f>
        <v>-23112.906299999944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373.05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-27.180000000000007</v>
      </c>
      <c r="J59" s="190">
        <f>E59+H59+G59+I59</f>
        <v>345.87</v>
      </c>
      <c r="K59" s="190">
        <f>IF((+L59-J59)&gt;0,(L59-J59),0)</f>
        <v>0</v>
      </c>
      <c r="L59" s="192">
        <f>I17</f>
        <v>345.87</v>
      </c>
      <c r="M59" s="102"/>
      <c r="N59" s="102"/>
      <c r="O59" s="102">
        <f>IF(E59=0,L58+L59,L59)</f>
        <v>345.87</v>
      </c>
      <c r="P59" s="108">
        <f>L59-E59</f>
        <v>-27.180000000000007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9475.15</v>
      </c>
      <c r="F61" s="190"/>
      <c r="G61" s="190">
        <f>SUM(G57:G60)</f>
        <v>0</v>
      </c>
      <c r="H61" s="190">
        <f>SUM(H57:H60)</f>
        <v>0</v>
      </c>
      <c r="I61" s="190">
        <f>SUM(I57:I59)</f>
        <v>-280.37999999999994</v>
      </c>
      <c r="J61" s="190">
        <f>SUM(J57:J60)</f>
        <v>9194.77</v>
      </c>
      <c r="K61" s="190">
        <f>SUM(K57:K60)</f>
        <v>0</v>
      </c>
      <c r="L61" s="192">
        <f>SUM(L57:L60)</f>
        <v>9194.77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168476.73570000002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1217053.0042999999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43273186.870786227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489725</v>
      </c>
      <c r="M66" s="163"/>
      <c r="N66" s="163"/>
      <c r="O66" s="152">
        <f>L66/487.11</f>
        <v>1005.3683972819281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2282199</v>
      </c>
      <c r="M67" s="163"/>
      <c r="N67" s="163"/>
      <c r="O67" s="13"/>
      <c r="P67" s="139">
        <f>I57*D57</f>
        <v>-1349342.7915776393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43273186.870786227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92200.421583899792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39972705.162245162</v>
      </c>
      <c r="F69" s="202"/>
      <c r="G69" s="176"/>
      <c r="H69" s="174" t="s">
        <v>27</v>
      </c>
      <c r="I69" s="175"/>
      <c r="J69" s="175"/>
      <c r="K69" s="175"/>
      <c r="L69" s="203">
        <f>SUM(L65:L67)</f>
        <v>2771924</v>
      </c>
      <c r="M69" s="165"/>
      <c r="N69" s="165"/>
      <c r="O69" s="155"/>
      <c r="P69" s="138">
        <f>IF(AND(E59=0,L71&gt;0),(I59+L147)*D58,IF(AND(E59&gt;0,L71&gt;0),I59*D59,0))</f>
        <v>-128387.37336372003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1556136.0783499202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-1385529.7433574595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1744345.6301911501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1385529.74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-1371540.0301771194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52214953.661583327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47572262.840609111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11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15670674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485237.08097421296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48057499.921583325</v>
      </c>
      <c r="G79" s="176" t="s">
        <v>29</v>
      </c>
      <c r="H79" s="175" t="s">
        <v>14</v>
      </c>
      <c r="I79" s="175"/>
      <c r="J79" s="175"/>
      <c r="K79" s="175"/>
      <c r="L79" s="213">
        <f>I23</f>
        <v>2524486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25203344.666871943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8178568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51577072.666871943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0.9877835572</v>
      </c>
      <c r="K84" s="175"/>
      <c r="L84" s="210">
        <f>+(1-J84)*L73</f>
        <v>637880.99471138348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52214953.661583327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25203344.666871943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2.0199999999999999E-2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1.9699999999999999E-2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25203344.666871943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861177.09841677058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-1349342.7915776393</v>
      </c>
      <c r="E141" s="101">
        <f>(L58-E58)*D58</f>
        <v>92200.421583899792</v>
      </c>
      <c r="F141" s="101">
        <f>ROUND(D141+E141,0)</f>
        <v>-1257142</v>
      </c>
      <c r="G141" s="145">
        <f>IF(E59&gt;0,0,O168)</f>
        <v>0</v>
      </c>
      <c r="H141" s="101">
        <f>(L59-E59)*D59</f>
        <v>-128387.37336372003</v>
      </c>
      <c r="I141" s="101">
        <f>ROUND(D141+E141+H141,2)</f>
        <v>-1385529.74</v>
      </c>
      <c r="J141" s="113">
        <f>I144+I145+I150+I151+I162+I163+I156+I157+I168</f>
        <v>0</v>
      </c>
      <c r="K141" s="113"/>
      <c r="O141" s="146">
        <f>F141+G141</f>
        <v>-1257142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931.77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345.87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931.77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378.32999999999993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982420.20373455004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345.87</v>
      </c>
      <c r="M171" s="103"/>
      <c r="N171" s="103"/>
      <c r="O171" s="115">
        <f>O167*D58+L147*D59+O167*487.11</f>
        <v>1633750.5822409801</v>
      </c>
    </row>
    <row r="172" spans="1:16">
      <c r="A172" s="23"/>
      <c r="B172" s="2" t="s">
        <v>247</v>
      </c>
      <c r="D172" s="8">
        <f>IF(I141&lt;0,D141/D57,0)</f>
        <v>-285.65999999999985</v>
      </c>
      <c r="E172" s="8">
        <f>IF(I141&lt;0,E141/D58,0)</f>
        <v>32.459999999999923</v>
      </c>
      <c r="F172" s="8"/>
      <c r="G172" s="8"/>
      <c r="H172" s="8">
        <f>IF(I141&lt;0,H141/D59,0)</f>
        <v>-27.180000000000007</v>
      </c>
      <c r="I172" s="137">
        <f>IF(AND(E59=0,L71&gt;0),-D172*D57-E172*D58-(H172+L147)*D58,IF(AND(E59&gt;0,L71&gt;0),-D172*D57-E172*D58-H172*D59,0))</f>
        <v>1385529.7433574595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1117875.2208119999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1117875.2208119999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-168476.73570000002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-1349342.7915776393</v>
      </c>
      <c r="E180" s="101">
        <f>E141</f>
        <v>92200.421583899792</v>
      </c>
      <c r="F180" s="101"/>
      <c r="G180" s="101">
        <f>G141</f>
        <v>0</v>
      </c>
      <c r="H180" s="101">
        <f>H141</f>
        <v>-128387.37336372003</v>
      </c>
      <c r="I180" s="101">
        <f>I141</f>
        <v>-1385529.74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rintOptions horizontalCentered="1"/>
  <pageMargins left="0.25" right="0.25" top="0.5" bottom="0.5" header="0.5" footer="0.5"/>
  <pageSetup scale="74" orientation="portrait"/>
  <headerFooter alignWithMargins="0">
    <oddFooter>&amp;L&amp;D&amp;T</oddFooter>
  </headerFooter>
  <rowBreaks count="1" manualBreakCount="1">
    <brk id="49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28686.720000000001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2748.64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3223.45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30574.19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2845.27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2979.31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76454913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11796534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0.98778356150000002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5.3600000000000002E-2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5.1400000000000001E-2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28686.720000000001</v>
      </c>
      <c r="F57" s="190"/>
      <c r="G57" s="191">
        <f>D169</f>
        <v>1887.4699999999973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30574.19</v>
      </c>
      <c r="K57" s="190">
        <f>IF((+L57-J57)&gt;0,(L57-J57),0)</f>
        <v>0</v>
      </c>
      <c r="L57" s="192">
        <f>I15</f>
        <v>30574.19</v>
      </c>
      <c r="M57" s="102"/>
      <c r="N57" s="102"/>
      <c r="O57" s="102">
        <f>E57+H57+G57</f>
        <v>30574.19</v>
      </c>
      <c r="P57" s="108">
        <f>L57-E57</f>
        <v>1887.4699999999975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2748.64</v>
      </c>
      <c r="F58" s="190"/>
      <c r="G58" s="191">
        <f>E169</f>
        <v>96.630000000000109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2845.27</v>
      </c>
      <c r="K58" s="190">
        <f>IF((+L58-J58)&gt;0,(L58-J58),0)</f>
        <v>0</v>
      </c>
      <c r="L58" s="192">
        <f>I16</f>
        <v>2845.27</v>
      </c>
      <c r="M58" s="102"/>
      <c r="N58" s="102"/>
      <c r="O58" s="102">
        <f>IF(E59=0,J58+J59,J58)</f>
        <v>2845.27</v>
      </c>
      <c r="P58" s="108">
        <f>L58+L59-E58</f>
        <v>3075.94</v>
      </c>
      <c r="Q58" s="1">
        <f>L59*466-(P58)*487.11</f>
        <v>-109962.6734000002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3223.45</v>
      </c>
      <c r="F59" s="190"/>
      <c r="G59" s="191">
        <f>H169</f>
        <v>-244.13999999999984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2979.31</v>
      </c>
      <c r="K59" s="190">
        <f>IF((+L59-J59)&gt;0,(L59-J59),0)</f>
        <v>0</v>
      </c>
      <c r="L59" s="192">
        <f>I17</f>
        <v>2979.31</v>
      </c>
      <c r="M59" s="102"/>
      <c r="N59" s="102"/>
      <c r="O59" s="102">
        <f>IF(E59=0,L58+L59,L59)</f>
        <v>2979.31</v>
      </c>
      <c r="P59" s="108">
        <f>L59-E59</f>
        <v>-244.13999999999987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34658.81</v>
      </c>
      <c r="F61" s="190"/>
      <c r="G61" s="190">
        <f>SUM(G57:G60)</f>
        <v>1739.9599999999975</v>
      </c>
      <c r="H61" s="190">
        <f>SUM(H57:H60)</f>
        <v>0</v>
      </c>
      <c r="I61" s="190">
        <f>SUM(I57:I59)</f>
        <v>0</v>
      </c>
      <c r="J61" s="190">
        <f>SUM(J57:J60)</f>
        <v>36398.769999999997</v>
      </c>
      <c r="K61" s="190">
        <f>SUM(K57:K60)</f>
        <v>0</v>
      </c>
      <c r="L61" s="192">
        <f>SUM(L57:L60)</f>
        <v>36398.769999999997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1451251.6941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9072987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-1451251.6941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156937354.7908766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1927185</v>
      </c>
      <c r="M66" s="163"/>
      <c r="N66" s="163"/>
      <c r="O66" s="152">
        <f>L66/487.11</f>
        <v>3956.3650920736586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8345728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156937354.7908766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134136320.85401472</v>
      </c>
      <c r="F69" s="202"/>
      <c r="G69" s="176"/>
      <c r="H69" s="174" t="s">
        <v>27</v>
      </c>
      <c r="I69" s="175"/>
      <c r="J69" s="175"/>
      <c r="K69" s="175"/>
      <c r="L69" s="203">
        <f>SUM(L65:L67)</f>
        <v>10272913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7728494.2729035197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15072539.66395835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186013460.29333729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166010341.7908766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76454913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1693305.4862669413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167703647.27714354</v>
      </c>
      <c r="G79" s="176" t="s">
        <v>29</v>
      </c>
      <c r="H79" s="175" t="s">
        <v>14</v>
      </c>
      <c r="I79" s="175"/>
      <c r="J79" s="175"/>
      <c r="K79" s="175"/>
      <c r="L79" s="213">
        <f>I23</f>
        <v>11796534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66815177.295491539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28674414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8915648.1090073679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183741038.29549155</v>
      </c>
      <c r="M83" s="86"/>
      <c r="N83" s="86"/>
      <c r="O83" s="107">
        <f>G58*D58</f>
        <v>274470.94077795034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0.98778356150000002</v>
      </c>
      <c r="K84" s="175"/>
      <c r="L84" s="210">
        <f>+(1-J84)*L73</f>
        <v>2272421.9978457438</v>
      </c>
      <c r="M84" s="65"/>
      <c r="N84" s="65"/>
      <c r="O84" s="143">
        <f>G59*D59</f>
        <v>-1153219.0335915594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186013460.29333729</v>
      </c>
      <c r="M85" s="86"/>
      <c r="N85" s="86"/>
      <c r="O85" s="107">
        <f>SUM(O82:O84)</f>
        <v>8036900.0161937587</v>
      </c>
      <c r="P85" s="103">
        <f>I168+G174</f>
        <v>8036900.0161937587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66815177.295491539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5.3600000000000002E-2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5.1400000000000001E-2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66815177.295491539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8148859.1779716713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8036900.0161937587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8915648.1090073679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274470.94077795034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-1153219.0335915594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8036900.0161937587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0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0</v>
      </c>
      <c r="J113" s="242">
        <f>SUM(B113:I113)</f>
        <v>7938864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9072987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8915648.1090073679</v>
      </c>
      <c r="E141" s="101">
        <f>(L58-E58)*D58</f>
        <v>274470.94077795034</v>
      </c>
      <c r="F141" s="101">
        <f>ROUND(D141+E141,0)</f>
        <v>9190119</v>
      </c>
      <c r="G141" s="145">
        <f>IF(E59&gt;0,0,O168)</f>
        <v>0</v>
      </c>
      <c r="H141" s="101">
        <f>(L59-E59)*D59</f>
        <v>-1153219.0335915594</v>
      </c>
      <c r="I141" s="101">
        <f>ROUND(D141+E141+H141,2)</f>
        <v>8036900.0199999996</v>
      </c>
      <c r="J141" s="113">
        <f>I144+I145+I150+I151+I162+I163+I156+I157+I168</f>
        <v>8036900.0161937587</v>
      </c>
      <c r="K141" s="113"/>
      <c r="O141" s="146">
        <f>F141+G141</f>
        <v>9190119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5824.58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2979.31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5824.58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3075.94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8915648.1090073679</v>
      </c>
      <c r="E168" s="134">
        <f>IF(I141&lt;0,0,IF(AND(E59=0,I141&gt;=0),E141-E144-E145-E150-E151,IF(AND(E59&gt;0,I141&gt;=0),E141-E156-E157-E162-E163,0)))</f>
        <v>274470.94077795034</v>
      </c>
      <c r="F168" s="134"/>
      <c r="G168" s="134"/>
      <c r="H168" s="134">
        <f>IF(I141&lt;0,0,IF(AND(E59=0,I141&gt;=0),H141-H144-H145-H150-H151,IF(AND(E59&gt;0,I141&gt;=0),H141-H156-H157-H162-H163,0)))</f>
        <v>-1153219.0335915594</v>
      </c>
      <c r="I168" s="101">
        <f>IF(I141&gt;0,D168+E168+H168,0)</f>
        <v>8036900.0161937587</v>
      </c>
      <c r="L168" s="111"/>
      <c r="M168" s="111"/>
      <c r="N168" s="111"/>
      <c r="O168" s="113">
        <f>L147*D58</f>
        <v>8462527.35764415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1887.4699999999973</v>
      </c>
      <c r="E169" s="8">
        <f>IF(E168=0,0,IF(I141&lt;0,0,L58-H58-E58))</f>
        <v>96.630000000000109</v>
      </c>
      <c r="F169" s="8"/>
      <c r="G169" s="8"/>
      <c r="H169" s="8">
        <f>IF(AND(E59=0,H141-I145=0),0,IF(I141&lt;0,0,IF(E59=0,(H168)/D59,IF(E59&gt;0,(H141-H156-H157-H162-H163)/D59,0))))</f>
        <v>-244.13999999999984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8036900.0161937587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96.630000000000109</v>
      </c>
      <c r="F171" s="101"/>
      <c r="G171" s="101"/>
      <c r="H171" s="101"/>
      <c r="I171" s="136" t="s">
        <v>283</v>
      </c>
      <c r="J171" s="103">
        <f>I144+I145+I168</f>
        <v>8036900.0161937587</v>
      </c>
      <c r="K171" s="103"/>
      <c r="L171" s="103">
        <f>L147+O167</f>
        <v>2979.31</v>
      </c>
      <c r="M171" s="103"/>
      <c r="N171" s="103"/>
      <c r="O171" s="115">
        <f>O167*D58+L147*D59+O167*487.11</f>
        <v>14073060.53481474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8036900.0161937587</v>
      </c>
      <c r="M173" s="103"/>
      <c r="N173" s="103"/>
      <c r="O173" s="103">
        <f>L147*3232.0676</f>
        <v>9629331.3213559985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9629331.3213559985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8915648.1090073679</v>
      </c>
      <c r="E177" s="107">
        <f>E144+E145+E150+E151+E162+E163+E156+E157+E168</f>
        <v>274470.94077795034</v>
      </c>
      <c r="F177" s="107"/>
      <c r="G177" s="107"/>
      <c r="H177" s="107">
        <f>H144+H145+H156+H157+H168</f>
        <v>-1153219.0335915594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-1570174.7294999999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-118923.03539999992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8915648.1090073679</v>
      </c>
      <c r="E180" s="101">
        <f>E141</f>
        <v>274470.94077795034</v>
      </c>
      <c r="F180" s="101"/>
      <c r="G180" s="101">
        <f>G141</f>
        <v>0</v>
      </c>
      <c r="H180" s="101">
        <f>H141</f>
        <v>-1153219.0335915594</v>
      </c>
      <c r="I180" s="101">
        <f>I141</f>
        <v>8036900.0199999996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8132.76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0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8105.56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0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20512448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4008075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0.98778355549999997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1.67E-2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1.6299999999999999E-2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8132.76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-27.199999999999818</v>
      </c>
      <c r="J57" s="190">
        <f>SUM(E57:I57)</f>
        <v>8105.56</v>
      </c>
      <c r="K57" s="190">
        <f>IF((+L57-J57)&gt;0,(L57-J57),0)</f>
        <v>0</v>
      </c>
      <c r="L57" s="192">
        <f>I15</f>
        <v>8105.56</v>
      </c>
      <c r="M57" s="102"/>
      <c r="N57" s="102"/>
      <c r="O57" s="102">
        <f>E57+H57+G57</f>
        <v>8132.76</v>
      </c>
      <c r="P57" s="108">
        <f>L57-E57</f>
        <v>-27.199999999999818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0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0</v>
      </c>
      <c r="K58" s="190">
        <f>IF((+L58-J58)&gt;0,(L58-J58),0)</f>
        <v>0</v>
      </c>
      <c r="L58" s="192">
        <f>I16</f>
        <v>0</v>
      </c>
      <c r="M58" s="102"/>
      <c r="N58" s="102"/>
      <c r="O58" s="102">
        <f>IF(E59=0,J58+J59,J58)</f>
        <v>0</v>
      </c>
      <c r="P58" s="108">
        <f>L58+L59-E58</f>
        <v>0</v>
      </c>
      <c r="Q58" s="1">
        <f>L59*466-(P58)*487.11</f>
        <v>0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0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8132.76</v>
      </c>
      <c r="F61" s="190"/>
      <c r="G61" s="190">
        <f>SUM(G57:G60)</f>
        <v>0</v>
      </c>
      <c r="H61" s="190">
        <f>SUM(H57:H60)</f>
        <v>0</v>
      </c>
      <c r="I61" s="190">
        <f>SUM(I57:I59)</f>
        <v>-27.199999999999818</v>
      </c>
      <c r="J61" s="190">
        <f>SUM(J57:J60)</f>
        <v>8105.56</v>
      </c>
      <c r="K61" s="190">
        <f>SUM(K57:K60)</f>
        <v>0</v>
      </c>
      <c r="L61" s="192">
        <f>SUM(L57:L60)</f>
        <v>8105.56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128481.84530879915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38027997.093731761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442965</v>
      </c>
      <c r="M66" s="163"/>
      <c r="N66" s="163"/>
      <c r="O66" s="152">
        <f>L66/487.11</f>
        <v>909.37365276836852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2035858</v>
      </c>
      <c r="M67" s="163"/>
      <c r="N67" s="163"/>
      <c r="O67" s="13"/>
      <c r="P67" s="139">
        <f>I57*D57</f>
        <v>-128481.84530879915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38027997.093731761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38027997.093731761</v>
      </c>
      <c r="F69" s="202"/>
      <c r="G69" s="176"/>
      <c r="H69" s="174" t="s">
        <v>27</v>
      </c>
      <c r="I69" s="175"/>
      <c r="J69" s="175"/>
      <c r="K69" s="175"/>
      <c r="L69" s="203">
        <f>SUM(L65:L67)</f>
        <v>2478823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0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-128481.84530879915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128481.84530879915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-127184.56230719914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45477470.893153884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42437305.53142456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20512448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432860.51642053056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42870166.047845088</v>
      </c>
      <c r="G79" s="176" t="s">
        <v>29</v>
      </c>
      <c r="H79" s="175" t="s">
        <v>14</v>
      </c>
      <c r="I79" s="175"/>
      <c r="J79" s="175"/>
      <c r="K79" s="175"/>
      <c r="L79" s="213">
        <f>I23</f>
        <v>4008075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13575914.893987302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6825460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44921897.893987298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0.98778355549999997</v>
      </c>
      <c r="K84" s="175"/>
      <c r="L84" s="210">
        <f>+(1-J84)*L73</f>
        <v>555572.99916658143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45477470.893153876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13575914.893987302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1.67E-2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1.6299999999999999E-2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13575914.893987302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626178.88969608897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-128481.84530879915</v>
      </c>
      <c r="E141" s="101">
        <f>(L58-E58)*D58</f>
        <v>0</v>
      </c>
      <c r="F141" s="101">
        <f>ROUND(D141+E141,0)</f>
        <v>-128482</v>
      </c>
      <c r="G141" s="145">
        <f>IF(E59&gt;0,0,O168)</f>
        <v>0</v>
      </c>
      <c r="H141" s="101">
        <f>(L59-E59)*D59</f>
        <v>0</v>
      </c>
      <c r="I141" s="101">
        <f>ROUND(D141+E141+H141,2)</f>
        <v>-128481.85</v>
      </c>
      <c r="J141" s="113">
        <f>I144+I145+I150+I151+I162+I163+I156+I157+I168</f>
        <v>0</v>
      </c>
      <c r="K141" s="113"/>
      <c r="O141" s="146">
        <f>F141+G141</f>
        <v>-128482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0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0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0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-27.199999999999818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128481.84530879915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-128481.84530879915</v>
      </c>
      <c r="E180" s="101">
        <f>E141</f>
        <v>0</v>
      </c>
      <c r="F180" s="101"/>
      <c r="G180" s="101">
        <f>G141</f>
        <v>0</v>
      </c>
      <c r="H180" s="101">
        <f>H141</f>
        <v>0</v>
      </c>
      <c r="I180" s="101">
        <f>I141</f>
        <v>-128481.85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1741.8589999999999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39.72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1801.06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99.35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1315737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452643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0.98778355240000004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1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5.62E-2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5.3800000000000001E-2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1741.8589999999999</v>
      </c>
      <c r="F57" s="190"/>
      <c r="G57" s="191">
        <f>D169</f>
        <v>59.201000000000029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1801.06</v>
      </c>
      <c r="K57" s="190">
        <f>IF((+L57-J57)&gt;0,(L57-J57),0)</f>
        <v>0</v>
      </c>
      <c r="L57" s="192">
        <f>I15</f>
        <v>1801.06</v>
      </c>
      <c r="M57" s="102"/>
      <c r="N57" s="102"/>
      <c r="O57" s="102">
        <f>E57+H57+G57</f>
        <v>1801.06</v>
      </c>
      <c r="P57" s="108">
        <f>L57-E57</f>
        <v>59.201000000000022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39.72</v>
      </c>
      <c r="F58" s="190"/>
      <c r="G58" s="191">
        <f>E169</f>
        <v>59.629999999999995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99.35</v>
      </c>
      <c r="K58" s="190">
        <f>IF((+L58-J58)&gt;0,(L58-J58),0)</f>
        <v>0</v>
      </c>
      <c r="L58" s="192">
        <f>I16</f>
        <v>99.35</v>
      </c>
      <c r="M58" s="102"/>
      <c r="N58" s="102"/>
      <c r="O58" s="102">
        <f>IF(E59=0,J58+J59,J58)</f>
        <v>99.35</v>
      </c>
      <c r="P58" s="108">
        <f>L58+L59-E58</f>
        <v>59.629999999999995</v>
      </c>
      <c r="Q58" s="1">
        <f>L59*466-(P58)*487.11</f>
        <v>-29046.369299999998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99.35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1781.579</v>
      </c>
      <c r="F61" s="190"/>
      <c r="G61" s="190">
        <f>SUM(G57:G60)</f>
        <v>118.83100000000002</v>
      </c>
      <c r="H61" s="190">
        <f>SUM(H57:H60)</f>
        <v>0</v>
      </c>
      <c r="I61" s="190">
        <f>SUM(I57:I59)</f>
        <v>0</v>
      </c>
      <c r="J61" s="190">
        <f>SUM(J57:J60)</f>
        <v>1900.4099999999999</v>
      </c>
      <c r="K61" s="190">
        <f>SUM(K57:K60)</f>
        <v>0</v>
      </c>
      <c r="L61" s="192">
        <f>SUM(L57:L60)</f>
        <v>1900.4099999999999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4111197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8256446.5620992938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101692</v>
      </c>
      <c r="M66" s="163"/>
      <c r="N66" s="163"/>
      <c r="O66" s="152">
        <f>L66/487.11</f>
        <v>208.76598714869331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1160282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8256446.5620992938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8144763.7689653337</v>
      </c>
      <c r="F69" s="202"/>
      <c r="G69" s="176"/>
      <c r="H69" s="174" t="s">
        <v>27</v>
      </c>
      <c r="I69" s="175"/>
      <c r="J69" s="175"/>
      <c r="K69" s="175"/>
      <c r="L69" s="203">
        <f>SUM(L65:L67)</f>
        <v>1261974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111682.79313396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14204784.16553971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12367643.562099293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1315737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126149.96433341279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12493793.526432706</v>
      </c>
      <c r="G79" s="176" t="s">
        <v>29</v>
      </c>
      <c r="H79" s="175" t="s">
        <v>14</v>
      </c>
      <c r="I79" s="175"/>
      <c r="J79" s="175"/>
      <c r="K79" s="175"/>
      <c r="L79" s="213">
        <f>I23</f>
        <v>452643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9999403.1641120855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2263469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279641.68103405414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14031252.164112085</v>
      </c>
      <c r="M83" s="86"/>
      <c r="N83" s="86"/>
      <c r="O83" s="107">
        <f>G58*D58</f>
        <v>169374.95807294999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0.98778355240000004</v>
      </c>
      <c r="K84" s="175"/>
      <c r="L84" s="210">
        <f>+(1-J84)*L73</f>
        <v>173532.00142762499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14204784.16553971</v>
      </c>
      <c r="M85" s="86"/>
      <c r="N85" s="86"/>
      <c r="O85" s="107">
        <f>SUM(O82:O84)</f>
        <v>449016.63910700416</v>
      </c>
      <c r="P85" s="103">
        <f>I168+G174</f>
        <v>449016.63910700416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9999403.1641120855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5.62E-2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5.3800000000000001E-2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9999403.1641120855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448727.63426348829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449016.63910700416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279641.68103405414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169374.95807294999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449016.63910700416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1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141765</v>
      </c>
      <c r="G127" s="169"/>
      <c r="H127" s="253">
        <f>SUM(B127:F127)</f>
        <v>141765</v>
      </c>
      <c r="I127" s="169"/>
      <c r="J127" s="251">
        <f>H118+H127</f>
        <v>141765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4111197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279641.68103405414</v>
      </c>
      <c r="E141" s="101">
        <f>(L58-E58)*D58</f>
        <v>169374.95807294999</v>
      </c>
      <c r="F141" s="101">
        <f>ROUND(D141+E141,0)</f>
        <v>449017</v>
      </c>
      <c r="G141" s="145">
        <f>IF(E59&gt;0,0,O168)</f>
        <v>0</v>
      </c>
      <c r="H141" s="101">
        <f>(L59-E59)*D59</f>
        <v>0</v>
      </c>
      <c r="I141" s="101">
        <f>ROUND(D141+E141+H141,2)</f>
        <v>449016.64</v>
      </c>
      <c r="J141" s="113">
        <f>I144+I145+I150+I151+I162+I163+I156+I157+I168</f>
        <v>449016.63910700416</v>
      </c>
      <c r="K141" s="113"/>
      <c r="O141" s="146">
        <f>F141+G141</f>
        <v>449017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99.35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99.35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59.629999999999995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279641.68103405414</v>
      </c>
      <c r="E168" s="134">
        <f>IF(I141&lt;0,0,IF(AND(E59=0,I141&gt;=0),E141-E144-E145-E150-E151,IF(AND(E59&gt;0,I141&gt;=0),E141-E156-E157-E162-E163,0)))</f>
        <v>169374.95807294999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449016.63910700416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59.201000000000029</v>
      </c>
      <c r="E169" s="8">
        <f>IF(E168=0,0,IF(I141&lt;0,0,L58-H58-E58))</f>
        <v>59.629999999999995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449016.63910700416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59.629999999999988</v>
      </c>
      <c r="F171" s="101"/>
      <c r="G171" s="101"/>
      <c r="H171" s="101"/>
      <c r="I171" s="136" t="s">
        <v>283</v>
      </c>
      <c r="J171" s="103">
        <f>I144+I145+I168</f>
        <v>449016.63910700416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449016.63910700416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279641.68103405414</v>
      </c>
      <c r="E177" s="107">
        <f>E144+E145+E150+E151+E162+E163+E156+E157+E168</f>
        <v>169374.95807294999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279641.68103405414</v>
      </c>
      <c r="E180" s="101">
        <f>E141</f>
        <v>169374.95807294999</v>
      </c>
      <c r="F180" s="101"/>
      <c r="G180" s="101">
        <f>G141</f>
        <v>0</v>
      </c>
      <c r="H180" s="101">
        <f>H141</f>
        <v>0</v>
      </c>
      <c r="I180" s="101">
        <f>I141</f>
        <v>449016.64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18855.39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278.77999999999997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495.39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15842.29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256.52999999999997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523.5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62759938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8891712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0.98778355819999997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1.8499999999999999E-2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1.8100000000000002E-2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18855.39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-3013.0999999999985</v>
      </c>
      <c r="J57" s="190">
        <f>SUM(E57:I57)</f>
        <v>15842.29</v>
      </c>
      <c r="K57" s="190">
        <f>IF((+L57-J57)&gt;0,(L57-J57),0)</f>
        <v>0</v>
      </c>
      <c r="L57" s="192">
        <f>I15</f>
        <v>15842.29</v>
      </c>
      <c r="M57" s="102"/>
      <c r="N57" s="102"/>
      <c r="O57" s="102">
        <f>E57+H57+G57</f>
        <v>18855.39</v>
      </c>
      <c r="P57" s="108">
        <f>L57-E57</f>
        <v>-3013.0999999999985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278.77999999999997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-22.25</v>
      </c>
      <c r="J58" s="190">
        <f>E58+H58+G58+I58</f>
        <v>256.52999999999997</v>
      </c>
      <c r="K58" s="190">
        <f>IF((+L58-J58)&gt;0,(L58-J58),0)</f>
        <v>0</v>
      </c>
      <c r="L58" s="192">
        <f>I16</f>
        <v>256.52999999999997</v>
      </c>
      <c r="M58" s="102"/>
      <c r="N58" s="102"/>
      <c r="O58" s="102">
        <f>IF(E59=0,J58+J59,J58)</f>
        <v>256.52999999999997</v>
      </c>
      <c r="P58" s="108">
        <f>L58+L59-E58</f>
        <v>501.25</v>
      </c>
      <c r="Q58" s="1">
        <f>L59*466-(P58)*487.11</f>
        <v>-212.88750000001164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495.39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28.110000000000014</v>
      </c>
      <c r="J59" s="190">
        <f>E59+H59+G59+I59</f>
        <v>523.5</v>
      </c>
      <c r="K59" s="190">
        <f>IF((+L59-J59)&gt;0,(L59-J59),0)</f>
        <v>0</v>
      </c>
      <c r="L59" s="192">
        <f>I17</f>
        <v>523.5</v>
      </c>
      <c r="M59" s="102"/>
      <c r="N59" s="102"/>
      <c r="O59" s="102">
        <f>IF(E59=0,L58+L59,L59)</f>
        <v>523.5</v>
      </c>
      <c r="P59" s="108">
        <f>L59-E59</f>
        <v>28.110000000000014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19629.559999999998</v>
      </c>
      <c r="F61" s="190"/>
      <c r="G61" s="190">
        <f>SUM(G57:G60)</f>
        <v>0</v>
      </c>
      <c r="H61" s="190">
        <f>SUM(H57:H60)</f>
        <v>0</v>
      </c>
      <c r="I61" s="190">
        <f>SUM(I57:I59)</f>
        <v>-3007.2399999999984</v>
      </c>
      <c r="J61" s="190">
        <f>SUM(J57:J60)</f>
        <v>16622.32</v>
      </c>
      <c r="K61" s="190">
        <f>SUM(K57:K60)</f>
        <v>0</v>
      </c>
      <c r="L61" s="192">
        <f>SUM(L57:L60)</f>
        <v>16622.32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255002.08500000002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13908088.094999999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91266231.01436843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902813</v>
      </c>
      <c r="M66" s="163"/>
      <c r="N66" s="163"/>
      <c r="O66" s="152">
        <f>L66/487.11</f>
        <v>1853.4068280265237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4032199</v>
      </c>
      <c r="M67" s="163"/>
      <c r="N67" s="163"/>
      <c r="O67" s="13"/>
      <c r="P67" s="139">
        <f>I57*D57</f>
        <v>-14232670.886027394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91266231.01436843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-63199.611221250008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88165975.15741013</v>
      </c>
      <c r="F69" s="202"/>
      <c r="G69" s="176"/>
      <c r="H69" s="174" t="s">
        <v>27</v>
      </c>
      <c r="I69" s="175"/>
      <c r="J69" s="175"/>
      <c r="K69" s="175"/>
      <c r="L69" s="203">
        <f>SUM(L65:L67)</f>
        <v>4935012</v>
      </c>
      <c r="M69" s="165"/>
      <c r="N69" s="165"/>
      <c r="O69" s="155"/>
      <c r="P69" s="138">
        <f>IF(AND(E59=0,L71&gt;0),(I59+L147)*D58,IF(AND(E59&gt;0,L71&gt;0),I59*D59,0))</f>
        <v>132780.31880994007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783860.24848653993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-14163090.178438704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2316395.6084717698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14163090.18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-14020085.257171113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104006306.97192073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84050885.75719732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62759938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857319.03472341271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84908204.791920736</v>
      </c>
      <c r="G79" s="176" t="s">
        <v>29</v>
      </c>
      <c r="H79" s="175" t="s">
        <v>14</v>
      </c>
      <c r="I79" s="175"/>
      <c r="J79" s="175"/>
      <c r="K79" s="175"/>
      <c r="L79" s="213">
        <f>I23</f>
        <v>8891712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15429131.975965321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15654938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102735719.97596532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0.98778355819999997</v>
      </c>
      <c r="K84" s="175"/>
      <c r="L84" s="210">
        <f>+(1-J84)*L73</f>
        <v>1270586.9959554072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104006306.97192073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15429131.975965321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1.8499999999999999E-2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1.8100000000000002E-2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15429131.975965321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1668768.3587806907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-14232670.886027394</v>
      </c>
      <c r="E141" s="101">
        <f>(L58-E58)*D58</f>
        <v>-63199.611221250008</v>
      </c>
      <c r="F141" s="101">
        <f>ROUND(D141+E141,0)</f>
        <v>-14295870</v>
      </c>
      <c r="G141" s="145">
        <f>IF(E59&gt;0,0,O168)</f>
        <v>0</v>
      </c>
      <c r="H141" s="101">
        <f>(L59-E59)*D59</f>
        <v>132780.31880994007</v>
      </c>
      <c r="I141" s="101">
        <f>ROUND(D141+E141+H141,2)</f>
        <v>-14163090.18</v>
      </c>
      <c r="J141" s="113">
        <f>I144+I145+I150+I151+I162+I163+I156+I157+I168</f>
        <v>0</v>
      </c>
      <c r="K141" s="113"/>
      <c r="O141" s="146">
        <f>F141+G141</f>
        <v>-14295870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780.03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501.25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780.03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501.25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22.25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1423766.5224562502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523.5</v>
      </c>
      <c r="M171" s="103"/>
      <c r="N171" s="103"/>
      <c r="O171" s="115">
        <f>O167*D58+L147*D59+O167*487.11</f>
        <v>2441740.9322887501</v>
      </c>
    </row>
    <row r="172" spans="1:16">
      <c r="A172" s="23"/>
      <c r="B172" s="2" t="s">
        <v>247</v>
      </c>
      <c r="D172" s="8">
        <f>IF(I141&lt;0,D141/D57,0)</f>
        <v>-3013.0999999999985</v>
      </c>
      <c r="E172" s="8">
        <f>IF(I141&lt;0,E141/D58,0)</f>
        <v>-22.25</v>
      </c>
      <c r="F172" s="8"/>
      <c r="G172" s="8"/>
      <c r="H172" s="8">
        <f>IF(I141&lt;0,H141/D59,0)</f>
        <v>28.110000000000014</v>
      </c>
      <c r="I172" s="137">
        <f>IF(AND(E59=0,L71&gt;0),-D172*D57-E172*D58-(H172+L147)*D58,IF(AND(E59&gt;0,L71&gt;0),-D172*D57-E172*D58-H172*D59,0))</f>
        <v>14163090.178438704</v>
      </c>
      <c r="J172" s="103"/>
      <c r="K172" s="103"/>
      <c r="L172" s="119">
        <f>O167*487.11</f>
        <v>10838.1975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10838.1975</v>
      </c>
      <c r="M173" s="103"/>
      <c r="N173" s="103"/>
      <c r="O173" s="103">
        <f>L147*3232.0676</f>
        <v>1620073.8844999999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61075.311050000004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10838.1975</v>
      </c>
      <c r="O175" s="103">
        <f>O173+O174</f>
        <v>1681149.1955499998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-244163.88750000001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-14232670.886027394</v>
      </c>
      <c r="E180" s="101">
        <f>E141</f>
        <v>-63199.611221250008</v>
      </c>
      <c r="F180" s="101"/>
      <c r="G180" s="101">
        <f>G141</f>
        <v>0</v>
      </c>
      <c r="H180" s="101">
        <f>H141</f>
        <v>132780.31880994007</v>
      </c>
      <c r="I180" s="101">
        <f>I141</f>
        <v>-14163090.18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rintOptions horizontalCentered="1" verticalCentered="1"/>
  <pageMargins left="0.45" right="0.45" top="0.5" bottom="0.5" header="0.3" footer="0.3"/>
  <pageSetup scale="78" fitToHeight="4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21094.77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479.27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886.65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22199.93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318.23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844.01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25688470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8624000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0.98778356050000005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2.63E-2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2.5499999999999998E-2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21094.77</v>
      </c>
      <c r="F57" s="190"/>
      <c r="G57" s="191">
        <f>D169</f>
        <v>1105.1599999999999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22199.93</v>
      </c>
      <c r="K57" s="190">
        <f>IF((+L57-J57)&gt;0,(L57-J57),0)</f>
        <v>0</v>
      </c>
      <c r="L57" s="192">
        <f>I15</f>
        <v>22199.93</v>
      </c>
      <c r="M57" s="102"/>
      <c r="N57" s="102"/>
      <c r="O57" s="102">
        <f>E57+H57+G57</f>
        <v>22199.93</v>
      </c>
      <c r="P57" s="108">
        <f>L57-E57</f>
        <v>1105.1599999999999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479.27</v>
      </c>
      <c r="F58" s="190"/>
      <c r="G58" s="191">
        <f>E169</f>
        <v>-161.03999999999996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318.23</v>
      </c>
      <c r="K58" s="190">
        <f>IF((+L58-J58)&gt;0,(L58-J58),0)</f>
        <v>0</v>
      </c>
      <c r="L58" s="192">
        <f>I16</f>
        <v>318.23</v>
      </c>
      <c r="M58" s="102"/>
      <c r="N58" s="102"/>
      <c r="O58" s="102">
        <f>IF(E59=0,J58+J59,J58)</f>
        <v>318.23</v>
      </c>
      <c r="P58" s="108">
        <f>L58+L59-E58</f>
        <v>682.97</v>
      </c>
      <c r="Q58" s="1">
        <f>L59*466-(P58)*487.11</f>
        <v>60627.143299999938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886.65</v>
      </c>
      <c r="F59" s="190"/>
      <c r="G59" s="191">
        <f>H169</f>
        <v>-42.639999999999986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844.01</v>
      </c>
      <c r="K59" s="190">
        <f>IF((+L59-J59)&gt;0,(L59-J59),0)</f>
        <v>0</v>
      </c>
      <c r="L59" s="192">
        <f>I17</f>
        <v>844.01</v>
      </c>
      <c r="M59" s="102"/>
      <c r="N59" s="102"/>
      <c r="O59" s="102">
        <f>IF(E59=0,L58+L59,L59)</f>
        <v>844.01</v>
      </c>
      <c r="P59" s="108">
        <f>L59-E59</f>
        <v>-42.639999999999986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22460.690000000002</v>
      </c>
      <c r="F61" s="190"/>
      <c r="G61" s="190">
        <f>SUM(G57:G60)</f>
        <v>901.4799999999999</v>
      </c>
      <c r="H61" s="190">
        <f>SUM(H57:H60)</f>
        <v>0</v>
      </c>
      <c r="I61" s="190">
        <f>SUM(I57:I59)</f>
        <v>0</v>
      </c>
      <c r="J61" s="190">
        <f>SUM(J57:J60)</f>
        <v>23362.17</v>
      </c>
      <c r="K61" s="190">
        <f>SUM(K57:K60)</f>
        <v>0</v>
      </c>
      <c r="L61" s="192">
        <f>SUM(L57:L60)</f>
        <v>23362.17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411125.71110000001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-411125.71110000001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104130576.73446208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1269798</v>
      </c>
      <c r="M66" s="163"/>
      <c r="N66" s="163"/>
      <c r="O66" s="152">
        <f>L66/487.11</f>
        <v>2606.7992855823118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5538554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104130576.73446208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98637098.875774026</v>
      </c>
      <c r="F69" s="202"/>
      <c r="G69" s="176"/>
      <c r="H69" s="174" t="s">
        <v>27</v>
      </c>
      <c r="I69" s="175"/>
      <c r="J69" s="175"/>
      <c r="K69" s="175"/>
      <c r="L69" s="203">
        <f>SUM(L65:L67)</f>
        <v>6808352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1347588.4256121099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4145889.43307595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123436702.35583007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110935316.73446208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25688470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1131540.2306915133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112066856.96515359</v>
      </c>
      <c r="G79" s="176" t="s">
        <v>29</v>
      </c>
      <c r="H79" s="175" t="s">
        <v>14</v>
      </c>
      <c r="I79" s="175"/>
      <c r="J79" s="175"/>
      <c r="K79" s="175"/>
      <c r="L79" s="213">
        <f>I23</f>
        <v>8624000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68719220.349420577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18897055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5220330.7412306396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121928745.34942058</v>
      </c>
      <c r="M83" s="86"/>
      <c r="N83" s="86"/>
      <c r="O83" s="107">
        <f>G58*D58</f>
        <v>-457423.16364359995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0.98778356050000005</v>
      </c>
      <c r="K84" s="175"/>
      <c r="L84" s="210">
        <f>+(1-J84)*L73</f>
        <v>1507957.0064094998</v>
      </c>
      <c r="M84" s="65"/>
      <c r="N84" s="65"/>
      <c r="O84" s="143">
        <f>G59*D59</f>
        <v>-201414.18691055995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123436702.35583007</v>
      </c>
      <c r="M85" s="86"/>
      <c r="N85" s="86"/>
      <c r="O85" s="107">
        <f>SUM(O82:O84)</f>
        <v>4561493.3906764798</v>
      </c>
      <c r="P85" s="103">
        <f>I168+G174</f>
        <v>4561493.3906764798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68719220.349420577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2.63E-2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2.5499999999999998E-2</v>
      </c>
      <c r="F92" s="175"/>
      <c r="G92" s="176"/>
      <c r="H92" s="174" t="s">
        <v>70</v>
      </c>
      <c r="I92" s="175"/>
      <c r="J92" s="175"/>
      <c r="K92" s="175"/>
      <c r="L92" s="210">
        <f>+L88-L91</f>
        <v>68719220.349420577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2682414.0789615982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4561493.3906764798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5220330.7412306396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-457423.16364359995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-201414.18691055995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4561493.3906764798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5220330.7412306396</v>
      </c>
      <c r="E141" s="101">
        <f>(L58-E58)*D58</f>
        <v>-457423.16364359995</v>
      </c>
      <c r="F141" s="101">
        <f>ROUND(D141+E141,0)</f>
        <v>4762908</v>
      </c>
      <c r="G141" s="145">
        <f>IF(E59&gt;0,0,O168)</f>
        <v>0</v>
      </c>
      <c r="H141" s="101">
        <f>(L59-E59)*D59</f>
        <v>-201414.18691055995</v>
      </c>
      <c r="I141" s="101">
        <f>ROUND(D141+E141+H141,2)</f>
        <v>4561493.3899999997</v>
      </c>
      <c r="J141" s="113">
        <f>I144+I145+I150+I151+I162+I163+I156+I157+I168</f>
        <v>4561493.3906764798</v>
      </c>
      <c r="K141" s="113"/>
      <c r="O141" s="146">
        <f>F141+G141</f>
        <v>4762908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1162.24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682.97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1162.24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682.97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161.03999999999996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5220330.7412306396</v>
      </c>
      <c r="E168" s="134">
        <f>IF(I141&lt;0,0,IF(AND(E59=0,I141&gt;=0),E141-E144-E145-E150-E151,IF(AND(E59&gt;0,I141&gt;=0),E141-E156-E157-E162-E163,0)))</f>
        <v>-457423.16364359995</v>
      </c>
      <c r="F168" s="134"/>
      <c r="G168" s="134"/>
      <c r="H168" s="134">
        <f>IF(I141&lt;0,0,IF(AND(E59=0,I141&gt;=0),H141-H144-H145-H150-H151,IF(AND(E59&gt;0,I141&gt;=0),H141-H156-H157-H162-H163,0)))</f>
        <v>-201414.18691055995</v>
      </c>
      <c r="I168" s="101">
        <f>IF(I141&gt;0,D168+E168+H168,0)</f>
        <v>4561493.3906764798</v>
      </c>
      <c r="L168" s="111"/>
      <c r="M168" s="111"/>
      <c r="N168" s="111"/>
      <c r="O168" s="113">
        <f>L147*D58</f>
        <v>1939929.8191360503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1105.1599999999999</v>
      </c>
      <c r="E169" s="8">
        <f>IF(E168=0,0,IF(I141&lt;0,0,L58-H58-E58))</f>
        <v>-161.03999999999996</v>
      </c>
      <c r="F169" s="8"/>
      <c r="G169" s="8"/>
      <c r="H169" s="8">
        <f>IF(AND(E59=0,H141-I145=0),0,IF(I141&lt;0,0,IF(E59=0,(H168)/D59,IF(E59&gt;0,(H141-H156-H157-H162-H163)/D59,0))))</f>
        <v>-42.639999999999986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4561493.3906764798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-161.03999999999996</v>
      </c>
      <c r="F171" s="101"/>
      <c r="G171" s="101"/>
      <c r="H171" s="101"/>
      <c r="I171" s="136" t="s">
        <v>283</v>
      </c>
      <c r="J171" s="103">
        <f>I144+I145+I168</f>
        <v>4561493.3906764798</v>
      </c>
      <c r="K171" s="103"/>
      <c r="L171" s="103">
        <f>L147+O167</f>
        <v>844.01</v>
      </c>
      <c r="M171" s="103"/>
      <c r="N171" s="103"/>
      <c r="O171" s="115">
        <f>O167*D58+L147*D59+O167*487.11</f>
        <v>3761942.57460798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78444.194399999978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4639937.5850764802</v>
      </c>
      <c r="M173" s="103"/>
      <c r="N173" s="103"/>
      <c r="O173" s="103">
        <f>L147*3232.0676</f>
        <v>2207405.2087719999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442048.00411199994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78444.194399999978</v>
      </c>
      <c r="O175" s="103">
        <f>O173+O174</f>
        <v>2649453.212884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5220330.7412306396</v>
      </c>
      <c r="E177" s="107">
        <f>E144+E145+E150+E151+E162+E163+E156+E157+E168</f>
        <v>-457423.16364359995</v>
      </c>
      <c r="F177" s="107"/>
      <c r="G177" s="107"/>
      <c r="H177" s="107">
        <f>H144+H145+H156+H157+H168</f>
        <v>-201414.18691055995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-353451.88709999999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-20770.370399999993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5220330.7412306396</v>
      </c>
      <c r="E180" s="101">
        <f>E141</f>
        <v>-457423.16364359995</v>
      </c>
      <c r="F180" s="101"/>
      <c r="G180" s="101">
        <f>G141</f>
        <v>0</v>
      </c>
      <c r="H180" s="101">
        <f>H141</f>
        <v>-201414.18691055995</v>
      </c>
      <c r="I180" s="101">
        <f>I141</f>
        <v>4561493.3899999997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19472.79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29.63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20539.900000000001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69.16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44838077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3937292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0.98778355819999997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4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2.46E-2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2.3800000000000002E-2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19472.79</v>
      </c>
      <c r="F57" s="190"/>
      <c r="G57" s="191">
        <f>D169</f>
        <v>1067.1100000000006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20539.900000000001</v>
      </c>
      <c r="K57" s="190">
        <f>IF((+L57-J57)&gt;0,(L57-J57),0)</f>
        <v>0</v>
      </c>
      <c r="L57" s="192">
        <f>I15</f>
        <v>20539.900000000001</v>
      </c>
      <c r="M57" s="102"/>
      <c r="N57" s="102"/>
      <c r="O57" s="102">
        <f>E57+H57+G57</f>
        <v>20539.900000000001</v>
      </c>
      <c r="P57" s="108">
        <f>L57-E57</f>
        <v>1067.1100000000006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29.63</v>
      </c>
      <c r="F58" s="190"/>
      <c r="G58" s="191">
        <f>E169</f>
        <v>39.53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69.16</v>
      </c>
      <c r="K58" s="190">
        <f>IF((+L58-J58)&gt;0,(L58-J58),0)</f>
        <v>0</v>
      </c>
      <c r="L58" s="192">
        <f>I16</f>
        <v>69.16</v>
      </c>
      <c r="M58" s="102"/>
      <c r="N58" s="102"/>
      <c r="O58" s="102">
        <f>IF(E59=0,J58+J59,J58)</f>
        <v>69.16</v>
      </c>
      <c r="P58" s="108">
        <f>L58+L59-E58</f>
        <v>39.53</v>
      </c>
      <c r="Q58" s="1">
        <f>L59*466-(P58)*487.11</f>
        <v>-19255.458300000002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69.16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19502.420000000002</v>
      </c>
      <c r="F61" s="190"/>
      <c r="G61" s="190">
        <f>SUM(G57:G60)</f>
        <v>1106.6400000000006</v>
      </c>
      <c r="H61" s="190">
        <f>SUM(H57:H60)</f>
        <v>0</v>
      </c>
      <c r="I61" s="190">
        <f>SUM(I57:I59)</f>
        <v>0</v>
      </c>
      <c r="J61" s="190">
        <f>SUM(J57:J60)</f>
        <v>20609.060000000001</v>
      </c>
      <c r="K61" s="190">
        <f>SUM(K57:K60)</f>
        <v>0</v>
      </c>
      <c r="L61" s="192">
        <f>SUM(L57:L60)</f>
        <v>20609.060000000001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13609480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91136189.900178134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1124768</v>
      </c>
      <c r="M66" s="163"/>
      <c r="N66" s="163"/>
      <c r="O66" s="152">
        <f>L66/487.11</f>
        <v>2309.0636611853583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5269700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91136189.900178134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91052877.685662538</v>
      </c>
      <c r="F69" s="202"/>
      <c r="G69" s="176"/>
      <c r="H69" s="174" t="s">
        <v>27</v>
      </c>
      <c r="I69" s="175"/>
      <c r="J69" s="175"/>
      <c r="K69" s="175"/>
      <c r="L69" s="203">
        <f>SUM(L65:L67)</f>
        <v>6394468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83312.214515589993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117361423.87445234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104745669.90017813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44838077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1068405.832981817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105814075.73315994</v>
      </c>
      <c r="G79" s="176" t="s">
        <v>29</v>
      </c>
      <c r="H79" s="175" t="s">
        <v>14</v>
      </c>
      <c r="I79" s="175"/>
      <c r="J79" s="175"/>
      <c r="K79" s="175"/>
      <c r="L79" s="213">
        <f>I23</f>
        <v>3937292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48463805.870124958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18688510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5040597.8657159433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115927684.87012497</v>
      </c>
      <c r="M83" s="86"/>
      <c r="N83" s="86"/>
      <c r="O83" s="107">
        <f>G58*D58</f>
        <v>112282.27557645002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0.98778355819999997</v>
      </c>
      <c r="K84" s="175"/>
      <c r="L84" s="210">
        <f>+(1-J84)*L73</f>
        <v>1433739.0043273813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117361423.87445235</v>
      </c>
      <c r="M85" s="86"/>
      <c r="N85" s="86"/>
      <c r="O85" s="107">
        <f>SUM(O82:O84)</f>
        <v>5152880.1412923932</v>
      </c>
      <c r="P85" s="103">
        <f>I168+G174</f>
        <v>5152880.1412923932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48463805.870124958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2.46E-2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2.3800000000000002E-2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48463805.870124958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2191165.549026031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5152880.1412923932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5040597.8657159433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112282.27557645002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5152880.1412923932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4</v>
      </c>
      <c r="J110" s="244">
        <f>SUM(G110:I110)</f>
        <v>4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13609480</v>
      </c>
      <c r="J113" s="242">
        <f>SUM(B113:I113)</f>
        <v>13609480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13609480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5040597.8657159433</v>
      </c>
      <c r="E141" s="101">
        <f>(L58-E58)*D58</f>
        <v>112282.27557645002</v>
      </c>
      <c r="F141" s="101">
        <f>ROUND(D141+E141,0)</f>
        <v>5152880</v>
      </c>
      <c r="G141" s="145">
        <f>IF(E59&gt;0,0,O168)</f>
        <v>0</v>
      </c>
      <c r="H141" s="101">
        <f>(L59-E59)*D59</f>
        <v>0</v>
      </c>
      <c r="I141" s="101">
        <f>ROUND(D141+E141+H141,2)</f>
        <v>5152880.1399999997</v>
      </c>
      <c r="J141" s="113">
        <f>I144+I145+I150+I151+I162+I163+I156+I157+I168</f>
        <v>5152880.1412923932</v>
      </c>
      <c r="K141" s="113"/>
      <c r="O141" s="146">
        <f>F141+G141</f>
        <v>5152880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69.16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69.16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39.53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5040597.8657159433</v>
      </c>
      <c r="E168" s="134">
        <f>IF(I141&lt;0,0,IF(AND(E59=0,I141&gt;=0),E141-E144-E145-E150-E151,IF(AND(E59&gt;0,I141&gt;=0),E141-E156-E157-E162-E163,0)))</f>
        <v>112282.27557645002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5152880.1412923932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1067.1100000000006</v>
      </c>
      <c r="E169" s="8">
        <f>IF(E168=0,0,IF(I141&lt;0,0,L58-H58-E58))</f>
        <v>39.53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5152880.1412923932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39.53</v>
      </c>
      <c r="F171" s="101"/>
      <c r="G171" s="101"/>
      <c r="H171" s="101"/>
      <c r="I171" s="136" t="s">
        <v>283</v>
      </c>
      <c r="J171" s="103">
        <f>I144+I145+I168</f>
        <v>5152880.1412923932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5152880.1412923932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5040597.8657159433</v>
      </c>
      <c r="E177" s="107">
        <f>E144+E145+E150+E151+E162+E163+E156+E157+E168</f>
        <v>112282.27557645002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5040597.8657159433</v>
      </c>
      <c r="E180" s="101">
        <f>E141</f>
        <v>112282.27557645002</v>
      </c>
      <c r="F180" s="101"/>
      <c r="G180" s="101">
        <f>G141</f>
        <v>0</v>
      </c>
      <c r="H180" s="101">
        <f>H141</f>
        <v>0</v>
      </c>
      <c r="I180" s="101">
        <f>I141</f>
        <v>5152880.1399999997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22365.78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749.07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5793.23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22579.45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780.33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5931.15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56987320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7204523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0.98778355790000005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1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1.46E-2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1.43E-2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22365.78</v>
      </c>
      <c r="F57" s="190"/>
      <c r="G57" s="191">
        <f>D169</f>
        <v>213.67000000000189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22579.45</v>
      </c>
      <c r="K57" s="190">
        <f>IF((+L57-J57)&gt;0,(L57-J57),0)</f>
        <v>0</v>
      </c>
      <c r="L57" s="192">
        <f>I15</f>
        <v>22579.45</v>
      </c>
      <c r="M57" s="102"/>
      <c r="N57" s="102"/>
      <c r="O57" s="102">
        <f>E57+H57+G57</f>
        <v>22579.45</v>
      </c>
      <c r="P57" s="108">
        <f>L57-E57</f>
        <v>213.67000000000189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749.07</v>
      </c>
      <c r="F58" s="190"/>
      <c r="G58" s="191">
        <f>E169</f>
        <v>31.259999999999991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780.33</v>
      </c>
      <c r="K58" s="190">
        <f>IF((+L58-J58)&gt;0,(L58-J58),0)</f>
        <v>0</v>
      </c>
      <c r="L58" s="192">
        <f>I16</f>
        <v>780.33</v>
      </c>
      <c r="M58" s="102"/>
      <c r="N58" s="102"/>
      <c r="O58" s="102">
        <f>IF(E59=0,J58+J59,J58)</f>
        <v>780.33</v>
      </c>
      <c r="P58" s="108">
        <f>L58+L59-E58</f>
        <v>5962.41</v>
      </c>
      <c r="Q58" s="1">
        <f>L59*466-(P58)*487.11</f>
        <v>-140433.63510000007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5793.23</v>
      </c>
      <c r="F59" s="190"/>
      <c r="G59" s="191">
        <f>H169</f>
        <v>137.92000000000007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5931.15</v>
      </c>
      <c r="K59" s="190">
        <f>IF((+L59-J59)&gt;0,(L59-J59),0)</f>
        <v>0</v>
      </c>
      <c r="L59" s="192">
        <f>I17</f>
        <v>5931.15</v>
      </c>
      <c r="M59" s="102"/>
      <c r="N59" s="102"/>
      <c r="O59" s="102">
        <f>IF(E59=0,L58+L59,L59)</f>
        <v>5931.15</v>
      </c>
      <c r="P59" s="108">
        <f>L59-E59</f>
        <v>137.92000000000007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28908.079999999998</v>
      </c>
      <c r="F61" s="190"/>
      <c r="G61" s="190">
        <f>SUM(G57:G60)</f>
        <v>382.85000000000196</v>
      </c>
      <c r="H61" s="190">
        <f>SUM(H57:H60)</f>
        <v>0</v>
      </c>
      <c r="I61" s="190">
        <f>SUM(I57:I59)</f>
        <v>0</v>
      </c>
      <c r="J61" s="190">
        <f>SUM(J57:J60)</f>
        <v>29290.93</v>
      </c>
      <c r="K61" s="190">
        <f>SUM(K57:K60)</f>
        <v>0</v>
      </c>
      <c r="L61" s="192">
        <f>SUM(L57:L60)</f>
        <v>29290.93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2889122.4764999999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10207109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-2889122.4764999999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133774999.30695267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1583734</v>
      </c>
      <c r="M66" s="163"/>
      <c r="N66" s="163"/>
      <c r="O66" s="152">
        <f>L66/487.11</f>
        <v>3251.2861571308326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6990382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133774999.30695267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104580218.38085027</v>
      </c>
      <c r="F69" s="202"/>
      <c r="G69" s="176"/>
      <c r="H69" s="174" t="s">
        <v>27</v>
      </c>
      <c r="I69" s="175"/>
      <c r="J69" s="175"/>
      <c r="K69" s="175"/>
      <c r="L69" s="203">
        <f>SUM(L65:L67)</f>
        <v>8574116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2106199.1403035102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27088581.785798889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155774403.27344334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143982108.30695266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56987320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1468617.5047309173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145450725.81168357</v>
      </c>
      <c r="G79" s="176" t="s">
        <v>29</v>
      </c>
      <c r="H79" s="175" t="s">
        <v>14</v>
      </c>
      <c r="I79" s="175"/>
      <c r="J79" s="175"/>
      <c r="K79" s="175"/>
      <c r="L79" s="213">
        <f>I23</f>
        <v>7204523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65226392.295191281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24453159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1009291.025262189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153871394.29519129</v>
      </c>
      <c r="M83" s="86"/>
      <c r="N83" s="86"/>
      <c r="O83" s="107">
        <f>G58*D58</f>
        <v>88791.90322589998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0.98778355790000005</v>
      </c>
      <c r="K84" s="175"/>
      <c r="L84" s="210">
        <f>+(1-J84)*L73</f>
        <v>1903008.9782520628</v>
      </c>
      <c r="M84" s="65"/>
      <c r="N84" s="65"/>
      <c r="O84" s="143">
        <f>G59*D59</f>
        <v>651478.53327168035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155774403.27344334</v>
      </c>
      <c r="M85" s="86"/>
      <c r="N85" s="86"/>
      <c r="O85" s="107">
        <f>SUM(O82:O84)</f>
        <v>1749561.4617597694</v>
      </c>
      <c r="P85" s="103">
        <f>I168+G174</f>
        <v>1749561.4617597694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65226392.295191281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1.46E-2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1.43E-2</v>
      </c>
      <c r="F92" s="175"/>
      <c r="G92" s="176"/>
      <c r="H92" s="174" t="s">
        <v>70</v>
      </c>
      <c r="I92" s="175"/>
      <c r="J92" s="175"/>
      <c r="K92" s="175"/>
      <c r="L92" s="210">
        <f>+L88-L91</f>
        <v>65226392.295191281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1932494.9169723496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1749561.4617597694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1009291.025262189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88791.90322589998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651478.53327168035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1749561.4617597694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1</v>
      </c>
      <c r="H110" s="242">
        <f>H36</f>
        <v>0</v>
      </c>
      <c r="I110" s="242">
        <f>H35</f>
        <v>1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4536493</v>
      </c>
      <c r="H113" s="247">
        <f>H107*H110</f>
        <v>0</v>
      </c>
      <c r="I113" s="247">
        <f>I107*I110</f>
        <v>3402370</v>
      </c>
      <c r="J113" s="242">
        <f>SUM(B113:I113)</f>
        <v>7938863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2268246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10207109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1009291.025262189</v>
      </c>
      <c r="E141" s="101">
        <f>(L58-E58)*D58</f>
        <v>88791.90322589998</v>
      </c>
      <c r="F141" s="101">
        <f>ROUND(D141+E141,0)</f>
        <v>1098083</v>
      </c>
      <c r="G141" s="145">
        <f>IF(E59&gt;0,0,O168)</f>
        <v>0</v>
      </c>
      <c r="H141" s="101">
        <f>(L59-E59)*D59</f>
        <v>651478.53327168035</v>
      </c>
      <c r="I141" s="101">
        <f>ROUND(D141+E141+H141,2)</f>
        <v>1749561.46</v>
      </c>
      <c r="J141" s="113">
        <f>I144+I145+I150+I151+I162+I163+I156+I157+I168</f>
        <v>1749561.4617597694</v>
      </c>
      <c r="K141" s="113"/>
      <c r="O141" s="146">
        <f>F141+G141</f>
        <v>1098083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6711.48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5931.15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6711.48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5962.41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1009291.025262189</v>
      </c>
      <c r="E168" s="134">
        <f>IF(I141&lt;0,0,IF(AND(E59=0,I141&gt;=0),E141-E144-E145-E150-E151,IF(AND(E59&gt;0,I141&gt;=0),E141-E156-E157-E162-E163,0)))</f>
        <v>88791.90322589998</v>
      </c>
      <c r="F168" s="134"/>
      <c r="G168" s="134"/>
      <c r="H168" s="134">
        <f>IF(I141&lt;0,0,IF(AND(E59=0,I141&gt;=0),H141-H144-H145-H150-H151,IF(AND(E59&gt;0,I141&gt;=0),H141-H156-H157-H162-H163,0)))</f>
        <v>651478.53327168035</v>
      </c>
      <c r="I168" s="101">
        <f>IF(I141&gt;0,D168+E168+H168,0)</f>
        <v>1749561.4617597694</v>
      </c>
      <c r="L168" s="111"/>
      <c r="M168" s="111"/>
      <c r="N168" s="111"/>
      <c r="O168" s="113">
        <f>L147*D58</f>
        <v>16847028.049209751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213.67000000000189</v>
      </c>
      <c r="E169" s="8">
        <f>IF(E168=0,0,IF(I141&lt;0,0,L58-H58-E58))</f>
        <v>31.259999999999991</v>
      </c>
      <c r="F169" s="8"/>
      <c r="G169" s="8"/>
      <c r="H169" s="8">
        <f>IF(AND(E59=0,H141-I145=0),0,IF(I141&lt;0,0,IF(E59=0,(H168)/D59,IF(E59&gt;0,(H141-H156-H157-H162-H163)/D59,0))))</f>
        <v>137.92000000000007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1749561.4617597694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31.259999999999991</v>
      </c>
      <c r="F171" s="101"/>
      <c r="G171" s="101"/>
      <c r="H171" s="101"/>
      <c r="I171" s="136" t="s">
        <v>283</v>
      </c>
      <c r="J171" s="103">
        <f>I144+I145+I168</f>
        <v>1749561.4617597694</v>
      </c>
      <c r="K171" s="103"/>
      <c r="L171" s="103">
        <f>L147+O167</f>
        <v>5931.15</v>
      </c>
      <c r="M171" s="103"/>
      <c r="N171" s="103"/>
      <c r="O171" s="115">
        <f>O167*D58+L147*D59+O167*487.11</f>
        <v>28016363.853062101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1749561.4617597694</v>
      </c>
      <c r="M173" s="103"/>
      <c r="N173" s="103"/>
      <c r="O173" s="103">
        <f>L147*3232.0676</f>
        <v>19169877.745739996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19169877.745739996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1009291.025262189</v>
      </c>
      <c r="E177" s="107">
        <f>E144+E145+E150+E151+E162+E163+E156+E157+E168</f>
        <v>88791.90322589998</v>
      </c>
      <c r="F177" s="107"/>
      <c r="G177" s="107"/>
      <c r="H177" s="107">
        <f>H144+H145+H156+H157+H168</f>
        <v>651478.53327168035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-2821940.2653000001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67182.211200000034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1009291.025262189</v>
      </c>
      <c r="E180" s="101">
        <f>E141</f>
        <v>88791.90322589998</v>
      </c>
      <c r="F180" s="101"/>
      <c r="G180" s="101">
        <f>G141</f>
        <v>0</v>
      </c>
      <c r="H180" s="101">
        <f>H141</f>
        <v>651478.53327168035</v>
      </c>
      <c r="I180" s="101">
        <f>I141</f>
        <v>1749561.46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202"/>
  <sheetViews>
    <sheetView topLeftCell="A73" workbookViewId="0">
      <selection activeCell="L99" sqref="L99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8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8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8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8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8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8"/>
      <c r="H10" s="23"/>
      <c r="I10" s="109">
        <v>3889.96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8"/>
      <c r="H11" s="23"/>
      <c r="I11" s="118">
        <v>70.069999999999993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8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8"/>
      <c r="H13" s="23"/>
      <c r="I13" s="158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8"/>
      <c r="H15" s="23"/>
      <c r="I15" s="109">
        <v>3374.13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8"/>
      <c r="H16" s="23"/>
      <c r="I16" s="109">
        <v>19.82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26.97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8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8"/>
      <c r="H20" s="23"/>
      <c r="I20" s="46">
        <v>10228075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8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8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8"/>
      <c r="H23" s="23"/>
      <c r="I23" s="46">
        <v>1085185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8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8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8"/>
      <c r="I27" s="44">
        <f>+L99</f>
        <v>3581437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0.98778356160000003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1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8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3889.96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-515.82999999999993</v>
      </c>
      <c r="J57" s="190">
        <f>SUM(E57:I57)</f>
        <v>3374.13</v>
      </c>
      <c r="K57" s="190">
        <f>IF((+L57-J57)&gt;0,(L57-J57),0)</f>
        <v>0</v>
      </c>
      <c r="L57" s="192">
        <f>I15</f>
        <v>3374.13</v>
      </c>
      <c r="M57" s="102"/>
      <c r="N57" s="102"/>
      <c r="O57" s="102">
        <f>E57+H57+G57</f>
        <v>3889.96</v>
      </c>
      <c r="P57" s="108">
        <f>L57-E57</f>
        <v>-515.82999999999993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70.069999999999993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-50.249999999999986</v>
      </c>
      <c r="J58" s="190">
        <f>E58+H58+G58+I58</f>
        <v>19.820000000000007</v>
      </c>
      <c r="K58" s="190">
        <f>IF((+L58-J58)&gt;0,(L58-J58),0)</f>
        <v>0</v>
      </c>
      <c r="L58" s="192">
        <f>I16</f>
        <v>19.82</v>
      </c>
      <c r="M58" s="102"/>
      <c r="N58" s="102"/>
      <c r="O58" s="102">
        <f>IF(E59=0,J58+J59,J58)</f>
        <v>46.790000000000006</v>
      </c>
      <c r="P58" s="108">
        <f>L58+L59-E58</f>
        <v>-23.279999999999994</v>
      </c>
      <c r="Q58" s="1">
        <f>L59*466-(P58)*487.11</f>
        <v>23907.940799999997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26.97</v>
      </c>
      <c r="J59" s="190">
        <f>E59+H59+G59+I59</f>
        <v>26.97</v>
      </c>
      <c r="K59" s="190">
        <f>IF((+L59-J59)&gt;0,(L59-J59),0)</f>
        <v>0</v>
      </c>
      <c r="L59" s="192">
        <f>I17</f>
        <v>26.97</v>
      </c>
      <c r="M59" s="102"/>
      <c r="N59" s="102"/>
      <c r="O59" s="102">
        <f>IF(E59=0,L58+L59,L59)</f>
        <v>46.79</v>
      </c>
      <c r="P59" s="108">
        <f>L59-E59</f>
        <v>26.97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3960.03</v>
      </c>
      <c r="F61" s="190"/>
      <c r="G61" s="190">
        <f>SUM(G57:G60)</f>
        <v>0</v>
      </c>
      <c r="H61" s="190">
        <f>SUM(H57:H60)</f>
        <v>0</v>
      </c>
      <c r="I61" s="190">
        <f>SUM(I57:I59)</f>
        <v>-539.1099999999999</v>
      </c>
      <c r="J61" s="190">
        <f>SUM(J57:J60)</f>
        <v>3420.92</v>
      </c>
      <c r="K61" s="190">
        <f>SUM(K57:K60)</f>
        <v>0</v>
      </c>
      <c r="L61" s="192">
        <f>SUM(L57:L60)</f>
        <v>3420.92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13137.3567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4820025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2438772.1031316901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18386095.204175472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186520</v>
      </c>
      <c r="M66" s="163"/>
      <c r="N66" s="163"/>
      <c r="O66" s="152">
        <f>L66/487.11</f>
        <v>382.91145737102499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1542478</v>
      </c>
      <c r="M67" s="163"/>
      <c r="N67" s="163"/>
      <c r="O67" s="13"/>
      <c r="P67" s="139">
        <f>I57*D57</f>
        <v>-2436573.17153082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18386095.204175472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-142731.70624124998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18189075.735018961</v>
      </c>
      <c r="F69" s="202"/>
      <c r="G69" s="176"/>
      <c r="H69" s="174" t="s">
        <v>27</v>
      </c>
      <c r="I69" s="175"/>
      <c r="J69" s="175"/>
      <c r="K69" s="175"/>
      <c r="L69" s="203">
        <f>SUM(L65:L67)</f>
        <v>1728998</v>
      </c>
      <c r="M69" s="165"/>
      <c r="N69" s="165"/>
      <c r="O69" s="155"/>
      <c r="P69" s="138">
        <f>IF(AND(E59=0,L71&gt;0),(I59+L147)*D58,IF(AND(E59&gt;0,L71&gt;0),I59*D59,0))</f>
        <v>76606.450096050001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197019.46915650999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-2502698.4276760202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2451909.45983169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-2427152.4955051197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25171820.639130477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20778967.708670352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10228075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211945.47062843762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20990913.179298788</v>
      </c>
      <c r="G79" s="176" t="s">
        <v>29</v>
      </c>
      <c r="H79" s="175" t="s">
        <v>14</v>
      </c>
      <c r="I79" s="175"/>
      <c r="J79" s="175"/>
      <c r="K79" s="175"/>
      <c r="L79" s="213">
        <f>I23</f>
        <v>1085185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9586623.6428766921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3964427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24864310.642876692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0.98778356160000003</v>
      </c>
      <c r="K84" s="175"/>
      <c r="L84" s="210">
        <f>+(1-J84)*L73</f>
        <v>307509.99625378544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25171820.639130477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9586623.6428766921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9586623.6428766921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185736.33441957392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2871922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709515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3581437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1</v>
      </c>
      <c r="E124" s="252">
        <f>J39</f>
        <v>1</v>
      </c>
      <c r="F124" s="252">
        <f>J40</f>
        <v>0</v>
      </c>
      <c r="G124" s="244"/>
      <c r="H124" s="183">
        <f>SUM(B124:F124)</f>
        <v>2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567062</v>
      </c>
      <c r="E127" s="238">
        <f>E121*E124</f>
        <v>283531</v>
      </c>
      <c r="F127" s="238">
        <f>F121*F124</f>
        <v>0</v>
      </c>
      <c r="G127" s="169"/>
      <c r="H127" s="253">
        <f>SUM(B127:F127)</f>
        <v>850593</v>
      </c>
      <c r="I127" s="169"/>
      <c r="J127" s="251">
        <f>H118+H127</f>
        <v>850593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4820025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3581437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-2436573.17153082</v>
      </c>
      <c r="E141" s="101">
        <f>(L58-E58)*D58</f>
        <v>-142731.70624124998</v>
      </c>
      <c r="F141" s="101">
        <f>ROUND(D141+E141,0)</f>
        <v>-2579305</v>
      </c>
      <c r="G141" s="145">
        <f>IF(E59&gt;0,0,O168)</f>
        <v>0</v>
      </c>
      <c r="H141" s="101">
        <f>(L59-E59)*D59</f>
        <v>127395.41794038001</v>
      </c>
      <c r="I141" s="101">
        <f>ROUND(D141+E141+H141,2)</f>
        <v>-2451909.46</v>
      </c>
      <c r="J141" s="113">
        <f>I144+I145+I150+I151+I162+I163+I156+I157+I168</f>
        <v>0</v>
      </c>
      <c r="K141" s="113"/>
      <c r="O141" s="146">
        <f>F141+G141</f>
        <v>-2579305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46.79</v>
      </c>
      <c r="M145" s="81"/>
      <c r="N145" s="81"/>
      <c r="O145" s="104">
        <f>D138/(D141+O168)*D141</f>
        <v>3581437.0000000005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46.79</v>
      </c>
      <c r="M151" s="81"/>
      <c r="N151" s="81"/>
      <c r="O151" s="104">
        <f>D138/(D141+O168)*D141</f>
        <v>3581437.0000000005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-23.279999999999994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3559035.7034341004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26.97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26.97</v>
      </c>
      <c r="M171" s="103"/>
      <c r="N171" s="103"/>
      <c r="O171" s="115">
        <f>O167*D58+L147*D59+O167*487.11</f>
        <v>89743.806796050005</v>
      </c>
    </row>
    <row r="172" spans="1:16">
      <c r="A172" s="23"/>
      <c r="B172" s="2" t="s">
        <v>247</v>
      </c>
      <c r="D172" s="8">
        <f>IF(I141&lt;0,D141/D57,0)</f>
        <v>-515.82999999999993</v>
      </c>
      <c r="E172" s="8">
        <f>IF(I141&lt;0,E141/D58,0)</f>
        <v>-50.249999999999986</v>
      </c>
      <c r="F172" s="8"/>
      <c r="G172" s="8"/>
      <c r="H172" s="8">
        <f>IF(I141&lt;0,H141/D59,0)</f>
        <v>26.97</v>
      </c>
      <c r="I172" s="137">
        <f>IF(AND(E59=0,L71&gt;0),-D172*D57-E172*D58-(H172+L147)*D58,IF(AND(E59&gt;0,L71&gt;0),-D172*D57-E172*D58-H172*D59,0))</f>
        <v>2502698.4276760202</v>
      </c>
      <c r="J172" s="103"/>
      <c r="K172" s="103"/>
      <c r="L172" s="119">
        <f>O167*487.11</f>
        <v>13137.3567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13137.3567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74031.511866000001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13137.3567</v>
      </c>
      <c r="O175" s="103">
        <f>O173+O174</f>
        <v>74031.511866000001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-2436573.17153082</v>
      </c>
      <c r="E180" s="101">
        <f>E141</f>
        <v>-142731.70624124998</v>
      </c>
      <c r="F180" s="101"/>
      <c r="G180" s="101">
        <f>G141</f>
        <v>0</v>
      </c>
      <c r="H180" s="101">
        <f>H141</f>
        <v>127395.41794038001</v>
      </c>
      <c r="I180" s="101">
        <f>I141</f>
        <v>-2451909.46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pageSetup scale="75" fitToHeight="4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12391.4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238.05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46.99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12488.92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210.02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45.21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6086736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3171280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0.98778355829999998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12391.4</v>
      </c>
      <c r="F57" s="190"/>
      <c r="G57" s="191">
        <f>D169</f>
        <v>97.520000000000437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12488.92</v>
      </c>
      <c r="K57" s="190">
        <f>IF((+L57-J57)&gt;0,(L57-J57),0)</f>
        <v>0</v>
      </c>
      <c r="L57" s="192">
        <f>I15</f>
        <v>12488.92</v>
      </c>
      <c r="M57" s="102"/>
      <c r="N57" s="102"/>
      <c r="O57" s="102">
        <f>E57+H57+G57</f>
        <v>12488.92</v>
      </c>
      <c r="P57" s="108">
        <f>L57-E57</f>
        <v>97.520000000000437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238.05</v>
      </c>
      <c r="F58" s="190"/>
      <c r="G58" s="191">
        <f>E169</f>
        <v>-28.03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210.02</v>
      </c>
      <c r="K58" s="190">
        <f>IF((+L58-J58)&gt;0,(L58-J58),0)</f>
        <v>0</v>
      </c>
      <c r="L58" s="192">
        <f>I16</f>
        <v>210.02</v>
      </c>
      <c r="M58" s="102"/>
      <c r="N58" s="102"/>
      <c r="O58" s="102">
        <f>IF(E59=0,J58+J59,J58)</f>
        <v>210.02</v>
      </c>
      <c r="P58" s="108">
        <f>L58+L59-E58</f>
        <v>17.180000000000007</v>
      </c>
      <c r="Q58" s="1">
        <f>L59*466-(P58)*487.11</f>
        <v>12699.310199999996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46.99</v>
      </c>
      <c r="F59" s="190"/>
      <c r="G59" s="191">
        <f>H169</f>
        <v>-1.7800000000000011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45.21</v>
      </c>
      <c r="K59" s="190">
        <f>IF((+L59-J59)&gt;0,(L59-J59),0)</f>
        <v>0</v>
      </c>
      <c r="L59" s="192">
        <f>I17</f>
        <v>45.21</v>
      </c>
      <c r="M59" s="102"/>
      <c r="N59" s="102"/>
      <c r="O59" s="102">
        <f>IF(E59=0,L58+L59,L59)</f>
        <v>45.21</v>
      </c>
      <c r="P59" s="108">
        <f>L59-E59</f>
        <v>-1.7800000000000011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12676.439999999999</v>
      </c>
      <c r="F61" s="190"/>
      <c r="G61" s="190">
        <f>SUM(G57:G60)</f>
        <v>67.710000000000434</v>
      </c>
      <c r="H61" s="190">
        <f>SUM(H57:H60)</f>
        <v>0</v>
      </c>
      <c r="I61" s="190">
        <f>SUM(I57:I59)</f>
        <v>0</v>
      </c>
      <c r="J61" s="190">
        <f>SUM(J57:J60)</f>
        <v>12744.15</v>
      </c>
      <c r="K61" s="190">
        <f>SUM(K57:K60)</f>
        <v>0</v>
      </c>
      <c r="L61" s="192">
        <f>SUM(L57:L60)</f>
        <v>12744.15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22022.2431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-22022.2431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58830043.02610562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691886</v>
      </c>
      <c r="M66" s="163"/>
      <c r="N66" s="163"/>
      <c r="O66" s="152">
        <f>L66/487.11</f>
        <v>1420.3896450493728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3057597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58830043.02610562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57940984.756376401</v>
      </c>
      <c r="F69" s="202"/>
      <c r="G69" s="176"/>
      <c r="H69" s="174" t="s">
        <v>27</v>
      </c>
      <c r="I69" s="175"/>
      <c r="J69" s="175"/>
      <c r="K69" s="175"/>
      <c r="L69" s="203">
        <f>SUM(L65:L67)</f>
        <v>3749483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669337.58573865006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219720.68399057002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68134977.586690903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63366536.02610562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6086736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646338.66746627737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64012874.693571895</v>
      </c>
      <c r="G79" s="176" t="s">
        <v>29</v>
      </c>
      <c r="H79" s="175" t="s">
        <v>14</v>
      </c>
      <c r="I79" s="175"/>
      <c r="J79" s="175"/>
      <c r="K79" s="175"/>
      <c r="L79" s="213">
        <f>I23</f>
        <v>3171280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47352200.605272286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10692394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460645.20421008207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67302610.605272293</v>
      </c>
      <c r="M83" s="86"/>
      <c r="N83" s="86"/>
      <c r="O83" s="107">
        <f>G58*D58</f>
        <v>-79617.307978950004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0.98778355829999998</v>
      </c>
      <c r="K84" s="175"/>
      <c r="L84" s="210">
        <f>+(1-J84)*L73</f>
        <v>832366.98141861777</v>
      </c>
      <c r="M84" s="65"/>
      <c r="N84" s="65"/>
      <c r="O84" s="143">
        <f>G59*D59</f>
        <v>-8408.0031121200063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68134977.586690918</v>
      </c>
      <c r="M85" s="86"/>
      <c r="N85" s="86"/>
      <c r="O85" s="107">
        <f>SUM(O82:O84)</f>
        <v>372619.89311901206</v>
      </c>
      <c r="P85" s="103">
        <f>I168+G174</f>
        <v>372619.89311901206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47352200.605272286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47352200.605272286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594301.09677449311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372619.89311901206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460645.20421008207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-79617.307978950004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-8408.0031121200063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372619.89311901206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460645.20421008207</v>
      </c>
      <c r="E141" s="101">
        <f>(L58-E58)*D58</f>
        <v>-79617.307978950004</v>
      </c>
      <c r="F141" s="101">
        <f>ROUND(D141+E141,0)</f>
        <v>381028</v>
      </c>
      <c r="G141" s="145">
        <f>IF(E59&gt;0,0,O168)</f>
        <v>0</v>
      </c>
      <c r="H141" s="101">
        <f>(L59-E59)*D59</f>
        <v>-8408.0031121200063</v>
      </c>
      <c r="I141" s="101">
        <f>ROUND(D141+E141+H141,2)</f>
        <v>372619.89</v>
      </c>
      <c r="J141" s="113">
        <f>I144+I145+I150+I151+I162+I163+I156+I157+I168</f>
        <v>372619.89311901206</v>
      </c>
      <c r="K141" s="113"/>
      <c r="O141" s="146">
        <f>F141+G141</f>
        <v>381028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255.23000000000002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17.180000000000007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255.23000000000002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17.180000000000007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28.029999999999994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460645.20421008207</v>
      </c>
      <c r="E168" s="134">
        <f>IF(I141&lt;0,0,IF(AND(E59=0,I141&gt;=0),E141-E144-E145-E150-E151,IF(AND(E59&gt;0,I141&gt;=0),E141-E156-E157-E162-E163,0)))</f>
        <v>-79617.307978950004</v>
      </c>
      <c r="F168" s="134"/>
      <c r="G168" s="134"/>
      <c r="H168" s="134">
        <f>IF(I141&lt;0,0,IF(AND(E59=0,I141&gt;=0),H141-H144-H145-H150-H151,IF(AND(E59&gt;0,I141&gt;=0),H141-H156-H157-H162-H163,0)))</f>
        <v>-8408.0031121200063</v>
      </c>
      <c r="I168" s="101">
        <f>IF(I141&gt;0,D168+E168+H168,0)</f>
        <v>372619.89311901206</v>
      </c>
      <c r="L168" s="111"/>
      <c r="M168" s="111"/>
      <c r="N168" s="111"/>
      <c r="O168" s="113">
        <f>L147*D58</f>
        <v>48798.621158700022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97.520000000000437</v>
      </c>
      <c r="E169" s="8">
        <f>IF(E168=0,0,IF(I141&lt;0,0,L58-H58-E58))</f>
        <v>-28.03</v>
      </c>
      <c r="F169" s="8"/>
      <c r="G169" s="8"/>
      <c r="H169" s="8">
        <f>IF(AND(E59=0,H141-I145=0),0,IF(I141&lt;0,0,IF(E59=0,(H168)/D59,IF(E59&gt;0,(H141-H156-H157-H162-H163)/D59,0))))</f>
        <v>-1.7800000000000011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372619.89311901206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-28.03</v>
      </c>
      <c r="F171" s="101"/>
      <c r="G171" s="101"/>
      <c r="H171" s="101"/>
      <c r="I171" s="136" t="s">
        <v>283</v>
      </c>
      <c r="J171" s="103">
        <f>I144+I145+I168</f>
        <v>372619.89311901206</v>
      </c>
      <c r="K171" s="103"/>
      <c r="L171" s="103">
        <f>L147+O167</f>
        <v>45.21</v>
      </c>
      <c r="M171" s="103"/>
      <c r="N171" s="103"/>
      <c r="O171" s="115">
        <f>O167*D58+L147*D59+O167*487.11</f>
        <v>174422.40210266999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13653.693299999997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386273.58641901205</v>
      </c>
      <c r="M173" s="103"/>
      <c r="N173" s="103"/>
      <c r="O173" s="103">
        <f>L147*3232.0676</f>
        <v>55526.921368000018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76941.167133999988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13653.693299999997</v>
      </c>
      <c r="O175" s="103">
        <f>O173+O174</f>
        <v>132468.088502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460645.20421008207</v>
      </c>
      <c r="E177" s="107">
        <f>E144+E145+E150+E151+E162+E163+E156+E157+E168</f>
        <v>-79617.307978950004</v>
      </c>
      <c r="F177" s="107"/>
      <c r="G177" s="107"/>
      <c r="H177" s="107">
        <f>H144+H145+H156+H157+H168</f>
        <v>-8408.0031121200063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-9235.6056000000044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-867.05580000000054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460645.20421008207</v>
      </c>
      <c r="E180" s="101">
        <f>E141</f>
        <v>-79617.307978950004</v>
      </c>
      <c r="F180" s="101"/>
      <c r="G180" s="101">
        <f>G141</f>
        <v>0</v>
      </c>
      <c r="H180" s="101">
        <f>H141</f>
        <v>-8408.0031121200063</v>
      </c>
      <c r="I180" s="101">
        <f>I141</f>
        <v>372619.89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26882.832999999999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156.86000000000001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28419.02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91.83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32608233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8660636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0.98778355659999995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4.0300000000000002E-2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3.8800000000000001E-2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26882.832999999999</v>
      </c>
      <c r="F57" s="190"/>
      <c r="G57" s="191">
        <f>D169</f>
        <v>1536.1870000000017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28419.02</v>
      </c>
      <c r="K57" s="190">
        <f>IF((+L57-J57)&gt;0,(L57-J57),0)</f>
        <v>0</v>
      </c>
      <c r="L57" s="192">
        <f>I15</f>
        <v>28419.02</v>
      </c>
      <c r="M57" s="102"/>
      <c r="N57" s="102"/>
      <c r="O57" s="102">
        <f>E57+H57+G57</f>
        <v>28419.02</v>
      </c>
      <c r="P57" s="108">
        <f>L57-E57</f>
        <v>1536.1870000000017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156.86000000000001</v>
      </c>
      <c r="F58" s="190"/>
      <c r="G58" s="191">
        <f>E169</f>
        <v>-65.030000000000015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91.83</v>
      </c>
      <c r="K58" s="190">
        <f>IF((+L58-J58)&gt;0,(L58-J58),0)</f>
        <v>0</v>
      </c>
      <c r="L58" s="192">
        <f>I16</f>
        <v>91.83</v>
      </c>
      <c r="M58" s="102"/>
      <c r="N58" s="102"/>
      <c r="O58" s="102">
        <f>IF(E59=0,J58+J59,J58)</f>
        <v>91.83</v>
      </c>
      <c r="P58" s="108">
        <f>L58+L59-E58</f>
        <v>-65.030000000000015</v>
      </c>
      <c r="Q58" s="1">
        <f>L59*466-(P58)*487.11</f>
        <v>31676.76330000001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91.83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27039.692999999999</v>
      </c>
      <c r="F61" s="190"/>
      <c r="G61" s="190">
        <f>SUM(G57:G60)</f>
        <v>1471.1570000000017</v>
      </c>
      <c r="H61" s="190">
        <f>SUM(H57:H60)</f>
        <v>0</v>
      </c>
      <c r="I61" s="190">
        <f>SUM(I57:I59)</f>
        <v>0</v>
      </c>
      <c r="J61" s="190">
        <f>SUM(J57:J60)</f>
        <v>28510.850000000002</v>
      </c>
      <c r="K61" s="190">
        <f>SUM(K57:K60)</f>
        <v>0</v>
      </c>
      <c r="L61" s="192">
        <f>SUM(L57:L60)</f>
        <v>28510.850000000002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10774172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126142571.60546063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1556103</v>
      </c>
      <c r="M66" s="163"/>
      <c r="N66" s="163"/>
      <c r="O66" s="152">
        <f>L66/487.11</f>
        <v>3194.5618032887846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6904172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126142571.60546063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125701520.17215265</v>
      </c>
      <c r="F69" s="202"/>
      <c r="G69" s="176"/>
      <c r="H69" s="174" t="s">
        <v>27</v>
      </c>
      <c r="I69" s="175"/>
      <c r="J69" s="175"/>
      <c r="K69" s="175"/>
      <c r="L69" s="203">
        <f>SUM(L65:L67)</f>
        <v>8460275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441051.43330798007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153845184.7943829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136916743.60546064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32608233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1396550.7847756986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138313294.39023635</v>
      </c>
      <c r="G79" s="176" t="s">
        <v>29</v>
      </c>
      <c r="H79" s="175" t="s">
        <v>14</v>
      </c>
      <c r="I79" s="175"/>
      <c r="J79" s="175"/>
      <c r="K79" s="175"/>
      <c r="L79" s="213">
        <f>I23</f>
        <v>8660636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86800907.801979765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23895967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7256328.6948305061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151965743.80197978</v>
      </c>
      <c r="M83" s="86"/>
      <c r="N83" s="86"/>
      <c r="O83" s="107">
        <f>G58*D58</f>
        <v>-184713.29068395006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0.98778355659999995</v>
      </c>
      <c r="K84" s="175"/>
      <c r="L84" s="210">
        <f>+(1-J84)*L73</f>
        <v>1879440.9924031277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153845184.7943829</v>
      </c>
      <c r="M85" s="86"/>
      <c r="N85" s="86"/>
      <c r="O85" s="107">
        <f>SUM(O82:O84)</f>
        <v>7071615.4041465558</v>
      </c>
      <c r="P85" s="103">
        <f>I168+G174</f>
        <v>7071615.4041465558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86800907.801979765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4.0300000000000002E-2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3.8800000000000001E-2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86800907.801979765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4944253.9803069346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7071615.4041465558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7256328.6948305061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-184713.29068395006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7071615.4041465558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2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6804740</v>
      </c>
      <c r="J113" s="242">
        <f>SUM(B113:I113)</f>
        <v>10774172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10774172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7256328.6948305061</v>
      </c>
      <c r="E141" s="101">
        <f>(L58-E58)*D58</f>
        <v>-184713.29068395006</v>
      </c>
      <c r="F141" s="101">
        <f>ROUND(D141+E141,0)</f>
        <v>7071615</v>
      </c>
      <c r="G141" s="145">
        <f>IF(E59&gt;0,0,O168)</f>
        <v>0</v>
      </c>
      <c r="H141" s="101">
        <f>(L59-E59)*D59</f>
        <v>0</v>
      </c>
      <c r="I141" s="101">
        <f>ROUND(D141+E141+H141,2)</f>
        <v>7071615.4000000004</v>
      </c>
      <c r="J141" s="113">
        <f>I144+I145+I150+I151+I162+I163+I156+I157+I168</f>
        <v>7071615.4041465558</v>
      </c>
      <c r="K141" s="113"/>
      <c r="O141" s="146">
        <f>F141+G141</f>
        <v>7071615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91.83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91.83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-65.030000000000015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7256328.6948305061</v>
      </c>
      <c r="E168" s="134">
        <f>IF(I141&lt;0,0,IF(AND(E59=0,I141&gt;=0),E141-E144-E145-E150-E151,IF(AND(E59&gt;0,I141&gt;=0),E141-E156-E157-E162-E163,0)))</f>
        <v>-184713.29068395006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7071615.4041465558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1536.1870000000017</v>
      </c>
      <c r="E169" s="8">
        <f>IF(E168=0,0,IF(I141&lt;0,0,L58-H58-E58))</f>
        <v>-65.030000000000015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7071615.4041465558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-65.030000000000015</v>
      </c>
      <c r="F171" s="101"/>
      <c r="G171" s="101"/>
      <c r="H171" s="101"/>
      <c r="I171" s="136" t="s">
        <v>283</v>
      </c>
      <c r="J171" s="103">
        <f>I144+I145+I168</f>
        <v>7071615.4041465558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7071615.4041465558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7256328.6948305061</v>
      </c>
      <c r="E177" s="107">
        <f>E144+E145+E150+E151+E162+E163+E156+E157+E168</f>
        <v>-184713.29068395006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7256328.6948305061</v>
      </c>
      <c r="E180" s="101">
        <f>E141</f>
        <v>-184713.29068395006</v>
      </c>
      <c r="F180" s="101"/>
      <c r="G180" s="101">
        <f>G141</f>
        <v>0</v>
      </c>
      <c r="H180" s="101">
        <f>H141</f>
        <v>0</v>
      </c>
      <c r="I180" s="101">
        <f>I141</f>
        <v>7071615.4000000004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11293.43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0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11632.97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23.69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6353445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2287698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0.98778356379999999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3.4000000000000002E-2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3.2800000000000003E-2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11293.43</v>
      </c>
      <c r="F57" s="190"/>
      <c r="G57" s="191">
        <f>D169</f>
        <v>339.53999999999905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11632.97</v>
      </c>
      <c r="K57" s="190">
        <f>IF((+L57-J57)&gt;0,(L57-J57),0)</f>
        <v>0</v>
      </c>
      <c r="L57" s="192">
        <f>I15</f>
        <v>11632.97</v>
      </c>
      <c r="M57" s="102"/>
      <c r="N57" s="102"/>
      <c r="O57" s="102">
        <f>E57+H57+G57</f>
        <v>11632.97</v>
      </c>
      <c r="P57" s="108">
        <f>L57-E57</f>
        <v>339.53999999999905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0</v>
      </c>
      <c r="F58" s="190"/>
      <c r="G58" s="191">
        <f>E169</f>
        <v>23.69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23.69</v>
      </c>
      <c r="K58" s="190">
        <f>IF((+L58-J58)&gt;0,(L58-J58),0)</f>
        <v>0</v>
      </c>
      <c r="L58" s="192">
        <f>I16</f>
        <v>23.69</v>
      </c>
      <c r="M58" s="102"/>
      <c r="N58" s="102"/>
      <c r="O58" s="102">
        <f>IF(E59=0,J58+J59,J58)</f>
        <v>23.69</v>
      </c>
      <c r="P58" s="108">
        <f>L58+L59-E58</f>
        <v>23.69</v>
      </c>
      <c r="Q58" s="1">
        <f>L59*466-(P58)*487.11</f>
        <v>-11539.635900000001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23.69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11293.43</v>
      </c>
      <c r="F61" s="190"/>
      <c r="G61" s="190">
        <f>SUM(G57:G60)</f>
        <v>363.22999999999905</v>
      </c>
      <c r="H61" s="190">
        <f>SUM(H57:H60)</f>
        <v>0</v>
      </c>
      <c r="I61" s="190">
        <f>SUM(I57:I59)</f>
        <v>0</v>
      </c>
      <c r="J61" s="190">
        <f>SUM(J57:J60)</f>
        <v>11656.66</v>
      </c>
      <c r="K61" s="190">
        <f>SUM(K57:K60)</f>
        <v>0</v>
      </c>
      <c r="L61" s="192">
        <f>SUM(L57:L60)</f>
        <v>11656.66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52806983.510919183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636515</v>
      </c>
      <c r="M66" s="163"/>
      <c r="N66" s="163"/>
      <c r="O66" s="152">
        <f>L66/487.11</f>
        <v>1306.7171686066802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2884724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52806983.510919183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52806983.510919183</v>
      </c>
      <c r="F69" s="202"/>
      <c r="G69" s="176"/>
      <c r="H69" s="174" t="s">
        <v>27</v>
      </c>
      <c r="I69" s="175"/>
      <c r="J69" s="175"/>
      <c r="K69" s="175"/>
      <c r="L69" s="203">
        <f>SUM(L65:L67)</f>
        <v>3521239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0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64266450.070804566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58477599.510919183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6353445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596471.51501137577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59074071.025930561</v>
      </c>
      <c r="G79" s="176" t="s">
        <v>29</v>
      </c>
      <c r="H79" s="175" t="s">
        <v>14</v>
      </c>
      <c r="I79" s="175"/>
      <c r="J79" s="175"/>
      <c r="K79" s="175"/>
      <c r="L79" s="213">
        <f>I23</f>
        <v>2287698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44639099.083714098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10201101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1603850.2116231555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63481343.083714098</v>
      </c>
      <c r="M83" s="86"/>
      <c r="N83" s="86"/>
      <c r="O83" s="107">
        <f>G58*D58</f>
        <v>67289.833250850003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0.98778356379999999</v>
      </c>
      <c r="K84" s="175"/>
      <c r="L84" s="210">
        <f>+(1-J84)*L73</f>
        <v>785106.98709047039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64266450.070804566</v>
      </c>
      <c r="M85" s="86"/>
      <c r="N85" s="86"/>
      <c r="O85" s="107">
        <f>SUM(O82:O84)</f>
        <v>1671140.0448740055</v>
      </c>
      <c r="P85" s="103">
        <f>I168+G174</f>
        <v>1671140.0448740055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44639099.083714098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3.4000000000000002E-2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3.2800000000000003E-2</v>
      </c>
      <c r="F92" s="175"/>
      <c r="G92" s="176"/>
      <c r="H92" s="174" t="s">
        <v>70</v>
      </c>
      <c r="I92" s="175"/>
      <c r="J92" s="175"/>
      <c r="K92" s="175"/>
      <c r="L92" s="210">
        <f>+L88-L91</f>
        <v>44639099.083714098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1749736.1699087122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1671140.0448740055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1603850.2116231555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67289.833250850003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1671140.0448740055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1603850.2116231555</v>
      </c>
      <c r="E141" s="101">
        <f>(L58-E58)*D58</f>
        <v>67289.833250850003</v>
      </c>
      <c r="F141" s="101">
        <f>ROUND(D141+E141,0)</f>
        <v>1671140</v>
      </c>
      <c r="G141" s="145">
        <f>IF(E59&gt;0,0,O168)</f>
        <v>0</v>
      </c>
      <c r="H141" s="101">
        <f>(L59-E59)*D59</f>
        <v>0</v>
      </c>
      <c r="I141" s="101">
        <f>ROUND(D141+E141+H141,2)</f>
        <v>1671140.04</v>
      </c>
      <c r="J141" s="113">
        <f>I144+I145+I150+I151+I162+I163+I156+I157+I168</f>
        <v>1671140.0448740055</v>
      </c>
      <c r="K141" s="113"/>
      <c r="O141" s="146">
        <f>F141+G141</f>
        <v>1671140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23.69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23.69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23.69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1603850.2116231555</v>
      </c>
      <c r="E168" s="134">
        <f>IF(I141&lt;0,0,IF(AND(E59=0,I141&gt;=0),E141-E144-E145-E150-E151,IF(AND(E59&gt;0,I141&gt;=0),E141-E156-E157-E162-E163,0)))</f>
        <v>67289.833250850003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1671140.0448740055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339.53999999999905</v>
      </c>
      <c r="E169" s="8">
        <f>IF(E168=0,0,IF(I141&lt;0,0,L58-H58-E58))</f>
        <v>23.69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1671140.0448740055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23.689999999999998</v>
      </c>
      <c r="F171" s="101"/>
      <c r="G171" s="101"/>
      <c r="H171" s="101"/>
      <c r="I171" s="136" t="s">
        <v>283</v>
      </c>
      <c r="J171" s="103">
        <f>I144+I145+I168</f>
        <v>1671140.0448740055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1671140.0448740055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1603850.2116231555</v>
      </c>
      <c r="E177" s="107">
        <f>E144+E145+E150+E151+E162+E163+E156+E157+E168</f>
        <v>67289.833250850003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1603850.2116231555</v>
      </c>
      <c r="E180" s="101">
        <f>E141</f>
        <v>67289.833250850003</v>
      </c>
      <c r="F180" s="101"/>
      <c r="G180" s="101">
        <f>G141</f>
        <v>0</v>
      </c>
      <c r="H180" s="101">
        <f>H141</f>
        <v>0</v>
      </c>
      <c r="I180" s="101">
        <f>I141</f>
        <v>1671140.04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14188.540999999999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56.59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15455.68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1.43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16893275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3483569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0.98778355939999996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7.7799999999999994E-2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7.4399999999999994E-2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14188.540999999999</v>
      </c>
      <c r="F57" s="190"/>
      <c r="G57" s="191">
        <f>D169</f>
        <v>1267.139000000001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15455.68</v>
      </c>
      <c r="K57" s="190">
        <f>IF((+L57-J57)&gt;0,(L57-J57),0)</f>
        <v>0</v>
      </c>
      <c r="L57" s="192">
        <f>I15</f>
        <v>15455.68</v>
      </c>
      <c r="M57" s="102"/>
      <c r="N57" s="102"/>
      <c r="O57" s="102">
        <f>E57+H57+G57</f>
        <v>15455.68</v>
      </c>
      <c r="P57" s="108">
        <f>L57-E57</f>
        <v>1267.139000000001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56.59</v>
      </c>
      <c r="F58" s="190"/>
      <c r="G58" s="191">
        <f>E169</f>
        <v>-55.160000000000004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1.4299999999999997</v>
      </c>
      <c r="K58" s="190">
        <f>IF((+L58-J58)&gt;0,(L58-J58),0)</f>
        <v>2.2204460492503131E-16</v>
      </c>
      <c r="L58" s="192">
        <f>I16</f>
        <v>1.43</v>
      </c>
      <c r="M58" s="102"/>
      <c r="N58" s="102"/>
      <c r="O58" s="102">
        <f>IF(E59=0,J58+J59,J58)</f>
        <v>1.4299999999999997</v>
      </c>
      <c r="P58" s="108">
        <f>L58+L59-E58</f>
        <v>-55.160000000000004</v>
      </c>
      <c r="Q58" s="1">
        <f>L59*466-(P58)*487.11</f>
        <v>26868.987600000004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1.43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14245.130999999999</v>
      </c>
      <c r="F61" s="190"/>
      <c r="G61" s="190">
        <f>SUM(G57:G60)</f>
        <v>1211.979000000001</v>
      </c>
      <c r="H61" s="190">
        <f>SUM(H57:H60)</f>
        <v>0</v>
      </c>
      <c r="I61" s="190">
        <f>SUM(I57:I59)</f>
        <v>0</v>
      </c>
      <c r="J61" s="190">
        <f>SUM(J57:J60)</f>
        <v>15457.11</v>
      </c>
      <c r="K61" s="190">
        <f>SUM(K57:K60)</f>
        <v>2.2204460492503131E-16</v>
      </c>
      <c r="L61" s="192">
        <f>SUM(L57:L60)</f>
        <v>15457.11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7371802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66503358.847367927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844692</v>
      </c>
      <c r="M66" s="163"/>
      <c r="N66" s="163"/>
      <c r="O66" s="152">
        <f>L66/487.11</f>
        <v>1734.0888095091457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3820838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66503358.847367927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66344241.796425059</v>
      </c>
      <c r="F69" s="202"/>
      <c r="G69" s="176"/>
      <c r="H69" s="174" t="s">
        <v>27</v>
      </c>
      <c r="I69" s="175"/>
      <c r="J69" s="175"/>
      <c r="K69" s="175"/>
      <c r="L69" s="203">
        <f>SUM(L65:L67)</f>
        <v>4665530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159117.05094287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85122993.561657995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73875160.847367927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16893275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753526.64064315287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74628687.488011077</v>
      </c>
      <c r="G79" s="176" t="s">
        <v>29</v>
      </c>
      <c r="H79" s="175" t="s">
        <v>14</v>
      </c>
      <c r="I79" s="175"/>
      <c r="J79" s="175"/>
      <c r="K79" s="175"/>
      <c r="L79" s="213">
        <f>I23</f>
        <v>3483569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50269193.56711781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13437056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5985454.3008363117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84083093.56711781</v>
      </c>
      <c r="M83" s="86"/>
      <c r="N83" s="86"/>
      <c r="O83" s="107">
        <f>G58*D58</f>
        <v>-156678.22718940003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0.98778355939999996</v>
      </c>
      <c r="K84" s="175"/>
      <c r="L84" s="210">
        <f>+(1-J84)*L73</f>
        <v>1039899.9945401811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85122993.561657995</v>
      </c>
      <c r="M85" s="86"/>
      <c r="N85" s="86"/>
      <c r="O85" s="107">
        <f>SUM(O82:O84)</f>
        <v>5828776.0736469114</v>
      </c>
      <c r="P85" s="103">
        <f>I168+G174</f>
        <v>5828776.0736469114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50269193.56711781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7.7799999999999994E-2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7.4399999999999994E-2</v>
      </c>
      <c r="F92" s="175"/>
      <c r="G92" s="176"/>
      <c r="H92" s="174" t="s">
        <v>70</v>
      </c>
      <c r="I92" s="175"/>
      <c r="J92" s="175"/>
      <c r="K92" s="175"/>
      <c r="L92" s="210">
        <f>+L88-L91</f>
        <v>50269193.56711781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4998317.9852969721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5828776.0736469114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5985454.3008363117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-156678.22718940003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5828776.0736469114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1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3402370</v>
      </c>
      <c r="J113" s="242">
        <f>SUM(B113:I113)</f>
        <v>7371802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7371802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5985454.3008363117</v>
      </c>
      <c r="E141" s="101">
        <f>(L58-E58)*D58</f>
        <v>-156678.22718940003</v>
      </c>
      <c r="F141" s="101">
        <f>ROUND(D141+E141,0)</f>
        <v>5828776</v>
      </c>
      <c r="G141" s="145">
        <f>IF(E59&gt;0,0,O168)</f>
        <v>0</v>
      </c>
      <c r="H141" s="101">
        <f>(L59-E59)*D59</f>
        <v>0</v>
      </c>
      <c r="I141" s="101">
        <f>ROUND(D141+E141+H141,2)</f>
        <v>5828776.0700000003</v>
      </c>
      <c r="J141" s="113">
        <f>I144+I145+I150+I151+I162+I163+I156+I157+I168</f>
        <v>5828776.0736469114</v>
      </c>
      <c r="K141" s="113"/>
      <c r="O141" s="146">
        <f>F141+G141</f>
        <v>5828776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1.43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1.43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-55.160000000000004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5985454.3008363117</v>
      </c>
      <c r="E168" s="134">
        <f>IF(I141&lt;0,0,IF(AND(E59=0,I141&gt;=0),E141-E144-E145-E150-E151,IF(AND(E59&gt;0,I141&gt;=0),E141-E156-E157-E162-E163,0)))</f>
        <v>-156678.22718940003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5828776.0736469114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1267.139000000001</v>
      </c>
      <c r="E169" s="8">
        <f>IF(E168=0,0,IF(I141&lt;0,0,L58-H58-E58))</f>
        <v>-55.160000000000004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5828776.0736469114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-55.160000000000004</v>
      </c>
      <c r="F171" s="101"/>
      <c r="G171" s="101"/>
      <c r="H171" s="101"/>
      <c r="I171" s="136" t="s">
        <v>283</v>
      </c>
      <c r="J171" s="103">
        <f>I144+I145+I168</f>
        <v>5828776.0736469114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5828776.0736469114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5985454.3008363117</v>
      </c>
      <c r="E177" s="107">
        <f>E144+E145+E150+E151+E162+E163+E156+E157+E168</f>
        <v>-156678.22718940003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5985454.3008363117</v>
      </c>
      <c r="E180" s="101">
        <f>E141</f>
        <v>-156678.22718940003</v>
      </c>
      <c r="F180" s="101"/>
      <c r="G180" s="101">
        <f>G141</f>
        <v>0</v>
      </c>
      <c r="H180" s="101">
        <f>H141</f>
        <v>0</v>
      </c>
      <c r="I180" s="101">
        <f>I141</f>
        <v>5828776.0700000003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33411.281000000003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2131.25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6425.56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35088.589999999997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2198.0500000000002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6213.92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88874593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11657226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0.98778356160000003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5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3.7900000000000003E-2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3.6499999999999998E-2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33411.281000000003</v>
      </c>
      <c r="F57" s="190"/>
      <c r="G57" s="191">
        <f>D169</f>
        <v>1677.3089999999938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35088.589999999997</v>
      </c>
      <c r="K57" s="190">
        <f>IF((+L57-J57)&gt;0,(L57-J57),0)</f>
        <v>0</v>
      </c>
      <c r="L57" s="192">
        <f>I15</f>
        <v>35088.589999999997</v>
      </c>
      <c r="M57" s="102"/>
      <c r="N57" s="102"/>
      <c r="O57" s="102">
        <f>E57+H57+G57</f>
        <v>35088.589999999997</v>
      </c>
      <c r="P57" s="108">
        <f>L57-E57</f>
        <v>1677.3089999999938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2131.25</v>
      </c>
      <c r="F58" s="190"/>
      <c r="G58" s="191">
        <f>E169</f>
        <v>66.800000000000182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2198.0500000000002</v>
      </c>
      <c r="K58" s="190">
        <f>IF((+L58-J58)&gt;0,(L58-J58),0)</f>
        <v>0</v>
      </c>
      <c r="L58" s="192">
        <f>I16</f>
        <v>2198.0500000000002</v>
      </c>
      <c r="M58" s="102"/>
      <c r="N58" s="102"/>
      <c r="O58" s="102">
        <f>IF(E59=0,J58+J59,J58)</f>
        <v>2198.0500000000002</v>
      </c>
      <c r="P58" s="108">
        <f>L58+L59-E58</f>
        <v>6280.7200000000012</v>
      </c>
      <c r="Q58" s="1">
        <f>L59*466-(P58)*487.11</f>
        <v>-163714.79920000024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6425.56</v>
      </c>
      <c r="F59" s="190"/>
      <c r="G59" s="191">
        <f>H169</f>
        <v>-211.64000000000033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6213.92</v>
      </c>
      <c r="K59" s="190">
        <f>IF((+L59-J59)&gt;0,(L59-J59),0)</f>
        <v>0</v>
      </c>
      <c r="L59" s="192">
        <f>I17</f>
        <v>6213.92</v>
      </c>
      <c r="M59" s="102"/>
      <c r="N59" s="102"/>
      <c r="O59" s="102">
        <f>IF(E59=0,L58+L59,L59)</f>
        <v>6213.92</v>
      </c>
      <c r="P59" s="108">
        <f>L59-E59</f>
        <v>-211.64000000000033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41968.091</v>
      </c>
      <c r="F61" s="190"/>
      <c r="G61" s="190">
        <f>SUM(G57:G60)</f>
        <v>1532.4689999999937</v>
      </c>
      <c r="H61" s="190">
        <f>SUM(H57:H60)</f>
        <v>0</v>
      </c>
      <c r="I61" s="190">
        <f>SUM(I57:I59)</f>
        <v>0</v>
      </c>
      <c r="J61" s="190">
        <f>SUM(J57:J60)</f>
        <v>43500.56</v>
      </c>
      <c r="K61" s="190">
        <f>SUM(K57:K60)</f>
        <v>0</v>
      </c>
      <c r="L61" s="192">
        <f>SUM(L57:L60)</f>
        <v>43500.56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3026862.5712000001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17011849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-3026862.5712000001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192265752.13562167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2329395</v>
      </c>
      <c r="M66" s="163"/>
      <c r="N66" s="163"/>
      <c r="O66" s="152">
        <f>L66/487.11</f>
        <v>4782.0718112951899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10377525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192265752.13562167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156227909.93043631</v>
      </c>
      <c r="F69" s="202"/>
      <c r="G69" s="176"/>
      <c r="H69" s="174" t="s">
        <v>27</v>
      </c>
      <c r="I69" s="175"/>
      <c r="J69" s="175"/>
      <c r="K69" s="175"/>
      <c r="L69" s="203">
        <f>SUM(L65:L67)</f>
        <v>12706920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5992546.6482062498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30045295.556979083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231232123.58613989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209277601.13562167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88874593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2134631.5315833413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211412232.66720501</v>
      </c>
      <c r="G79" s="176" t="s">
        <v>29</v>
      </c>
      <c r="H79" s="175" t="s">
        <v>14</v>
      </c>
      <c r="I79" s="175"/>
      <c r="J79" s="175"/>
      <c r="K79" s="175"/>
      <c r="L79" s="213">
        <f>I23</f>
        <v>11657226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91735576.592248634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36139895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7922932.1865094574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228407290.59224862</v>
      </c>
      <c r="M83" s="86"/>
      <c r="N83" s="86"/>
      <c r="O83" s="107">
        <f>G58*D58</f>
        <v>189740.85526200052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0.98778356160000003</v>
      </c>
      <c r="K84" s="175"/>
      <c r="L84" s="210">
        <f>+(1-J84)*L73</f>
        <v>2824832.9938912587</v>
      </c>
      <c r="M84" s="65"/>
      <c r="N84" s="65"/>
      <c r="O84" s="143">
        <f>G59*D59</f>
        <v>-999702.12283656164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231232123.58613989</v>
      </c>
      <c r="M85" s="86"/>
      <c r="N85" s="86"/>
      <c r="O85" s="107">
        <f>SUM(O82:O84)</f>
        <v>7112970.9189348957</v>
      </c>
      <c r="P85" s="103">
        <f>I168+G174</f>
        <v>7112970.9189348957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91735576.592248634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3.7900000000000003E-2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3.6499999999999998E-2</v>
      </c>
      <c r="F92" s="175"/>
      <c r="G92" s="176"/>
      <c r="H92" s="174" t="s">
        <v>70</v>
      </c>
      <c r="I92" s="175"/>
      <c r="J92" s="175"/>
      <c r="K92" s="175"/>
      <c r="L92" s="210">
        <f>+L88-L91</f>
        <v>91735576.592248634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7089280.5134079922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7112970.9189348957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7922932.1865094574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189740.85526200052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-999702.12283656164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7112970.9189348957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1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3402370</v>
      </c>
      <c r="J113" s="242">
        <f>SUM(B113:I113)</f>
        <v>11341234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5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5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5670615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5670615</v>
      </c>
      <c r="I127" s="169"/>
      <c r="J127" s="251">
        <f>H118+H127</f>
        <v>5670615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5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17011849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7922932.1865094574</v>
      </c>
      <c r="E141" s="101">
        <f>(L58-E58)*D58</f>
        <v>189740.85526200052</v>
      </c>
      <c r="F141" s="101">
        <f>ROUND(D141+E141,0)</f>
        <v>8112673</v>
      </c>
      <c r="G141" s="145">
        <f>IF(E59&gt;0,0,O168)</f>
        <v>0</v>
      </c>
      <c r="H141" s="101">
        <f>(L59-E59)*D59</f>
        <v>-999702.12283656164</v>
      </c>
      <c r="I141" s="101">
        <f>ROUND(D141+E141+H141,2)</f>
        <v>7112970.9199999999</v>
      </c>
      <c r="J141" s="113">
        <f>I144+I145+I150+I151+I162+I163+I156+I157+I168</f>
        <v>7112970.9189348957</v>
      </c>
      <c r="K141" s="113"/>
      <c r="O141" s="146">
        <f>F141+G141</f>
        <v>8112673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8411.9700000000012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6213.920000000001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8411.9700000000012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6280.7200000000012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7922932.1865094574</v>
      </c>
      <c r="E168" s="134">
        <f>IF(I141&lt;0,0,IF(AND(E59=0,I141&gt;=0),E141-E144-E145-E150-E151,IF(AND(E59&gt;0,I141&gt;=0),E141-E156-E157-E162-E163,0)))</f>
        <v>189740.85526200052</v>
      </c>
      <c r="F168" s="134"/>
      <c r="G168" s="134"/>
      <c r="H168" s="134">
        <f>IF(I141&lt;0,0,IF(AND(E59=0,I141&gt;=0),H141-H144-H145-H150-H151,IF(AND(E59&gt;0,I141&gt;=0),H141-H156-H157-H162-H163,0)))</f>
        <v>-999702.12283656164</v>
      </c>
      <c r="I168" s="101">
        <f>IF(I141&gt;0,D168+E168+H168,0)</f>
        <v>7112970.9189348957</v>
      </c>
      <c r="L168" s="111"/>
      <c r="M168" s="111"/>
      <c r="N168" s="111"/>
      <c r="O168" s="113">
        <f>L147*D58</f>
        <v>17650216.995952804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1677.3089999999938</v>
      </c>
      <c r="E169" s="8">
        <f>IF(E168=0,0,IF(I141&lt;0,0,L58-H58-E58))</f>
        <v>66.800000000000182</v>
      </c>
      <c r="F169" s="8"/>
      <c r="G169" s="8"/>
      <c r="H169" s="8">
        <f>IF(AND(E59=0,H141-I145=0),0,IF(I141&lt;0,0,IF(E59=0,(H168)/D59,IF(E59&gt;0,(H141-H156-H157-H162-H163)/D59,0))))</f>
        <v>-211.64000000000033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7112970.9189348957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66.800000000000182</v>
      </c>
      <c r="F171" s="101"/>
      <c r="G171" s="101"/>
      <c r="H171" s="101"/>
      <c r="I171" s="136" t="s">
        <v>283</v>
      </c>
      <c r="J171" s="103">
        <f>I144+I145+I168</f>
        <v>7112970.9189348957</v>
      </c>
      <c r="K171" s="103"/>
      <c r="L171" s="103">
        <f>L147+O167</f>
        <v>6213.920000000001</v>
      </c>
      <c r="M171" s="103"/>
      <c r="N171" s="103"/>
      <c r="O171" s="115">
        <f>O167*D58+L147*D59+O167*487.11</f>
        <v>29352055.448575687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7112970.9189348957</v>
      </c>
      <c r="M173" s="103"/>
      <c r="N173" s="103"/>
      <c r="O173" s="103">
        <f>L147*3232.0676</f>
        <v>20083809.500992004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20083809.500992004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7922932.1865094574</v>
      </c>
      <c r="E177" s="107">
        <f>E144+E145+E150+E151+E162+E163+E156+E157+E168</f>
        <v>189740.85526200052</v>
      </c>
      <c r="F177" s="107"/>
      <c r="G177" s="107"/>
      <c r="H177" s="107">
        <f>H144+H145+H156+H157+H168</f>
        <v>-999702.12283656164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-3129954.5316000008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-103091.96040000016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7922932.1865094574</v>
      </c>
      <c r="E180" s="101">
        <f>E141</f>
        <v>189740.85526200052</v>
      </c>
      <c r="F180" s="101"/>
      <c r="G180" s="101">
        <f>G141</f>
        <v>0</v>
      </c>
      <c r="H180" s="101">
        <f>H141</f>
        <v>-999702.12283656164</v>
      </c>
      <c r="I180" s="101">
        <f>I141</f>
        <v>7112970.9199999999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21742.687999999998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2527.3330000000001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6720.2150000000001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14562.38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1707.28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5021.82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63733421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8759494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0.98778355829999998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5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1.35E-2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1.3299999999999999E-2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4714.7994749999998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4714.7994749999998</v>
      </c>
      <c r="D57" s="189">
        <v>4723.5972540000002</v>
      </c>
      <c r="E57" s="190">
        <f>I10</f>
        <v>21742.687999999998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-7180.3079999999982</v>
      </c>
      <c r="J57" s="190">
        <f>SUM(E57:I57)</f>
        <v>14562.380000000001</v>
      </c>
      <c r="K57" s="190">
        <f>IF((+L57-J57)&gt;0,(L57-J57),0)</f>
        <v>0</v>
      </c>
      <c r="L57" s="192">
        <f>I15</f>
        <v>14562.38</v>
      </c>
      <c r="M57" s="102"/>
      <c r="N57" s="102"/>
      <c r="O57" s="102">
        <f>E57+H57+G57</f>
        <v>21742.687999999998</v>
      </c>
      <c r="P57" s="108">
        <f>L57-E57</f>
        <v>-7180.3079999999991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2527.3330000000001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-820.05300000000011</v>
      </c>
      <c r="J58" s="190">
        <f>E58+H58+G58+I58</f>
        <v>1707.28</v>
      </c>
      <c r="K58" s="190">
        <f>IF((+L58-J58)&gt;0,(L58-J58),0)</f>
        <v>0</v>
      </c>
      <c r="L58" s="192">
        <f>I16</f>
        <v>1707.28</v>
      </c>
      <c r="M58" s="102"/>
      <c r="N58" s="102"/>
      <c r="O58" s="102">
        <f>IF(E59=0,J58+J59,J58)</f>
        <v>1707.28</v>
      </c>
      <c r="P58" s="108">
        <f>L58+L59-E58</f>
        <v>4201.7669999999998</v>
      </c>
      <c r="Q58" s="1">
        <f>L59*466-(P58)*487.11</f>
        <v>293445.39662999962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6720.2150000000001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-1698.3950000000004</v>
      </c>
      <c r="J59" s="190">
        <f>E59+H59+G59+I59</f>
        <v>5021.82</v>
      </c>
      <c r="K59" s="190">
        <f>IF((+L59-J59)&gt;0,(L59-J59),0)</f>
        <v>0</v>
      </c>
      <c r="L59" s="192">
        <f>I17</f>
        <v>5021.82</v>
      </c>
      <c r="M59" s="102"/>
      <c r="N59" s="102"/>
      <c r="O59" s="102">
        <f>IF(E59=0,L58+L59,L59)</f>
        <v>5021.82</v>
      </c>
      <c r="P59" s="108">
        <f>L59-E59</f>
        <v>-1698.3950000000004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30990.235999999997</v>
      </c>
      <c r="F61" s="190"/>
      <c r="G61" s="190">
        <f>SUM(G57:G60)</f>
        <v>0</v>
      </c>
      <c r="H61" s="190">
        <f>SUM(H57:H60)</f>
        <v>0</v>
      </c>
      <c r="I61" s="190">
        <f>SUM(I57:I59)</f>
        <v>-9698.7559999999976</v>
      </c>
      <c r="J61" s="190">
        <f>SUM(J57:J60)</f>
        <v>21291.480000000003</v>
      </c>
      <c r="K61" s="190">
        <f>SUM(K57:K60)</f>
        <v>0</v>
      </c>
      <c r="L61" s="192">
        <f>SUM(L57:L60)</f>
        <v>21291.48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2446178.7401999999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12758886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41822543.119800001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141041721.588061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1126372</v>
      </c>
      <c r="M66" s="163"/>
      <c r="N66" s="163"/>
      <c r="O66" s="152">
        <f>L66/487.11</f>
        <v>2312.3565519081931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5235478</v>
      </c>
      <c r="M67" s="163"/>
      <c r="N67" s="163"/>
      <c r="O67" s="13"/>
      <c r="P67" s="139">
        <f>I57*D57</f>
        <v>-33916883.151674226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141041721.588061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-2329304.7541941456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102512413.96748878</v>
      </c>
      <c r="F69" s="202"/>
      <c r="G69" s="176"/>
      <c r="H69" s="174" t="s">
        <v>27</v>
      </c>
      <c r="I69" s="175"/>
      <c r="J69" s="175"/>
      <c r="K69" s="175"/>
      <c r="L69" s="203">
        <f>SUM(L65:L67)</f>
        <v>6361850</v>
      </c>
      <c r="M69" s="165"/>
      <c r="N69" s="165"/>
      <c r="O69" s="155"/>
      <c r="P69" s="138">
        <f>IF(AND(E59=0,L71&gt;0),(I59+L147)*D58,IF(AND(E59&gt;0,L71&gt;0),I59*D59,0))</f>
        <v>-8022533.9582073325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7106233.8524579694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-44268721.864075705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31423073.768114246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44268721.859999999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-43821739.992648914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161731223.90488529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109978867.59541209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63733421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1121784.4494732034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111100652.04488529</v>
      </c>
      <c r="G79" s="176" t="s">
        <v>29</v>
      </c>
      <c r="H79" s="175" t="s">
        <v>14</v>
      </c>
      <c r="I79" s="175"/>
      <c r="J79" s="175"/>
      <c r="K79" s="175"/>
      <c r="L79" s="213">
        <f>I23</f>
        <v>8759494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62084868.836981609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25177660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159755443.83698159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0.98778355829999998</v>
      </c>
      <c r="K84" s="175"/>
      <c r="L84" s="210">
        <f>+(1-J84)*L73</f>
        <v>1975780.0679036814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161731223.90488526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62084868.836981609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1.35E-2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1.3299999999999999E-2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62084868.836981609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1883625.9049512004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5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6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5670615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5954146</v>
      </c>
      <c r="I127" s="169"/>
      <c r="J127" s="251">
        <f>H118+H127</f>
        <v>7088269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7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12758886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-33916883.151674226</v>
      </c>
      <c r="E141" s="101">
        <f>(L58-E58)*D58</f>
        <v>-2329304.7541941456</v>
      </c>
      <c r="F141" s="101">
        <f>ROUND(D141+E141,0)</f>
        <v>-36246188</v>
      </c>
      <c r="G141" s="145">
        <f>IF(E59&gt;0,0,O168)</f>
        <v>0</v>
      </c>
      <c r="H141" s="101">
        <f>(L59-E59)*D59</f>
        <v>-8022533.9582073325</v>
      </c>
      <c r="I141" s="101">
        <f>ROUND(D141+E141+H141,2)</f>
        <v>-44268721.859999999</v>
      </c>
      <c r="J141" s="113">
        <f>I144+I145+I150+I151+I162+I163+I156+I157+I168</f>
        <v>0</v>
      </c>
      <c r="K141" s="113"/>
      <c r="O141" s="146">
        <f>F141+G141</f>
        <v>-36246188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6729.0999999999995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4201.7669999999998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6729.0999999999995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4201.7669999999998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820.05299999999988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11934833.296282155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5021.82</v>
      </c>
      <c r="M171" s="103"/>
      <c r="N171" s="103"/>
      <c r="O171" s="115">
        <f>O167*D58+L147*D59+O167*487.11</f>
        <v>22576215.834171962</v>
      </c>
    </row>
    <row r="172" spans="1:16">
      <c r="A172" s="23"/>
      <c r="B172" s="2" t="s">
        <v>247</v>
      </c>
      <c r="D172" s="8">
        <f>IF(I141&lt;0,D141/D57,0)</f>
        <v>-7180.3079999999982</v>
      </c>
      <c r="E172" s="8">
        <f>IF(I141&lt;0,E141/D58,0)</f>
        <v>-820.05300000000011</v>
      </c>
      <c r="F172" s="8"/>
      <c r="G172" s="8"/>
      <c r="H172" s="8">
        <f>IF(I141&lt;0,H141/D59,0)</f>
        <v>-1698.3950000000004</v>
      </c>
      <c r="I172" s="137">
        <f>IF(AND(E59=0,L71&gt;0),-D172*D57-E172*D58-(H172+L147)*D58,IF(AND(E59&gt;0,L71&gt;0),-D172*D57-E172*D58-H172*D59,0))</f>
        <v>44268721.864075705</v>
      </c>
      <c r="J172" s="103"/>
      <c r="K172" s="103"/>
      <c r="L172" s="119">
        <f>O167*487.11</f>
        <v>399456.01682999998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399456.01682999998</v>
      </c>
      <c r="M173" s="103"/>
      <c r="N173" s="103"/>
      <c r="O173" s="103">
        <f>L147*3232.0676</f>
        <v>13580394.983449198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2251010.8787634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399456.01682999998</v>
      </c>
      <c r="O175" s="103">
        <f>O173+O174</f>
        <v>15831405.862212598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-2046722.72337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-33916883.151674226</v>
      </c>
      <c r="E180" s="101">
        <f>E141</f>
        <v>-2329304.7541941456</v>
      </c>
      <c r="F180" s="101"/>
      <c r="G180" s="101">
        <f>G141</f>
        <v>0</v>
      </c>
      <c r="H180" s="101">
        <f>H141</f>
        <v>-8022533.9582073325</v>
      </c>
      <c r="I180" s="101">
        <f>I141</f>
        <v>-44268721.859999999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15688.37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171.97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16156.78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179.34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29880941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4539179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0.98778356339999995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1.35E-2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1.3299999999999999E-2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15688.37</v>
      </c>
      <c r="F57" s="190"/>
      <c r="G57" s="191">
        <f>D169</f>
        <v>468.40999999999991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16156.78</v>
      </c>
      <c r="K57" s="190">
        <f>IF((+L57-J57)&gt;0,(L57-J57),0)</f>
        <v>0</v>
      </c>
      <c r="L57" s="192">
        <f>I15</f>
        <v>16156.78</v>
      </c>
      <c r="M57" s="102"/>
      <c r="N57" s="102"/>
      <c r="O57" s="102">
        <f>E57+H57+G57</f>
        <v>16156.78</v>
      </c>
      <c r="P57" s="108">
        <f>L57-E57</f>
        <v>468.40999999999985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171.97</v>
      </c>
      <c r="F58" s="190"/>
      <c r="G58" s="191">
        <f>E169</f>
        <v>7.3700000000000045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179.34</v>
      </c>
      <c r="K58" s="190">
        <f>IF((+L58-J58)&gt;0,(L58-J58),0)</f>
        <v>0</v>
      </c>
      <c r="L58" s="192">
        <f>I16</f>
        <v>179.34</v>
      </c>
      <c r="M58" s="102"/>
      <c r="N58" s="102"/>
      <c r="O58" s="102">
        <f>IF(E59=0,J58+J59,J58)</f>
        <v>179.34</v>
      </c>
      <c r="P58" s="108">
        <f>L58+L59-E58</f>
        <v>7.3700000000000045</v>
      </c>
      <c r="Q58" s="1">
        <f>L59*466-(P58)*487.11</f>
        <v>-3590.0007000000023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179.34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15860.34</v>
      </c>
      <c r="F61" s="190"/>
      <c r="G61" s="190">
        <f>SUM(G57:G60)</f>
        <v>475.77999999999992</v>
      </c>
      <c r="H61" s="190">
        <f>SUM(H57:H60)</f>
        <v>0</v>
      </c>
      <c r="I61" s="190">
        <f>SUM(I57:I59)</f>
        <v>0</v>
      </c>
      <c r="J61" s="190">
        <f>SUM(J57:J60)</f>
        <v>16336.12</v>
      </c>
      <c r="K61" s="190">
        <f>SUM(K57:K60)</f>
        <v>0</v>
      </c>
      <c r="L61" s="192">
        <f>SUM(L57:L60)</f>
        <v>16336.12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73840833.763440832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888854</v>
      </c>
      <c r="M66" s="163"/>
      <c r="N66" s="163"/>
      <c r="O66" s="152">
        <f>L66/487.11</f>
        <v>1824.7500564554207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3920494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73840833.763440832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73357296.756007627</v>
      </c>
      <c r="F69" s="202"/>
      <c r="G69" s="176"/>
      <c r="H69" s="174" t="s">
        <v>27</v>
      </c>
      <c r="I69" s="175"/>
      <c r="J69" s="175"/>
      <c r="K69" s="175"/>
      <c r="L69" s="203">
        <f>SUM(L65:L67)</f>
        <v>4809348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483537.00743321003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87365328.724356115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79511449.763440832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29880941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811016.78758709657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80322466.551027924</v>
      </c>
      <c r="G79" s="176" t="s">
        <v>29</v>
      </c>
      <c r="H79" s="175" t="s">
        <v>14</v>
      </c>
      <c r="I79" s="175"/>
      <c r="J79" s="175"/>
      <c r="K79" s="175"/>
      <c r="L79" s="213">
        <f>I23</f>
        <v>4539179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38245535.724956855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13632380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2212580.1897461396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86298035.724956855</v>
      </c>
      <c r="M83" s="86"/>
      <c r="N83" s="86"/>
      <c r="O83" s="107">
        <f>G58*D58</f>
        <v>20933.983582050016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0.98778356339999995</v>
      </c>
      <c r="K84" s="175"/>
      <c r="L84" s="210">
        <f>+(1-J84)*L73</f>
        <v>1067292.9993992595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87365328.724356115</v>
      </c>
      <c r="M85" s="86"/>
      <c r="N85" s="86"/>
      <c r="O85" s="107">
        <f>SUM(O82:O84)</f>
        <v>2233514.1733281896</v>
      </c>
      <c r="P85" s="103">
        <f>I168+G174</f>
        <v>2233514.1733281896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38245535.724956855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1.35E-2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1.3299999999999999E-2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38245535.724956855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992100.34013886843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2233514.1733281896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2212580.1897461396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20933.983582050016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2233514.1733281896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1134123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2212580.1897461396</v>
      </c>
      <c r="E141" s="101">
        <f>(L58-E58)*D58</f>
        <v>20933.983582050016</v>
      </c>
      <c r="F141" s="101">
        <f>ROUND(D141+E141,0)</f>
        <v>2233514</v>
      </c>
      <c r="G141" s="145">
        <f>IF(E59&gt;0,0,O168)</f>
        <v>0</v>
      </c>
      <c r="H141" s="101">
        <f>(L59-E59)*D59</f>
        <v>0</v>
      </c>
      <c r="I141" s="101">
        <f>ROUND(D141+E141+H141,2)</f>
        <v>2233514.17</v>
      </c>
      <c r="J141" s="113">
        <f>I144+I145+I150+I151+I162+I163+I156+I157+I168</f>
        <v>2233514.1733281896</v>
      </c>
      <c r="K141" s="113"/>
      <c r="O141" s="146">
        <f>F141+G141</f>
        <v>2233514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179.34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179.34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7.3700000000000045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2212580.1897461396</v>
      </c>
      <c r="E168" s="134">
        <f>IF(I141&lt;0,0,IF(AND(E59=0,I141&gt;=0),E141-E144-E145-E150-E151,IF(AND(E59&gt;0,I141&gt;=0),E141-E156-E157-E162-E163,0)))</f>
        <v>20933.983582050016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2233514.1733281896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468.40999999999991</v>
      </c>
      <c r="E169" s="8">
        <f>IF(E168=0,0,IF(I141&lt;0,0,L58-H58-E58))</f>
        <v>7.3700000000000045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2233514.1733281896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7.3700000000000045</v>
      </c>
      <c r="F171" s="101"/>
      <c r="G171" s="101"/>
      <c r="H171" s="101"/>
      <c r="I171" s="136" t="s">
        <v>283</v>
      </c>
      <c r="J171" s="103">
        <f>I144+I145+I168</f>
        <v>2233514.1733281896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2233514.1733281896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2212580.1897461396</v>
      </c>
      <c r="E177" s="107">
        <f>E144+E145+E150+E151+E162+E163+E156+E157+E168</f>
        <v>20933.983582050016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2212580.1897461396</v>
      </c>
      <c r="E180" s="101">
        <f>E141</f>
        <v>20933.983582050016</v>
      </c>
      <c r="F180" s="101"/>
      <c r="G180" s="101">
        <f>G141</f>
        <v>0</v>
      </c>
      <c r="H180" s="101">
        <f>H141</f>
        <v>0</v>
      </c>
      <c r="I180" s="101">
        <f>I141</f>
        <v>2233514.17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12259.43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111.81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11935.31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96.26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82034102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4887681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7179205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4696.6950340000003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4696.6950340000003</v>
      </c>
      <c r="D57" s="189">
        <v>4723.5972540000002</v>
      </c>
      <c r="E57" s="190">
        <f>I10</f>
        <v>12259.43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-324.1200000000008</v>
      </c>
      <c r="J57" s="190">
        <f>SUM(E57:I57)</f>
        <v>11935.31</v>
      </c>
      <c r="K57" s="190">
        <f>IF((+L57-J57)&gt;0,(L57-J57),0)</f>
        <v>0</v>
      </c>
      <c r="L57" s="192">
        <f>I15</f>
        <v>11935.31</v>
      </c>
      <c r="M57" s="102"/>
      <c r="N57" s="102"/>
      <c r="O57" s="102">
        <f>E57+H57+G57</f>
        <v>12259.43</v>
      </c>
      <c r="P57" s="108">
        <f>L57-E57</f>
        <v>-324.1200000000008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111.81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-15.549999999999995</v>
      </c>
      <c r="J58" s="190">
        <f>E58+H58+G58+I58</f>
        <v>96.26</v>
      </c>
      <c r="K58" s="190">
        <f>IF((+L58-J58)&gt;0,(L58-J58),0)</f>
        <v>0</v>
      </c>
      <c r="L58" s="192">
        <f>I16</f>
        <v>96.26</v>
      </c>
      <c r="M58" s="102"/>
      <c r="N58" s="102"/>
      <c r="O58" s="102">
        <f>IF(E59=0,J58+J59,J58)</f>
        <v>96.26</v>
      </c>
      <c r="P58" s="108">
        <f>L58+L59-E58</f>
        <v>-15.549999999999997</v>
      </c>
      <c r="Q58" s="1">
        <f>L59*466-(P58)*487.11</f>
        <v>7574.5604999999987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96.26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12371.24</v>
      </c>
      <c r="F61" s="190"/>
      <c r="G61" s="190">
        <f>SUM(G57:G60)</f>
        <v>0</v>
      </c>
      <c r="H61" s="190">
        <f>SUM(H57:H60)</f>
        <v>0</v>
      </c>
      <c r="I61" s="190">
        <f>SUM(I57:I59)</f>
        <v>-339.67000000000081</v>
      </c>
      <c r="J61" s="190">
        <f>SUM(J57:J60)</f>
        <v>12031.57</v>
      </c>
      <c r="K61" s="190">
        <f>SUM(K57:K60)</f>
        <v>0</v>
      </c>
      <c r="L61" s="192">
        <f>SUM(L57:L60)</f>
        <v>12031.57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1575181.0590222341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57893186.002188958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655422</v>
      </c>
      <c r="M66" s="163"/>
      <c r="N66" s="163"/>
      <c r="O66" s="152">
        <f>L66/487.11</f>
        <v>1345.5318100634354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3016741</v>
      </c>
      <c r="M67" s="163"/>
      <c r="N67" s="163"/>
      <c r="O67" s="13"/>
      <c r="P67" s="139">
        <f>I57*D57</f>
        <v>-1531012.341966484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57893186.002188958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-44168.717055749992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57578804.000670627</v>
      </c>
      <c r="F69" s="202"/>
      <c r="G69" s="176"/>
      <c r="H69" s="174" t="s">
        <v>27</v>
      </c>
      <c r="I69" s="175"/>
      <c r="J69" s="175"/>
      <c r="K69" s="175"/>
      <c r="L69" s="203">
        <f>SUM(L65:L67)</f>
        <v>3672163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314382.00151833001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-1575181.0590222341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1575181.0590222341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-1559276.4338332736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69030007.852975145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63138649.568355687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82034102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644014.22559722804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-19094932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63782663.793952912</v>
      </c>
      <c r="G79" s="176" t="s">
        <v>29</v>
      </c>
      <c r="H79" s="175" t="s">
        <v>14</v>
      </c>
      <c r="I79" s="175"/>
      <c r="J79" s="175"/>
      <c r="K79" s="175"/>
      <c r="L79" s="213">
        <f>I23</f>
        <v>4887681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-0.14702485501766205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1203157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69030007.852975145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69030007.852975145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-0.14702485501766205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-0.14702485501766205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582261.98581611877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3193851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2282329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1703025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7179205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2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6804740</v>
      </c>
      <c r="J113" s="242">
        <f>SUM(B113:I113)</f>
        <v>6804740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7179205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-1531012.341966484</v>
      </c>
      <c r="E141" s="101">
        <f>(L58-E58)*D58</f>
        <v>-44168.717055749992</v>
      </c>
      <c r="F141" s="101">
        <f>ROUND(D141+E141,0)</f>
        <v>-1575181</v>
      </c>
      <c r="G141" s="145">
        <f>IF(E59&gt;0,0,O168)</f>
        <v>0</v>
      </c>
      <c r="H141" s="101">
        <f>(L59-E59)*D59</f>
        <v>0</v>
      </c>
      <c r="I141" s="101">
        <f>ROUND(D141+E141+H141,2)</f>
        <v>-1575181.06</v>
      </c>
      <c r="J141" s="113">
        <f>I144+I145+I150+I151+I162+I163+I156+I157+I168</f>
        <v>0</v>
      </c>
      <c r="K141" s="113"/>
      <c r="O141" s="146">
        <f>F141+G141</f>
        <v>-1575181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96.26</v>
      </c>
      <c r="M145" s="81"/>
      <c r="N145" s="81"/>
      <c r="O145" s="104">
        <f>D138/(D141+O168)*D141</f>
        <v>7179205.0000000009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96.26</v>
      </c>
      <c r="M151" s="81"/>
      <c r="N151" s="81"/>
      <c r="O151" s="104">
        <f>D138/(D141+O168)*D141</f>
        <v>7179205.0000000009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-15.549999999999997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6977897.1698069377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-324.1200000000008</v>
      </c>
      <c r="E172" s="8">
        <f>IF(I141&lt;0,E141/D58,0)</f>
        <v>-15.549999999999995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1575181.0590222341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-1531012.341966484</v>
      </c>
      <c r="E180" s="101">
        <f>E141</f>
        <v>-44168.717055749992</v>
      </c>
      <c r="F180" s="101"/>
      <c r="G180" s="101">
        <f>G141</f>
        <v>0</v>
      </c>
      <c r="H180" s="101">
        <f>H141</f>
        <v>0</v>
      </c>
      <c r="I180" s="101">
        <f>I141</f>
        <v>-1575181.06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6833.01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77.650000000000006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165.6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8006.25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94.4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169.35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36957709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3899916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7385086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0.98778355399999995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6833.01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1173.2399999999998</v>
      </c>
      <c r="I57" s="191">
        <f>D172</f>
        <v>0</v>
      </c>
      <c r="J57" s="190">
        <f>SUM(E57:I57)</f>
        <v>8006.25</v>
      </c>
      <c r="K57" s="190">
        <f>IF((+L57-J57)&gt;0,(L57-J57),0)</f>
        <v>0</v>
      </c>
      <c r="L57" s="192">
        <f>I15</f>
        <v>8006.25</v>
      </c>
      <c r="M57" s="102"/>
      <c r="N57" s="102"/>
      <c r="O57" s="102">
        <f>E57+H57+G57</f>
        <v>8006.25</v>
      </c>
      <c r="P57" s="108">
        <f>L57-E57</f>
        <v>1173.2399999999998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77.650000000000006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16.75</v>
      </c>
      <c r="I58" s="191">
        <f>E172</f>
        <v>0</v>
      </c>
      <c r="J58" s="190">
        <f>E58+H58+G58+I58</f>
        <v>94.4</v>
      </c>
      <c r="K58" s="190">
        <f>IF((+L58-J58)&gt;0,(L58-J58),0)</f>
        <v>0</v>
      </c>
      <c r="L58" s="192">
        <f>I16</f>
        <v>94.4</v>
      </c>
      <c r="M58" s="102"/>
      <c r="N58" s="102"/>
      <c r="O58" s="102">
        <f>IF(E59=0,J58+J59,J58)</f>
        <v>94.4</v>
      </c>
      <c r="P58" s="108">
        <f>L58+L59-E58</f>
        <v>186.1</v>
      </c>
      <c r="Q58" s="1">
        <f>L59*466-(P58)*487.11</f>
        <v>-11734.071000000011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165.6</v>
      </c>
      <c r="F59" s="190"/>
      <c r="G59" s="191">
        <f>H169</f>
        <v>0</v>
      </c>
      <c r="H59" s="190">
        <f>IF(AND(E59&gt;0,E141&gt;=0),H158+H164,IF(AND(E59&gt;0,E141&lt;0),H159+H165,IF(E59=0,H146+H152,H147+H153)))</f>
        <v>3.7500000000000004</v>
      </c>
      <c r="I59" s="191">
        <f>H172</f>
        <v>0</v>
      </c>
      <c r="J59" s="190">
        <f>E59+H59+G59+I59</f>
        <v>169.35</v>
      </c>
      <c r="K59" s="190">
        <f>IF((+L59-J59)&gt;0,(L59-J59),0)</f>
        <v>0</v>
      </c>
      <c r="L59" s="192">
        <f>I17</f>
        <v>169.35</v>
      </c>
      <c r="M59" s="102"/>
      <c r="N59" s="102"/>
      <c r="O59" s="102">
        <f>IF(E59=0,L58+L59,L59)</f>
        <v>169.35</v>
      </c>
      <c r="P59" s="108">
        <f>L59-E59</f>
        <v>3.75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7076.26</v>
      </c>
      <c r="F61" s="190"/>
      <c r="G61" s="190">
        <f>SUM(G57:G60)</f>
        <v>0</v>
      </c>
      <c r="H61" s="190">
        <f>SUM(H57:H60)</f>
        <v>1193.7399999999998</v>
      </c>
      <c r="I61" s="190">
        <f>SUM(I57:I59)</f>
        <v>0</v>
      </c>
      <c r="J61" s="190">
        <f>SUM(J57:J60)</f>
        <v>8270</v>
      </c>
      <c r="K61" s="190">
        <f>SUM(K57:K60)</f>
        <v>0</v>
      </c>
      <c r="L61" s="192">
        <f>SUM(L57:L60)</f>
        <v>8270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82492.078500000003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-82492.078500000003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32943154.229630511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449895</v>
      </c>
      <c r="M66" s="163"/>
      <c r="N66" s="163"/>
      <c r="O66" s="152">
        <f>L66/487.11</f>
        <v>923.6004187965757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2064303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32943154.229630511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31950492.13568826</v>
      </c>
      <c r="F69" s="202"/>
      <c r="G69" s="176"/>
      <c r="H69" s="174" t="s">
        <v>27</v>
      </c>
      <c r="I69" s="175"/>
      <c r="J69" s="175"/>
      <c r="K69" s="175"/>
      <c r="L69" s="203">
        <f>SUM(L65:L67)</f>
        <v>2514198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218332.55002145001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774329.54392079997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45983341.59877196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37479647.229630515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5541913.2422829596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36957709</v>
      </c>
      <c r="M77" s="159"/>
      <c r="N77" s="159"/>
      <c r="O77" s="86">
        <f>H58*D58</f>
        <v>47577.235413750001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382292.40174223128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17713.489702500003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37861939.63137275</v>
      </c>
      <c r="G79" s="176" t="s">
        <v>29</v>
      </c>
      <c r="H79" s="175" t="s">
        <v>14</v>
      </c>
      <c r="I79" s="175"/>
      <c r="J79" s="175"/>
      <c r="K79" s="175"/>
      <c r="L79" s="213">
        <f>I23</f>
        <v>3899916</v>
      </c>
      <c r="M79" s="159"/>
      <c r="N79" s="159"/>
      <c r="O79" s="86">
        <f>SUM(O76:O78)</f>
        <v>5607203.9673992097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0.58923100610263646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4563963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45421588.589231007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0.98778355399999995</v>
      </c>
      <c r="K84" s="175"/>
      <c r="L84" s="210">
        <f>+(1-J84)*L73</f>
        <v>561753.00954095344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5607203.9673992097</v>
      </c>
      <c r="G85" s="176"/>
      <c r="H85" s="174" t="s">
        <v>342</v>
      </c>
      <c r="I85" s="175"/>
      <c r="J85" s="175"/>
      <c r="K85" s="175"/>
      <c r="L85" s="213">
        <f>+L84+L83</f>
        <v>45983341.59877196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5607203.9673992097</v>
      </c>
      <c r="G88" s="176" t="s">
        <v>28</v>
      </c>
      <c r="H88" s="175" t="s">
        <v>15</v>
      </c>
      <c r="I88" s="175"/>
      <c r="J88" s="175"/>
      <c r="K88" s="175"/>
      <c r="L88" s="210">
        <f>L80</f>
        <v>0.58923100610263646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0.58923100610263646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332791.74519899191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6140941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1244145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7385086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7385086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5541913.2422829596</v>
      </c>
      <c r="E141" s="101">
        <f>(L58-E58)*D58</f>
        <v>47577.235413750001</v>
      </c>
      <c r="F141" s="101">
        <f>ROUND(D141+E141,0)</f>
        <v>5589490</v>
      </c>
      <c r="G141" s="145">
        <f>IF(E59&gt;0,0,O168)</f>
        <v>0</v>
      </c>
      <c r="H141" s="101">
        <f>(L59-E59)*D59</f>
        <v>17713.489702500003</v>
      </c>
      <c r="I141" s="101">
        <f>ROUND(D141+E141+H141,2)</f>
        <v>5607203.9699999997</v>
      </c>
      <c r="J141" s="113">
        <f>I144+I145+I150+I151+I162+I163+I156+I157+I168</f>
        <v>5607203.9673992097</v>
      </c>
      <c r="K141" s="113"/>
      <c r="O141" s="146">
        <f>F141+G141</f>
        <v>5589490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263.75</v>
      </c>
      <c r="M145" s="81"/>
      <c r="N145" s="81"/>
      <c r="O145" s="104">
        <f>D138/(D141+O168)*D141</f>
        <v>6795269.9530280335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169.35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263.75</v>
      </c>
      <c r="M151" s="81"/>
      <c r="N151" s="81"/>
      <c r="O151" s="104">
        <f>D138/(D141+O168)*D141</f>
        <v>6795269.9530280335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186.1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7299093.4729272015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5541913.2422829596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47577.235413750001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17713.489702500003</v>
      </c>
      <c r="I162" s="112">
        <f>D162+E162+H162</f>
        <v>5607203.9673992097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1173.2399999999998</v>
      </c>
      <c r="E164" s="8">
        <f>E162/D58</f>
        <v>16.75</v>
      </c>
      <c r="F164" s="101"/>
      <c r="H164" s="8">
        <f>H162/D59</f>
        <v>3.7500000000000004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481027.15327275003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5607203.9673992097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169.35</v>
      </c>
      <c r="M171" s="103"/>
      <c r="N171" s="103"/>
      <c r="O171" s="115">
        <f>O167*D58+L147*D59+O167*487.11</f>
        <v>799941.19496490003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547350.64805999992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547350.64805999992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5541913.2422829596</v>
      </c>
      <c r="E177" s="107">
        <f>E144+E145+E150+E151+E162+E163+E156+E157+E168</f>
        <v>47577.235413750001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-82492.078500000003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5541913.2422829596</v>
      </c>
      <c r="E180" s="101">
        <f>E141</f>
        <v>47577.235413750001</v>
      </c>
      <c r="F180" s="101"/>
      <c r="G180" s="101">
        <f>G141</f>
        <v>0</v>
      </c>
      <c r="H180" s="101">
        <f>H141</f>
        <v>17713.489702500003</v>
      </c>
      <c r="I180" s="101">
        <f>I141</f>
        <v>5607203.9699999997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J84" sqref="J8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17848.88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125.99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16944.03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75.48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122456535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9690240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7067394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3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17848.88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-904.8500000000023</v>
      </c>
      <c r="J57" s="190">
        <f>SUM(E57:I57)</f>
        <v>16944.03</v>
      </c>
      <c r="K57" s="190">
        <f>IF((+L57-J57)&gt;0,(L57-J57),0)</f>
        <v>0</v>
      </c>
      <c r="L57" s="192">
        <f>I15</f>
        <v>16944.03</v>
      </c>
      <c r="M57" s="102"/>
      <c r="N57" s="102"/>
      <c r="O57" s="102">
        <f>E57+H57+G57</f>
        <v>17848.88</v>
      </c>
      <c r="P57" s="108">
        <f>L57-E57</f>
        <v>-904.85000000000218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125.99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-50.509999999999991</v>
      </c>
      <c r="J58" s="190">
        <f>E58+H58+G58+I58</f>
        <v>75.48</v>
      </c>
      <c r="K58" s="190">
        <f>IF((+L58-J58)&gt;0,(L58-J58),0)</f>
        <v>0</v>
      </c>
      <c r="L58" s="192">
        <f>I16</f>
        <v>75.48</v>
      </c>
      <c r="M58" s="102"/>
      <c r="N58" s="102"/>
      <c r="O58" s="102">
        <f>IF(E59=0,J58+J59,J58)</f>
        <v>75.48</v>
      </c>
      <c r="P58" s="108">
        <f>L58+L59-E58</f>
        <v>-50.509999999999991</v>
      </c>
      <c r="Q58" s="1">
        <f>L59*466-(P58)*487.11</f>
        <v>24603.926099999997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75.48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17974.870000000003</v>
      </c>
      <c r="F61" s="190"/>
      <c r="G61" s="190">
        <f>SUM(G57:G60)</f>
        <v>0</v>
      </c>
      <c r="H61" s="190">
        <f>SUM(H57:H60)</f>
        <v>0</v>
      </c>
      <c r="I61" s="190">
        <f>SUM(I57:I59)</f>
        <v>-955.36000000000229</v>
      </c>
      <c r="J61" s="190">
        <f>SUM(J57:J60)</f>
        <v>17019.509999999998</v>
      </c>
      <c r="K61" s="190">
        <f>SUM(K57:K60)</f>
        <v>0</v>
      </c>
      <c r="L61" s="192">
        <f>SUM(L57:L60)</f>
        <v>17019.509999999998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10207110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4417617.1938340608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83813884.648907945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928463</v>
      </c>
      <c r="M66" s="163"/>
      <c r="N66" s="163"/>
      <c r="O66" s="152">
        <f>L66/487.11</f>
        <v>1906.0643386504075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4300710</v>
      </c>
      <c r="M67" s="163"/>
      <c r="N67" s="163"/>
      <c r="O67" s="13"/>
      <c r="P67" s="139">
        <f>I57*D57</f>
        <v>-4274146.975281911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83813884.648907945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-143470.21855214998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83459632.002710879</v>
      </c>
      <c r="F69" s="202"/>
      <c r="G69" s="176"/>
      <c r="H69" s="174" t="s">
        <v>27</v>
      </c>
      <c r="I69" s="175"/>
      <c r="J69" s="175"/>
      <c r="K69" s="175"/>
      <c r="L69" s="203">
        <f>SUM(L65:L67)</f>
        <v>5229173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354252.64619707002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-4417617.1938340608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4417617.1938340608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-4373012.4512935402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100209181.80986413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89647982.197614402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122456535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914409.41841566691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-33639544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90562391.616030067</v>
      </c>
      <c r="G79" s="176" t="s">
        <v>29</v>
      </c>
      <c r="H79" s="175" t="s">
        <v>14</v>
      </c>
      <c r="I79" s="175"/>
      <c r="J79" s="175"/>
      <c r="K79" s="175"/>
      <c r="L79" s="213">
        <f>I23</f>
        <v>9690240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-0.19013586640357971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1701951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100209181.80986413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100209181.80986413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-0.19013586640357971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-0.19013586640357971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846687.86578245892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2518771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3491538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1057085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7067394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3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10207110</v>
      </c>
      <c r="J113" s="242">
        <f>SUM(B113:I113)</f>
        <v>10207110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10207110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7067394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-4274146.975281911</v>
      </c>
      <c r="E141" s="101">
        <f>(L58-E58)*D58</f>
        <v>-143470.21855214998</v>
      </c>
      <c r="F141" s="101">
        <f>ROUND(D141+E141,0)</f>
        <v>-4417617</v>
      </c>
      <c r="G141" s="145">
        <f>IF(E59&gt;0,0,O168)</f>
        <v>0</v>
      </c>
      <c r="H141" s="101">
        <f>(L59-E59)*D59</f>
        <v>0</v>
      </c>
      <c r="I141" s="101">
        <f>ROUND(D141+E141+H141,2)</f>
        <v>-4417617.1900000004</v>
      </c>
      <c r="J141" s="113">
        <f>I144+I145+I150+I151+I162+I163+I156+I157+I168</f>
        <v>0</v>
      </c>
      <c r="K141" s="113"/>
      <c r="O141" s="146">
        <f>F141+G141</f>
        <v>-4417617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75.48</v>
      </c>
      <c r="M145" s="81"/>
      <c r="N145" s="81"/>
      <c r="O145" s="104">
        <f>D138/(D141+O168)*D141</f>
        <v>7067394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75.48</v>
      </c>
      <c r="M151" s="81"/>
      <c r="N151" s="81"/>
      <c r="O151" s="104">
        <f>D138/(D141+O168)*D141</f>
        <v>7067394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-50.509999999999991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6837867.4269477669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-904.8500000000023</v>
      </c>
      <c r="E172" s="8">
        <f>IF(I141&lt;0,E141/D58,0)</f>
        <v>-50.509999999999991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4417617.1938340608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-4274146.975281911</v>
      </c>
      <c r="E180" s="101">
        <f>E141</f>
        <v>-143470.21855214998</v>
      </c>
      <c r="F180" s="101"/>
      <c r="G180" s="101">
        <f>G141</f>
        <v>0</v>
      </c>
      <c r="H180" s="101">
        <f>H141</f>
        <v>0</v>
      </c>
      <c r="I180" s="101">
        <f>I141</f>
        <v>-4417617.1900000004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J84" sqref="J8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13573.34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327.7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444.79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12862.81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185.24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246.85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27362390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7619637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0.98778355520000005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1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2.0500000000000001E-2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13573.34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-710.53000000000065</v>
      </c>
      <c r="J57" s="190">
        <f>SUM(E57:I57)</f>
        <v>12862.81</v>
      </c>
      <c r="K57" s="190">
        <f>IF((+L57-J57)&gt;0,(L57-J57),0)</f>
        <v>0</v>
      </c>
      <c r="L57" s="192">
        <f>I15</f>
        <v>12862.81</v>
      </c>
      <c r="M57" s="102"/>
      <c r="N57" s="102"/>
      <c r="O57" s="102">
        <f>E57+H57+G57</f>
        <v>13573.34</v>
      </c>
      <c r="P57" s="108">
        <f>L57-E57</f>
        <v>-710.53000000000065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327.7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-142.45999999999998</v>
      </c>
      <c r="J58" s="190">
        <f>E58+H58+G58+I58</f>
        <v>185.24</v>
      </c>
      <c r="K58" s="190">
        <f>IF((+L58-J58)&gt;0,(L58-J58),0)</f>
        <v>0</v>
      </c>
      <c r="L58" s="192">
        <f>I16</f>
        <v>185.24</v>
      </c>
      <c r="M58" s="102"/>
      <c r="N58" s="102"/>
      <c r="O58" s="102">
        <f>IF(E59=0,J58+J59,J58)</f>
        <v>185.24</v>
      </c>
      <c r="P58" s="108">
        <f>L58+L59-E58</f>
        <v>104.39000000000004</v>
      </c>
      <c r="Q58" s="1">
        <f>L59*466-(P58)*487.11</f>
        <v>64182.687099999966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444.79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-197.94000000000003</v>
      </c>
      <c r="J59" s="190">
        <f>E59+H59+G59+I59</f>
        <v>246.85</v>
      </c>
      <c r="K59" s="190">
        <f>IF((+L59-J59)&gt;0,(L59-J59),0)</f>
        <v>0</v>
      </c>
      <c r="L59" s="192">
        <f>I17</f>
        <v>246.85</v>
      </c>
      <c r="M59" s="102"/>
      <c r="N59" s="102"/>
      <c r="O59" s="102">
        <f>IF(E59=0,L58+L59,L59)</f>
        <v>246.85</v>
      </c>
      <c r="P59" s="108">
        <f>L59-E59</f>
        <v>-197.94000000000003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14345.830000000002</v>
      </c>
      <c r="F61" s="190"/>
      <c r="G61" s="190">
        <f>SUM(G57:G60)</f>
        <v>0</v>
      </c>
      <c r="H61" s="190">
        <f>SUM(H57:H60)</f>
        <v>0</v>
      </c>
      <c r="I61" s="190">
        <f>SUM(I57:I59)</f>
        <v>-1050.9300000000007</v>
      </c>
      <c r="J61" s="190">
        <f>SUM(J57:J60)</f>
        <v>13294.9</v>
      </c>
      <c r="K61" s="190">
        <f>SUM(K57:K60)</f>
        <v>0</v>
      </c>
      <c r="L61" s="192">
        <f>SUM(L57:L60)</f>
        <v>13294.9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120243.1035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6521208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4575651.2364999996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66468827.654298909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722524</v>
      </c>
      <c r="M66" s="163"/>
      <c r="N66" s="163"/>
      <c r="O66" s="152">
        <f>L66/487.11</f>
        <v>1483.2871425345404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3278570</v>
      </c>
      <c r="M67" s="163"/>
      <c r="N67" s="163"/>
      <c r="O67" s="13"/>
      <c r="P67" s="139">
        <f>I57*D57</f>
        <v>-3356257.5568846231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66468827.654298909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-404647.93773389998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63467621.578926839</v>
      </c>
      <c r="F69" s="202"/>
      <c r="G69" s="176"/>
      <c r="H69" s="174" t="s">
        <v>27</v>
      </c>
      <c r="I69" s="175"/>
      <c r="J69" s="175"/>
      <c r="K69" s="175"/>
      <c r="L69" s="203">
        <f>SUM(L65:L67)</f>
        <v>4001094</v>
      </c>
      <c r="M69" s="165"/>
      <c r="N69" s="165"/>
      <c r="O69" s="155"/>
      <c r="P69" s="138">
        <f>IF(AND(E59=0,L71&gt;0),(I59+L147)*D58,IF(AND(E59&gt;0,L71&gt;0),I59*D59,0))</f>
        <v>-934988.84045676014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921411.16087609995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-4695894.3350752834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2079794.9144959701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4695894.34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-4648479.8285639826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77735628.035157412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68341555.825734913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27362390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697083.86942249618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69038639.695157409</v>
      </c>
      <c r="G79" s="176" t="s">
        <v>29</v>
      </c>
      <c r="H79" s="175" t="s">
        <v>14</v>
      </c>
      <c r="I79" s="175"/>
      <c r="J79" s="175"/>
      <c r="K79" s="175"/>
      <c r="L79" s="213">
        <f>I23</f>
        <v>7619637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30263537.026272584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11540411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76785975.02627258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0.98778355520000005</v>
      </c>
      <c r="K84" s="175"/>
      <c r="L84" s="210">
        <f>+(1-J84)*L73</f>
        <v>949653.008884829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77735628.035157412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30263537.026272584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2.0500000000000001E-2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0.02</v>
      </c>
      <c r="F92" s="175"/>
      <c r="G92" s="176"/>
      <c r="H92" s="174" t="s">
        <v>70</v>
      </c>
      <c r="I92" s="175"/>
      <c r="J92" s="175"/>
      <c r="K92" s="175"/>
      <c r="L92" s="210">
        <f>+L88-L91</f>
        <v>30263537.026272584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1342936.1985829105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1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2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850592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1984715</v>
      </c>
      <c r="I127" s="169"/>
      <c r="J127" s="251">
        <f>H118+H127</f>
        <v>1984715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6521208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-3356257.5568846231</v>
      </c>
      <c r="E141" s="101">
        <f>(L58-E58)*D58</f>
        <v>-404647.93773389998</v>
      </c>
      <c r="F141" s="101">
        <f>ROUND(D141+E141,0)</f>
        <v>-3760905</v>
      </c>
      <c r="G141" s="145">
        <f>IF(E59&gt;0,0,O168)</f>
        <v>0</v>
      </c>
      <c r="H141" s="101">
        <f>(L59-E59)*D59</f>
        <v>-934988.84045676014</v>
      </c>
      <c r="I141" s="101">
        <f>ROUND(D141+E141+H141,2)</f>
        <v>-4695894.34</v>
      </c>
      <c r="J141" s="113">
        <f>I144+I145+I150+I151+I162+I163+I156+I157+I168</f>
        <v>0</v>
      </c>
      <c r="K141" s="113"/>
      <c r="O141" s="146">
        <f>F141+G141</f>
        <v>-3760905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432.09000000000003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104.39000000000004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432.09000000000003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104.39000000000004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142.45999999999995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296512.69282635016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246.85</v>
      </c>
      <c r="M171" s="103"/>
      <c r="N171" s="103"/>
      <c r="O171" s="115">
        <f>O167*D58+L147*D59+O167*487.11</f>
        <v>967137.94567896018</v>
      </c>
    </row>
    <row r="172" spans="1:16">
      <c r="A172" s="23"/>
      <c r="B172" s="2" t="s">
        <v>247</v>
      </c>
      <c r="D172" s="8">
        <f>IF(I141&lt;0,D141/D57,0)</f>
        <v>-710.53000000000065</v>
      </c>
      <c r="E172" s="8">
        <f>IF(I141&lt;0,E141/D58,0)</f>
        <v>-142.45999999999998</v>
      </c>
      <c r="F172" s="8"/>
      <c r="G172" s="8"/>
      <c r="H172" s="8">
        <f>IF(I141&lt;0,H141/D59,0)</f>
        <v>-197.94000000000003</v>
      </c>
      <c r="I172" s="137">
        <f>IF(AND(E59=0,L71&gt;0),-D172*D57-E172*D58-(H172+L147)*D58,IF(AND(E59&gt;0,L71&gt;0),-D172*D57-E172*D58-H172*D59,0))</f>
        <v>4695894.3350752834</v>
      </c>
      <c r="J172" s="103"/>
      <c r="K172" s="103"/>
      <c r="L172" s="119">
        <f>O167*487.11</f>
        <v>69393.690599999973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69393.690599999973</v>
      </c>
      <c r="M173" s="103"/>
      <c r="N173" s="103"/>
      <c r="O173" s="103">
        <f>L147*3232.0676</f>
        <v>337395.53676400014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391046.68818799988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69393.690599999973</v>
      </c>
      <c r="O175" s="103">
        <f>O173+O174</f>
        <v>728442.22495199996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-50849.412900000025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-3356257.5568846231</v>
      </c>
      <c r="E180" s="101">
        <f>E141</f>
        <v>-404647.93773389998</v>
      </c>
      <c r="F180" s="101"/>
      <c r="G180" s="101">
        <f>G141</f>
        <v>0</v>
      </c>
      <c r="H180" s="101">
        <f>H141</f>
        <v>-934988.84045676014</v>
      </c>
      <c r="I180" s="101">
        <f>I141</f>
        <v>-4695894.34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J84" sqref="J8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14838.32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223.32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63.12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15496.99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226.91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47.44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15870213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7742000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0.98778355490000003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3.1800000000000002E-2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3.0700000000000002E-2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14838.32</v>
      </c>
      <c r="F57" s="190"/>
      <c r="G57" s="191">
        <f>D169</f>
        <v>658.67000000000007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15496.99</v>
      </c>
      <c r="K57" s="190">
        <f>IF((+L57-J57)&gt;0,(L57-J57),0)</f>
        <v>0</v>
      </c>
      <c r="L57" s="192">
        <f>I15</f>
        <v>15496.99</v>
      </c>
      <c r="M57" s="102"/>
      <c r="N57" s="102"/>
      <c r="O57" s="102">
        <f>E57+H57+G57</f>
        <v>15496.99</v>
      </c>
      <c r="P57" s="108">
        <f>L57-E57</f>
        <v>658.67000000000007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223.32</v>
      </c>
      <c r="F58" s="190"/>
      <c r="G58" s="191">
        <f>E169</f>
        <v>3.5900000000000034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226.91</v>
      </c>
      <c r="K58" s="190">
        <f>IF((+L58-J58)&gt;0,(L58-J58),0)</f>
        <v>0</v>
      </c>
      <c r="L58" s="192">
        <f>I16</f>
        <v>226.91</v>
      </c>
      <c r="M58" s="102"/>
      <c r="N58" s="102"/>
      <c r="O58" s="102">
        <f>IF(E59=0,J58+J59,J58)</f>
        <v>226.91</v>
      </c>
      <c r="P58" s="108">
        <f>L58+L59-E58</f>
        <v>51.03000000000003</v>
      </c>
      <c r="Q58" s="1">
        <f>L59*466-(P58)*487.11</f>
        <v>-2750.1833000000188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63.12</v>
      </c>
      <c r="F59" s="190"/>
      <c r="G59" s="191">
        <f>H169</f>
        <v>-15.68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47.44</v>
      </c>
      <c r="K59" s="190">
        <f>IF((+L59-J59)&gt;0,(L59-J59),0)</f>
        <v>0</v>
      </c>
      <c r="L59" s="192">
        <f>I17</f>
        <v>47.44</v>
      </c>
      <c r="M59" s="102"/>
      <c r="N59" s="102"/>
      <c r="O59" s="102">
        <f>IF(E59=0,L58+L59,L59)</f>
        <v>47.44</v>
      </c>
      <c r="P59" s="108">
        <f>L59-E59</f>
        <v>-15.68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15124.76</v>
      </c>
      <c r="F61" s="190"/>
      <c r="G61" s="190">
        <f>SUM(G57:G60)</f>
        <v>646.58000000000015</v>
      </c>
      <c r="H61" s="190">
        <f>SUM(H57:H60)</f>
        <v>0</v>
      </c>
      <c r="I61" s="190">
        <f>SUM(I57:I59)</f>
        <v>0</v>
      </c>
      <c r="J61" s="190">
        <f>SUM(J57:J60)</f>
        <v>15771.34</v>
      </c>
      <c r="K61" s="190">
        <f>SUM(K57:K60)</f>
        <v>0</v>
      </c>
      <c r="L61" s="192">
        <f>SUM(L57:L60)</f>
        <v>15771.34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23108.4984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-23108.4984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70305608.86623925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856952</v>
      </c>
      <c r="M66" s="163"/>
      <c r="N66" s="163"/>
      <c r="O66" s="152">
        <f>L66/487.11</f>
        <v>1759.2576625402885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3789549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70305608.86623925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69382545.38875632</v>
      </c>
      <c r="F69" s="202"/>
      <c r="G69" s="176"/>
      <c r="H69" s="174" t="s">
        <v>27</v>
      </c>
      <c r="I69" s="175"/>
      <c r="J69" s="175"/>
      <c r="K69" s="175"/>
      <c r="L69" s="203">
        <f>SUM(L65:L67)</f>
        <v>4646501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627920.47740875999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295143.00007415999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84445106.308978707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75976224.86623925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15870213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774957.49363564036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76751182.359874889</v>
      </c>
      <c r="G79" s="176" t="s">
        <v>29</v>
      </c>
      <c r="H79" s="175" t="s">
        <v>14</v>
      </c>
      <c r="I79" s="175"/>
      <c r="J79" s="175"/>
      <c r="K79" s="175"/>
      <c r="L79" s="213">
        <f>I23</f>
        <v>7742000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47176688.303791404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12624586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3111291.8032921804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83413487.303791404</v>
      </c>
      <c r="M83" s="86"/>
      <c r="N83" s="86"/>
      <c r="O83" s="107">
        <f>G58*D58</f>
        <v>10197.15075435001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0.98778355490000003</v>
      </c>
      <c r="K84" s="175"/>
      <c r="L84" s="210">
        <f>+(1-J84)*L73</f>
        <v>1031619.0051872997</v>
      </c>
      <c r="M84" s="65"/>
      <c r="N84" s="65"/>
      <c r="O84" s="143">
        <f>G59*D59</f>
        <v>-74066.004942719999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84445106.308978707</v>
      </c>
      <c r="M85" s="86"/>
      <c r="N85" s="86"/>
      <c r="O85" s="107">
        <f>SUM(O82:O84)</f>
        <v>3047422.9491038108</v>
      </c>
      <c r="P85" s="103">
        <f>I168+G174</f>
        <v>3047422.9491038108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47176688.303791404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3.1800000000000002E-2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3.0700000000000002E-2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47176688.303791404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2180397.698363835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3047422.9491038108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3111291.8032921804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10197.15075435001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-74066.004942719999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3047422.9491038108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3111291.8032921804</v>
      </c>
      <c r="E141" s="101">
        <f>(L58-E58)*D58</f>
        <v>10197.15075435001</v>
      </c>
      <c r="F141" s="101">
        <f>ROUND(D141+E141,0)</f>
        <v>3121489</v>
      </c>
      <c r="G141" s="145">
        <f>IF(E59&gt;0,0,O168)</f>
        <v>0</v>
      </c>
      <c r="H141" s="101">
        <f>(L59-E59)*D59</f>
        <v>-74066.004942719999</v>
      </c>
      <c r="I141" s="101">
        <f>ROUND(D141+E141+H141,2)</f>
        <v>3047422.95</v>
      </c>
      <c r="J141" s="113">
        <f>I144+I145+I150+I151+I162+I163+I156+I157+I168</f>
        <v>3047422.9491038108</v>
      </c>
      <c r="K141" s="113"/>
      <c r="O141" s="146">
        <f>F141+G141</f>
        <v>3121489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274.35000000000002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47.440000000000026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274.35000000000002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51.03000000000003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3111291.8032921804</v>
      </c>
      <c r="E168" s="134">
        <f>IF(I141&lt;0,0,IF(AND(E59=0,I141&gt;=0),E141-E144-E145-E150-E151,IF(AND(E59&gt;0,I141&gt;=0),E141-E156-E157-E162-E163,0)))</f>
        <v>10197.15075435001</v>
      </c>
      <c r="F168" s="134"/>
      <c r="G168" s="134"/>
      <c r="H168" s="134">
        <f>IF(I141&lt;0,0,IF(AND(E59=0,I141&gt;=0),H141-H144-H145-H150-H151,IF(AND(E59&gt;0,I141&gt;=0),H141-H156-H157-H162-H163,0)))</f>
        <v>-74066.004942719999</v>
      </c>
      <c r="I168" s="101">
        <f>IF(I141&gt;0,D168+E168+H168,0)</f>
        <v>3047422.9491038108</v>
      </c>
      <c r="L168" s="111"/>
      <c r="M168" s="111"/>
      <c r="N168" s="111"/>
      <c r="O168" s="113">
        <f>L147*D58</f>
        <v>134750.09241960009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658.67000000000007</v>
      </c>
      <c r="E169" s="8">
        <f>IF(E168=0,0,IF(I141&lt;0,0,L58-H58-E58))</f>
        <v>3.5900000000000034</v>
      </c>
      <c r="F169" s="8"/>
      <c r="G169" s="8"/>
      <c r="H169" s="8">
        <f>IF(AND(E59=0,H141-I145=0),0,IF(I141&lt;0,0,IF(E59=0,(H168)/D59,IF(E59&gt;0,(H141-H156-H157-H162-H163)/D59,0))))</f>
        <v>-15.68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3047422.9491038108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3.5900000000000034</v>
      </c>
      <c r="F171" s="101"/>
      <c r="G171" s="101"/>
      <c r="H171" s="101"/>
      <c r="I171" s="136" t="s">
        <v>283</v>
      </c>
      <c r="J171" s="103">
        <f>I144+I145+I168</f>
        <v>3047422.9491038108</v>
      </c>
      <c r="K171" s="103"/>
      <c r="L171" s="103">
        <f>L147+O167</f>
        <v>47.440000000000026</v>
      </c>
      <c r="M171" s="103"/>
      <c r="N171" s="103"/>
      <c r="O171" s="115">
        <f>O167*D58+L147*D59+O167*487.11</f>
        <v>224087.45372976013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3047422.9491038108</v>
      </c>
      <c r="M173" s="103"/>
      <c r="N173" s="103"/>
      <c r="O173" s="103">
        <f>L147*3232.0676</f>
        <v>153329.28694400008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153329.28694400008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3111291.8032921804</v>
      </c>
      <c r="E177" s="107">
        <f>E144+E145+E150+E151+E162+E163+E156+E157+E168</f>
        <v>10197.15075435001</v>
      </c>
      <c r="F177" s="107"/>
      <c r="G177" s="107"/>
      <c r="H177" s="107">
        <f>H144+H145+H156+H157+H168</f>
        <v>-74066.004942719999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-30746.383200000015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-7637.8847999999998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3111291.8032921804</v>
      </c>
      <c r="E180" s="101">
        <f>E141</f>
        <v>10197.15075435001</v>
      </c>
      <c r="F180" s="101"/>
      <c r="G180" s="101">
        <f>G141</f>
        <v>0</v>
      </c>
      <c r="H180" s="101">
        <f>H141</f>
        <v>-74066.004942719999</v>
      </c>
      <c r="I180" s="101">
        <f>I141</f>
        <v>3047422.95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I29" sqref="I29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20903.23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612.09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171.17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20975.58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717.63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78.95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21903232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13563426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0.98778355959999997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2.1299999999999999E-2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2.07E-2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4748.3815070000001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4748.3815070000001</v>
      </c>
      <c r="D57" s="189">
        <v>4723.5972540000002</v>
      </c>
      <c r="E57" s="190">
        <f>I10</f>
        <v>20903.23</v>
      </c>
      <c r="F57" s="190"/>
      <c r="G57" s="191">
        <f>D169</f>
        <v>72.350000000002183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20975.58</v>
      </c>
      <c r="K57" s="190">
        <f>IF((+L57-J57)&gt;0,(L57-J57),0)</f>
        <v>0</v>
      </c>
      <c r="L57" s="192">
        <f>I15</f>
        <v>20975.58</v>
      </c>
      <c r="M57" s="102"/>
      <c r="N57" s="102"/>
      <c r="O57" s="102">
        <f>E57+H57+G57</f>
        <v>20975.58</v>
      </c>
      <c r="P57" s="108">
        <f>L57-E57</f>
        <v>72.350000000002183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612.09</v>
      </c>
      <c r="F58" s="190"/>
      <c r="G58" s="191">
        <f>E169</f>
        <v>105.53999999999996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717.63</v>
      </c>
      <c r="K58" s="190">
        <f>IF((+L58-J58)&gt;0,(L58-J58),0)</f>
        <v>0</v>
      </c>
      <c r="L58" s="192">
        <f>I16</f>
        <v>717.63</v>
      </c>
      <c r="M58" s="102"/>
      <c r="N58" s="102"/>
      <c r="O58" s="102">
        <f>IF(E59=0,J58+J59,J58)</f>
        <v>717.63</v>
      </c>
      <c r="P58" s="108">
        <f>L58+L59-E58</f>
        <v>184.49</v>
      </c>
      <c r="Q58" s="1">
        <f>L59*466-(P58)*487.11</f>
        <v>-53076.223900000005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171.17</v>
      </c>
      <c r="F59" s="190"/>
      <c r="G59" s="191">
        <f>H169</f>
        <v>-92.219999999999985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78.95</v>
      </c>
      <c r="K59" s="190">
        <f>IF((+L59-J59)&gt;0,(L59-J59),0)</f>
        <v>0</v>
      </c>
      <c r="L59" s="192">
        <f>I17</f>
        <v>78.95</v>
      </c>
      <c r="M59" s="102"/>
      <c r="N59" s="102"/>
      <c r="O59" s="102">
        <f>IF(E59=0,L58+L59,L59)</f>
        <v>78.95</v>
      </c>
      <c r="P59" s="108">
        <f>L59-E59</f>
        <v>-92.219999999999985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21686.489999999998</v>
      </c>
      <c r="F61" s="190"/>
      <c r="G61" s="190">
        <f>SUM(G57:G60)</f>
        <v>85.670000000002162</v>
      </c>
      <c r="H61" s="190">
        <f>SUM(H57:H60)</f>
        <v>0</v>
      </c>
      <c r="I61" s="190">
        <f>SUM(I57:I59)</f>
        <v>0</v>
      </c>
      <c r="J61" s="190">
        <f>SUM(J57:J60)</f>
        <v>21772.160000000003</v>
      </c>
      <c r="K61" s="190">
        <f>SUM(K57:K60)</f>
        <v>0</v>
      </c>
      <c r="L61" s="192">
        <f>SUM(L57:L60)</f>
        <v>21772.160000000003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38457.334500000004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-38457.334500000004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101777930.4310423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1174203</v>
      </c>
      <c r="M66" s="163"/>
      <c r="N66" s="163"/>
      <c r="O66" s="152">
        <f>L66/487.11</f>
        <v>2410.5499784442936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5146167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101777930.4310423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99256510.768567607</v>
      </c>
      <c r="F69" s="202"/>
      <c r="G69" s="176"/>
      <c r="H69" s="174" t="s">
        <v>27</v>
      </c>
      <c r="I69" s="175"/>
      <c r="J69" s="175"/>
      <c r="K69" s="175"/>
      <c r="L69" s="203">
        <f>SUM(L65:L67)</f>
        <v>6320370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1721045.3386043701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800374.32387030998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116216504.98158807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108582670.4310423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21903232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1107543.2383966316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109690213.66943893</v>
      </c>
      <c r="G79" s="176" t="s">
        <v>29</v>
      </c>
      <c r="H79" s="175" t="s">
        <v>14</v>
      </c>
      <c r="I79" s="175"/>
      <c r="J79" s="175"/>
      <c r="K79" s="175"/>
      <c r="L79" s="213">
        <f>I23</f>
        <v>13563426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62434394.974984191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16895700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341752.26132691035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114796752.9749842</v>
      </c>
      <c r="M83" s="86"/>
      <c r="N83" s="86"/>
      <c r="O83" s="107">
        <f>G58*D58</f>
        <v>299779.18958609994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0.98778355959999997</v>
      </c>
      <c r="K84" s="175"/>
      <c r="L84" s="210">
        <f>+(1-J84)*L73</f>
        <v>1419752.0066038771</v>
      </c>
      <c r="M84" s="65"/>
      <c r="N84" s="65"/>
      <c r="O84" s="143">
        <f>G59*D59</f>
        <v>-435610.13876387995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116216504.98158808</v>
      </c>
      <c r="M85" s="86"/>
      <c r="N85" s="86"/>
      <c r="O85" s="107">
        <f>SUM(O82:O84)</f>
        <v>205921.31214913033</v>
      </c>
      <c r="P85" s="103">
        <f>I168+G174</f>
        <v>205921.31214913033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62434394.974984191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2.1299999999999999E-2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2.07E-2</v>
      </c>
      <c r="F92" s="175"/>
      <c r="G92" s="176"/>
      <c r="H92" s="174" t="s">
        <v>70</v>
      </c>
      <c r="I92" s="175"/>
      <c r="J92" s="175"/>
      <c r="K92" s="175"/>
      <c r="L92" s="210">
        <f>+L88-L91</f>
        <v>62434394.974984191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2096611.4640028968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205921.31214913033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341752.26132691035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299779.18958609994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-435610.13876387995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205921.31214913033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341752.26132691035</v>
      </c>
      <c r="E141" s="101">
        <f>(L58-E58)*D58</f>
        <v>299779.18958609994</v>
      </c>
      <c r="F141" s="101">
        <f>ROUND(D141+E141,0)</f>
        <v>641531</v>
      </c>
      <c r="G141" s="145">
        <f>IF(E59&gt;0,0,O168)</f>
        <v>0</v>
      </c>
      <c r="H141" s="101">
        <f>(L59-E59)*D59</f>
        <v>-435610.13876387995</v>
      </c>
      <c r="I141" s="101">
        <f>ROUND(D141+E141+H141,2)</f>
        <v>205921.31</v>
      </c>
      <c r="J141" s="113">
        <f>I144+I145+I150+I151+I162+I163+I156+I157+I168</f>
        <v>205921.31214913033</v>
      </c>
      <c r="K141" s="113"/>
      <c r="O141" s="146">
        <f>F141+G141</f>
        <v>641531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796.58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78.950000000000045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796.58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184.49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341752.26132691035</v>
      </c>
      <c r="E168" s="134">
        <f>IF(I141&lt;0,0,IF(AND(E59=0,I141&gt;=0),E141-E144-E145-E150-E151,IF(AND(E59&gt;0,I141&gt;=0),E141-E156-E157-E162-E163,0)))</f>
        <v>299779.18958609994</v>
      </c>
      <c r="F168" s="134"/>
      <c r="G168" s="134"/>
      <c r="H168" s="134">
        <f>IF(I141&lt;0,0,IF(AND(E59=0,I141&gt;=0),H141-H144-H145-H150-H151,IF(AND(E59&gt;0,I141&gt;=0),H141-H156-H157-H162-H163,0)))</f>
        <v>-435610.13876387995</v>
      </c>
      <c r="I168" s="101">
        <f>IF(I141&gt;0,D168+E168+H168,0)</f>
        <v>205921.31214913033</v>
      </c>
      <c r="L168" s="111"/>
      <c r="M168" s="111"/>
      <c r="N168" s="111"/>
      <c r="O168" s="113">
        <f>L147*D58</f>
        <v>224252.10363675014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72.350000000002183</v>
      </c>
      <c r="E169" s="8">
        <f>IF(E168=0,0,IF(I141&lt;0,0,L58-H58-E58))</f>
        <v>105.53999999999996</v>
      </c>
      <c r="F169" s="8"/>
      <c r="G169" s="8"/>
      <c r="H169" s="8">
        <f>IF(AND(E59=0,H141-I145=0),0,IF(I141&lt;0,0,IF(E59=0,(H168)/D59,IF(E59&gt;0,(H141-H156-H157-H162-H163)/D59,0))))</f>
        <v>-92.219999999999985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205921.31214913033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105.53999999999996</v>
      </c>
      <c r="F171" s="101"/>
      <c r="G171" s="101"/>
      <c r="H171" s="101"/>
      <c r="I171" s="136" t="s">
        <v>283</v>
      </c>
      <c r="J171" s="103">
        <f>I144+I145+I168</f>
        <v>205921.31214913033</v>
      </c>
      <c r="K171" s="103"/>
      <c r="L171" s="103">
        <f>L147+O167</f>
        <v>78.950000000000045</v>
      </c>
      <c r="M171" s="103"/>
      <c r="N171" s="103"/>
      <c r="O171" s="115">
        <f>O167*D58+L147*D59+O167*487.11</f>
        <v>372928.00320330024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205921.31214913033</v>
      </c>
      <c r="M173" s="103"/>
      <c r="N173" s="103"/>
      <c r="O173" s="103">
        <f>L147*3232.0676</f>
        <v>255171.73702000015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255171.73702000015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341752.26132691035</v>
      </c>
      <c r="E177" s="107">
        <f>E144+E145+E150+E151+E162+E163+E156+E157+E168</f>
        <v>299779.18958609994</v>
      </c>
      <c r="F177" s="107"/>
      <c r="G177" s="107"/>
      <c r="H177" s="107">
        <f>H144+H145+H156+H157+H168</f>
        <v>-435610.13876387995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-83378.618700000006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-44921.284199999995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341752.26132691035</v>
      </c>
      <c r="E180" s="101">
        <f>E141</f>
        <v>299779.18958609994</v>
      </c>
      <c r="F180" s="101"/>
      <c r="G180" s="101">
        <f>G141</f>
        <v>0</v>
      </c>
      <c r="H180" s="101">
        <f>H141</f>
        <v>-435610.13876387995</v>
      </c>
      <c r="I180" s="101">
        <f>I141</f>
        <v>205921.31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2350.018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34.6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2462.83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24.57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3236314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157897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0.98778357620000001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4.7899999999999998E-2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4.5999999999999999E-2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2350.018</v>
      </c>
      <c r="F57" s="190"/>
      <c r="G57" s="191">
        <f>D169</f>
        <v>112.8119999999999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2462.83</v>
      </c>
      <c r="K57" s="190">
        <f>IF((+L57-J57)&gt;0,(L57-J57),0)</f>
        <v>0</v>
      </c>
      <c r="L57" s="192">
        <f>I15</f>
        <v>2462.83</v>
      </c>
      <c r="M57" s="102"/>
      <c r="N57" s="102"/>
      <c r="O57" s="102">
        <f>E57+H57+G57</f>
        <v>2462.83</v>
      </c>
      <c r="P57" s="108">
        <f>L57-E57</f>
        <v>112.8119999999999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34.6</v>
      </c>
      <c r="F58" s="190"/>
      <c r="G58" s="191">
        <f>E169</f>
        <v>-10.030000000000001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24.57</v>
      </c>
      <c r="K58" s="190">
        <f>IF((+L58-J58)&gt;0,(L58-J58),0)</f>
        <v>0</v>
      </c>
      <c r="L58" s="192">
        <f>I16</f>
        <v>24.57</v>
      </c>
      <c r="M58" s="102"/>
      <c r="N58" s="102"/>
      <c r="O58" s="102">
        <f>IF(E59=0,J58+J59,J58)</f>
        <v>24.57</v>
      </c>
      <c r="P58" s="108">
        <f>L58+L59-E58</f>
        <v>-10.030000000000001</v>
      </c>
      <c r="Q58" s="1">
        <f>L59*466-(P58)*487.11</f>
        <v>4885.7133000000003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24.57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2384.6179999999999</v>
      </c>
      <c r="F61" s="190"/>
      <c r="G61" s="190">
        <f>SUM(G57:G60)</f>
        <v>102.7819999999999</v>
      </c>
      <c r="H61" s="190">
        <f>SUM(H57:H60)</f>
        <v>0</v>
      </c>
      <c r="I61" s="190">
        <f>SUM(I57:I59)</f>
        <v>0</v>
      </c>
      <c r="J61" s="190">
        <f>SUM(J57:J60)</f>
        <v>2487.4</v>
      </c>
      <c r="K61" s="190">
        <f>SUM(K57:K60)</f>
        <v>0</v>
      </c>
      <c r="L61" s="192">
        <f>SUM(L57:L60)</f>
        <v>2487.4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11085742.899772268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135400</v>
      </c>
      <c r="M66" s="163"/>
      <c r="N66" s="163"/>
      <c r="O66" s="152">
        <f>L66/487.11</f>
        <v>277.96596251360063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1291841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11085742.899772268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10988456.277354468</v>
      </c>
      <c r="F69" s="202"/>
      <c r="G69" s="176"/>
      <c r="H69" s="174" t="s">
        <v>27</v>
      </c>
      <c r="I69" s="175"/>
      <c r="J69" s="175"/>
      <c r="K69" s="175"/>
      <c r="L69" s="203">
        <f>SUM(L65:L67)</f>
        <v>1427241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97286.622417800012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17140367.604559243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15055174.899772268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3236314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153562.78397767714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15208737.683749946</v>
      </c>
      <c r="G79" s="176" t="s">
        <v>29</v>
      </c>
      <c r="H79" s="175" t="s">
        <v>14</v>
      </c>
      <c r="I79" s="175"/>
      <c r="J79" s="175"/>
      <c r="K79" s="175"/>
      <c r="L79" s="213">
        <f>I23</f>
        <v>157897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10741612.609814156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2795150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532878.45341824752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16930973.609814156</v>
      </c>
      <c r="M83" s="86"/>
      <c r="N83" s="86"/>
      <c r="O83" s="107">
        <f>G58*D58</f>
        <v>-28489.532608950005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0.98778357620000001</v>
      </c>
      <c r="K84" s="175"/>
      <c r="L84" s="210">
        <f>+(1-J84)*L73</f>
        <v>209393.9947450863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17140367.604559243</v>
      </c>
      <c r="M85" s="86"/>
      <c r="N85" s="86"/>
      <c r="O85" s="107">
        <f>SUM(O82:O84)</f>
        <v>504388.92080929753</v>
      </c>
      <c r="P85" s="103">
        <f>I168+G174</f>
        <v>504388.92080929753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10741612.609814156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4.7899999999999998E-2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4.5999999999999999E-2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10741612.609814156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515145.6058114203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504388.92080929753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532878.45341824752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-28489.532608950005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504388.92080929753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532878.45341824752</v>
      </c>
      <c r="E141" s="101">
        <f>(L58-E58)*D58</f>
        <v>-28489.532608950005</v>
      </c>
      <c r="F141" s="101">
        <f>ROUND(D141+E141,0)</f>
        <v>504389</v>
      </c>
      <c r="G141" s="145">
        <f>IF(E59&gt;0,0,O168)</f>
        <v>0</v>
      </c>
      <c r="H141" s="101">
        <f>(L59-E59)*D59</f>
        <v>0</v>
      </c>
      <c r="I141" s="101">
        <f>ROUND(D141+E141+H141,2)</f>
        <v>504388.92</v>
      </c>
      <c r="J141" s="113">
        <f>I144+I145+I150+I151+I162+I163+I156+I157+I168</f>
        <v>504388.92080929753</v>
      </c>
      <c r="K141" s="113"/>
      <c r="O141" s="146">
        <f>F141+G141</f>
        <v>504389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24.57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24.57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-10.030000000000001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532878.45341824752</v>
      </c>
      <c r="E168" s="134">
        <f>IF(I141&lt;0,0,IF(AND(E59=0,I141&gt;=0),E141-E144-E145-E150-E151,IF(AND(E59&gt;0,I141&gt;=0),E141-E156-E157-E162-E163,0)))</f>
        <v>-28489.532608950005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504388.92080929753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112.8119999999999</v>
      </c>
      <c r="E169" s="8">
        <f>IF(E168=0,0,IF(I141&lt;0,0,L58-H58-E58))</f>
        <v>-10.030000000000001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504388.92080929753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-10.030000000000001</v>
      </c>
      <c r="F171" s="101"/>
      <c r="G171" s="101"/>
      <c r="H171" s="101"/>
      <c r="I171" s="136" t="s">
        <v>283</v>
      </c>
      <c r="J171" s="103">
        <f>I144+I145+I168</f>
        <v>504388.92080929753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504388.92080929753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532878.45341824752</v>
      </c>
      <c r="E177" s="107">
        <f>E144+E145+E150+E151+E162+E163+E156+E157+E168</f>
        <v>-28489.532608950005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532878.45341824752</v>
      </c>
      <c r="E180" s="101">
        <f>E141</f>
        <v>-28489.532608950005</v>
      </c>
      <c r="F180" s="101"/>
      <c r="G180" s="101">
        <f>G141</f>
        <v>0</v>
      </c>
      <c r="H180" s="101">
        <f>H141</f>
        <v>0</v>
      </c>
      <c r="I180" s="101">
        <f>I141</f>
        <v>504388.92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I29" sqref="I29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8457.51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320.45999999999998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90.93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8734.33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341.4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171.71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11621595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2258747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2.1299999999999999E-2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2.07E-2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8457.51</v>
      </c>
      <c r="F57" s="190"/>
      <c r="G57" s="191">
        <f>D169</f>
        <v>276.81999999999971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8734.33</v>
      </c>
      <c r="K57" s="190">
        <f>IF((+L57-J57)&gt;0,(L57-J57),0)</f>
        <v>0</v>
      </c>
      <c r="L57" s="192">
        <f>I15</f>
        <v>8734.33</v>
      </c>
      <c r="M57" s="102"/>
      <c r="N57" s="102"/>
      <c r="O57" s="102">
        <f>E57+H57+G57</f>
        <v>8734.33</v>
      </c>
      <c r="P57" s="108">
        <f>L57-E57</f>
        <v>276.81999999999971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320.45999999999998</v>
      </c>
      <c r="F58" s="190"/>
      <c r="G58" s="191">
        <f>E169</f>
        <v>20.939999999999998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341.4</v>
      </c>
      <c r="K58" s="190">
        <f>IF((+L58-J58)&gt;0,(L58-J58),0)</f>
        <v>0</v>
      </c>
      <c r="L58" s="192">
        <f>I16</f>
        <v>341.4</v>
      </c>
      <c r="M58" s="102"/>
      <c r="N58" s="102"/>
      <c r="O58" s="102">
        <f>IF(E59=0,J58+J59,J58)</f>
        <v>341.4</v>
      </c>
      <c r="P58" s="108">
        <f>L58+L59-E58</f>
        <v>192.65000000000003</v>
      </c>
      <c r="Q58" s="1">
        <f>L59*466-(P58)*487.11</f>
        <v>-13824.881500000018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90.93</v>
      </c>
      <c r="F59" s="190"/>
      <c r="G59" s="191">
        <f>H169</f>
        <v>80.78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171.71</v>
      </c>
      <c r="K59" s="190">
        <f>IF((+L59-J59)&gt;0,(L59-J59),0)</f>
        <v>0</v>
      </c>
      <c r="L59" s="192">
        <f>I17</f>
        <v>171.71</v>
      </c>
      <c r="M59" s="102"/>
      <c r="N59" s="102"/>
      <c r="O59" s="102">
        <f>IF(E59=0,L58+L59,L59)</f>
        <v>171.71</v>
      </c>
      <c r="P59" s="108">
        <f>L59-E59</f>
        <v>80.78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8868.9</v>
      </c>
      <c r="F61" s="190"/>
      <c r="G61" s="190">
        <f>SUM(G57:G60)</f>
        <v>378.53999999999974</v>
      </c>
      <c r="H61" s="190">
        <f>SUM(H57:H60)</f>
        <v>0</v>
      </c>
      <c r="I61" s="190">
        <f>SUM(I57:I59)</f>
        <v>0</v>
      </c>
      <c r="J61" s="190">
        <f>SUM(J57:J60)</f>
        <v>9247.4399999999987</v>
      </c>
      <c r="K61" s="190">
        <f>SUM(K57:K60)</f>
        <v>0</v>
      </c>
      <c r="L61" s="192">
        <f>SUM(L57:L60)</f>
        <v>9247.4399999999987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83641.658100000001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-83641.658100000001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40872730.540848024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497930</v>
      </c>
      <c r="M66" s="163"/>
      <c r="N66" s="163"/>
      <c r="O66" s="152">
        <f>L66/487.11</f>
        <v>1022.2126419083985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2315879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40872730.540848024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39546496.60142526</v>
      </c>
      <c r="F69" s="202"/>
      <c r="G69" s="176"/>
      <c r="H69" s="174" t="s">
        <v>27</v>
      </c>
      <c r="I69" s="175"/>
      <c r="J69" s="175"/>
      <c r="K69" s="175"/>
      <c r="L69" s="203">
        <f>SUM(L65:L67)</f>
        <v>2813809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901054.07572277996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425179.86369999003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51580534.698942177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46543346.540848024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11621595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474742.13471664989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47018088.675564677</v>
      </c>
      <c r="G79" s="176" t="s">
        <v>29</v>
      </c>
      <c r="H79" s="175" t="s">
        <v>14</v>
      </c>
      <c r="I79" s="175"/>
      <c r="J79" s="175"/>
      <c r="K79" s="175"/>
      <c r="L79" s="213">
        <f>I23</f>
        <v>2258747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28952173.701609552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8117888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1307586.1918522788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50950403.701609552</v>
      </c>
      <c r="M83" s="86"/>
      <c r="N83" s="86"/>
      <c r="O83" s="107">
        <f>G58*D58</f>
        <v>59478.645347099999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0.9877835505</v>
      </c>
      <c r="K84" s="175"/>
      <c r="L84" s="210">
        <f>+(1-J84)*L73</f>
        <v>630130.99733262497</v>
      </c>
      <c r="M84" s="65"/>
      <c r="N84" s="65"/>
      <c r="O84" s="143">
        <f>G59*D59</f>
        <v>381572.18617812003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51580534.698942177</v>
      </c>
      <c r="M85" s="86"/>
      <c r="N85" s="86"/>
      <c r="O85" s="107">
        <f>SUM(O82:O84)</f>
        <v>1748637.0233774988</v>
      </c>
      <c r="P85" s="103">
        <f>I168+G174</f>
        <v>1748637.0233774988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28952173.701609552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2.1299999999999999E-2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2.07E-2</v>
      </c>
      <c r="F92" s="175"/>
      <c r="G92" s="176"/>
      <c r="H92" s="174" t="s">
        <v>70</v>
      </c>
      <c r="I92" s="175"/>
      <c r="J92" s="175"/>
      <c r="K92" s="175"/>
      <c r="L92" s="210">
        <f>+L88-L91</f>
        <v>28952173.701609552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854695.39352599462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1748637.0233774988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1307586.1918522788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59478.645347099999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381572.18617812003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1748637.0233774988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1307586.1918522788</v>
      </c>
      <c r="E141" s="101">
        <f>(L58-E58)*D58</f>
        <v>59478.645347099999</v>
      </c>
      <c r="F141" s="101">
        <f>ROUND(D141+E141,0)</f>
        <v>1367065</v>
      </c>
      <c r="G141" s="145">
        <f>IF(E59&gt;0,0,O168)</f>
        <v>0</v>
      </c>
      <c r="H141" s="101">
        <f>(L59-E59)*D59</f>
        <v>381572.18617812003</v>
      </c>
      <c r="I141" s="101">
        <f>ROUND(D141+E141+H141,2)</f>
        <v>1748637.02</v>
      </c>
      <c r="J141" s="113">
        <f>I144+I145+I150+I151+I162+I163+I156+I157+I168</f>
        <v>1748637.0233774988</v>
      </c>
      <c r="K141" s="113"/>
      <c r="O141" s="146">
        <f>F141+G141</f>
        <v>1367065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513.11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171.71000000000004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513.11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192.65000000000003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1307586.1918522788</v>
      </c>
      <c r="E168" s="134">
        <f>IF(I141&lt;0,0,IF(AND(E59=0,I141&gt;=0),E141-E144-E145-E150-E151,IF(AND(E59&gt;0,I141&gt;=0),E141-E156-E157-E162-E163,0)))</f>
        <v>59478.645347099999</v>
      </c>
      <c r="F168" s="134"/>
      <c r="G168" s="134"/>
      <c r="H168" s="134">
        <f>IF(I141&lt;0,0,IF(AND(E59=0,I141&gt;=0),H141-H144-H145-H150-H151,IF(AND(E59&gt;0,I141&gt;=0),H141-H156-H157-H162-H163,0)))</f>
        <v>381572.18617812003</v>
      </c>
      <c r="I168" s="101">
        <f>IF(I141&gt;0,D168+E168+H168,0)</f>
        <v>1748637.0233774988</v>
      </c>
      <c r="L168" s="111"/>
      <c r="M168" s="111"/>
      <c r="N168" s="111"/>
      <c r="O168" s="113">
        <f>L147*D58</f>
        <v>487730.57271015015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276.81999999999971</v>
      </c>
      <c r="E169" s="8">
        <f>IF(E168=0,0,IF(I141&lt;0,0,L58-H58-E58))</f>
        <v>20.939999999999998</v>
      </c>
      <c r="F169" s="8"/>
      <c r="G169" s="8"/>
      <c r="H169" s="8">
        <f>IF(AND(E59=0,H141-I145=0),0,IF(I141&lt;0,0,IF(E59=0,(H168)/D59,IF(E59&gt;0,(H141-H156-H157-H162-H163)/D59,0))))</f>
        <v>80.78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1748637.0233774988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20.939999999999998</v>
      </c>
      <c r="F171" s="101"/>
      <c r="G171" s="101"/>
      <c r="H171" s="101"/>
      <c r="I171" s="136" t="s">
        <v>283</v>
      </c>
      <c r="J171" s="103">
        <f>I144+I145+I168</f>
        <v>1748637.0233774988</v>
      </c>
      <c r="K171" s="103"/>
      <c r="L171" s="103">
        <f>L147+O167</f>
        <v>171.71000000000004</v>
      </c>
      <c r="M171" s="103"/>
      <c r="N171" s="103"/>
      <c r="O171" s="115">
        <f>O167*D58+L147*D59+O167*487.11</f>
        <v>811088.8844843402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1748637.0233774988</v>
      </c>
      <c r="M173" s="103"/>
      <c r="N173" s="103"/>
      <c r="O173" s="103">
        <f>L147*3232.0676</f>
        <v>554978.32759600005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554978.32759600005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1307586.1918522788</v>
      </c>
      <c r="E177" s="107">
        <f>E144+E145+E150+E151+E162+E163+E156+E157+E168</f>
        <v>59478.645347099999</v>
      </c>
      <c r="F177" s="107"/>
      <c r="G177" s="107"/>
      <c r="H177" s="107">
        <f>H144+H145+H156+H157+H168</f>
        <v>381572.18617812003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-44292.912300000018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39348.745800000004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1307586.1918522788</v>
      </c>
      <c r="E180" s="101">
        <f>E141</f>
        <v>59478.645347099999</v>
      </c>
      <c r="F180" s="101"/>
      <c r="G180" s="101">
        <f>G141</f>
        <v>0</v>
      </c>
      <c r="H180" s="101">
        <f>H141</f>
        <v>381572.18617812003</v>
      </c>
      <c r="I180" s="101">
        <f>I141</f>
        <v>1748637.02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activeCell="L98" sqref="L98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6770.18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150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43.22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6574.56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186.76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13.48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13950185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2068780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1420627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0.98778354710000005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6770.18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-195.61999999999989</v>
      </c>
      <c r="J57" s="190">
        <f>SUM(E57:I57)</f>
        <v>6574.56</v>
      </c>
      <c r="K57" s="190">
        <f>IF((+L57-J57)&gt;0,(L57-J57),0)</f>
        <v>0</v>
      </c>
      <c r="L57" s="192">
        <f>I15</f>
        <v>6574.56</v>
      </c>
      <c r="M57" s="102"/>
      <c r="N57" s="102"/>
      <c r="O57" s="102">
        <f>E57+H57+G57</f>
        <v>6770.18</v>
      </c>
      <c r="P57" s="108">
        <f>L57-E57</f>
        <v>-195.61999999999989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150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36.759999999999991</v>
      </c>
      <c r="J58" s="190">
        <f>E58+H58+G58+I58</f>
        <v>186.76</v>
      </c>
      <c r="K58" s="190">
        <f>IF((+L58-J58)&gt;0,(L58-J58),0)</f>
        <v>0</v>
      </c>
      <c r="L58" s="192">
        <f>I16</f>
        <v>186.76</v>
      </c>
      <c r="M58" s="102"/>
      <c r="N58" s="102"/>
      <c r="O58" s="102">
        <f>IF(E59=0,J58+J59,J58)</f>
        <v>186.76</v>
      </c>
      <c r="P58" s="108">
        <f>L58+L59-E58</f>
        <v>50.239999999999981</v>
      </c>
      <c r="Q58" s="1">
        <f>L59*466-(P58)*487.11</f>
        <v>-18190.726399999992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43.22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-29.74</v>
      </c>
      <c r="J59" s="190">
        <f>E59+H59+G59+I59</f>
        <v>13.48</v>
      </c>
      <c r="K59" s="190">
        <f>IF((+L59-J59)&gt;0,(L59-J59),0)</f>
        <v>0</v>
      </c>
      <c r="L59" s="192">
        <f>I17</f>
        <v>13.48</v>
      </c>
      <c r="M59" s="102"/>
      <c r="N59" s="102"/>
      <c r="O59" s="102">
        <f>IF(E59=0,L58+L59,L59)</f>
        <v>13.48</v>
      </c>
      <c r="P59" s="108">
        <f>L59-E59</f>
        <v>-29.74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6963.4000000000005</v>
      </c>
      <c r="F61" s="190"/>
      <c r="G61" s="190">
        <f>SUM(G57:G60)</f>
        <v>0</v>
      </c>
      <c r="H61" s="190">
        <f>SUM(H57:H60)</f>
        <v>0</v>
      </c>
      <c r="I61" s="190">
        <f>SUM(I57:I59)</f>
        <v>-188.59999999999991</v>
      </c>
      <c r="J61" s="190">
        <f>SUM(J57:J60)</f>
        <v>6774.8</v>
      </c>
      <c r="K61" s="190">
        <f>SUM(K57:K60)</f>
        <v>0</v>
      </c>
      <c r="L61" s="192">
        <f>SUM(L57:L60)</f>
        <v>6774.8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6566.2428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3402370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953529.35719999997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32280560.492033139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366171</v>
      </c>
      <c r="M66" s="163"/>
      <c r="N66" s="163"/>
      <c r="O66" s="152">
        <f>L66/487.11</f>
        <v>751.72137710168136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1666234</v>
      </c>
      <c r="M67" s="163"/>
      <c r="N67" s="163"/>
      <c r="O67" s="13"/>
      <c r="P67" s="139">
        <f>I57*D57</f>
        <v>-924030.09482747957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32280560.492033139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104414.27903339999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31656705.148564681</v>
      </c>
      <c r="F69" s="202"/>
      <c r="G69" s="176"/>
      <c r="H69" s="174" t="s">
        <v>27</v>
      </c>
      <c r="I69" s="175"/>
      <c r="J69" s="175"/>
      <c r="K69" s="175"/>
      <c r="L69" s="203">
        <f>SUM(L65:L67)</f>
        <v>2032405</v>
      </c>
      <c r="M69" s="165"/>
      <c r="N69" s="165"/>
      <c r="O69" s="155"/>
      <c r="P69" s="138">
        <f>IF(AND(E59=0,L71&gt;0),(I59+L147)*D58,IF(AND(E59&gt;0,L71&gt;0),I59*D59,0))</f>
        <v>-140479.78233396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421762.81394999998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-960095.59812803962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202092.52951846001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960095.6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-950401.49950625957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38079301.388250656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34732528.992526881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13950185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354271.79572377424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35086800.788250655</v>
      </c>
      <c r="G79" s="176" t="s">
        <v>29</v>
      </c>
      <c r="H79" s="175" t="s">
        <v>14</v>
      </c>
      <c r="I79" s="175"/>
      <c r="J79" s="175"/>
      <c r="K79" s="175"/>
      <c r="L79" s="213">
        <f>I23</f>
        <v>2068780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15668160.396376189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5926982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37614107.396376193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0.98778354710000005</v>
      </c>
      <c r="K84" s="175"/>
      <c r="L84" s="210">
        <f>+(1-J84)*L73</f>
        <v>465193.99187446694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38079301.388250656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15668160.396376189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15668160.396376189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326098.22325153602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1420627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1420627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3402370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1420627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-924030.09482747957</v>
      </c>
      <c r="E141" s="101">
        <f>(L58-E58)*D58</f>
        <v>104414.27903339999</v>
      </c>
      <c r="F141" s="101">
        <f>ROUND(D141+E141,0)</f>
        <v>-819616</v>
      </c>
      <c r="G141" s="145">
        <f>IF(E59&gt;0,0,O168)</f>
        <v>0</v>
      </c>
      <c r="H141" s="101">
        <f>(L59-E59)*D59</f>
        <v>-140479.78233396</v>
      </c>
      <c r="I141" s="101">
        <f>ROUND(D141+E141+H141,2)</f>
        <v>-960095.6</v>
      </c>
      <c r="J141" s="113">
        <f>I144+I145+I150+I151+I162+I163+I156+I157+I168</f>
        <v>0</v>
      </c>
      <c r="K141" s="113"/>
      <c r="O141" s="146">
        <f>F141+G141</f>
        <v>-819616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200.23999999999998</v>
      </c>
      <c r="M145" s="81"/>
      <c r="N145" s="81"/>
      <c r="O145" s="104">
        <f>D138/(D141+O168)*D141</f>
        <v>1482038.1972921176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13.47999999999999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200.23999999999998</v>
      </c>
      <c r="M151" s="81"/>
      <c r="N151" s="81"/>
      <c r="O151" s="104">
        <f>D138/(D141+O168)*D141</f>
        <v>1482038.1972921176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50.239999999999981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1367261.8659271824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38289.022888199972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13.47999999999999</v>
      </c>
      <c r="M171" s="103"/>
      <c r="N171" s="103"/>
      <c r="O171" s="115">
        <f>O167*D58+L147*D59+O167*487.11</f>
        <v>63674.090983919952</v>
      </c>
    </row>
    <row r="172" spans="1:16">
      <c r="A172" s="23"/>
      <c r="B172" s="2" t="s">
        <v>247</v>
      </c>
      <c r="D172" s="8">
        <f>IF(I141&lt;0,D141/D57,0)</f>
        <v>-195.61999999999989</v>
      </c>
      <c r="E172" s="8">
        <f>IF(I141&lt;0,E141/D58,0)</f>
        <v>36.759999999999991</v>
      </c>
      <c r="F172" s="8"/>
      <c r="G172" s="8"/>
      <c r="H172" s="8">
        <f>IF(I141&lt;0,H141/D59,0)</f>
        <v>-29.74</v>
      </c>
      <c r="I172" s="137">
        <f>IF(AND(E59=0,L71&gt;0),-D172*D57-E172*D58-(H172+L147)*D58,IF(AND(E59&gt;0,L71&gt;0),-D172*D57-E172*D58-H172*D59,0))</f>
        <v>960095.59812803962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43568.271247999968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43568.271247999968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-6566.2427999999954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-924030.09482747957</v>
      </c>
      <c r="E180" s="101">
        <f>E141</f>
        <v>104414.27903339999</v>
      </c>
      <c r="F180" s="101"/>
      <c r="G180" s="101">
        <f>G141</f>
        <v>0</v>
      </c>
      <c r="H180" s="101">
        <f>H141</f>
        <v>-140479.78233396</v>
      </c>
      <c r="I180" s="101">
        <f>I141</f>
        <v>-960095.6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14401.62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302.89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14417.47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294.33999999999997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71012705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6743472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1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3.0800000000000001E-2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2.9700000000000001E-2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14401.62</v>
      </c>
      <c r="F57" s="190"/>
      <c r="G57" s="191">
        <f>D169</f>
        <v>15.849999999998547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14417.47</v>
      </c>
      <c r="K57" s="190">
        <f>IF((+L57-J57)&gt;0,(L57-J57),0)</f>
        <v>0</v>
      </c>
      <c r="L57" s="192">
        <f>I15</f>
        <v>14417.47</v>
      </c>
      <c r="M57" s="102"/>
      <c r="N57" s="102"/>
      <c r="O57" s="102">
        <f>E57+H57+G57</f>
        <v>14417.47</v>
      </c>
      <c r="P57" s="108">
        <f>L57-E57</f>
        <v>15.849999999998545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302.89</v>
      </c>
      <c r="F58" s="190"/>
      <c r="G58" s="191">
        <f>E169</f>
        <v>-8.5500000000000114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294.33999999999997</v>
      </c>
      <c r="K58" s="190">
        <f>IF((+L58-J58)&gt;0,(L58-J58),0)</f>
        <v>0</v>
      </c>
      <c r="L58" s="192">
        <f>I16</f>
        <v>294.33999999999997</v>
      </c>
      <c r="M58" s="102"/>
      <c r="N58" s="102"/>
      <c r="O58" s="102">
        <f>IF(E59=0,J58+J59,J58)</f>
        <v>294.33999999999997</v>
      </c>
      <c r="P58" s="108">
        <f>L58+L59-E58</f>
        <v>-8.5500000000000114</v>
      </c>
      <c r="Q58" s="1">
        <f>L59*466-(P58)*487.11</f>
        <v>4164.7905000000055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294.33999999999997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14704.51</v>
      </c>
      <c r="F61" s="190"/>
      <c r="G61" s="190">
        <f>SUM(G57:G60)</f>
        <v>7.2999999999985352</v>
      </c>
      <c r="H61" s="190">
        <f>SUM(H57:H60)</f>
        <v>0</v>
      </c>
      <c r="I61" s="190">
        <f>SUM(I57:I59)</f>
        <v>0</v>
      </c>
      <c r="J61" s="190">
        <f>SUM(J57:J60)</f>
        <v>14711.81</v>
      </c>
      <c r="K61" s="190">
        <f>SUM(K57:K60)</f>
        <v>0</v>
      </c>
      <c r="L61" s="192">
        <f>SUM(L57:L60)</f>
        <v>14711.81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5812381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68192230.12875089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797580</v>
      </c>
      <c r="M66" s="163"/>
      <c r="N66" s="163"/>
      <c r="O66" s="152">
        <f>L66/487.11</f>
        <v>1637.3714356100265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3552648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68192230.12875089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67340578.537302122</v>
      </c>
      <c r="F69" s="202"/>
      <c r="G69" s="176"/>
      <c r="H69" s="174" t="s">
        <v>27</v>
      </c>
      <c r="I69" s="175"/>
      <c r="J69" s="175"/>
      <c r="K69" s="175"/>
      <c r="L69" s="203">
        <f>SUM(L65:L67)</f>
        <v>4350228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851651.59144877002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79160269.485439301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74004611.12875089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71012705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754847.03351325914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-67089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74759458.162264153</v>
      </c>
      <c r="G79" s="176" t="s">
        <v>29</v>
      </c>
      <c r="H79" s="175" t="s">
        <v>14</v>
      </c>
      <c r="I79" s="175"/>
      <c r="J79" s="175"/>
      <c r="K79" s="175"/>
      <c r="L79" s="213">
        <f>I23</f>
        <v>6743472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0.48543930053710938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1471181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74869.016475893135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79160269.485439301</v>
      </c>
      <c r="M83" s="86"/>
      <c r="N83" s="86"/>
      <c r="O83" s="107">
        <f>G58*D58</f>
        <v>-24285.693300750034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79160269.485439301</v>
      </c>
      <c r="M85" s="86"/>
      <c r="N85" s="86"/>
      <c r="O85" s="107">
        <f>SUM(O82:O84)</f>
        <v>50583.323175143101</v>
      </c>
      <c r="P85" s="103">
        <f>I168+G174</f>
        <v>50583.323175143101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0.48543930053710938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3.0800000000000001E-2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2.9700000000000001E-2</v>
      </c>
      <c r="F92" s="175"/>
      <c r="G92" s="176"/>
      <c r="H92" s="174" t="s">
        <v>70</v>
      </c>
      <c r="I92" s="175"/>
      <c r="J92" s="175"/>
      <c r="K92" s="175"/>
      <c r="L92" s="210">
        <f>+L88-L91</f>
        <v>0.48543930053710938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2045967.3963540012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50583.323175143101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74869.016475893135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-24285.693300750034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50583.323175143101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1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141765</v>
      </c>
      <c r="G127" s="169"/>
      <c r="H127" s="253">
        <f>SUM(B127:F127)</f>
        <v>141765</v>
      </c>
      <c r="I127" s="169"/>
      <c r="J127" s="251">
        <f>H118+H127</f>
        <v>1275888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5812381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74869.016475893135</v>
      </c>
      <c r="E141" s="101">
        <f>(L58-E58)*D58</f>
        <v>-24285.693300750034</v>
      </c>
      <c r="F141" s="101">
        <f>ROUND(D141+E141,0)</f>
        <v>50583</v>
      </c>
      <c r="G141" s="145">
        <f>IF(E59&gt;0,0,O168)</f>
        <v>0</v>
      </c>
      <c r="H141" s="101">
        <f>(L59-E59)*D59</f>
        <v>0</v>
      </c>
      <c r="I141" s="101">
        <f>ROUND(D141+E141+H141,2)</f>
        <v>50583.32</v>
      </c>
      <c r="J141" s="113">
        <f>I144+I145+I150+I151+I162+I163+I156+I157+I168</f>
        <v>50583.323175143101</v>
      </c>
      <c r="K141" s="113"/>
      <c r="O141" s="146">
        <f>F141+G141</f>
        <v>50583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294.33999999999997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294.33999999999997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-8.5500000000000114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74869.016475893135</v>
      </c>
      <c r="E168" s="134">
        <f>IF(I141&lt;0,0,IF(AND(E59=0,I141&gt;=0),E141-E144-E145-E150-E151,IF(AND(E59&gt;0,I141&gt;=0),E141-E156-E157-E162-E163,0)))</f>
        <v>-24285.693300750034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50583.323175143101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15.849999999998547</v>
      </c>
      <c r="E169" s="8">
        <f>IF(E168=0,0,IF(I141&lt;0,0,L58-H58-E58))</f>
        <v>-8.5500000000000114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50583.323175143101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-8.5500000000000114</v>
      </c>
      <c r="F171" s="101"/>
      <c r="G171" s="101"/>
      <c r="H171" s="101"/>
      <c r="I171" s="136" t="s">
        <v>283</v>
      </c>
      <c r="J171" s="103">
        <f>I144+I145+I168</f>
        <v>50583.323175143101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50583.323175143101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74869.016475893135</v>
      </c>
      <c r="E177" s="107">
        <f>E144+E145+E150+E151+E162+E163+E156+E157+E168</f>
        <v>-24285.693300750034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74869.016475893135</v>
      </c>
      <c r="E180" s="101">
        <f>E141</f>
        <v>-24285.693300750034</v>
      </c>
      <c r="F180" s="101"/>
      <c r="G180" s="101">
        <f>G141</f>
        <v>0</v>
      </c>
      <c r="H180" s="101">
        <f>H141</f>
        <v>0</v>
      </c>
      <c r="I180" s="101">
        <f>I141</f>
        <v>50583.32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2157.27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75.77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307.91000000000003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2186.21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105.51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299.98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3691090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1265784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5464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0.98778358070000005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3.1899999999999998E-2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3.0700000000000002E-2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2157.27</v>
      </c>
      <c r="F57" s="190"/>
      <c r="G57" s="191">
        <f>D169</f>
        <v>28.224903860599223</v>
      </c>
      <c r="H57" s="190">
        <f>IF(AND(E141&lt;0,E59&gt;0),D159+D165,IF(AND(E141&gt;0,E59&gt;0),D158+D164,IF(AND(E141&gt;0,E59=0),D146+D152,D147+D153)))</f>
        <v>0.71494478340138035</v>
      </c>
      <c r="I57" s="191">
        <f>D172</f>
        <v>0</v>
      </c>
      <c r="J57" s="190">
        <f>SUM(E57:I57)</f>
        <v>2186.2098486440004</v>
      </c>
      <c r="K57" s="190">
        <f>IF((+L57-J57)&gt;0,(L57-J57),0)</f>
        <v>1.5135599960558466E-4</v>
      </c>
      <c r="L57" s="192">
        <f>I15</f>
        <v>2186.21</v>
      </c>
      <c r="M57" s="102"/>
      <c r="N57" s="102"/>
      <c r="O57" s="102">
        <f>E57+H57+G57</f>
        <v>2186.2098486440004</v>
      </c>
      <c r="P57" s="108">
        <f>L57-E57</f>
        <v>28.940000000000055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75.77</v>
      </c>
      <c r="F58" s="190"/>
      <c r="G58" s="191">
        <f>E169</f>
        <v>29.005291711874335</v>
      </c>
      <c r="H58" s="190">
        <f>IF(AND(E141&lt;0,E59&gt;0),E159+E165,IF(AND(E141&gt;=0,E59&gt;0),E158+E164,IF(AND(E141&gt;=0,E59=0),E146+E152,E147+E153)))</f>
        <v>0.73470828812567435</v>
      </c>
      <c r="I58" s="191">
        <f>E172</f>
        <v>0</v>
      </c>
      <c r="J58" s="190">
        <f>E58+H58+G58+I58</f>
        <v>105.51</v>
      </c>
      <c r="K58" s="190">
        <f>IF((+L58-J58)&gt;0,(L58-J58),0)</f>
        <v>0</v>
      </c>
      <c r="L58" s="192">
        <f>I16</f>
        <v>105.51</v>
      </c>
      <c r="M58" s="102"/>
      <c r="N58" s="102"/>
      <c r="O58" s="102">
        <f>IF(E59=0,J58+J59,J58)</f>
        <v>105.51</v>
      </c>
      <c r="P58" s="108">
        <f>L58+L59-E58</f>
        <v>329.72</v>
      </c>
      <c r="Q58" s="1">
        <f>L59*466-(P58)*487.11</f>
        <v>-20819.229200000002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307.91000000000003</v>
      </c>
      <c r="F59" s="190"/>
      <c r="G59" s="191">
        <f>H169</f>
        <v>-7.9300000000000059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299.98</v>
      </c>
      <c r="K59" s="190">
        <f>IF((+L59-J59)&gt;0,(L59-J59),0)</f>
        <v>0</v>
      </c>
      <c r="L59" s="192">
        <f>I17</f>
        <v>299.98</v>
      </c>
      <c r="M59" s="102"/>
      <c r="N59" s="102"/>
      <c r="O59" s="102">
        <f>IF(E59=0,L58+L59,L59)</f>
        <v>299.98</v>
      </c>
      <c r="P59" s="108">
        <f>L59-E59</f>
        <v>-7.9300000000000068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2540.9499999999998</v>
      </c>
      <c r="F61" s="190"/>
      <c r="G61" s="190">
        <f>SUM(G57:G60)</f>
        <v>49.300195572473555</v>
      </c>
      <c r="H61" s="190">
        <f>SUM(H57:H60)</f>
        <v>1.4496530715270546</v>
      </c>
      <c r="I61" s="190">
        <f>SUM(I57:I59)</f>
        <v>0</v>
      </c>
      <c r="J61" s="190">
        <f>SUM(J57:J60)</f>
        <v>2591.6998486440007</v>
      </c>
      <c r="K61" s="190">
        <f>SUM(K57:K60)</f>
        <v>1.5135599960558466E-4</v>
      </c>
      <c r="L61" s="192">
        <f>SUM(L57:L60)</f>
        <v>2591.7000000000003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146123.25780000002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-146123.25780000002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11739989.082955759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139336</v>
      </c>
      <c r="M66" s="163"/>
      <c r="N66" s="163"/>
      <c r="O66" s="152">
        <f>L66/487.11</f>
        <v>286.0462729157685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1308000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11739989.082955759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10087185.320899019</v>
      </c>
      <c r="F69" s="202"/>
      <c r="G69" s="176"/>
      <c r="H69" s="174" t="s">
        <v>27</v>
      </c>
      <c r="I69" s="175"/>
      <c r="J69" s="175"/>
      <c r="K69" s="175"/>
      <c r="L69" s="203">
        <f>SUM(L65:L67)</f>
        <v>1447336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213046.45608661001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1439757.3059701303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17500709.688002765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15709421.082955759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3377.1112156363852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3691090</v>
      </c>
      <c r="M77" s="159"/>
      <c r="N77" s="159"/>
      <c r="O77" s="86">
        <f>H58*D58</f>
        <v>2086.8889065425956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160236.09504614875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15869657.178001909</v>
      </c>
      <c r="G79" s="176" t="s">
        <v>29</v>
      </c>
      <c r="H79" s="175" t="s">
        <v>14</v>
      </c>
      <c r="I79" s="175"/>
      <c r="J79" s="175"/>
      <c r="K79" s="175"/>
      <c r="L79" s="213">
        <f>I23</f>
        <v>1265784</v>
      </c>
      <c r="M79" s="159"/>
      <c r="N79" s="159"/>
      <c r="O79" s="86">
        <f>SUM(O76:O78)</f>
        <v>5464.0001221789807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9657928.6804065518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2672111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133323.07837034049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17286913.680406552</v>
      </c>
      <c r="M83" s="86"/>
      <c r="N83" s="86"/>
      <c r="O83" s="107">
        <f>G58*D58</f>
        <v>82387.557732557441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0.98778358070000005</v>
      </c>
      <c r="K84" s="175"/>
      <c r="L84" s="210">
        <f>+(1-J84)*L73</f>
        <v>213796.00759621305</v>
      </c>
      <c r="M84" s="65"/>
      <c r="N84" s="65"/>
      <c r="O84" s="143">
        <f>G59*D59</f>
        <v>-37458.126224220032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5464.0001221789807</v>
      </c>
      <c r="G85" s="176"/>
      <c r="H85" s="174" t="s">
        <v>342</v>
      </c>
      <c r="I85" s="175"/>
      <c r="J85" s="175"/>
      <c r="K85" s="175"/>
      <c r="L85" s="213">
        <f>+L84+L83</f>
        <v>17500709.688002765</v>
      </c>
      <c r="M85" s="86"/>
      <c r="N85" s="86"/>
      <c r="O85" s="107">
        <f>SUM(O82:O84)</f>
        <v>178252.5098786779</v>
      </c>
      <c r="P85" s="103">
        <f>I168+G174</f>
        <v>178252.5098786779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5464.0001221789807</v>
      </c>
      <c r="G88" s="176" t="s">
        <v>28</v>
      </c>
      <c r="H88" s="175" t="s">
        <v>15</v>
      </c>
      <c r="I88" s="175"/>
      <c r="J88" s="175"/>
      <c r="K88" s="175"/>
      <c r="L88" s="210">
        <f>L80</f>
        <v>9657928.6804065518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3.1899999999999998E-2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3.0700000000000002E-2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9657928.6804065518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364093.92616413574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178252.5098786779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133323.07837034049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82387.557732557441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-37458.126224220032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5464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178252.5098786779</v>
      </c>
      <c r="G99" s="176"/>
      <c r="H99" s="174" t="s">
        <v>16</v>
      </c>
      <c r="I99" s="175"/>
      <c r="J99" s="175"/>
      <c r="K99" s="175"/>
      <c r="L99" s="203">
        <f>SUM(L96:L98)</f>
        <v>5464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5464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136700.90453076028</v>
      </c>
      <c r="E141" s="101">
        <f>(L58-E58)*D58</f>
        <v>84474.446639100031</v>
      </c>
      <c r="F141" s="101">
        <f>ROUND(D141+E141,0)</f>
        <v>221175</v>
      </c>
      <c r="G141" s="145">
        <f>IF(E59&gt;0,0,O168)</f>
        <v>0</v>
      </c>
      <c r="H141" s="101">
        <f>(L59-E59)*D59</f>
        <v>-37458.126224220032</v>
      </c>
      <c r="I141" s="101">
        <f>ROUND(D141+E141+H141,2)</f>
        <v>183717.22</v>
      </c>
      <c r="J141" s="113">
        <f>I144+I145+I150+I151+I162+I163+I156+I157+I168</f>
        <v>183716.51000085688</v>
      </c>
      <c r="K141" s="113"/>
      <c r="O141" s="146">
        <f>F141+G141</f>
        <v>221175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405.49</v>
      </c>
      <c r="M145" s="81"/>
      <c r="N145" s="81"/>
      <c r="O145" s="104">
        <f>D138/(D141+O168)*D141</f>
        <v>755.41426050427253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299.98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405.49</v>
      </c>
      <c r="M151" s="81"/>
      <c r="N151" s="81"/>
      <c r="O151" s="104">
        <f>D138/(D141+O168)*D141</f>
        <v>755.41426050427253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329.72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4065.6708301817007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3377.1112156363852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2086.8889065425956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5464.0001221789807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0.71494478340138035</v>
      </c>
      <c r="E158" s="8">
        <f>E156/D58</f>
        <v>0.73470828812567435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133323.07837034049</v>
      </c>
      <c r="E168" s="134">
        <f>IF(I141&lt;0,0,IF(AND(E59=0,I141&gt;=0),E141-E144-E145-E150-E151,IF(AND(E59&gt;0,I141&gt;=0),E141-E156-E157-E162-E163,0)))</f>
        <v>82387.557732557441</v>
      </c>
      <c r="F168" s="134"/>
      <c r="G168" s="134"/>
      <c r="H168" s="134">
        <f>IF(I141&lt;0,0,IF(AND(E59=0,I141&gt;=0),H141-H144-H145-H150-H151,IF(AND(E59&gt;0,I141&gt;=0),H141-H156-H157-H162-H163,0)))</f>
        <v>-37458.126224220032</v>
      </c>
      <c r="I168" s="101">
        <f>IF(I141&gt;0,D168+E168+H168,0)</f>
        <v>178252.5098786779</v>
      </c>
      <c r="L168" s="111"/>
      <c r="M168" s="111"/>
      <c r="N168" s="111"/>
      <c r="O168" s="113">
        <f>L147*D58</f>
        <v>852072.78086070006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28.224903860599223</v>
      </c>
      <c r="E169" s="8">
        <f>IF(E168=0,0,IF(I141&lt;0,0,L58-H58-E58))</f>
        <v>29.005291711874335</v>
      </c>
      <c r="F169" s="8"/>
      <c r="G169" s="8"/>
      <c r="H169" s="8">
        <f>IF(AND(E59=0,H141-I145=0),0,IF(I141&lt;0,0,IF(E59=0,(H168)/D59,IF(E59&gt;0,(H141-H156-H157-H162-H163)/D59,0))))</f>
        <v>-7.9300000000000059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183716.51000085688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29.005291711874335</v>
      </c>
      <c r="F171" s="101"/>
      <c r="G171" s="101"/>
      <c r="H171" s="101"/>
      <c r="I171" s="136" t="s">
        <v>283</v>
      </c>
      <c r="J171" s="103">
        <f>I144+I145+I168</f>
        <v>178252.5098786779</v>
      </c>
      <c r="K171" s="103"/>
      <c r="L171" s="103">
        <f>L147+O167</f>
        <v>299.98</v>
      </c>
      <c r="M171" s="103"/>
      <c r="N171" s="103"/>
      <c r="O171" s="115">
        <f>O167*D58+L147*D59+O167*487.11</f>
        <v>1416984.7042549201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178252.5098786779</v>
      </c>
      <c r="M173" s="103"/>
      <c r="N173" s="103"/>
      <c r="O173" s="103">
        <f>L147*3232.0676</f>
        <v>969555.63864799996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969555.63864799996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136700.18958597688</v>
      </c>
      <c r="E177" s="107">
        <f>E144+E145+E150+E151+E162+E163+E156+E157+E168</f>
        <v>84474.446639100031</v>
      </c>
      <c r="F177" s="107"/>
      <c r="G177" s="107"/>
      <c r="H177" s="107">
        <f>H144+H145+H156+H157+H168</f>
        <v>-37458.126224220032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-149986.04010000001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-3862.782300000003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136700.90453076028</v>
      </c>
      <c r="E180" s="101">
        <f>E141</f>
        <v>84474.446639100031</v>
      </c>
      <c r="F180" s="101"/>
      <c r="G180" s="101">
        <f>G141</f>
        <v>0</v>
      </c>
      <c r="H180" s="101">
        <f>H141</f>
        <v>-37458.126224220032</v>
      </c>
      <c r="I180" s="101">
        <f>I141</f>
        <v>183717.22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3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6915.29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0.89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8575.64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0.71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15012883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3372530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7413460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0.98778357000000006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2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6915.29</v>
      </c>
      <c r="F57" s="190"/>
      <c r="G57" s="191">
        <f>D169</f>
        <v>90.897821636954063</v>
      </c>
      <c r="H57" s="190">
        <f>IF(AND(E141&lt;0,E59&gt;0),D159+D165,IF(AND(E141&gt;0,E59&gt;0),D158+D164,IF(AND(E141&gt;0,E59=0),D146+D152,D147+D153)))</f>
        <v>1569.4521783630455</v>
      </c>
      <c r="I57" s="191">
        <f>D172</f>
        <v>0</v>
      </c>
      <c r="J57" s="190">
        <f>SUM(E57:I57)</f>
        <v>8575.64</v>
      </c>
      <c r="K57" s="190">
        <f>IF((+L57-J57)&gt;0,(L57-J57),0)</f>
        <v>0</v>
      </c>
      <c r="L57" s="192">
        <f>I15</f>
        <v>8575.64</v>
      </c>
      <c r="M57" s="102"/>
      <c r="N57" s="102"/>
      <c r="O57" s="102">
        <f>E57+H57+G57</f>
        <v>8575.64</v>
      </c>
      <c r="P57" s="108">
        <f>L57-E57</f>
        <v>1660.3499999999995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0.89</v>
      </c>
      <c r="F58" s="190"/>
      <c r="G58" s="191">
        <f>E169</f>
        <v>-0.18000000000000005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0.71</v>
      </c>
      <c r="K58" s="190">
        <f>IF((+L58-J58)&gt;0,(L58-J58),0)</f>
        <v>0</v>
      </c>
      <c r="L58" s="192">
        <f>I16</f>
        <v>0.71</v>
      </c>
      <c r="M58" s="102"/>
      <c r="N58" s="102"/>
      <c r="O58" s="102">
        <f>IF(E59=0,J58+J59,J58)</f>
        <v>0.71</v>
      </c>
      <c r="P58" s="108">
        <f>L58+L59-E58</f>
        <v>-0.18000000000000005</v>
      </c>
      <c r="Q58" s="1">
        <f>L59*466-(P58)*487.11</f>
        <v>87.679800000000029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0.71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6916.18</v>
      </c>
      <c r="F61" s="190"/>
      <c r="G61" s="190">
        <f>SUM(G57:G60)</f>
        <v>90.717821636954056</v>
      </c>
      <c r="H61" s="190">
        <f>SUM(H57:H60)</f>
        <v>1569.4521783630455</v>
      </c>
      <c r="I61" s="190">
        <f>SUM(I57:I59)</f>
        <v>0</v>
      </c>
      <c r="J61" s="190">
        <f>SUM(J57:J60)</f>
        <v>8576.3499999999985</v>
      </c>
      <c r="K61" s="190">
        <f>SUM(K57:K60)</f>
        <v>0</v>
      </c>
      <c r="L61" s="192">
        <f>SUM(L57:L60)</f>
        <v>8576.3499999999985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32337727.896030311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468678</v>
      </c>
      <c r="M66" s="163"/>
      <c r="N66" s="163"/>
      <c r="O66" s="152">
        <f>L66/487.11</f>
        <v>962.16049762887235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2195809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32337727.896030311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32335225.436667539</v>
      </c>
      <c r="F69" s="202"/>
      <c r="G69" s="176"/>
      <c r="H69" s="174" t="s">
        <v>27</v>
      </c>
      <c r="I69" s="175"/>
      <c r="J69" s="175"/>
      <c r="K69" s="175"/>
      <c r="L69" s="203">
        <f>SUM(L65:L67)</f>
        <v>2664487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2502.4593627700001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48902829.426695012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38008343.896030307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7413460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15012883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387685.10773950914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38396029.003769815</v>
      </c>
      <c r="G79" s="176" t="s">
        <v>29</v>
      </c>
      <c r="H79" s="175" t="s">
        <v>14</v>
      </c>
      <c r="I79" s="175"/>
      <c r="J79" s="175"/>
      <c r="K79" s="175"/>
      <c r="L79" s="213">
        <f>I23</f>
        <v>3372530</v>
      </c>
      <c r="M79" s="159"/>
      <c r="N79" s="159"/>
      <c r="O79" s="86">
        <f>SUM(O76:O78)</f>
        <v>7413460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22426153.434201855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7493845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429364.70067889802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48305411.434201851</v>
      </c>
      <c r="M83" s="86"/>
      <c r="N83" s="86"/>
      <c r="O83" s="107">
        <f>G58*D58</f>
        <v>-511.27775370000018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0.98778357000000006</v>
      </c>
      <c r="K84" s="175"/>
      <c r="L84" s="210">
        <f>+(1-J84)*L73</f>
        <v>597417.99249315704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7413460</v>
      </c>
      <c r="G85" s="176"/>
      <c r="H85" s="174" t="s">
        <v>342</v>
      </c>
      <c r="I85" s="175"/>
      <c r="J85" s="175"/>
      <c r="K85" s="175"/>
      <c r="L85" s="213">
        <f>+L84+L83</f>
        <v>48902829.426695012</v>
      </c>
      <c r="M85" s="86"/>
      <c r="N85" s="86"/>
      <c r="O85" s="107">
        <f>SUM(O82:O84)</f>
        <v>428853.42292519804</v>
      </c>
      <c r="P85" s="103">
        <f>I168+G174</f>
        <v>428853.42292519804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7413460</v>
      </c>
      <c r="G88" s="176" t="s">
        <v>28</v>
      </c>
      <c r="H88" s="175" t="s">
        <v>15</v>
      </c>
      <c r="I88" s="175"/>
      <c r="J88" s="175"/>
      <c r="K88" s="175"/>
      <c r="L88" s="210">
        <f>L80</f>
        <v>22426153.434201855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22426153.434201855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326675.7283906251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428853.42292519804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429364.70067889802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-511.27775370000018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5907393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1506067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428853.42292519804</v>
      </c>
      <c r="G99" s="176"/>
      <c r="H99" s="174" t="s">
        <v>16</v>
      </c>
      <c r="I99" s="175"/>
      <c r="J99" s="175"/>
      <c r="K99" s="175"/>
      <c r="L99" s="203">
        <f>SUM(L96:L98)</f>
        <v>7413460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3402370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2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2268246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2268246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7413460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7842824.700678898</v>
      </c>
      <c r="E141" s="101">
        <f>(L58-E58)*D58</f>
        <v>-511.27775370000018</v>
      </c>
      <c r="F141" s="101">
        <f>ROUND(D141+E141,0)</f>
        <v>7842313</v>
      </c>
      <c r="G141" s="145">
        <f>IF(E59&gt;0,0,O168)</f>
        <v>0</v>
      </c>
      <c r="H141" s="101">
        <f>(L59-E59)*D59</f>
        <v>0</v>
      </c>
      <c r="I141" s="101">
        <f>ROUND(D141+E141+H141,2)</f>
        <v>7842313.4199999999</v>
      </c>
      <c r="J141" s="113">
        <f>I144+I145+I150+I151+I162+I163+I156+I157+I168</f>
        <v>7842313.4229251985</v>
      </c>
      <c r="K141" s="113"/>
      <c r="O141" s="146">
        <f>F141+G141</f>
        <v>7842313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0.71</v>
      </c>
      <c r="M145" s="81"/>
      <c r="N145" s="81"/>
      <c r="O145" s="104">
        <f>D138/(D141+O168)*D141</f>
        <v>7413460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7413460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7413460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7413460</v>
      </c>
      <c r="L151" s="81">
        <f>L58+L59</f>
        <v>0.71</v>
      </c>
      <c r="M151" s="81"/>
      <c r="N151" s="81"/>
      <c r="O151" s="104">
        <f>D138/(D141+O168)*D141</f>
        <v>7413460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1569.4521783630455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-0.18000000000000005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7413943.3215224622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429364.70067889802</v>
      </c>
      <c r="E168" s="134">
        <f>IF(I141&lt;0,0,IF(AND(E59=0,I141&gt;=0),E141-E144-E145-E150-E151,IF(AND(E59&gt;0,I141&gt;=0),E141-E156-E157-E162-E163,0)))</f>
        <v>-511.27775370000018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428853.42292519804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90.897821636954063</v>
      </c>
      <c r="E169" s="8">
        <f>IF(E168=0,0,IF(I141&lt;0,0,L58-H58-E58))</f>
        <v>-0.18000000000000005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7842313.4229251985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-0.18000000000000005</v>
      </c>
      <c r="F171" s="101"/>
      <c r="G171" s="101"/>
      <c r="H171" s="101"/>
      <c r="I171" s="136" t="s">
        <v>283</v>
      </c>
      <c r="J171" s="103">
        <f>I144+I145+I168</f>
        <v>428853.42292519804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428853.42292519804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7842824.700678898</v>
      </c>
      <c r="E177" s="107">
        <f>E144+E145+E150+E151+E162+E163+E156+E157+E168</f>
        <v>-511.27775370000018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7842824.700678898</v>
      </c>
      <c r="E180" s="101">
        <f>E141</f>
        <v>-511.27775370000018</v>
      </c>
      <c r="F180" s="101"/>
      <c r="G180" s="101">
        <f>G141</f>
        <v>0</v>
      </c>
      <c r="H180" s="101">
        <f>H141</f>
        <v>0</v>
      </c>
      <c r="I180" s="101">
        <f>I141</f>
        <v>7842313.4199999999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6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14627.69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2102.0700000000002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579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15971.02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2708.66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50595645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8926976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10557630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0.98778355669999995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1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1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14627.69</v>
      </c>
      <c r="F57" s="190"/>
      <c r="G57" s="191">
        <f>D169</f>
        <v>455.35553465185893</v>
      </c>
      <c r="H57" s="190">
        <f>IF(AND(E141&lt;0,E59&gt;0),D159+D165,IF(AND(E141&gt;0,E59&gt;0),D158+D164,IF(AND(E141&gt;0,E59=0),D146+D152,D147+D153)))</f>
        <v>887.97446534814105</v>
      </c>
      <c r="I57" s="191">
        <f>D172</f>
        <v>0</v>
      </c>
      <c r="J57" s="190">
        <f>SUM(E57:I57)</f>
        <v>15971.02</v>
      </c>
      <c r="K57" s="190">
        <f>IF((+L57-J57)&gt;0,(L57-J57),0)</f>
        <v>0</v>
      </c>
      <c r="L57" s="192">
        <f>I15</f>
        <v>15971.02</v>
      </c>
      <c r="M57" s="102"/>
      <c r="N57" s="102"/>
      <c r="O57" s="102">
        <f>E57+H57+G57</f>
        <v>15971.02</v>
      </c>
      <c r="P57" s="108">
        <f>L57-E57</f>
        <v>1343.33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2102.0700000000002</v>
      </c>
      <c r="F58" s="190"/>
      <c r="G58" s="191">
        <f>E169</f>
        <v>205.61895719180757</v>
      </c>
      <c r="H58" s="190">
        <f>IF(AND(E141&lt;0,E59&gt;0),E159+E165,IF(AND(E141&gt;=0,E59&gt;0),E158+E164,IF(AND(E141&gt;=0,E59=0),E146+E152,E147+E153)))</f>
        <v>400.97104280819207</v>
      </c>
      <c r="I58" s="191">
        <f>E172</f>
        <v>0</v>
      </c>
      <c r="J58" s="190">
        <f>E58+H58+G58+I58</f>
        <v>2708.66</v>
      </c>
      <c r="K58" s="190">
        <f>IF((+L58-J58)&gt;0,(L58-J58),0)</f>
        <v>0</v>
      </c>
      <c r="L58" s="192">
        <f>I16</f>
        <v>2708.66</v>
      </c>
      <c r="M58" s="102"/>
      <c r="N58" s="102"/>
      <c r="O58" s="102">
        <f>IF(E59=0,J58+J59,J58)</f>
        <v>2708.66</v>
      </c>
      <c r="P58" s="108">
        <f>L58+L59-E58</f>
        <v>606.58999999999969</v>
      </c>
      <c r="Q58" s="1">
        <f>L59*466-(P58)*487.11</f>
        <v>-295476.05489999987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579</v>
      </c>
      <c r="F59" s="190"/>
      <c r="G59" s="191">
        <f>H169</f>
        <v>-579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0</v>
      </c>
      <c r="P59" s="108">
        <f>L59-E59</f>
        <v>-579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17308.760000000002</v>
      </c>
      <c r="F61" s="190"/>
      <c r="G61" s="190">
        <f>SUM(G57:G60)</f>
        <v>81.974491843666556</v>
      </c>
      <c r="H61" s="190">
        <f>SUM(H57:H60)</f>
        <v>1288.9455081563331</v>
      </c>
      <c r="I61" s="190">
        <f>SUM(I57:I59)</f>
        <v>0</v>
      </c>
      <c r="J61" s="190">
        <f>SUM(J57:J60)</f>
        <v>18679.68</v>
      </c>
      <c r="K61" s="190">
        <f>SUM(K57:K60)</f>
        <v>0</v>
      </c>
      <c r="L61" s="192">
        <f>SUM(L57:L60)</f>
        <v>18679.68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8222394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77015507.518419459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961821</v>
      </c>
      <c r="M66" s="163"/>
      <c r="N66" s="163"/>
      <c r="O66" s="152">
        <f>L66/487.11</f>
        <v>1974.5457904785367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4342419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77015507.518419459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68397659.934389949</v>
      </c>
      <c r="F69" s="202"/>
      <c r="G69" s="176"/>
      <c r="H69" s="174" t="s">
        <v>27</v>
      </c>
      <c r="I69" s="175"/>
      <c r="J69" s="175"/>
      <c r="K69" s="175"/>
      <c r="L69" s="203">
        <f>SUM(L65:L67)</f>
        <v>5304240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5910499.7221325105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2707347.8618970001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96744932.828706518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85237901.518419459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4194433.7461405974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50595645</v>
      </c>
      <c r="M77" s="159"/>
      <c r="N77" s="159"/>
      <c r="O77" s="86">
        <f>H58*D58</f>
        <v>1138930.9670317722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869426.59548787854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86107328.113907337</v>
      </c>
      <c r="G79" s="176" t="s">
        <v>29</v>
      </c>
      <c r="H79" s="175" t="s">
        <v>14</v>
      </c>
      <c r="I79" s="175"/>
      <c r="J79" s="175"/>
      <c r="K79" s="175"/>
      <c r="L79" s="213">
        <f>I23</f>
        <v>8926976</v>
      </c>
      <c r="M79" s="159"/>
      <c r="N79" s="159"/>
      <c r="O79" s="86">
        <f>SUM(O76:O78)</f>
        <v>5333364.7131723696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21586449.842242312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14453983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2150916.1530752229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95563053.842242315</v>
      </c>
      <c r="M83" s="86"/>
      <c r="N83" s="86"/>
      <c r="O83" s="107">
        <f>G58*D58</f>
        <v>584046.65861757693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0.98778355669999995</v>
      </c>
      <c r="K84" s="175"/>
      <c r="L84" s="210">
        <f>+(1-J84)*L73</f>
        <v>1181878.9864642061</v>
      </c>
      <c r="M84" s="65"/>
      <c r="N84" s="65"/>
      <c r="O84" s="143">
        <f>G59*D59</f>
        <v>-2734962.8100660001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5333364.7131723696</v>
      </c>
      <c r="G85" s="176"/>
      <c r="H85" s="174" t="s">
        <v>342</v>
      </c>
      <c r="I85" s="175"/>
      <c r="J85" s="175"/>
      <c r="K85" s="175"/>
      <c r="L85" s="213">
        <f>+L84+L83</f>
        <v>96744932.828706518</v>
      </c>
      <c r="M85" s="86"/>
      <c r="N85" s="86"/>
      <c r="O85" s="107">
        <f>SUM(O82:O84)</f>
        <v>1.6267998144030571E-3</v>
      </c>
      <c r="P85" s="103">
        <f>I168+G174</f>
        <v>1.6267998144030571E-3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5333364.7131723696</v>
      </c>
      <c r="G88" s="176" t="s">
        <v>28</v>
      </c>
      <c r="H88" s="175" t="s">
        <v>15</v>
      </c>
      <c r="I88" s="175"/>
      <c r="J88" s="175"/>
      <c r="K88" s="175"/>
      <c r="L88" s="210">
        <f>L80</f>
        <v>21586449.842242312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21586449.842242312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778010.6594709683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1.6267998144030571E-3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2150916.1530752229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584046.65861757705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10557630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-2734962.8100660001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1.6267998144030571E-3</v>
      </c>
      <c r="G99" s="176"/>
      <c r="H99" s="174" t="s">
        <v>16</v>
      </c>
      <c r="I99" s="175"/>
      <c r="J99" s="175"/>
      <c r="K99" s="175"/>
      <c r="L99" s="203">
        <f>SUM(L96:L98)</f>
        <v>10557630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1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5670617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5670617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1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2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1134123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1417654</v>
      </c>
      <c r="I127" s="169"/>
      <c r="J127" s="251">
        <f>H118+H127</f>
        <v>2551777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3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8222394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10557630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6345349.8992158202</v>
      </c>
      <c r="E141" s="101">
        <f>(L58-E58)*D58</f>
        <v>1722977.6256493493</v>
      </c>
      <c r="F141" s="101">
        <f>ROUND(D141+E141,0)</f>
        <v>8068328</v>
      </c>
      <c r="G141" s="145">
        <f>IF(E59&gt;0,0,O168)</f>
        <v>0</v>
      </c>
      <c r="H141" s="101">
        <f>(L59-E59)*D59</f>
        <v>-2734962.8100660001</v>
      </c>
      <c r="I141" s="101">
        <f>ROUND(D141+E141+H141,2)</f>
        <v>5333364.71</v>
      </c>
      <c r="J141" s="113">
        <f>I144+I145+I150+I151+I162+I163+I156+I157+I168</f>
        <v>5333364.7147991695</v>
      </c>
      <c r="K141" s="113"/>
      <c r="O141" s="146">
        <f>F141+G141</f>
        <v>8068328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2708.66</v>
      </c>
      <c r="M145" s="81"/>
      <c r="N145" s="81"/>
      <c r="O145" s="104">
        <f>D138/(D141+O168)*D141</f>
        <v>10557630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2708.66</v>
      </c>
      <c r="M151" s="81"/>
      <c r="N151" s="81"/>
      <c r="O151" s="104">
        <f>D138/(D141+O168)*D141</f>
        <v>10557630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606.58999999999969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12560899.188245824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4194433.7461405974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1138930.9670317722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5333364.7131723696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887.97446534814105</v>
      </c>
      <c r="E164" s="8">
        <f>E162/D58</f>
        <v>400.97104280819207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2150916.1530752229</v>
      </c>
      <c r="E168" s="134">
        <f>IF(I141&lt;0,0,IF(AND(E59=0,I141&gt;=0),E141-E144-E145-E150-E151,IF(AND(E59&gt;0,I141&gt;=0),E141-E156-E157-E162-E163,0)))</f>
        <v>584046.65861757705</v>
      </c>
      <c r="F168" s="134"/>
      <c r="G168" s="134"/>
      <c r="H168" s="134">
        <f>IF(I141&lt;0,0,IF(AND(E59=0,I141&gt;=0),H141-H144-H145-H150-H151,IF(AND(E59&gt;0,I141&gt;=0),H141-H156-H157-H162-H163,0)))</f>
        <v>-2734962.8100660001</v>
      </c>
      <c r="I168" s="101">
        <f>IF(I141&gt;0,D168+E168+H168,0)</f>
        <v>1.6267998144030571E-3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455.35553465185893</v>
      </c>
      <c r="E169" s="8">
        <f>IF(E168=0,0,IF(I141&lt;0,0,L58-H58-E58))</f>
        <v>205.61895719180757</v>
      </c>
      <c r="F169" s="8"/>
      <c r="G169" s="8"/>
      <c r="H169" s="8">
        <f>IF(AND(E59=0,H141-I145=0),0,IF(I141&lt;0,0,IF(E59=0,(H168)/D59,IF(E59&gt;0,(H141-H156-H157-H162-H163)/D59,0))))</f>
        <v>-579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5333364.7147991695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205.61895719180762</v>
      </c>
      <c r="F171" s="101"/>
      <c r="G171" s="101"/>
      <c r="H171" s="101"/>
      <c r="I171" s="136" t="s">
        <v>283</v>
      </c>
      <c r="J171" s="103">
        <f>I144+I145+I168</f>
        <v>1.6267998144030571E-3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1.6267998144030571E-3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6345349.8992158202</v>
      </c>
      <c r="E177" s="107">
        <f>E144+E145+E150+E151+E162+E163+E156+E157+E168</f>
        <v>1722977.6256493493</v>
      </c>
      <c r="F177" s="107"/>
      <c r="G177" s="107"/>
      <c r="H177" s="107">
        <f>H144+H145+H156+H157+H168</f>
        <v>-2734962.8100660001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-282036.69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-282036.69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6345349.8992158202</v>
      </c>
      <c r="E180" s="101">
        <f>E141</f>
        <v>1722977.6256493493</v>
      </c>
      <c r="F180" s="101"/>
      <c r="G180" s="101">
        <f>G141</f>
        <v>0</v>
      </c>
      <c r="H180" s="101">
        <f>H141</f>
        <v>-2734962.8100660001</v>
      </c>
      <c r="I180" s="101">
        <f>I141</f>
        <v>5333364.71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25869.53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1766.63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162.66999999999999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22211.67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2050.54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153.74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201300566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15979819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2715522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1.21E-2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4806.0663649999997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4806.0663649999997</v>
      </c>
      <c r="D57" s="189">
        <v>4723.5972540000002</v>
      </c>
      <c r="E57" s="190">
        <f>I10</f>
        <v>25869.53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-3657.86</v>
      </c>
      <c r="J57" s="190">
        <f>SUM(E57:I57)</f>
        <v>22211.67</v>
      </c>
      <c r="K57" s="190">
        <f>IF((+L57-J57)&gt;0,(L57-J57),0)</f>
        <v>0</v>
      </c>
      <c r="L57" s="192">
        <f>I15</f>
        <v>22211.67</v>
      </c>
      <c r="M57" s="102"/>
      <c r="N57" s="102"/>
      <c r="O57" s="102">
        <f>E57+H57+G57</f>
        <v>25869.53</v>
      </c>
      <c r="P57" s="108">
        <f>L57-E57</f>
        <v>-3657.8600000000006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1766.63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283.90999999999985</v>
      </c>
      <c r="J58" s="190">
        <f>E58+H58+G58+I58</f>
        <v>2050.54</v>
      </c>
      <c r="K58" s="190">
        <f>IF((+L58-J58)&gt;0,(L58-J58),0)</f>
        <v>0</v>
      </c>
      <c r="L58" s="192">
        <f>I16</f>
        <v>2050.54</v>
      </c>
      <c r="M58" s="102"/>
      <c r="N58" s="102"/>
      <c r="O58" s="102">
        <f>IF(E59=0,J58+J59,J58)</f>
        <v>2050.54</v>
      </c>
      <c r="P58" s="108">
        <f>L58+L59-E58</f>
        <v>437.64999999999964</v>
      </c>
      <c r="Q58" s="1">
        <f>L59*466-(P58)*487.11</f>
        <v>-141540.85149999982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162.66999999999999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-8.9299999999999784</v>
      </c>
      <c r="J59" s="190">
        <f>E59+H59+G59+I59</f>
        <v>153.74</v>
      </c>
      <c r="K59" s="190">
        <f>IF((+L59-J59)&gt;0,(L59-J59),0)</f>
        <v>0</v>
      </c>
      <c r="L59" s="192">
        <f>I17</f>
        <v>153.74</v>
      </c>
      <c r="M59" s="102"/>
      <c r="N59" s="102"/>
      <c r="O59" s="102">
        <f>IF(E59=0,L58+L59,L59)</f>
        <v>153.74</v>
      </c>
      <c r="P59" s="108">
        <f>L59-E59</f>
        <v>-8.9299999999999784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27798.829999999998</v>
      </c>
      <c r="F61" s="190"/>
      <c r="G61" s="190">
        <f>SUM(G57:G60)</f>
        <v>0</v>
      </c>
      <c r="H61" s="190">
        <f>SUM(H57:H60)</f>
        <v>0</v>
      </c>
      <c r="I61" s="190">
        <f>SUM(I57:I59)</f>
        <v>-3382.88</v>
      </c>
      <c r="J61" s="190">
        <f>SUM(J57:J60)</f>
        <v>24415.95</v>
      </c>
      <c r="K61" s="190">
        <f>SUM(K57:K60)</f>
        <v>0</v>
      </c>
      <c r="L61" s="192">
        <f>SUM(L57:L60)</f>
        <v>24415.95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74888.291400000002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7938864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16439123.8486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130058632.75941984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1289644</v>
      </c>
      <c r="M66" s="163"/>
      <c r="N66" s="163"/>
      <c r="O66" s="152">
        <f>L66/487.11</f>
        <v>2647.5416230420233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5674424</v>
      </c>
      <c r="M67" s="163"/>
      <c r="N67" s="163"/>
      <c r="O67" s="13"/>
      <c r="P67" s="139">
        <f>I57*D57</f>
        <v>-17278257.451516442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130058632.75941984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806427.0391831497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124330678.01135844</v>
      </c>
      <c r="F69" s="202"/>
      <c r="G69" s="176"/>
      <c r="H69" s="174" t="s">
        <v>27</v>
      </c>
      <c r="I69" s="175"/>
      <c r="J69" s="175"/>
      <c r="K69" s="175"/>
      <c r="L69" s="203">
        <f>SUM(L65:L67)</f>
        <v>6964068</v>
      </c>
      <c r="M69" s="165"/>
      <c r="N69" s="165"/>
      <c r="O69" s="155"/>
      <c r="P69" s="138">
        <f>IF(AND(E59=0,L71&gt;0),(I59+L147)*D58,IF(AND(E59&gt;0,L71&gt;0),I59*D59,0))</f>
        <v>-42181.723478219901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4967325.6000565905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-16514012.135811513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760629.14800480998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16514012.140000001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-16347269.920134719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146369139.29304585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121650226.83928514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201300566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1240832.3137607086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-73352841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122891059.15304585</v>
      </c>
      <c r="G79" s="176" t="s">
        <v>29</v>
      </c>
      <c r="H79" s="175" t="s">
        <v>14</v>
      </c>
      <c r="I79" s="175"/>
      <c r="J79" s="175"/>
      <c r="K79" s="175"/>
      <c r="L79" s="213">
        <f>I23</f>
        <v>15979819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0.29304584860801697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2441595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146369139.29304585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146369139.29304585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0.29304584860801697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1.21E-2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1.2E-2</v>
      </c>
      <c r="F92" s="175"/>
      <c r="G92" s="176"/>
      <c r="H92" s="174" t="s">
        <v>70</v>
      </c>
      <c r="I92" s="175"/>
      <c r="J92" s="175"/>
      <c r="K92" s="175"/>
      <c r="L92" s="210">
        <f>+L88-L91</f>
        <v>0.29304584860801697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1535803.4490948808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2715522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2715522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0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0</v>
      </c>
      <c r="J113" s="242">
        <f>SUM(B113:I113)</f>
        <v>7938864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7938864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2715522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-17278257.451516442</v>
      </c>
      <c r="E141" s="101">
        <f>(L58-E58)*D58</f>
        <v>806427.0391831497</v>
      </c>
      <c r="F141" s="101">
        <f>ROUND(D141+E141,0)</f>
        <v>-16471830</v>
      </c>
      <c r="G141" s="145">
        <f>IF(E59&gt;0,0,O168)</f>
        <v>0</v>
      </c>
      <c r="H141" s="101">
        <f>(L59-E59)*D59</f>
        <v>-42181.723478219901</v>
      </c>
      <c r="I141" s="101">
        <f>ROUND(D141+E141+H141,2)</f>
        <v>-16514012.140000001</v>
      </c>
      <c r="J141" s="113">
        <f>I144+I145+I150+I151+I162+I163+I156+I157+I168</f>
        <v>0</v>
      </c>
      <c r="K141" s="113"/>
      <c r="O141" s="146">
        <f>F141+G141</f>
        <v>-16471830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2204.2799999999997</v>
      </c>
      <c r="M145" s="81"/>
      <c r="N145" s="81"/>
      <c r="O145" s="104">
        <f>D138/(D141+O168)*D141</f>
        <v>2785933.2466027816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153.73999999999978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2204.2799999999997</v>
      </c>
      <c r="M151" s="81"/>
      <c r="N151" s="81"/>
      <c r="O151" s="104">
        <f>D138/(D141+O168)*D141</f>
        <v>2785933.2466027816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437.64999999999964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2841192.5480912738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2.2737367544323206E-13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436688.01029909943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153.74</v>
      </c>
      <c r="M171" s="103"/>
      <c r="N171" s="103"/>
      <c r="O171" s="115">
        <f>O167*D58+L147*D59+O167*487.11</f>
        <v>726205.84182995977</v>
      </c>
    </row>
    <row r="172" spans="1:16">
      <c r="A172" s="23"/>
      <c r="B172" s="2" t="s">
        <v>247</v>
      </c>
      <c r="D172" s="8">
        <f>IF(I141&lt;0,D141/D57,0)</f>
        <v>-3657.86</v>
      </c>
      <c r="E172" s="8">
        <f>IF(I141&lt;0,E141/D58,0)</f>
        <v>283.90999999999985</v>
      </c>
      <c r="F172" s="8"/>
      <c r="G172" s="8"/>
      <c r="H172" s="8">
        <f>IF(I141&lt;0,H141/D59,0)</f>
        <v>-8.9299999999999784</v>
      </c>
      <c r="I172" s="137">
        <f>IF(AND(E59=0,L71&gt;0),-D172*D57-E172*D58-(H172+L147)*D58,IF(AND(E59&gt;0,L71&gt;0),-D172*D57-E172*D58-H172*D59,0))</f>
        <v>16514012.135811513</v>
      </c>
      <c r="J172" s="103"/>
      <c r="K172" s="103"/>
      <c r="L172" s="119">
        <f>O167*487.11</f>
        <v>1.1075599104515277E-10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1.1075599104515277E-10</v>
      </c>
      <c r="M173" s="103"/>
      <c r="N173" s="103"/>
      <c r="O173" s="103">
        <f>L147*3232.0676</f>
        <v>496898.07282399927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6.2413114392256833E-10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1.1075599104515277E-10</v>
      </c>
      <c r="O175" s="103">
        <f>O173+O174</f>
        <v>496898.07282399992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-74888.2913999999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-17278257.451516442</v>
      </c>
      <c r="E180" s="101">
        <f>E141</f>
        <v>806427.0391831497</v>
      </c>
      <c r="F180" s="101"/>
      <c r="G180" s="101">
        <f>G141</f>
        <v>0</v>
      </c>
      <c r="H180" s="101">
        <f>H141</f>
        <v>-42181.723478219901</v>
      </c>
      <c r="I180" s="101">
        <f>I141</f>
        <v>-16514012.140000001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15153.63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219.07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37.19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15193.14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197.3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37.56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22701629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3737007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0.98778356180000004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3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1.8499999999999999E-2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1.8100000000000002E-2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15153.63</v>
      </c>
      <c r="F57" s="190"/>
      <c r="G57" s="191">
        <f>D169</f>
        <v>39.510000000000218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15193.14</v>
      </c>
      <c r="K57" s="190">
        <f>IF((+L57-J57)&gt;0,(L57-J57),0)</f>
        <v>0</v>
      </c>
      <c r="L57" s="192">
        <f>I15</f>
        <v>15193.14</v>
      </c>
      <c r="M57" s="102"/>
      <c r="N57" s="102"/>
      <c r="O57" s="102">
        <f>E57+H57+G57</f>
        <v>15193.14</v>
      </c>
      <c r="P57" s="108">
        <f>L57-E57</f>
        <v>39.510000000000218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219.07</v>
      </c>
      <c r="F58" s="190"/>
      <c r="G58" s="191">
        <f>E169</f>
        <v>-21.769999999999982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197.3</v>
      </c>
      <c r="K58" s="190">
        <f>IF((+L58-J58)&gt;0,(L58-J58),0)</f>
        <v>0</v>
      </c>
      <c r="L58" s="192">
        <f>I16</f>
        <v>197.3</v>
      </c>
      <c r="M58" s="102"/>
      <c r="N58" s="102"/>
      <c r="O58" s="102">
        <f>IF(E59=0,J58+J59,J58)</f>
        <v>197.3</v>
      </c>
      <c r="P58" s="108">
        <f>L58+L59-E58</f>
        <v>15.79000000000002</v>
      </c>
      <c r="Q58" s="1">
        <f>L59*466-(P58)*487.11</f>
        <v>9811.4930999999924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37.19</v>
      </c>
      <c r="F59" s="190"/>
      <c r="G59" s="191">
        <f>H169</f>
        <v>0.37000000000000455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37.56</v>
      </c>
      <c r="K59" s="190">
        <f>IF((+L59-J59)&gt;0,(L59-J59),0)</f>
        <v>0</v>
      </c>
      <c r="L59" s="192">
        <f>I17</f>
        <v>37.56</v>
      </c>
      <c r="M59" s="102"/>
      <c r="N59" s="102"/>
      <c r="O59" s="102">
        <f>IF(E59=0,L58+L59,L59)</f>
        <v>37.56</v>
      </c>
      <c r="P59" s="108">
        <f>L59-E59</f>
        <v>0.37000000000000455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15409.89</v>
      </c>
      <c r="F61" s="190"/>
      <c r="G61" s="190">
        <f>SUM(G57:G60)</f>
        <v>18.110000000000241</v>
      </c>
      <c r="H61" s="190">
        <f>SUM(H57:H60)</f>
        <v>0</v>
      </c>
      <c r="I61" s="190">
        <f>SUM(I57:I59)</f>
        <v>0</v>
      </c>
      <c r="J61" s="190">
        <f>SUM(J57:J60)</f>
        <v>15427.999999999998</v>
      </c>
      <c r="K61" s="190">
        <f>SUM(K57:K60)</f>
        <v>0</v>
      </c>
      <c r="L61" s="192">
        <f>SUM(L57:L60)</f>
        <v>15427.999999999998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18295.851600000002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7938862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-18295.851600000002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71646771.737067044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838834</v>
      </c>
      <c r="M66" s="163"/>
      <c r="N66" s="163"/>
      <c r="O66" s="152">
        <f>L66/487.11</f>
        <v>1722.0627784278704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3823995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71646771.737067044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70856904.371884376</v>
      </c>
      <c r="F69" s="202"/>
      <c r="G69" s="176"/>
      <c r="H69" s="174" t="s">
        <v>27</v>
      </c>
      <c r="I69" s="175"/>
      <c r="J69" s="175"/>
      <c r="K69" s="175"/>
      <c r="L69" s="203">
        <f>SUM(L65:L67)</f>
        <v>4662829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615970.53101350996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173896.83416917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85186777.055796593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79585633.737067044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22701629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811773.46411808394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80397407.201185122</v>
      </c>
      <c r="G79" s="176" t="s">
        <v>29</v>
      </c>
      <c r="H79" s="175" t="s">
        <v>14</v>
      </c>
      <c r="I79" s="175"/>
      <c r="J79" s="175"/>
      <c r="K79" s="175"/>
      <c r="L79" s="213">
        <f>I23</f>
        <v>3737007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44301621.05843728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13405841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186629.32750554103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84146098.058437288</v>
      </c>
      <c r="M83" s="86"/>
      <c r="N83" s="86"/>
      <c r="O83" s="107">
        <f>G58*D58</f>
        <v>-61836.20387804995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0.98778356180000004</v>
      </c>
      <c r="K84" s="175"/>
      <c r="L84" s="210">
        <f>+(1-J84)*L73</f>
        <v>1040678.9973593134</v>
      </c>
      <c r="M84" s="65"/>
      <c r="N84" s="65"/>
      <c r="O84" s="143">
        <f>G59*D59</f>
        <v>1747.7309839800216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85186777.055796608</v>
      </c>
      <c r="M85" s="86"/>
      <c r="N85" s="86"/>
      <c r="O85" s="107">
        <f>SUM(O82:O84)</f>
        <v>126540.85461147111</v>
      </c>
      <c r="P85" s="103">
        <f>I168+G174</f>
        <v>126540.85461147111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44301621.05843728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1.8499999999999999E-2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1.8100000000000002E-2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44301621.05843728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1310034.0001413133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126540.85461147111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186629.32750554103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-61836.20387804995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1747.7309839800216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126540.85461147111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3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3402369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3402369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3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7938862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186629.32750554103</v>
      </c>
      <c r="E141" s="101">
        <f>(L58-E58)*D58</f>
        <v>-61836.20387804995</v>
      </c>
      <c r="F141" s="101">
        <f>ROUND(D141+E141,0)</f>
        <v>124793</v>
      </c>
      <c r="G141" s="145">
        <f>IF(E59&gt;0,0,O168)</f>
        <v>0</v>
      </c>
      <c r="H141" s="101">
        <f>(L59-E59)*D59</f>
        <v>1747.7309839800216</v>
      </c>
      <c r="I141" s="101">
        <f>ROUND(D141+E141+H141,2)</f>
        <v>126540.85</v>
      </c>
      <c r="J141" s="113">
        <f>I144+I145+I150+I151+I162+I163+I156+I157+I168</f>
        <v>126540.85461147111</v>
      </c>
      <c r="K141" s="113"/>
      <c r="O141" s="146">
        <f>F141+G141</f>
        <v>124793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234.86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15.79000000000002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234.86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15.79000000000002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21.769999999999982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186629.32750554103</v>
      </c>
      <c r="E168" s="134">
        <f>IF(I141&lt;0,0,IF(AND(E59=0,I141&gt;=0),E141-E144-E145-E150-E151,IF(AND(E59&gt;0,I141&gt;=0),E141-E156-E157-E162-E163,0)))</f>
        <v>-61836.20387804995</v>
      </c>
      <c r="F168" s="134"/>
      <c r="G168" s="134"/>
      <c r="H168" s="134">
        <f>IF(I141&lt;0,0,IF(AND(E59=0,I141&gt;=0),H141-H144-H145-H150-H151,IF(AND(E59&gt;0,I141&gt;=0),H141-H156-H157-H162-H163,0)))</f>
        <v>1747.7309839800216</v>
      </c>
      <c r="I168" s="101">
        <f>IF(I141&gt;0,D168+E168+H168,0)</f>
        <v>126540.85461147111</v>
      </c>
      <c r="L168" s="111"/>
      <c r="M168" s="111"/>
      <c r="N168" s="111"/>
      <c r="O168" s="113">
        <f>L147*D58</f>
        <v>44850.420727350065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39.510000000000218</v>
      </c>
      <c r="E169" s="8">
        <f>IF(E168=0,0,IF(I141&lt;0,0,L58-H58-E58))</f>
        <v>-21.769999999999982</v>
      </c>
      <c r="F169" s="8"/>
      <c r="G169" s="8"/>
      <c r="H169" s="8">
        <f>IF(AND(E59=0,H141-I145=0),0,IF(I141&lt;0,0,IF(E59=0,(H168)/D59,IF(E59&gt;0,(H141-H156-H157-H162-H163)/D59,0))))</f>
        <v>0.37000000000000455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126540.85461147111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-21.769999999999982</v>
      </c>
      <c r="F171" s="101"/>
      <c r="G171" s="101"/>
      <c r="H171" s="101"/>
      <c r="I171" s="136" t="s">
        <v>283</v>
      </c>
      <c r="J171" s="103">
        <f>I144+I145+I168</f>
        <v>126540.85461147111</v>
      </c>
      <c r="K171" s="103"/>
      <c r="L171" s="103">
        <f>L147+O167</f>
        <v>37.56</v>
      </c>
      <c r="M171" s="103"/>
      <c r="N171" s="103"/>
      <c r="O171" s="115">
        <f>O167*D58+L147*D59+O167*487.11</f>
        <v>147026.18921871003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10604.384699999991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137145.23931147109</v>
      </c>
      <c r="M173" s="103"/>
      <c r="N173" s="103"/>
      <c r="O173" s="103">
        <f>L147*3232.0676</f>
        <v>51034.347404000066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59757.731305999951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10604.384699999991</v>
      </c>
      <c r="O175" s="103">
        <f>O173+O174</f>
        <v>110792.07871000002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186629.32750554103</v>
      </c>
      <c r="E177" s="107">
        <f>E144+E145+E150+E151+E162+E163+E156+E157+E168</f>
        <v>-61836.20387804995</v>
      </c>
      <c r="F177" s="107"/>
      <c r="G177" s="107"/>
      <c r="H177" s="107">
        <f>H144+H145+H156+H157+H168</f>
        <v>1747.7309839800216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-7511.2362000000076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180.23070000000223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186629.32750554103</v>
      </c>
      <c r="E180" s="101">
        <f>E141</f>
        <v>-61836.20387804995</v>
      </c>
      <c r="F180" s="101"/>
      <c r="G180" s="101">
        <f>G141</f>
        <v>0</v>
      </c>
      <c r="H180" s="101">
        <f>H141</f>
        <v>1747.7309839800216</v>
      </c>
      <c r="I180" s="101">
        <f>I141</f>
        <v>126540.85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61" workbookViewId="0">
      <selection activeCell="E84" sqref="E8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27007.554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304.89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171.6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28815.08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205.45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204.6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39825732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7221686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0.98778356160000003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2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4.1500000000000002E-2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3.9800000000000002E-2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27007.554</v>
      </c>
      <c r="F57" s="190"/>
      <c r="G57" s="191">
        <f>D169</f>
        <v>1807.5260000000017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28815.08</v>
      </c>
      <c r="K57" s="190">
        <f>IF((+L57-J57)&gt;0,(L57-J57),0)</f>
        <v>0</v>
      </c>
      <c r="L57" s="192">
        <f>I15</f>
        <v>28815.08</v>
      </c>
      <c r="M57" s="102"/>
      <c r="N57" s="102"/>
      <c r="O57" s="102">
        <f>E57+H57+G57</f>
        <v>28815.08</v>
      </c>
      <c r="P57" s="108">
        <f>L57-E57</f>
        <v>1807.5260000000017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304.89</v>
      </c>
      <c r="F58" s="190"/>
      <c r="G58" s="191">
        <f>E169</f>
        <v>-99.44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205.45</v>
      </c>
      <c r="K58" s="190">
        <f>IF((+L58-J58)&gt;0,(L58-J58),0)</f>
        <v>0</v>
      </c>
      <c r="L58" s="192">
        <f>I16</f>
        <v>205.45</v>
      </c>
      <c r="M58" s="102"/>
      <c r="N58" s="102"/>
      <c r="O58" s="102">
        <f>IF(E59=0,J58+J59,J58)</f>
        <v>205.45</v>
      </c>
      <c r="P58" s="108">
        <f>L58+L59-E58</f>
        <v>105.15999999999997</v>
      </c>
      <c r="Q58" s="1">
        <f>L59*466-(P58)*487.11</f>
        <v>44119.112400000005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171.6</v>
      </c>
      <c r="F59" s="190"/>
      <c r="G59" s="191">
        <f>H169</f>
        <v>33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204.6</v>
      </c>
      <c r="K59" s="190">
        <f>IF((+L59-J59)&gt;0,(L59-J59),0)</f>
        <v>0</v>
      </c>
      <c r="L59" s="192">
        <f>I17</f>
        <v>204.6</v>
      </c>
      <c r="M59" s="102"/>
      <c r="N59" s="102"/>
      <c r="O59" s="102">
        <f>IF(E59=0,L58+L59,L59)</f>
        <v>204.6</v>
      </c>
      <c r="P59" s="108">
        <f>L59-E59</f>
        <v>33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27484.043999999998</v>
      </c>
      <c r="F61" s="190"/>
      <c r="G61" s="190">
        <f>SUM(G57:G60)</f>
        <v>1741.0860000000016</v>
      </c>
      <c r="H61" s="190">
        <f>SUM(H57:H60)</f>
        <v>0</v>
      </c>
      <c r="I61" s="190">
        <f>SUM(I57:I59)</f>
        <v>0</v>
      </c>
      <c r="J61" s="190">
        <f>SUM(J57:J60)</f>
        <v>29225.13</v>
      </c>
      <c r="K61" s="190">
        <f>SUM(K57:K60)</f>
        <v>0</v>
      </c>
      <c r="L61" s="192">
        <f>SUM(L57:L60)</f>
        <v>29225.13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99662.706000000006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J131-F83</f>
        <v>11341233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-99662.706000000006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127944363.53127198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1592663</v>
      </c>
      <c r="M66" s="163"/>
      <c r="N66" s="163"/>
      <c r="O66" s="152">
        <f>L66/487.11</f>
        <v>3269.6167190162387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7163052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127944363.53127198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126284703.47345841</v>
      </c>
      <c r="F69" s="202"/>
      <c r="G69" s="176"/>
      <c r="H69" s="174" t="s">
        <v>27</v>
      </c>
      <c r="I69" s="175"/>
      <c r="J69" s="175"/>
      <c r="K69" s="175"/>
      <c r="L69" s="203">
        <f>SUM(L65:L67)</f>
        <v>8755715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857275.09563477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802384.96217880002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159592012.707807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139285596.53127199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39825732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1420713.0846189745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140706309.61589098</v>
      </c>
      <c r="G79" s="176" t="s">
        <v>29</v>
      </c>
      <c r="H79" s="175" t="s">
        <v>14</v>
      </c>
      <c r="I79" s="175"/>
      <c r="J79" s="175"/>
      <c r="K79" s="175"/>
      <c r="L79" s="213">
        <f>I23</f>
        <v>7221686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85516272.715430066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25078676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8538024.8501336128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v>1701185</v>
      </c>
      <c r="G83" s="176"/>
      <c r="H83" s="174" t="s">
        <v>340</v>
      </c>
      <c r="I83" s="175"/>
      <c r="J83" s="175"/>
      <c r="K83" s="175"/>
      <c r="L83" s="213">
        <f>SUM(L77:L81)</f>
        <v>157642366.71543008</v>
      </c>
      <c r="M83" s="86"/>
      <c r="N83" s="86"/>
      <c r="O83" s="107">
        <f>G58*D58</f>
        <v>-282452.55459960003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17352.087</v>
      </c>
      <c r="G84" s="176" t="s">
        <v>11</v>
      </c>
      <c r="H84" s="175" t="s">
        <v>341</v>
      </c>
      <c r="I84" s="175"/>
      <c r="J84" s="217">
        <f>I29</f>
        <v>0.98778356160000003</v>
      </c>
      <c r="K84" s="175"/>
      <c r="L84" s="210">
        <f>+(1-J84)*L73</f>
        <v>1949645.9923769373</v>
      </c>
      <c r="M84" s="65"/>
      <c r="N84" s="65"/>
      <c r="O84" s="143">
        <f>G59*D59</f>
        <v>155878.709382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159592012.707807</v>
      </c>
      <c r="M85" s="86"/>
      <c r="N85" s="86"/>
      <c r="O85" s="107">
        <f>SUM(O82:O84)</f>
        <v>8411451.0049160123</v>
      </c>
      <c r="P85" s="103">
        <f>I168+G174</f>
        <v>8411451.0049160123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1718537.0870000001</v>
      </c>
      <c r="G88" s="176" t="s">
        <v>28</v>
      </c>
      <c r="H88" s="175" t="s">
        <v>15</v>
      </c>
      <c r="I88" s="175"/>
      <c r="J88" s="175"/>
      <c r="K88" s="175"/>
      <c r="L88" s="210">
        <f>L80</f>
        <v>85516272.715430066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4.1500000000000002E-2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3.9800000000000002E-2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85516272.715430066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5144125.9807896288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8411451.0049160123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8538024.8501336128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-282452.55459960003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155878.709382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8411451.0049160123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2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6804740</v>
      </c>
      <c r="J113" s="242">
        <f>SUM(B113:I113)</f>
        <v>10774172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268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2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2268246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2268246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13042418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8538024.8501336128</v>
      </c>
      <c r="E141" s="101">
        <f>(L58-E58)*D58</f>
        <v>-282452.55459960003</v>
      </c>
      <c r="F141" s="101">
        <f>ROUND(D141+E141,0)</f>
        <v>8255572</v>
      </c>
      <c r="G141" s="145">
        <f>IF(E59&gt;0,0,O168)</f>
        <v>0</v>
      </c>
      <c r="H141" s="101">
        <f>(L59-E59)*D59</f>
        <v>155878.709382</v>
      </c>
      <c r="I141" s="101">
        <f>ROUND(D141+E141+H141,2)</f>
        <v>8411451</v>
      </c>
      <c r="J141" s="113">
        <f>I144+I145+I150+I151+I162+I163+I156+I157+I168</f>
        <v>8411451.0049160123</v>
      </c>
      <c r="K141" s="113"/>
      <c r="O141" s="146">
        <f>F141+G141</f>
        <v>8255572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410.04999999999995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105.15999999999997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410.04999999999995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105.15999999999997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99.440000000000026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8538024.8501336128</v>
      </c>
      <c r="E168" s="134">
        <f>IF(I141&lt;0,0,IF(AND(E59=0,I141&gt;=0),E141-E144-E145-E150-E151,IF(AND(E59&gt;0,I141&gt;=0),E141-E156-E157-E162-E163,0)))</f>
        <v>-282452.55459960003</v>
      </c>
      <c r="F168" s="134"/>
      <c r="G168" s="134"/>
      <c r="H168" s="134">
        <f>IF(I141&lt;0,0,IF(AND(E59=0,I141&gt;=0),H141-H144-H145-H150-H151,IF(AND(E59&gt;0,I141&gt;=0),H141-H156-H157-H162-H163,0)))</f>
        <v>155878.709382</v>
      </c>
      <c r="I168" s="101">
        <f>IF(I141&gt;0,D168+E168+H168,0)</f>
        <v>8411451.0049160123</v>
      </c>
      <c r="L168" s="111"/>
      <c r="M168" s="111"/>
      <c r="N168" s="111"/>
      <c r="O168" s="113">
        <f>L147*D58</f>
        <v>298699.82543939992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1807.5260000000017</v>
      </c>
      <c r="E169" s="8">
        <f>IF(E168=0,0,IF(I141&lt;0,0,L58-H58-E58))</f>
        <v>-99.44</v>
      </c>
      <c r="F169" s="8"/>
      <c r="G169" s="8"/>
      <c r="H169" s="8">
        <f>IF(AND(E59=0,H141-I145=0),0,IF(I141&lt;0,0,IF(E59=0,(H168)/D59,IF(E59&gt;0,(H141-H156-H157-H162-H163)/D59,0))))</f>
        <v>33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8411451.0049160123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-99.44</v>
      </c>
      <c r="F171" s="101"/>
      <c r="G171" s="101"/>
      <c r="H171" s="101"/>
      <c r="I171" s="136" t="s">
        <v>283</v>
      </c>
      <c r="J171" s="103">
        <f>I144+I145+I168</f>
        <v>8411451.0049160123</v>
      </c>
      <c r="K171" s="103"/>
      <c r="L171" s="103">
        <f>L147+O167</f>
        <v>204.6</v>
      </c>
      <c r="M171" s="103"/>
      <c r="N171" s="103"/>
      <c r="O171" s="115">
        <f>O167*D58+L147*D59+O167*487.11</f>
        <v>827624.26023024006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48438.218400000012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8459889.223316012</v>
      </c>
      <c r="M173" s="103"/>
      <c r="N173" s="103"/>
      <c r="O173" s="103">
        <f>L147*3232.0676</f>
        <v>339884.22881599987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272958.6036320001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48438.218400000012</v>
      </c>
      <c r="O175" s="103">
        <f>O173+O174</f>
        <v>612842.83244799997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8538024.8501336128</v>
      </c>
      <c r="E177" s="107">
        <f>E144+E145+E150+E151+E162+E163+E156+E157+E168</f>
        <v>-282452.55459960003</v>
      </c>
      <c r="F177" s="107"/>
      <c r="G177" s="107"/>
      <c r="H177" s="107">
        <f>H144+H145+H156+H157+H168</f>
        <v>155878.709382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-35149.857599999988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16074.630000000001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8538024.8501336128</v>
      </c>
      <c r="E180" s="101">
        <f>E141</f>
        <v>-282452.55459960003</v>
      </c>
      <c r="F180" s="101"/>
      <c r="G180" s="101">
        <f>G141</f>
        <v>0</v>
      </c>
      <c r="H180" s="101">
        <f>H141</f>
        <v>155878.709382</v>
      </c>
      <c r="I180" s="101">
        <f>I141</f>
        <v>8411451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82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25843.16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181.37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26407.3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59.34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50759780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11640107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0.98778355740000001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2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1.84E-2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1.7999999999999999E-2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25843.16</v>
      </c>
      <c r="F57" s="190"/>
      <c r="G57" s="191">
        <f>D169</f>
        <v>564.13999999999942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26407.3</v>
      </c>
      <c r="K57" s="190">
        <f>IF((+L57-J57)&gt;0,(L57-J57),0)</f>
        <v>0</v>
      </c>
      <c r="L57" s="192">
        <f>I15</f>
        <v>26407.3</v>
      </c>
      <c r="M57" s="102"/>
      <c r="N57" s="102"/>
      <c r="O57" s="102">
        <f>E57+H57+G57</f>
        <v>26407.3</v>
      </c>
      <c r="P57" s="108">
        <f>L57-E57</f>
        <v>564.13999999999942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181.37</v>
      </c>
      <c r="F58" s="190"/>
      <c r="G58" s="191">
        <f>E169</f>
        <v>-122.03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59.34</v>
      </c>
      <c r="K58" s="190">
        <f>IF((+L58-J58)&gt;0,(L58-J58),0)</f>
        <v>0</v>
      </c>
      <c r="L58" s="192">
        <f>I16</f>
        <v>59.34</v>
      </c>
      <c r="M58" s="102"/>
      <c r="N58" s="102"/>
      <c r="O58" s="102">
        <f>IF(E59=0,J58+J59,J58)</f>
        <v>59.34</v>
      </c>
      <c r="P58" s="108">
        <f>L58+L59-E58</f>
        <v>-122.03</v>
      </c>
      <c r="Q58" s="1">
        <f>L59*466-(P58)*487.11</f>
        <v>59442.033300000003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59.34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26024.53</v>
      </c>
      <c r="F61" s="190"/>
      <c r="G61" s="190">
        <f>SUM(G57:G60)</f>
        <v>442.10999999999945</v>
      </c>
      <c r="H61" s="190">
        <f>SUM(H57:H60)</f>
        <v>0</v>
      </c>
      <c r="I61" s="190">
        <f>SUM(I57:I59)</f>
        <v>0</v>
      </c>
      <c r="J61" s="190">
        <f>SUM(J57:J60)</f>
        <v>26466.639999999999</v>
      </c>
      <c r="K61" s="190">
        <f>SUM(K57:K60)</f>
        <v>0</v>
      </c>
      <c r="L61" s="192">
        <f>SUM(L57:L60)</f>
        <v>26466.639999999999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11341234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121350077.52250956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1445096</v>
      </c>
      <c r="M66" s="163"/>
      <c r="N66" s="163"/>
      <c r="O66" s="152">
        <f>L66/487.11</f>
        <v>2966.672825439839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6475727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121350077.52250956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120840110.04540215</v>
      </c>
      <c r="F69" s="202"/>
      <c r="G69" s="176"/>
      <c r="H69" s="174" t="s">
        <v>27</v>
      </c>
      <c r="I69" s="175"/>
      <c r="J69" s="175"/>
      <c r="K69" s="175"/>
      <c r="L69" s="203">
        <f>SUM(L65:L67)</f>
        <v>7920823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509967.47710741003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144283738.14222175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132691311.52250956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50759780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1353451.3775295976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134044762.90003915</v>
      </c>
      <c r="G79" s="176" t="s">
        <v>29</v>
      </c>
      <c r="H79" s="175" t="s">
        <v>14</v>
      </c>
      <c r="I79" s="175"/>
      <c r="J79" s="175"/>
      <c r="K79" s="175"/>
      <c r="L79" s="213">
        <f>I23</f>
        <v>11640107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58289363.137093864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21831854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2664770.1548715574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142521104.13709387</v>
      </c>
      <c r="M83" s="86"/>
      <c r="N83" s="86"/>
      <c r="O83" s="107">
        <f>G58*D58</f>
        <v>-346617.91268895002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0.98778355740000001</v>
      </c>
      <c r="K84" s="175"/>
      <c r="L84" s="210">
        <f>+(1-J84)*L73</f>
        <v>1762634.005127881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144283738.14222175</v>
      </c>
      <c r="M85" s="86"/>
      <c r="N85" s="86"/>
      <c r="O85" s="107">
        <f>SUM(O82:O84)</f>
        <v>2318152.2421826073</v>
      </c>
      <c r="P85" s="103">
        <f>I168+G174</f>
        <v>2318152.2421826073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58289363.137093864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1.84E-2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1.7999999999999999E-2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58289363.137093864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2206581.2776111448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2318152.2421826073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2664770.1548715574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-346617.91268895002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2318152.2421826073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2</v>
      </c>
      <c r="I110" s="242">
        <f>H35</f>
        <v>1</v>
      </c>
      <c r="J110" s="244">
        <f>SUM(G110:I110)</f>
        <v>3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7938864</v>
      </c>
      <c r="I113" s="247">
        <f>I107*I110</f>
        <v>3402370</v>
      </c>
      <c r="J113" s="242">
        <f>SUM(B113:I113)</f>
        <v>11341234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11341234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2664770.1548715574</v>
      </c>
      <c r="E141" s="101">
        <f>(L58-E58)*D58</f>
        <v>-346617.91268895002</v>
      </c>
      <c r="F141" s="101">
        <f>ROUND(D141+E141,0)</f>
        <v>2318152</v>
      </c>
      <c r="G141" s="145">
        <f>IF(E59&gt;0,0,O168)</f>
        <v>0</v>
      </c>
      <c r="H141" s="101">
        <f>(L59-E59)*D59</f>
        <v>0</v>
      </c>
      <c r="I141" s="101">
        <f>ROUND(D141+E141+H141,2)</f>
        <v>2318152.2400000002</v>
      </c>
      <c r="J141" s="113">
        <f>I144+I145+I150+I151+I162+I163+I156+I157+I168</f>
        <v>2318152.2421826073</v>
      </c>
      <c r="K141" s="113"/>
      <c r="O141" s="146">
        <f>F141+G141</f>
        <v>2318152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59.34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59.34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-122.03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2664770.1548715574</v>
      </c>
      <c r="E168" s="134">
        <f>IF(I141&lt;0,0,IF(AND(E59=0,I141&gt;=0),E141-E144-E145-E150-E151,IF(AND(E59&gt;0,I141&gt;=0),E141-E156-E157-E162-E163,0)))</f>
        <v>-346617.91268895002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2318152.2421826073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564.13999999999942</v>
      </c>
      <c r="E169" s="8">
        <f>IF(E168=0,0,IF(I141&lt;0,0,L58-H58-E58))</f>
        <v>-122.03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2318152.2421826073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-122.03</v>
      </c>
      <c r="F171" s="101"/>
      <c r="G171" s="101"/>
      <c r="H171" s="101"/>
      <c r="I171" s="136" t="s">
        <v>283</v>
      </c>
      <c r="J171" s="103">
        <f>I144+I145+I168</f>
        <v>2318152.2421826073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2318152.2421826073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2664770.1548715574</v>
      </c>
      <c r="E177" s="107">
        <f>E144+E145+E150+E151+E162+E163+E156+E157+E168</f>
        <v>-346617.91268895002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2664770.1548715574</v>
      </c>
      <c r="E180" s="101">
        <f>E141</f>
        <v>-346617.91268895002</v>
      </c>
      <c r="F180" s="101"/>
      <c r="G180" s="101">
        <f>G141</f>
        <v>0</v>
      </c>
      <c r="H180" s="101">
        <f>H141</f>
        <v>0</v>
      </c>
      <c r="I180" s="101">
        <f>I141</f>
        <v>2318152.2400000002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65" zoomScale="110" zoomScaleNormal="110" zoomScalePageLayoutView="110" workbookViewId="0">
      <selection activeCell="L97" sqref="L97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9501.25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1070.54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24.4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9741.5400000000009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1154.28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31.67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14879494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3109313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2666449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0.98778357620000001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9501.25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240.29000000000087</v>
      </c>
      <c r="I57" s="191">
        <f>D172</f>
        <v>0</v>
      </c>
      <c r="J57" s="190">
        <f>SUM(E57:I57)</f>
        <v>9741.5400000000009</v>
      </c>
      <c r="K57" s="190">
        <f>IF((+L57-J57)&gt;0,(L57-J57),0)</f>
        <v>0</v>
      </c>
      <c r="L57" s="192">
        <f>I15</f>
        <v>9741.5400000000009</v>
      </c>
      <c r="M57" s="102"/>
      <c r="N57" s="102"/>
      <c r="O57" s="102">
        <f>E57+H57+G57</f>
        <v>9741.5400000000009</v>
      </c>
      <c r="P57" s="108">
        <f>L57-E57</f>
        <v>240.29000000000087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1070.54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83.740000000000009</v>
      </c>
      <c r="I58" s="191">
        <f>E172</f>
        <v>0</v>
      </c>
      <c r="J58" s="190">
        <f>E58+H58+G58+I58</f>
        <v>1154.28</v>
      </c>
      <c r="K58" s="190">
        <f>IF((+L58-J58)&gt;0,(L58-J58),0)</f>
        <v>0</v>
      </c>
      <c r="L58" s="192">
        <f>I16</f>
        <v>1154.28</v>
      </c>
      <c r="M58" s="102"/>
      <c r="N58" s="102"/>
      <c r="O58" s="102">
        <f>IF(E59=0,J58+J59,J58)</f>
        <v>1154.28</v>
      </c>
      <c r="P58" s="108">
        <f>L58+L59-E58</f>
        <v>115.41000000000008</v>
      </c>
      <c r="Q58" s="1">
        <f>L59*466-(P58)*487.11</f>
        <v>-41459.145100000038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24.4</v>
      </c>
      <c r="F59" s="190"/>
      <c r="G59" s="191">
        <f>H169</f>
        <v>0</v>
      </c>
      <c r="H59" s="190">
        <f>IF(AND(E59&gt;0,E141&gt;=0),H158+H164,IF(AND(E59&gt;0,E141&lt;0),H159+H165,IF(E59=0,H146+H152,H147+H153)))</f>
        <v>7.2700000000000031</v>
      </c>
      <c r="I59" s="191">
        <f>H172</f>
        <v>0</v>
      </c>
      <c r="J59" s="190">
        <f>E59+H59+G59+I59</f>
        <v>31.67</v>
      </c>
      <c r="K59" s="190">
        <f>IF((+L59-J59)&gt;0,(L59-J59),0)</f>
        <v>0</v>
      </c>
      <c r="L59" s="192">
        <f>I17</f>
        <v>31.67</v>
      </c>
      <c r="M59" s="102"/>
      <c r="N59" s="102"/>
      <c r="O59" s="102">
        <f>IF(E59=0,L58+L59,L59)</f>
        <v>31.67</v>
      </c>
      <c r="P59" s="108">
        <f>L59-E59</f>
        <v>7.2700000000000031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10596.19</v>
      </c>
      <c r="F61" s="190"/>
      <c r="G61" s="190">
        <f>SUM(G57:G60)</f>
        <v>0</v>
      </c>
      <c r="H61" s="190">
        <f>SUM(H57:H60)</f>
        <v>331.30000000000086</v>
      </c>
      <c r="I61" s="190">
        <f>SUM(I57:I59)</f>
        <v>0</v>
      </c>
      <c r="J61" s="190">
        <f>SUM(J57:J60)</f>
        <v>10927.490000000002</v>
      </c>
      <c r="K61" s="190">
        <f>SUM(K57:K60)</f>
        <v>0</v>
      </c>
      <c r="L61" s="192">
        <f>SUM(L57:L60)</f>
        <v>10927.490000000002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15426.773700000002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-15426.773700000002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47551108.74567192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572034</v>
      </c>
      <c r="M66" s="163"/>
      <c r="N66" s="163"/>
      <c r="O66" s="152">
        <f>L66/487.11</f>
        <v>1174.342550963848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2620050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47551108.74567192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44426923.625782497</v>
      </c>
      <c r="F69" s="202"/>
      <c r="G69" s="176"/>
      <c r="H69" s="174" t="s">
        <v>27</v>
      </c>
      <c r="I69" s="175"/>
      <c r="J69" s="175"/>
      <c r="K69" s="175"/>
      <c r="L69" s="203">
        <f>SUM(L65:L67)</f>
        <v>3192084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3010093.08564022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114092.03424920001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58363901.847027123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53221724.74567192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1135033.1841636642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14879494</v>
      </c>
      <c r="M77" s="159"/>
      <c r="N77" s="159"/>
      <c r="O77" s="86">
        <f>H58*D58</f>
        <v>237857.77274910006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542861.59240585368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34340.552036580018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53764586.338077776</v>
      </c>
      <c r="G79" s="176" t="s">
        <v>29</v>
      </c>
      <c r="H79" s="175" t="s">
        <v>14</v>
      </c>
      <c r="I79" s="175"/>
      <c r="J79" s="175"/>
      <c r="K79" s="175"/>
      <c r="L79" s="213">
        <f>I23</f>
        <v>3109313</v>
      </c>
      <c r="M79" s="159"/>
      <c r="N79" s="159"/>
      <c r="O79" s="86">
        <f>SUM(O76:O78)</f>
        <v>1407231.5089493443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30567728.687442239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9094368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57650903.687442243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0.98778357620000001</v>
      </c>
      <c r="K84" s="175"/>
      <c r="L84" s="210">
        <f>+(1-J84)*L73</f>
        <v>712998.15958488535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1407231.5089493443</v>
      </c>
      <c r="G85" s="176"/>
      <c r="H85" s="174" t="s">
        <v>342</v>
      </c>
      <c r="I85" s="175"/>
      <c r="J85" s="175"/>
      <c r="K85" s="175"/>
      <c r="L85" s="213">
        <f>+L84+L83</f>
        <v>58363901.84702713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1407231.5089493443</v>
      </c>
      <c r="G88" s="176" t="s">
        <v>28</v>
      </c>
      <c r="H88" s="175" t="s">
        <v>15</v>
      </c>
      <c r="I88" s="175"/>
      <c r="J88" s="175"/>
      <c r="K88" s="175"/>
      <c r="L88" s="210">
        <f>L80</f>
        <v>30567728.687442239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30567728.687442239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480361.30218376208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2666449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2666449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2666449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1135033.1841636642</v>
      </c>
      <c r="E141" s="101">
        <f>(L58-E58)*D58</f>
        <v>237857.77274910006</v>
      </c>
      <c r="F141" s="101">
        <f>ROUND(D141+E141,0)</f>
        <v>1372891</v>
      </c>
      <c r="G141" s="145">
        <f>IF(E59&gt;0,0,O168)</f>
        <v>0</v>
      </c>
      <c r="H141" s="101">
        <f>(L59-E59)*D59</f>
        <v>34340.552036580018</v>
      </c>
      <c r="I141" s="101">
        <f>ROUND(D141+E141+H141,2)</f>
        <v>1407231.51</v>
      </c>
      <c r="J141" s="113">
        <f>I144+I145+I150+I151+I162+I163+I156+I157+I168</f>
        <v>1407231.5089493443</v>
      </c>
      <c r="K141" s="113"/>
      <c r="O141" s="146">
        <f>F141+G141</f>
        <v>1372891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1185.95</v>
      </c>
      <c r="M145" s="81"/>
      <c r="N145" s="81"/>
      <c r="O145" s="104">
        <f>D138/(D141+O168)*D141</f>
        <v>2470639.7013783474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31.670000000000073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1185.95</v>
      </c>
      <c r="M151" s="81"/>
      <c r="N151" s="81"/>
      <c r="O151" s="104">
        <f>D138/(D141+O168)*D141</f>
        <v>2470639.7013783474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115.41000000000008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2150682.440929722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1135033.1841636642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237857.77274910006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34340.552036580018</v>
      </c>
      <c r="I162" s="112">
        <f>D162+E162+H162</f>
        <v>1407231.5089493443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240.29000000000087</v>
      </c>
      <c r="E164" s="8">
        <f>E162/D58</f>
        <v>83.740000000000009</v>
      </c>
      <c r="F164" s="101"/>
      <c r="H164" s="8">
        <f>H162/D59</f>
        <v>7.2700000000000031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-7.1054273576010019E-14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89956.480331550207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1407231.5089493443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31.67</v>
      </c>
      <c r="M171" s="103"/>
      <c r="N171" s="103"/>
      <c r="O171" s="115">
        <f>O167*D58+L147*D59+O167*487.11</f>
        <v>149596.32503418013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-3.4611247201610243E-11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-3.4611247201610243E-11</v>
      </c>
      <c r="M173" s="103"/>
      <c r="N173" s="103"/>
      <c r="O173" s="103">
        <f>L147*3232.0676</f>
        <v>102359.58089200023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-1.950409824758026E-10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-3.4611247201610243E-11</v>
      </c>
      <c r="O175" s="103">
        <f>O173+O174</f>
        <v>102359.58089200004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1135033.1841636642</v>
      </c>
      <c r="E177" s="107">
        <f>E144+E145+E150+E151+E162+E163+E156+E157+E168</f>
        <v>237857.77274910006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-15426.773700000036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1135033.1841636642</v>
      </c>
      <c r="E180" s="101">
        <f>E141</f>
        <v>237857.77274910006</v>
      </c>
      <c r="F180" s="101"/>
      <c r="G180" s="101">
        <f>G141</f>
        <v>0</v>
      </c>
      <c r="H180" s="101">
        <f>H141</f>
        <v>34340.552036580018</v>
      </c>
      <c r="I180" s="101">
        <f>I141</f>
        <v>1407231.51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6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8723.14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77.239999999999995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9193.5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52.14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9316618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2250423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1997279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0.98778356349999996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2.24E-2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8723.14</v>
      </c>
      <c r="F57" s="190"/>
      <c r="G57" s="191">
        <f>D169</f>
        <v>47.529921015455542</v>
      </c>
      <c r="H57" s="190">
        <f>IF(AND(E141&lt;0,E59&gt;0),D159+D165,IF(AND(E141&gt;0,E59&gt;0),D158+D164,IF(AND(E141&gt;0,E59=0),D146+D152,D147+D153)))</f>
        <v>422.83007898454503</v>
      </c>
      <c r="I57" s="191">
        <f>D172</f>
        <v>0</v>
      </c>
      <c r="J57" s="190">
        <f>SUM(E57:I57)</f>
        <v>9193.5</v>
      </c>
      <c r="K57" s="190">
        <f>IF((+L57-J57)&gt;0,(L57-J57),0)</f>
        <v>0</v>
      </c>
      <c r="L57" s="192">
        <f>I15</f>
        <v>9193.5</v>
      </c>
      <c r="M57" s="102"/>
      <c r="N57" s="102"/>
      <c r="O57" s="102">
        <f>E57+H57+G57</f>
        <v>9193.5</v>
      </c>
      <c r="P57" s="108">
        <f>L57-E57</f>
        <v>470.36000000000058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77.239999999999995</v>
      </c>
      <c r="F58" s="190"/>
      <c r="G58" s="191">
        <f>E169</f>
        <v>-25.099999999999994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52.14</v>
      </c>
      <c r="K58" s="190">
        <f>IF((+L58-J58)&gt;0,(L58-J58),0)</f>
        <v>0</v>
      </c>
      <c r="L58" s="192">
        <f>I16</f>
        <v>52.14</v>
      </c>
      <c r="M58" s="102"/>
      <c r="N58" s="102"/>
      <c r="O58" s="102">
        <f>IF(E59=0,J58+J59,J58)</f>
        <v>52.14</v>
      </c>
      <c r="P58" s="108">
        <f>L58+L59-E58</f>
        <v>-25.099999999999994</v>
      </c>
      <c r="Q58" s="1">
        <f>L59*466-(P58)*487.11</f>
        <v>12226.460999999998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52.14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8800.3799999999992</v>
      </c>
      <c r="F61" s="190"/>
      <c r="G61" s="190">
        <f>SUM(G57:G60)</f>
        <v>22.429921015455548</v>
      </c>
      <c r="H61" s="190">
        <f>SUM(H57:H60)</f>
        <v>422.83007898454503</v>
      </c>
      <c r="I61" s="190">
        <f>SUM(I57:I59)</f>
        <v>0</v>
      </c>
      <c r="J61" s="190">
        <f>SUM(J57:J60)</f>
        <v>9245.64</v>
      </c>
      <c r="K61" s="190">
        <f>SUM(K57:K60)</f>
        <v>0</v>
      </c>
      <c r="L61" s="192">
        <f>SUM(L57:L60)</f>
        <v>9245.64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41005736.453884952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504134</v>
      </c>
      <c r="M66" s="163"/>
      <c r="N66" s="163"/>
      <c r="O66" s="152">
        <f>L66/487.11</f>
        <v>1034.9489848288888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2286936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41005736.453884952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40788556.722221635</v>
      </c>
      <c r="F69" s="202"/>
      <c r="G69" s="176"/>
      <c r="H69" s="174" t="s">
        <v>27</v>
      </c>
      <c r="I69" s="175"/>
      <c r="J69" s="175"/>
      <c r="K69" s="175"/>
      <c r="L69" s="203">
        <f>SUM(L65:L67)</f>
        <v>2791070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217179.73166331998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50948326.556384519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45542229.453884952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1997279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9316618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464530.74042962654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46006760.194314577</v>
      </c>
      <c r="G79" s="176" t="s">
        <v>29</v>
      </c>
      <c r="H79" s="175" t="s">
        <v>14</v>
      </c>
      <c r="I79" s="175"/>
      <c r="J79" s="175"/>
      <c r="K79" s="175"/>
      <c r="L79" s="213">
        <f>I23</f>
        <v>2250423</v>
      </c>
      <c r="M79" s="159"/>
      <c r="N79" s="159"/>
      <c r="O79" s="86">
        <f>SUM(O76:O78)</f>
        <v>1997279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30743676.560227182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8015202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224512.2043914427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50325919.560227185</v>
      </c>
      <c r="M83" s="86"/>
      <c r="N83" s="86"/>
      <c r="O83" s="107">
        <f>G58*D58</f>
        <v>-71294.842321499993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0.98778356349999996</v>
      </c>
      <c r="K84" s="175"/>
      <c r="L84" s="210">
        <f>+(1-J84)*L73</f>
        <v>622406.9961573371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1997279</v>
      </c>
      <c r="G85" s="176"/>
      <c r="H85" s="174" t="s">
        <v>342</v>
      </c>
      <c r="I85" s="175"/>
      <c r="J85" s="175"/>
      <c r="K85" s="175"/>
      <c r="L85" s="213">
        <f>+L84+L83</f>
        <v>50948326.556384526</v>
      </c>
      <c r="M85" s="86"/>
      <c r="N85" s="86"/>
      <c r="O85" s="107">
        <f>SUM(O82:O84)</f>
        <v>153217.3620699427</v>
      </c>
      <c r="P85" s="103">
        <f>I168+G174</f>
        <v>153217.3620699427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1997279</v>
      </c>
      <c r="G88" s="176" t="s">
        <v>28</v>
      </c>
      <c r="H88" s="175" t="s">
        <v>15</v>
      </c>
      <c r="I88" s="175"/>
      <c r="J88" s="175"/>
      <c r="K88" s="175"/>
      <c r="L88" s="210">
        <f>L80</f>
        <v>30743676.560227182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2.24E-2</v>
      </c>
      <c r="F92" s="175"/>
      <c r="G92" s="176"/>
      <c r="H92" s="174" t="s">
        <v>70</v>
      </c>
      <c r="I92" s="175"/>
      <c r="J92" s="175"/>
      <c r="K92" s="175"/>
      <c r="L92" s="210">
        <f>+L88-L91</f>
        <v>30743676.560227182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927897.49058124505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153217.3620699427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224512.2043914427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-71294.842321499993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1997279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153217.3620699427</v>
      </c>
      <c r="G99" s="176"/>
      <c r="H99" s="174" t="s">
        <v>16</v>
      </c>
      <c r="I99" s="175"/>
      <c r="J99" s="175"/>
      <c r="K99" s="175"/>
      <c r="L99" s="203">
        <f>SUM(L96:L98)</f>
        <v>1997279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1997279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2221791.2043914427</v>
      </c>
      <c r="E141" s="101">
        <f>(L58-E58)*D58</f>
        <v>-71294.842321499993</v>
      </c>
      <c r="F141" s="101">
        <f>ROUND(D141+E141,0)</f>
        <v>2150496</v>
      </c>
      <c r="G141" s="145">
        <f>IF(E59&gt;0,0,O168)</f>
        <v>0</v>
      </c>
      <c r="H141" s="101">
        <f>(L59-E59)*D59</f>
        <v>0</v>
      </c>
      <c r="I141" s="101">
        <f>ROUND(D141+E141+H141,2)</f>
        <v>2150496.36</v>
      </c>
      <c r="J141" s="113">
        <f>I144+I145+I150+I151+I162+I163+I156+I157+I168</f>
        <v>2150496.3620699425</v>
      </c>
      <c r="K141" s="113"/>
      <c r="O141" s="146">
        <f>F141+G141</f>
        <v>2150496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52.14</v>
      </c>
      <c r="M145" s="81"/>
      <c r="N145" s="81"/>
      <c r="O145" s="104">
        <f>D138/(D141+O168)*D141</f>
        <v>1997279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1997279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1997279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1997279</v>
      </c>
      <c r="L151" s="81">
        <f>L58+L59</f>
        <v>52.14</v>
      </c>
      <c r="M151" s="81"/>
      <c r="N151" s="81"/>
      <c r="O151" s="104">
        <f>D138/(D141+O168)*D141</f>
        <v>1997279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422.83007898454503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-25.099999999999994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2063494.2692559296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224512.2043914427</v>
      </c>
      <c r="E168" s="134">
        <f>IF(I141&lt;0,0,IF(AND(E59=0,I141&gt;=0),E141-E144-E145-E150-E151,IF(AND(E59&gt;0,I141&gt;=0),E141-E156-E157-E162-E163,0)))</f>
        <v>-71294.842321499993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153217.3620699427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47.529921015455542</v>
      </c>
      <c r="E169" s="8">
        <f>IF(E168=0,0,IF(I141&lt;0,0,L58-H58-E58))</f>
        <v>-25.099999999999994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2150496.3620699425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-25.099999999999994</v>
      </c>
      <c r="F171" s="101"/>
      <c r="G171" s="101"/>
      <c r="H171" s="101"/>
      <c r="I171" s="136" t="s">
        <v>283</v>
      </c>
      <c r="J171" s="103">
        <f>I144+I145+I168</f>
        <v>153217.3620699427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153217.3620699427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2221791.2043914427</v>
      </c>
      <c r="E177" s="107">
        <f>E144+E145+E150+E151+E162+E163+E156+E157+E168</f>
        <v>-71294.842321499993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2221791.2043914427</v>
      </c>
      <c r="E180" s="101">
        <f>E141</f>
        <v>-71294.842321499993</v>
      </c>
      <c r="F180" s="101"/>
      <c r="G180" s="101">
        <f>G141</f>
        <v>0</v>
      </c>
      <c r="H180" s="101">
        <f>H141</f>
        <v>0</v>
      </c>
      <c r="I180" s="101">
        <f>I141</f>
        <v>2150496.36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4724.97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367.21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4948.79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332.27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5780133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921165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0.98778354879999997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2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1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2.3E-2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2.24E-2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4724.97</v>
      </c>
      <c r="F57" s="190"/>
      <c r="G57" s="191">
        <f>D169</f>
        <v>223.81999999999971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4948.79</v>
      </c>
      <c r="K57" s="190">
        <f>IF((+L57-J57)&gt;0,(L57-J57),0)</f>
        <v>0</v>
      </c>
      <c r="L57" s="192">
        <f>I15</f>
        <v>4948.79</v>
      </c>
      <c r="M57" s="102"/>
      <c r="N57" s="102"/>
      <c r="O57" s="102">
        <f>E57+H57+G57</f>
        <v>4948.79</v>
      </c>
      <c r="P57" s="108">
        <f>L57-E57</f>
        <v>223.81999999999971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367.21</v>
      </c>
      <c r="F58" s="190"/>
      <c r="G58" s="191">
        <f>E169</f>
        <v>-34.94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332.27</v>
      </c>
      <c r="K58" s="190">
        <f>IF((+L58-J58)&gt;0,(L58-J58),0)</f>
        <v>0</v>
      </c>
      <c r="L58" s="192">
        <f>I16</f>
        <v>332.27</v>
      </c>
      <c r="M58" s="102"/>
      <c r="N58" s="102"/>
      <c r="O58" s="102">
        <f>IF(E59=0,J58+J59,J58)</f>
        <v>332.27</v>
      </c>
      <c r="P58" s="108">
        <f>L58+L59-E58</f>
        <v>-34.94</v>
      </c>
      <c r="Q58" s="1">
        <f>L59*466-(P58)*487.11</f>
        <v>17019.6234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332.27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5092.18</v>
      </c>
      <c r="F61" s="190"/>
      <c r="G61" s="190">
        <f>SUM(G57:G60)</f>
        <v>188.87999999999971</v>
      </c>
      <c r="H61" s="190">
        <f>SUM(H57:H60)</f>
        <v>0</v>
      </c>
      <c r="I61" s="190">
        <f>SUM(I57:I59)</f>
        <v>0</v>
      </c>
      <c r="J61" s="190">
        <f>SUM(J57:J60)</f>
        <v>5281.0599999999995</v>
      </c>
      <c r="K61" s="190">
        <f>SUM(K57:K60)</f>
        <v>0</v>
      </c>
      <c r="L61" s="192">
        <f>SUM(L57:L60)</f>
        <v>5281.0599999999995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7088271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23126005.00682975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281368</v>
      </c>
      <c r="M66" s="163"/>
      <c r="N66" s="163"/>
      <c r="O66" s="152">
        <f>L66/487.11</f>
        <v>577.62722998911943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1494973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23126005.00682975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22093501.520759221</v>
      </c>
      <c r="F69" s="202"/>
      <c r="G69" s="176"/>
      <c r="H69" s="174" t="s">
        <v>27</v>
      </c>
      <c r="I69" s="175"/>
      <c r="J69" s="175"/>
      <c r="K69" s="175"/>
      <c r="L69" s="203">
        <f>SUM(L65:L67)</f>
        <v>1776341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1032503.4860705299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33256793.466632593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30214276.00682975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5780133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308185.61526966345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30522461.622099414</v>
      </c>
      <c r="G79" s="176" t="s">
        <v>29</v>
      </c>
      <c r="H79" s="175" t="s">
        <v>14</v>
      </c>
      <c r="I79" s="175"/>
      <c r="J79" s="175"/>
      <c r="K79" s="175"/>
      <c r="L79" s="213">
        <f>I23</f>
        <v>921165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20827085.472178996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5322130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1057235.5373902787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32850513.472178996</v>
      </c>
      <c r="M83" s="86"/>
      <c r="N83" s="86"/>
      <c r="O83" s="107">
        <f>G58*D58</f>
        <v>-99244.692857100003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0.98778354879999997</v>
      </c>
      <c r="K84" s="175"/>
      <c r="L84" s="210">
        <f>+(1-J84)*L73</f>
        <v>406279.994453597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33256793.466632593</v>
      </c>
      <c r="M85" s="86"/>
      <c r="N85" s="86"/>
      <c r="O85" s="107">
        <f>SUM(O82:O84)</f>
        <v>957990.84453317861</v>
      </c>
      <c r="P85" s="103">
        <f>I168+G174</f>
        <v>957990.84453317861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20827085.472178996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2.3E-2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2.24E-2</v>
      </c>
      <c r="F92" s="175"/>
      <c r="G92" s="176"/>
      <c r="H92" s="174" t="s">
        <v>70</v>
      </c>
      <c r="I92" s="175"/>
      <c r="J92" s="175"/>
      <c r="K92" s="175"/>
      <c r="L92" s="210">
        <f>+L88-L91</f>
        <v>20827085.472178996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523306.34359584074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957990.84453317861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1057235.5373902787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-99244.692857100003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957990.84453317861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2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6804740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6804740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1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283531</v>
      </c>
      <c r="F127" s="238">
        <f>F121*F124</f>
        <v>0</v>
      </c>
      <c r="G127" s="169"/>
      <c r="H127" s="253">
        <f>SUM(B127:F127)</f>
        <v>283531</v>
      </c>
      <c r="I127" s="169"/>
      <c r="J127" s="251">
        <f>H118+H127</f>
        <v>283531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7088271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1057235.5373902787</v>
      </c>
      <c r="E141" s="101">
        <f>(L58-E58)*D58</f>
        <v>-99244.692857100003</v>
      </c>
      <c r="F141" s="101">
        <f>ROUND(D141+E141,0)</f>
        <v>957991</v>
      </c>
      <c r="G141" s="145">
        <f>IF(E59&gt;0,0,O168)</f>
        <v>0</v>
      </c>
      <c r="H141" s="101">
        <f>(L59-E59)*D59</f>
        <v>0</v>
      </c>
      <c r="I141" s="101">
        <f>ROUND(D141+E141+H141,2)</f>
        <v>957990.84</v>
      </c>
      <c r="J141" s="113">
        <f>I144+I145+I150+I151+I162+I163+I156+I157+I168</f>
        <v>957990.84453317861</v>
      </c>
      <c r="K141" s="113"/>
      <c r="O141" s="146">
        <f>F141+G141</f>
        <v>957991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332.27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332.27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-34.94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1057235.5373902787</v>
      </c>
      <c r="E168" s="134">
        <f>IF(I141&lt;0,0,IF(AND(E59=0,I141&gt;=0),E141-E144-E145-E150-E151,IF(AND(E59&gt;0,I141&gt;=0),E141-E156-E157-E162-E163,0)))</f>
        <v>-99244.692857100003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957990.84453317861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223.81999999999971</v>
      </c>
      <c r="E169" s="8">
        <f>IF(E168=0,0,IF(I141&lt;0,0,L58-H58-E58))</f>
        <v>-34.94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957990.84453317861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-34.94</v>
      </c>
      <c r="F171" s="101"/>
      <c r="G171" s="101"/>
      <c r="H171" s="101"/>
      <c r="I171" s="136" t="s">
        <v>283</v>
      </c>
      <c r="J171" s="103">
        <f>I144+I145+I168</f>
        <v>957990.84453317861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957990.84453317861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1057235.5373902787</v>
      </c>
      <c r="E177" s="107">
        <f>E144+E145+E150+E151+E162+E163+E156+E157+E168</f>
        <v>-99244.692857100003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1057235.5373902787</v>
      </c>
      <c r="E180" s="101">
        <f>E141</f>
        <v>-99244.692857100003</v>
      </c>
      <c r="F180" s="101"/>
      <c r="G180" s="101">
        <f>G141</f>
        <v>0</v>
      </c>
      <c r="H180" s="101">
        <f>H141</f>
        <v>0</v>
      </c>
      <c r="I180" s="101">
        <f>I141</f>
        <v>957990.84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2469.23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61.34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2513.64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43.66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8549740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762483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0.98778355490000003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1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1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6447.375908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6447.375908</v>
      </c>
      <c r="D57" s="189">
        <v>4723.5972540000002</v>
      </c>
      <c r="E57" s="190">
        <f>I10</f>
        <v>2469.23</v>
      </c>
      <c r="F57" s="190"/>
      <c r="G57" s="191">
        <f>D169</f>
        <v>44.409999999999854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2513.64</v>
      </c>
      <c r="K57" s="190">
        <f>IF((+L57-J57)&gt;0,(L57-J57),0)</f>
        <v>0</v>
      </c>
      <c r="L57" s="192">
        <f>I15</f>
        <v>2513.64</v>
      </c>
      <c r="M57" s="102"/>
      <c r="N57" s="102"/>
      <c r="O57" s="102">
        <f>E57+H57+G57</f>
        <v>2513.64</v>
      </c>
      <c r="P57" s="108">
        <f>L57-E57</f>
        <v>44.409999999999854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61.34</v>
      </c>
      <c r="F58" s="190"/>
      <c r="G58" s="191">
        <f>E169</f>
        <v>-17.680000000000007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43.66</v>
      </c>
      <c r="K58" s="190">
        <f>IF((+L58-J58)&gt;0,(L58-J58),0)</f>
        <v>0</v>
      </c>
      <c r="L58" s="192">
        <f>I16</f>
        <v>43.66</v>
      </c>
      <c r="M58" s="102"/>
      <c r="N58" s="102"/>
      <c r="O58" s="102">
        <f>IF(E59=0,J58+J59,J58)</f>
        <v>43.66</v>
      </c>
      <c r="P58" s="108">
        <f>L58+L59-E58</f>
        <v>-17.680000000000007</v>
      </c>
      <c r="Q58" s="1">
        <f>L59*466-(P58)*487.11</f>
        <v>8612.1048000000028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43.66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2530.5700000000002</v>
      </c>
      <c r="F61" s="190"/>
      <c r="G61" s="190">
        <f>SUM(G57:G60)</f>
        <v>26.729999999999848</v>
      </c>
      <c r="H61" s="190">
        <f>SUM(H57:H60)</f>
        <v>0</v>
      </c>
      <c r="I61" s="190">
        <f>SUM(I57:I59)</f>
        <v>0</v>
      </c>
      <c r="J61" s="190">
        <f>SUM(J57:J60)</f>
        <v>2557.2999999999997</v>
      </c>
      <c r="K61" s="190">
        <f>SUM(K57:K60)</f>
        <v>0</v>
      </c>
      <c r="L61" s="192">
        <f>SUM(L57:L60)</f>
        <v>2557.2999999999997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3969432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16092526.886695459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138804</v>
      </c>
      <c r="M66" s="163"/>
      <c r="N66" s="163"/>
      <c r="O66" s="152">
        <f>L66/487.11</f>
        <v>284.95411713986573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1305814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16092526.886695459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15920054.01331084</v>
      </c>
      <c r="F69" s="202"/>
      <c r="G69" s="176"/>
      <c r="H69" s="174" t="s">
        <v>27</v>
      </c>
      <c r="I69" s="175"/>
      <c r="J69" s="175"/>
      <c r="K69" s="175"/>
      <c r="L69" s="203">
        <f>SUM(L65:L67)</f>
        <v>1444618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172472.87338462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21870764.98424869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20061958.886695459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8549740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204631.98064429371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20266590.867339753</v>
      </c>
      <c r="G79" s="176" t="s">
        <v>29</v>
      </c>
      <c r="H79" s="175" t="s">
        <v>14</v>
      </c>
      <c r="I79" s="175"/>
      <c r="J79" s="175"/>
      <c r="K79" s="175"/>
      <c r="L79" s="213">
        <f>I23</f>
        <v>762483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8817139.9845236149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3474219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209774.95405013932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21603581.984523617</v>
      </c>
      <c r="M83" s="86"/>
      <c r="N83" s="86"/>
      <c r="O83" s="107">
        <f>G58*D58</f>
        <v>-50218.83714120002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0.98778355490000003</v>
      </c>
      <c r="K84" s="175"/>
      <c r="L84" s="210">
        <f>+(1-J84)*L73</f>
        <v>267182.9997250759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21870764.984248694</v>
      </c>
      <c r="M85" s="86"/>
      <c r="N85" s="86"/>
      <c r="O85" s="107">
        <f>SUM(O82:O84)</f>
        <v>159556.11690893929</v>
      </c>
      <c r="P85" s="103">
        <f>I168+G174</f>
        <v>159556.11690893929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8817139.9845236149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8817139.9845236149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118378.8014422752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159556.11690893929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209774.95405013932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-50218.83714120002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159556.11690893929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1</v>
      </c>
      <c r="E110" s="243">
        <f>G38</f>
        <v>1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3402370</v>
      </c>
      <c r="E113" s="248">
        <f>E107*E110</f>
        <v>567062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3969432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3969432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209774.95405013932</v>
      </c>
      <c r="E141" s="101">
        <f>(L58-E58)*D58</f>
        <v>-50218.83714120002</v>
      </c>
      <c r="F141" s="101">
        <f>ROUND(D141+E141,0)</f>
        <v>159556</v>
      </c>
      <c r="G141" s="145">
        <f>IF(E59&gt;0,0,O168)</f>
        <v>0</v>
      </c>
      <c r="H141" s="101">
        <f>(L59-E59)*D59</f>
        <v>0</v>
      </c>
      <c r="I141" s="101">
        <f>ROUND(D141+E141+H141,2)</f>
        <v>159556.12</v>
      </c>
      <c r="J141" s="113">
        <f>I144+I145+I150+I151+I162+I163+I156+I157+I168</f>
        <v>159556.11690893929</v>
      </c>
      <c r="K141" s="113"/>
      <c r="O141" s="146">
        <f>F141+G141</f>
        <v>159556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43.66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43.66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-17.680000000000007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209774.95405013932</v>
      </c>
      <c r="E168" s="134">
        <f>IF(I141&lt;0,0,IF(AND(E59=0,I141&gt;=0),E141-E144-E145-E150-E151,IF(AND(E59&gt;0,I141&gt;=0),E141-E156-E157-E162-E163,0)))</f>
        <v>-50218.83714120002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159556.11690893929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44.409999999999854</v>
      </c>
      <c r="E169" s="8">
        <f>IF(E168=0,0,IF(I141&lt;0,0,L58-H58-E58))</f>
        <v>-17.680000000000007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159556.11690893929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-17.680000000000007</v>
      </c>
      <c r="F171" s="101"/>
      <c r="G171" s="101"/>
      <c r="H171" s="101"/>
      <c r="I171" s="136" t="s">
        <v>283</v>
      </c>
      <c r="J171" s="103">
        <f>I144+I145+I168</f>
        <v>159556.11690893929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159556.11690893929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209774.95405013932</v>
      </c>
      <c r="E177" s="107">
        <f>E144+E145+E150+E151+E162+E163+E156+E157+E168</f>
        <v>-50218.83714120002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209774.95405013932</v>
      </c>
      <c r="E180" s="101">
        <f>E141</f>
        <v>-50218.83714120002</v>
      </c>
      <c r="F180" s="101"/>
      <c r="G180" s="101">
        <f>G141</f>
        <v>0</v>
      </c>
      <c r="H180" s="101">
        <f>H141</f>
        <v>0</v>
      </c>
      <c r="I180" s="101">
        <f>I141</f>
        <v>159556.12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6" workbookViewId="0">
      <selection sqref="A1:XFD1048576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12690.14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798.94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13861.56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1035.47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92176480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7855998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12763513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0.01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0.01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12690.14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1171.42</v>
      </c>
      <c r="I57" s="191">
        <f>D172</f>
        <v>0</v>
      </c>
      <c r="J57" s="190">
        <f>SUM(E57:I57)</f>
        <v>13861.56</v>
      </c>
      <c r="K57" s="190">
        <f>IF((+L57-J57)&gt;0,(L57-J57),0)</f>
        <v>0</v>
      </c>
      <c r="L57" s="192">
        <f>I15</f>
        <v>13861.56</v>
      </c>
      <c r="M57" s="102"/>
      <c r="N57" s="102"/>
      <c r="O57" s="102">
        <f>E57+H57+G57</f>
        <v>13861.56</v>
      </c>
      <c r="P57" s="108">
        <f>L57-E57</f>
        <v>1171.42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798.94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236.52999999999997</v>
      </c>
      <c r="I58" s="191">
        <f>E172</f>
        <v>0</v>
      </c>
      <c r="J58" s="190">
        <f>E58+H58+G58+I58</f>
        <v>1035.47</v>
      </c>
      <c r="K58" s="190">
        <f>IF((+L58-J58)&gt;0,(L58-J58),0)</f>
        <v>0</v>
      </c>
      <c r="L58" s="192">
        <f>I16</f>
        <v>1035.47</v>
      </c>
      <c r="M58" s="102"/>
      <c r="N58" s="102"/>
      <c r="O58" s="102">
        <f>IF(E59=0,J58+J59,J58)</f>
        <v>1035.47</v>
      </c>
      <c r="P58" s="108">
        <f>L58+L59-E58</f>
        <v>236.52999999999997</v>
      </c>
      <c r="Q58" s="1">
        <f>L59*466-(P58)*487.11</f>
        <v>-115216.1283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1035.47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13489.08</v>
      </c>
      <c r="F61" s="190"/>
      <c r="G61" s="190">
        <f>SUM(G57:G60)</f>
        <v>0</v>
      </c>
      <c r="H61" s="190">
        <f>SUM(H57:H60)</f>
        <v>1407.95</v>
      </c>
      <c r="I61" s="190">
        <f>SUM(I57:I59)</f>
        <v>0</v>
      </c>
      <c r="J61" s="190">
        <f>SUM(J57:J60)</f>
        <v>14897.029999999999</v>
      </c>
      <c r="K61" s="190">
        <f>SUM(K57:K60)</f>
        <v>0</v>
      </c>
      <c r="L61" s="192">
        <f>SUM(L57:L60)</f>
        <v>14897.029999999999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6804740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61584285.243545055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791555</v>
      </c>
      <c r="M66" s="163"/>
      <c r="N66" s="163"/>
      <c r="O66" s="152">
        <f>L66/487.11</f>
        <v>1625.0025661554885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3575524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61584285.243545055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59337864.026363634</v>
      </c>
      <c r="F69" s="202"/>
      <c r="G69" s="176"/>
      <c r="H69" s="174" t="s">
        <v>27</v>
      </c>
      <c r="I69" s="175"/>
      <c r="J69" s="175"/>
      <c r="K69" s="175"/>
      <c r="L69" s="203">
        <f>SUM(L65:L67)</f>
        <v>4367079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2246421.2171814204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79658835.968991354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68389025.243545055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5533316.295280681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92176480</v>
      </c>
      <c r="M77" s="159"/>
      <c r="N77" s="159"/>
      <c r="O77" s="86">
        <f>H58*D58</f>
        <v>671847.37268144998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697568.0574841596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-21863346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69086593.30102922</v>
      </c>
      <c r="G79" s="176" t="s">
        <v>29</v>
      </c>
      <c r="H79" s="175" t="s">
        <v>14</v>
      </c>
      <c r="I79" s="175"/>
      <c r="J79" s="175"/>
      <c r="K79" s="175"/>
      <c r="L79" s="213">
        <f>I23</f>
        <v>7855998</v>
      </c>
      <c r="M79" s="159"/>
      <c r="N79" s="159"/>
      <c r="O79" s="86">
        <f>SUM(O76:O78)</f>
        <v>6205163.6679621311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0.96899135410785675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1489703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79658835.968991354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1</v>
      </c>
      <c r="K84" s="175"/>
      <c r="L84" s="210">
        <f>+(1-J84)*L73</f>
        <v>0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6205163.6679621311</v>
      </c>
      <c r="G85" s="176"/>
      <c r="H85" s="174" t="s">
        <v>342</v>
      </c>
      <c r="I85" s="175"/>
      <c r="J85" s="175"/>
      <c r="K85" s="175"/>
      <c r="L85" s="213">
        <f>+L84+L83</f>
        <v>79658835.968991354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6205163.6679621311</v>
      </c>
      <c r="G88" s="176" t="s">
        <v>28</v>
      </c>
      <c r="H88" s="175" t="s">
        <v>15</v>
      </c>
      <c r="I88" s="175"/>
      <c r="J88" s="175"/>
      <c r="K88" s="175"/>
      <c r="L88" s="210">
        <f>L80</f>
        <v>0.96899135410785675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0.01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0.01</v>
      </c>
      <c r="F92" s="175"/>
      <c r="G92" s="176"/>
      <c r="H92" s="174" t="s">
        <v>70</v>
      </c>
      <c r="I92" s="175"/>
      <c r="J92" s="175"/>
      <c r="K92" s="175"/>
      <c r="L92" s="210">
        <f>+L88-L91</f>
        <v>0.96899135410785675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622124.45170992659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4331742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6023890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2407881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12763513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2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6804740</v>
      </c>
      <c r="J113" s="242">
        <f>SUM(B113:I113)</f>
        <v>6804740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6804740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12763513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5533316.295280681</v>
      </c>
      <c r="E141" s="101">
        <f>(L58-E58)*D58</f>
        <v>671847.37268144998</v>
      </c>
      <c r="F141" s="101">
        <f>ROUND(D141+E141,0)</f>
        <v>6205164</v>
      </c>
      <c r="G141" s="145">
        <f>IF(E59&gt;0,0,O168)</f>
        <v>0</v>
      </c>
      <c r="H141" s="101">
        <f>(L59-E59)*D59</f>
        <v>0</v>
      </c>
      <c r="I141" s="101">
        <f>ROUND(D141+E141+H141,2)</f>
        <v>6205163.6699999999</v>
      </c>
      <c r="J141" s="113">
        <f>I144+I145+I150+I151+I162+I163+I156+I157+I168</f>
        <v>6205163.6679621311</v>
      </c>
      <c r="K141" s="113"/>
      <c r="O141" s="146">
        <f>F141+G141</f>
        <v>6205164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5533316.295280681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671847.37268144998</v>
      </c>
      <c r="F144" s="112">
        <f>D144+E144</f>
        <v>6205163.6679621311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6205163.6679621311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1035.47</v>
      </c>
      <c r="M145" s="81"/>
      <c r="N145" s="81"/>
      <c r="O145" s="104">
        <f>D138/(D141+O168)*D141</f>
        <v>12763513</v>
      </c>
      <c r="P145" s="1" t="s">
        <v>239</v>
      </c>
    </row>
    <row r="146" spans="1:16">
      <c r="A146" s="23"/>
      <c r="B146" s="13" t="s">
        <v>244</v>
      </c>
      <c r="D146" s="8">
        <f>D144/D57</f>
        <v>1171.42</v>
      </c>
      <c r="E146" s="8">
        <f>E144/D58</f>
        <v>236.52999999999997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1035.47</v>
      </c>
      <c r="M151" s="81"/>
      <c r="N151" s="81"/>
      <c r="O151" s="104">
        <f>D138/(D141+O168)*D141</f>
        <v>12763513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236.52999999999997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11381578.024988148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6205163.6679621311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6205163.6679621311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6205163.6679621311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5533316.295280681</v>
      </c>
      <c r="E177" s="107">
        <f>E144+E145+E150+E151+E162+E163+E156+E157+E168</f>
        <v>671847.37268144998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5533316.295280681</v>
      </c>
      <c r="E180" s="101">
        <f>E141</f>
        <v>671847.37268144998</v>
      </c>
      <c r="F180" s="101"/>
      <c r="G180" s="101">
        <f>G141</f>
        <v>0</v>
      </c>
      <c r="H180" s="101">
        <f>H141</f>
        <v>0</v>
      </c>
      <c r="I180" s="101">
        <f>I141</f>
        <v>6205163.6699999999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70" workbookViewId="0">
      <selection activeCell="I30" sqref="I30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16227.64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180.81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166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16827.04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42.93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117.95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37213434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4508000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82500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0.98778356040000004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1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1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2.7E-2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2.6100000000000002E-2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16227.64</v>
      </c>
      <c r="F57" s="190"/>
      <c r="G57" s="191">
        <f>D169</f>
        <v>581.93449744624786</v>
      </c>
      <c r="H57" s="190">
        <f>IF(AND(E141&lt;0,E59&gt;0),D159+D165,IF(AND(E141&gt;0,E59&gt;0),D158+D164,IF(AND(E141&gt;0,E59=0),D146+D152,D147+D153)))</f>
        <v>17.465502553753574</v>
      </c>
      <c r="I57" s="191">
        <f>D172</f>
        <v>0</v>
      </c>
      <c r="J57" s="190">
        <f>SUM(E57:I57)</f>
        <v>16827.04</v>
      </c>
      <c r="K57" s="190">
        <f>IF((+L57-J57)&gt;0,(L57-J57),0)</f>
        <v>0</v>
      </c>
      <c r="L57" s="192">
        <f>I15</f>
        <v>16827.04</v>
      </c>
      <c r="M57" s="102"/>
      <c r="N57" s="102"/>
      <c r="O57" s="102">
        <f>E57+H57+G57</f>
        <v>16827.04</v>
      </c>
      <c r="P57" s="108">
        <f>L57-E57</f>
        <v>599.40000000000146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180.81</v>
      </c>
      <c r="F58" s="190"/>
      <c r="G58" s="191">
        <f>E169</f>
        <v>-137.88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42.930000000000007</v>
      </c>
      <c r="K58" s="190">
        <f>IF((+L58-J58)&gt;0,(L58-J58),0)</f>
        <v>0</v>
      </c>
      <c r="L58" s="192">
        <f>I16</f>
        <v>42.93</v>
      </c>
      <c r="M58" s="102"/>
      <c r="N58" s="102"/>
      <c r="O58" s="102">
        <f>IF(E59=0,J58+J59,J58)</f>
        <v>42.930000000000007</v>
      </c>
      <c r="P58" s="108">
        <f>L58+L59-E58</f>
        <v>-19.930000000000007</v>
      </c>
      <c r="Q58" s="1">
        <f>L59*466-(P58)*487.11</f>
        <v>64672.80230000001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166</v>
      </c>
      <c r="F59" s="190"/>
      <c r="G59" s="191">
        <f>H169</f>
        <v>-48.05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117.95</v>
      </c>
      <c r="K59" s="190">
        <f>IF((+L59-J59)&gt;0,(L59-J59),0)</f>
        <v>0</v>
      </c>
      <c r="L59" s="192">
        <f>I17</f>
        <v>117.95</v>
      </c>
      <c r="M59" s="102"/>
      <c r="N59" s="102"/>
      <c r="O59" s="102">
        <f>IF(E59=0,L58+L59,L59)</f>
        <v>117.95</v>
      </c>
      <c r="P59" s="108">
        <f>L59-E59</f>
        <v>-48.05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16574.45</v>
      </c>
      <c r="F61" s="190"/>
      <c r="G61" s="190">
        <f>SUM(G57:G60)</f>
        <v>396.00449744624785</v>
      </c>
      <c r="H61" s="190">
        <f>SUM(H57:H60)</f>
        <v>17.465502553753574</v>
      </c>
      <c r="I61" s="190">
        <f>SUM(I57:I59)</f>
        <v>0</v>
      </c>
      <c r="J61" s="190">
        <f>SUM(J57:J60)</f>
        <v>16987.920000000002</v>
      </c>
      <c r="K61" s="190">
        <f>SUM(K57:K60)</f>
        <v>0</v>
      </c>
      <c r="L61" s="192">
        <f>SUM(L57:L60)</f>
        <v>16987.920000000002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57454.624500000005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7371802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-57454.624500000005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77163463.781911969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927446</v>
      </c>
      <c r="M66" s="163"/>
      <c r="N66" s="163"/>
      <c r="O66" s="152">
        <f>L66/487.11</f>
        <v>1903.9765145449692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4160515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77163463.781911969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75878870.980838642</v>
      </c>
      <c r="F69" s="202"/>
      <c r="G69" s="176"/>
      <c r="H69" s="174" t="s">
        <v>27</v>
      </c>
      <c r="I69" s="175"/>
      <c r="J69" s="175"/>
      <c r="K69" s="175"/>
      <c r="L69" s="203">
        <f>SUM(L65:L67)</f>
        <v>5087961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508392.89593533002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776199.90513800003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92698203.079643533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84535265.781911969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82499.999902640368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37213434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862259.71097550215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85397525.492887467</v>
      </c>
      <c r="G79" s="176" t="s">
        <v>29</v>
      </c>
      <c r="H79" s="175" t="s">
        <v>14</v>
      </c>
      <c r="I79" s="175"/>
      <c r="J79" s="175"/>
      <c r="K79" s="175"/>
      <c r="L79" s="213">
        <f>I23</f>
        <v>4508000</v>
      </c>
      <c r="M79" s="159"/>
      <c r="N79" s="159"/>
      <c r="O79" s="86">
        <f>SUM(O76:O78)</f>
        <v>82499.999902640368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35329076.080692537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14515251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2748824.1941449665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91565761.08069253</v>
      </c>
      <c r="M83" s="86"/>
      <c r="N83" s="86"/>
      <c r="O83" s="107">
        <f>G58*D58</f>
        <v>-391638.7593342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0.98778356040000004</v>
      </c>
      <c r="K84" s="175"/>
      <c r="L84" s="210">
        <f>+(1-J84)*L73</f>
        <v>1132441.9989509957</v>
      </c>
      <c r="M84" s="65"/>
      <c r="N84" s="65"/>
      <c r="O84" s="143">
        <f>G59*D59</f>
        <v>-226968.84805470001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82500</v>
      </c>
      <c r="G85" s="176"/>
      <c r="H85" s="174" t="s">
        <v>342</v>
      </c>
      <c r="I85" s="175"/>
      <c r="J85" s="175"/>
      <c r="K85" s="175"/>
      <c r="L85" s="213">
        <f>+L84+L83</f>
        <v>92698203.079643533</v>
      </c>
      <c r="M85" s="86"/>
      <c r="N85" s="86"/>
      <c r="O85" s="107">
        <f>SUM(O82:O84)</f>
        <v>2130216.5867560664</v>
      </c>
      <c r="P85" s="103">
        <f>I168+G174</f>
        <v>2130216.5867560664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82500</v>
      </c>
      <c r="G88" s="176" t="s">
        <v>28</v>
      </c>
      <c r="H88" s="175" t="s">
        <v>15</v>
      </c>
      <c r="I88" s="175"/>
      <c r="J88" s="175"/>
      <c r="K88" s="175"/>
      <c r="L88" s="210">
        <f>L80</f>
        <v>35329076.080692537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2.7E-2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2.6100000000000002E-2</v>
      </c>
      <c r="F92" s="175"/>
      <c r="G92" s="176"/>
      <c r="H92" s="174" t="s">
        <v>70</v>
      </c>
      <c r="I92" s="175"/>
      <c r="J92" s="175"/>
      <c r="K92" s="175"/>
      <c r="L92" s="210">
        <f>+L88-L91</f>
        <v>35329076.080692537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2034508.869296127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2130216.5867560664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2748824.1941449665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-391638.7593342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82500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-226968.84805470001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2130216.5867560664</v>
      </c>
      <c r="G99" s="176"/>
      <c r="H99" s="174" t="s">
        <v>16</v>
      </c>
      <c r="I99" s="175"/>
      <c r="J99" s="175"/>
      <c r="K99" s="175"/>
      <c r="L99" s="203">
        <f>SUM(L96:L98)</f>
        <v>82500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1</v>
      </c>
      <c r="I110" s="242">
        <f>H35</f>
        <v>1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3969432</v>
      </c>
      <c r="I113" s="247">
        <f>I107*I110</f>
        <v>3402370</v>
      </c>
      <c r="J113" s="242">
        <f>SUM(B113:I113)</f>
        <v>7371802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7371802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82500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2831324.194047607</v>
      </c>
      <c r="E141" s="101">
        <f>(L58-E58)*D58</f>
        <v>-391638.7593342</v>
      </c>
      <c r="F141" s="101">
        <f>ROUND(D141+E141,0)</f>
        <v>2439685</v>
      </c>
      <c r="G141" s="145">
        <f>IF(E59&gt;0,0,O168)</f>
        <v>0</v>
      </c>
      <c r="H141" s="101">
        <f>(L59-E59)*D59</f>
        <v>-226968.84805470001</v>
      </c>
      <c r="I141" s="101">
        <f>ROUND(D141+E141+H141,2)</f>
        <v>2212716.59</v>
      </c>
      <c r="J141" s="113">
        <f>I144+I145+I150+I151+I162+I163+I156+I157+I168</f>
        <v>2212716.5867560664</v>
      </c>
      <c r="K141" s="113"/>
      <c r="O141" s="146">
        <f>F141+G141</f>
        <v>2439685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160.88</v>
      </c>
      <c r="M145" s="81"/>
      <c r="N145" s="81"/>
      <c r="O145" s="104">
        <f>D138/(D141+O168)*D141</f>
        <v>82500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160.88</v>
      </c>
      <c r="M151" s="81"/>
      <c r="N151" s="81"/>
      <c r="O151" s="104">
        <f>D138/(D141+O168)*D141</f>
        <v>82500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-19.930000000000007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105564.46635080708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82499.999902640368</v>
      </c>
      <c r="E157" s="112">
        <f>IF(OR(D138=0,I141&lt;=0,E141=0,E59=0),0,IF(AND(E141&lt;0,I141&gt;0,E59&gt;0),0,0))</f>
        <v>0</v>
      </c>
      <c r="F157" s="112">
        <f>D157+E157</f>
        <v>82499.999902640368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82500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17.465502553753574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117.95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IF(I141&lt;=0,0,IF(AND(E59=0,I141&gt;0),D141-D144-D145-D150-D151,IF(AND(E59&gt;0,I141&gt;0),D141-D156-D157-D162-D163,0)))</f>
        <v>2748824.1941449665</v>
      </c>
      <c r="E168" s="134">
        <f>IF(I141&lt;0,0,IF(AND(E59=0,I141&gt;=0),E141-E144-E145-E150-E151,IF(AND(E59&gt;0,I141&gt;=0),E141-E156-E157-E162-E163,0)))</f>
        <v>-391638.7593342</v>
      </c>
      <c r="F168" s="134"/>
      <c r="G168" s="134"/>
      <c r="H168" s="134">
        <f>IF(I141&lt;0,0,IF(AND(E59=0,I141&gt;=0),H141-H144-H145-H150-H151,IF(AND(E59&gt;0,I141&gt;=0),H141-H156-H157-H162-H163,0)))</f>
        <v>-226968.84805470001</v>
      </c>
      <c r="I168" s="101">
        <f>IF(I141&gt;0,D168+E168+H168,0)</f>
        <v>2130216.5867560664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581.93449744624786</v>
      </c>
      <c r="E169" s="8">
        <f>IF(E168=0,0,IF(I141&lt;0,0,L58-H58-E58))</f>
        <v>-137.88</v>
      </c>
      <c r="F169" s="8"/>
      <c r="G169" s="8"/>
      <c r="H169" s="8">
        <f>IF(AND(E59=0,H141-I145=0),0,IF(I141&lt;0,0,IF(E59=0,(H168)/D59,IF(E59&gt;0,(H141-H156-H157-H162-H163)/D59,0))))</f>
        <v>-48.05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2212716.5867560664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-137.88</v>
      </c>
      <c r="F171" s="101"/>
      <c r="G171" s="101"/>
      <c r="H171" s="101"/>
      <c r="I171" s="136" t="s">
        <v>283</v>
      </c>
      <c r="J171" s="103">
        <f>I144+I145+I168</f>
        <v>2130216.5867560664</v>
      </c>
      <c r="K171" s="103"/>
      <c r="L171" s="103">
        <f>L147+O167</f>
        <v>117.95</v>
      </c>
      <c r="M171" s="103"/>
      <c r="N171" s="103"/>
      <c r="O171" s="115">
        <f>O167*D58+L147*D59+O167*487.11</f>
        <v>392483.57477175002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57454.624500000005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2187671.2112560663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323767.77251000004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57454.624500000005</v>
      </c>
      <c r="O175" s="103">
        <f>O173+O174</f>
        <v>323767.77251000004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2831324.194047607</v>
      </c>
      <c r="E177" s="107">
        <f>E144+E145+E150+E151+E162+E163+E156+E157+E168</f>
        <v>-391638.7593342</v>
      </c>
      <c r="F177" s="107"/>
      <c r="G177" s="107"/>
      <c r="H177" s="107">
        <f>H144+H145+H156+H157+H168</f>
        <v>-226968.84805470001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-23405.6355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-23405.6355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2831324.194047607</v>
      </c>
      <c r="E180" s="101">
        <f>E141</f>
        <v>-391638.7593342</v>
      </c>
      <c r="F180" s="101"/>
      <c r="G180" s="101">
        <f>G141</f>
        <v>0</v>
      </c>
      <c r="H180" s="101">
        <f>H141</f>
        <v>-226968.84805470001</v>
      </c>
      <c r="I180" s="101">
        <f>I141</f>
        <v>2212716.59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workbookViewId="0">
      <selection activeCell="L24" sqref="L2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0.5" style="1" customWidth="1"/>
    <col min="7" max="7" width="10.83203125" style="7" customWidth="1"/>
    <col min="8" max="8" width="12.6640625" style="1" customWidth="1"/>
    <col min="9" max="11" width="10.6640625" style="1" customWidth="1"/>
    <col min="12" max="12" width="11" style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v>7505.33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18">
        <v>120.67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v>7514.24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v>111.76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46">
        <v>26935328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46">
        <v>1434446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0.98778355870000001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2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0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1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5.57E-2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5.3400000000000003E-2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7505.33</v>
      </c>
      <c r="F57" s="190"/>
      <c r="G57" s="191">
        <f>D169</f>
        <v>8.9099999999998545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7514.24</v>
      </c>
      <c r="K57" s="190">
        <f>IF((+L57-J57)&gt;0,(L57-J57),0)</f>
        <v>0</v>
      </c>
      <c r="L57" s="192">
        <f>I15</f>
        <v>7514.24</v>
      </c>
      <c r="M57" s="102"/>
      <c r="N57" s="102"/>
      <c r="O57" s="102">
        <f>E57+H57+G57</f>
        <v>7514.24</v>
      </c>
      <c r="P57" s="108">
        <f>L57-E57</f>
        <v>8.9099999999998545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120.67</v>
      </c>
      <c r="F58" s="190"/>
      <c r="G58" s="191">
        <f>E169</f>
        <v>-8.9099999999999966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111.76</v>
      </c>
      <c r="K58" s="190">
        <f>IF((+L58-J58)&gt;0,(L58-J58),0)</f>
        <v>0</v>
      </c>
      <c r="L58" s="192">
        <f>I16</f>
        <v>111.76</v>
      </c>
      <c r="M58" s="102"/>
      <c r="N58" s="102"/>
      <c r="O58" s="102">
        <f>IF(E59=0,J58+J59,J58)</f>
        <v>111.76</v>
      </c>
      <c r="P58" s="108">
        <f>L58+L59-E58</f>
        <v>-8.9099999999999966</v>
      </c>
      <c r="Q58" s="1">
        <f>L59*466-(P58)*487.11</f>
        <v>4340.150099999998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111.76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7626</v>
      </c>
      <c r="F61" s="190"/>
      <c r="G61" s="190">
        <f>SUM(G57:G60)</f>
        <v>-1.4210854715202004E-13</v>
      </c>
      <c r="H61" s="190">
        <f>SUM(H57:H60)</f>
        <v>0</v>
      </c>
      <c r="I61" s="190">
        <f>SUM(I57:I59)</f>
        <v>0</v>
      </c>
      <c r="J61" s="190">
        <f>SUM(J57:J60)</f>
        <v>7626</v>
      </c>
      <c r="K61" s="190">
        <f>SUM(K57:K60)</f>
        <v>0</v>
      </c>
      <c r="L61" s="192">
        <f>SUM(L57:L60)</f>
        <v>7626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8505925</v>
      </c>
      <c r="G65" s="176" t="s">
        <v>28</v>
      </c>
      <c r="H65" s="175" t="s">
        <v>336</v>
      </c>
      <c r="I65" s="175"/>
      <c r="J65" s="175"/>
      <c r="K65" s="175"/>
      <c r="L65" s="205">
        <v>0</v>
      </c>
      <c r="M65" s="66"/>
      <c r="N65" s="66"/>
      <c r="O65" s="154"/>
      <c r="P65" s="140">
        <f>L71-P64</f>
        <v>0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35433489.383190885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414322</v>
      </c>
      <c r="M66" s="163"/>
      <c r="N66" s="163"/>
      <c r="O66" s="152">
        <f>L66/487.11</f>
        <v>850.57173944283625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2108716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35433489.383190885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35094195.258128576</v>
      </c>
      <c r="F69" s="202"/>
      <c r="G69" s="176"/>
      <c r="H69" s="174" t="s">
        <v>27</v>
      </c>
      <c r="I69" s="175"/>
      <c r="J69" s="175"/>
      <c r="K69" s="175"/>
      <c r="L69" s="203">
        <f>SUM(L65:L67)</f>
        <v>2523038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339294.12506231002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+I57*4675.903026+I58*C58+I59*C59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46927413.412624426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43939414.383190885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26935328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448182.02670854708</v>
      </c>
      <c r="F78" s="212"/>
      <c r="G78" s="176" t="s">
        <v>326</v>
      </c>
      <c r="H78" s="175" t="s">
        <v>339</v>
      </c>
      <c r="I78" s="175"/>
      <c r="J78" s="175"/>
      <c r="K78" s="175"/>
      <c r="L78" s="261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44387596.409899436</v>
      </c>
      <c r="G79" s="176" t="s">
        <v>29</v>
      </c>
      <c r="H79" s="175" t="s">
        <v>14</v>
      </c>
      <c r="I79" s="175"/>
      <c r="J79" s="175"/>
      <c r="K79" s="175"/>
      <c r="L79" s="213">
        <f>I23</f>
        <v>1434446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10496652.421308268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7487701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42087.251533139315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46354127.421308264</v>
      </c>
      <c r="M83" s="86"/>
      <c r="N83" s="86"/>
      <c r="O83" s="107">
        <f>G58*D58</f>
        <v>-25308.248808149991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0.98778355870000001</v>
      </c>
      <c r="K84" s="175"/>
      <c r="L84" s="210">
        <f>+(1-J84)*L73</f>
        <v>573285.99131615856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46927413.412624426</v>
      </c>
      <c r="M85" s="86"/>
      <c r="N85" s="86"/>
      <c r="O85" s="107">
        <f>SUM(O82:O84)</f>
        <v>16779.002724989325</v>
      </c>
      <c r="P85" s="103">
        <f>I168+G174</f>
        <v>16779.002724989325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10496652.421308268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5.57E-2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5.3400000000000003E-2</v>
      </c>
      <c r="F92" s="175"/>
      <c r="G92" s="176"/>
      <c r="H92" s="174" t="s">
        <v>70</v>
      </c>
      <c r="I92" s="175"/>
      <c r="J92" s="175"/>
      <c r="K92" s="175"/>
      <c r="L92" s="210">
        <f>+L88-L91</f>
        <v>10496652.421308268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1911448.2529311921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16779.002724989325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42087.251533139315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-25308.248808149991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16779.002724989325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0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2</v>
      </c>
      <c r="J110" s="244">
        <f>SUM(G110:I110)</f>
        <v>2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0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6804740</v>
      </c>
      <c r="J113" s="242">
        <f>SUM(B113:I113)</f>
        <v>6804740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1</v>
      </c>
      <c r="E124" s="252">
        <f>J39</f>
        <v>0</v>
      </c>
      <c r="F124" s="252">
        <f>J40</f>
        <v>0</v>
      </c>
      <c r="G124" s="244"/>
      <c r="H124" s="183">
        <f>SUM(B124:F124)</f>
        <v>1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567062</v>
      </c>
      <c r="E127" s="238">
        <f>E121*E124</f>
        <v>0</v>
      </c>
      <c r="F127" s="238">
        <f>F121*F124</f>
        <v>0</v>
      </c>
      <c r="G127" s="169"/>
      <c r="H127" s="253">
        <f>SUM(B127:F127)</f>
        <v>567062</v>
      </c>
      <c r="I127" s="169"/>
      <c r="J127" s="251">
        <f>H118+H127</f>
        <v>1701185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2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8505925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42087.251533139315</v>
      </c>
      <c r="E141" s="101">
        <f>(L58-E58)*D58</f>
        <v>-25308.248808149991</v>
      </c>
      <c r="F141" s="101">
        <f>ROUND(D141+E141,0)</f>
        <v>16779</v>
      </c>
      <c r="G141" s="145">
        <f>IF(E59&gt;0,0,O168)</f>
        <v>0</v>
      </c>
      <c r="H141" s="101">
        <f>(L59-E59)*D59</f>
        <v>0</v>
      </c>
      <c r="I141" s="101">
        <f>ROUND(D141+E141+H141,2)</f>
        <v>16779</v>
      </c>
      <c r="J141" s="113">
        <f>I144+I145+I150+I151+I162+I163+I156+I157+I168</f>
        <v>16779.002724989325</v>
      </c>
      <c r="K141" s="113"/>
      <c r="O141" s="146">
        <f>F141+G141</f>
        <v>16779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111.76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111.76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-8.9099999999999966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42087.251533139315</v>
      </c>
      <c r="E168" s="134">
        <f>IF(I141&lt;0,0,IF(AND(E59=0,I141&gt;=0),E141-E144-E145-E150-E151,IF(AND(E59&gt;0,I141&gt;=0),E141-E156-E157-E162-E163,0)))</f>
        <v>-25308.248808149991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16779.002724989325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8.9099999999998545</v>
      </c>
      <c r="E169" s="8">
        <f>IF(E168=0,0,IF(I141&lt;0,0,L58-H58-E58))</f>
        <v>-8.9099999999999966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16779.002724989325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-8.9099999999999966</v>
      </c>
      <c r="F171" s="101"/>
      <c r="G171" s="101"/>
      <c r="H171" s="101"/>
      <c r="I171" s="136" t="s">
        <v>283</v>
      </c>
      <c r="J171" s="103">
        <f>I144+I145+I168</f>
        <v>16779.002724989325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16779.002724989325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42087.251533139315</v>
      </c>
      <c r="E177" s="107">
        <f>E144+E145+E150+E151+E162+E163+E156+E157+E168</f>
        <v>-25308.248808149991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42087.251533139315</v>
      </c>
      <c r="E180" s="101">
        <f>E141</f>
        <v>-25308.248808149991</v>
      </c>
      <c r="F180" s="101"/>
      <c r="G180" s="101">
        <f>G141</f>
        <v>0</v>
      </c>
      <c r="H180" s="101">
        <f>H141</f>
        <v>0</v>
      </c>
      <c r="I180" s="101">
        <f>I141</f>
        <v>16779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workbookViewId="0">
      <selection activeCell="I44" sqref="I44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12.5" style="1" bestFit="1" customWidth="1"/>
    <col min="7" max="7" width="10.83203125" style="7" customWidth="1"/>
    <col min="8" max="8" width="12.6640625" style="1" customWidth="1"/>
    <col min="9" max="9" width="11.33203125" style="1" customWidth="1"/>
    <col min="10" max="11" width="10.6640625" style="1" customWidth="1"/>
    <col min="12" max="12" width="14.1640625" style="1" bestFit="1" customWidth="1"/>
    <col min="13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262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262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262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262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262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262"/>
      <c r="H10" s="23"/>
      <c r="I10" s="109">
        <f>+Yuba!I10+Yosemite!I10+'West Valley'!I10+'West Kern'!I10+'West Hills'!I10+'Victor Valley'!I10+Ventura!I10+'State Ctr'!I10+Southwestern!I10+'So Orange'!I10+Sonoma!I10+Solano!I10+Siskiyou!I10+Sierra!I10+Shasta!I10+Sequoias!I10+'Santa Monica'!I10+'Santa Clarita'!I10+'Santa Barbara'!I10+'San Mateo'!I10+SLO!I10+SJE!I10+'San Joaquin Delta'!I10+'San Francisco'!I10+'San Diego'!I10+'San Bernadino'!I10+Riverside!I10+'Rio Hondo'!I10+Redwoods!I10+'Rancho Santiago'!I10+Peralta!I10+Pasadena!I10+Palomar!I10+'Palo Verde'!I10+Ohlone!I10+'No Orange'!I10+Napa!I10+'Mt San Jacinto'!I10+'Mt SAC'!I10+Monterey!I10+Miracosta!I10+Merced!I10+Mendocino!I10+Marin!I10+'Los Rios'!I10+'Los Angeles'!I10+'Long Beach'!I10+Lassen!I10+'Lake Tahoe'!I10+Kern!I10+Imperial!I10+Hartnell!I10+Grossmont!I10+Glendale!I10+Gavilan!I10+Foothill!I10+Feather!I10+'El Camino'!I10+Desert!I10+'Copper Mtn'!I10+'Contra Costa'!I10+Compton!I10+Coast!I10+Citrus!I10+Chaffey!I10+Chabot!I10+Cerritos!I10+Cabrillo!I10+Butte!I10+Barstow!I10+Antelope!I10+'Allan Hancock'!I10</f>
        <v>1066858.064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262"/>
      <c r="H11" s="23"/>
      <c r="I11" s="109">
        <f>+Yuba!I11+Yosemite!I11+'West Valley'!I11+'West Kern'!I11+'West Hills'!I11+'Victor Valley'!I11+Ventura!I11+'State Ctr'!I11+Southwestern!I11+'So Orange'!I11+Sonoma!I11+Solano!I11+Siskiyou!I11+Sierra!I11+Shasta!I11+Sequoias!I11+'Santa Monica'!I11+'Santa Clarita'!I11+'Santa Barbara'!I11+'San Mateo'!I11+SLO!I11+SJE!I11+'San Joaquin Delta'!I11+'San Francisco'!I11+'San Diego'!I11+'San Bernadino'!I11+Riverside!I11+'Rio Hondo'!I11+Redwoods!I11+'Rancho Santiago'!I11+Peralta!I11+Pasadena!I11+Palomar!I11+'Palo Verde'!I11+Ohlone!I11+'No Orange'!I11+Napa!I11+'Mt San Jacinto'!I11+'Mt SAC'!I11+Monterey!I11+Miracosta!I11+Merced!I11+Mendocino!I11+Marin!I11+'Los Rios'!I11+'Los Angeles'!I11+'Long Beach'!I11+Lassen!I11+'Lake Tahoe'!I11+Kern!I11+Imperial!I11+Hartnell!I11+Grossmont!I11+Glendale!I11+Gavilan!I11+Foothill!I11+Feather!I11+'El Camino'!I11+Desert!I11+'Copper Mtn'!I11+'Contra Costa'!I11+Compton!I11+Coast!I11+Citrus!I11+Chaffey!I11+Chabot!I11+Cerritos!I11+Cabrillo!I11+Butte!I11+Barstow!I11+Antelope!I11+'Allan Hancock'!I11</f>
        <v>29900.222999999991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262"/>
      <c r="H12" s="23"/>
      <c r="I12" s="109">
        <f>+Yuba!I12+Yosemite!I12+'West Valley'!I12+'West Kern'!I12+'West Hills'!I12+'Victor Valley'!I12+Ventura!I12+'State Ctr'!I12+Southwestern!I12+'So Orange'!I12+Sonoma!I12+Solano!I12+Siskiyou!I12+Sierra!I12+Shasta!I12+Sequoias!I12+'Santa Monica'!I12+'Santa Clarita'!I12+'Santa Barbara'!I12+'San Mateo'!I12+SLO!I12+SJE!I12+'San Joaquin Delta'!I12+'San Francisco'!I12+'San Diego'!I12+'San Bernadino'!I12+Riverside!I12+'Rio Hondo'!I12+Redwoods!I12+'Rancho Santiago'!I12+Peralta!I12+Pasadena!I12+Palomar!I12+'Palo Verde'!I12+Ohlone!I12+'No Orange'!I12+Napa!I12+'Mt San Jacinto'!I12+'Mt SAC'!I12+Monterey!I12+Miracosta!I12+Merced!I12+Mendocino!I12+Marin!I12+'Los Rios'!I12+'Los Angeles'!I12+'Long Beach'!I12+Lassen!I12+'Lake Tahoe'!I12+Kern!I12+Imperial!I12+Hartnell!I12+Grossmont!I12+Glendale!I12+Gavilan!I12+Foothill!I12+Feather!I12+'El Camino'!I12+Desert!I12+'Copper Mtn'!I12+'Contra Costa'!I12+Compton!I12+Coast!I12+Citrus!I12+Chaffey!I12+Chabot!I12+Cerritos!I12+Cabrillo!I12+Butte!I12+Barstow!I12+Antelope!I12+'Allan Hancock'!I12</f>
        <v>38673.795000000006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262"/>
      <c r="H13" s="23"/>
      <c r="I13" s="262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262"/>
      <c r="H15" s="23"/>
      <c r="I15" s="109">
        <f>+Yuba!I15+Yosemite!I15+'West Valley'!I15+'West Kern'!I15+'West Hills'!I15+'Victor Valley'!I15+Ventura!I15+'State Ctr'!I15+Southwestern!I15+'So Orange'!I15+Sonoma!I15+Solano!I15+Siskiyou!I15+Sierra!I15+Shasta!I15+Sequoias!I15+'Santa Monica'!I15+'Santa Clarita'!I15+'Santa Barbara'!I15+'San Mateo'!I15+SLO!I15+SJE!I15+'San Joaquin Delta'!I15+'San Francisco'!I15+'San Diego'!I15+'San Bernadino'!I15+Riverside!I15+'Rio Hondo'!I15+Redwoods!I15+'Rancho Santiago'!I15+Peralta!I15+Pasadena!I15+Palomar!I15+'Palo Verde'!I15+Ohlone!I15+'No Orange'!I15+Napa!I15+'Mt San Jacinto'!I15+'Mt SAC'!I15+Monterey!I15+Miracosta!I15+Merced!I15+Mendocino!I15+Marin!I15+'Los Rios'!I15+'Los Angeles'!I15+'Long Beach'!I15+Lassen!I15+'Lake Tahoe'!I15+Kern!I15+Imperial!I15+Hartnell!I15+Grossmont!I15+Glendale!I15+Gavilan!I15+Foothill!I15+Feather!I15+'El Camino'!I15+Desert!I15+'Copper Mtn'!I15+'Contra Costa'!I15+Compton!I15+Coast!I15+Citrus!I15+Chaffey!I15+Chabot!I15+Cerritos!I15+Cabrillo!I15+Butte!I15+Barstow!I15+Antelope!I15+'Allan Hancock'!I15</f>
        <v>1087037.9100000004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262"/>
      <c r="H16" s="23"/>
      <c r="I16" s="109">
        <f>+Yuba!I16+Yosemite!I16+'West Valley'!I16+'West Kern'!I16+'West Hills'!I16+'Victor Valley'!I16+Ventura!I16+'State Ctr'!I16+Southwestern!I16+'So Orange'!I16+Sonoma!I16+Solano!I16+Siskiyou!I16+Sierra!I16+Shasta!I16+Sequoias!I16+'Santa Monica'!I16+'Santa Clarita'!I16+'Santa Barbara'!I16+'San Mateo'!I16+SLO!I16+SJE!I16+'San Joaquin Delta'!I16+'San Francisco'!I16+'San Diego'!I16+'San Bernadino'!I16+Riverside!I16+'Rio Hondo'!I16+Redwoods!I16+'Rancho Santiago'!I16+Peralta!I16+Pasadena!I16+Palomar!I16+'Palo Verde'!I16+Ohlone!I16+'No Orange'!I16+Napa!I16+'Mt San Jacinto'!I16+'Mt SAC'!I16+Monterey!I16+Miracosta!I16+Merced!I16+Mendocino!I16+Marin!I16+'Los Rios'!I16+'Los Angeles'!I16+'Long Beach'!I16+Lassen!I16+'Lake Tahoe'!I16+Kern!I16+Imperial!I16+Hartnell!I16+Grossmont!I16+Glendale!I16+Gavilan!I16+Foothill!I16+Feather!I16+'El Camino'!I16+Desert!I16+'Copper Mtn'!I16+'Contra Costa'!I16+Compton!I16+Coast!I16+Citrus!I16+Chaffey!I16+Chabot!I16+Cerritos!I16+Cabrillo!I16+Butte!I16+Barstow!I16+Antelope!I16+'Allan Hancock'!I16</f>
        <v>29263.740000000009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f>+Yuba!I17+Yosemite!I17+'West Valley'!I17+'West Kern'!I17+'West Hills'!I17+'Victor Valley'!I17+Ventura!I17+'State Ctr'!I17+Southwestern!I17+'So Orange'!I17+Sonoma!I17+Solano!I17+Siskiyou!I17+Sierra!I17+Shasta!I17+Sequoias!I17+'Santa Monica'!I17+'Santa Clarita'!I17+'Santa Barbara'!I17+'San Mateo'!I17+SLO!I17+SJE!I17+'San Joaquin Delta'!I17+'San Francisco'!I17+'San Diego'!I17+'San Bernadino'!I17+Riverside!I17+'Rio Hondo'!I17+Redwoods!I17+'Rancho Santiago'!I17+Peralta!I17+Pasadena!I17+Palomar!I17+'Palo Verde'!I17+Ohlone!I17+'No Orange'!I17+Napa!I17+'Mt San Jacinto'!I17+'Mt SAC'!I17+Monterey!I17+Miracosta!I17+Merced!I17+Mendocino!I17+Marin!I17+'Los Rios'!I17+'Los Angeles'!I17+'Long Beach'!I17+Lassen!I17+'Lake Tahoe'!I17+Kern!I17+Imperial!I17+Hartnell!I17+Grossmont!I17+Glendale!I17+Gavilan!I17+Foothill!I17+Feather!I17+'El Camino'!I17+Desert!I17+'Copper Mtn'!I17+'Contra Costa'!I17+Compton!I17+Coast!I17+Citrus!I17+Chaffey!I17+Chabot!I17+Cerritos!I17+Cabrillo!I17+Butte!I17+Barstow!I17+Antelope!I17+'Allan Hancock'!I17</f>
        <v>35722.769999999997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262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262"/>
      <c r="H20" s="23"/>
      <c r="I20" s="264">
        <f>+Yuba!I20+Yosemite!I20+'West Valley'!I20+'West Kern'!I20+'West Hills'!I20+'Victor Valley'!I20+Ventura!I20+'State Ctr'!I20+Southwestern!I20+'So Orange'!I20+Sonoma!I20+Solano!I20+Siskiyou!I20+Sierra!I20+Shasta!I20+Sequoias!I20+'Santa Monica'!I20+'Santa Clarita'!I20+'Santa Barbara'!I20+'San Mateo'!I20+SLO!I20+SJE!I20+'San Joaquin Delta'!I20+'San Francisco'!I20+'San Diego'!I20+'San Bernadino'!I20+Riverside!I20+'Rio Hondo'!I20+Redwoods!I20+'Rancho Santiago'!I20+Peralta!I20+Pasadena!I20+Palomar!I20+'Palo Verde'!I20+Ohlone!I20+'No Orange'!I20+Napa!I20+'Mt San Jacinto'!I20+'Mt SAC'!I20+Monterey!I20+Miracosta!I20+Merced!I20+Mendocino!I20+Marin!I20+'Los Rios'!I20+'Los Angeles'!I20+'Long Beach'!I20+Lassen!I20+'Lake Tahoe'!I20+Kern!I20+Imperial!I20+Hartnell!I20+Grossmont!I20+Glendale!I20+Gavilan!I20+Foothill!I20+Feather!I20+'El Camino'!I20+Desert!I20+'Copper Mtn'!I20+'Contra Costa'!I20+Compton!I20+Coast!I20+Citrus!I20+Chaffey!I20+Chabot!I20+Cerritos!I20+Cabrillo!I20+Butte!I20+Barstow!I20+Antelope!I20+'Allan Hancock'!I20</f>
        <v>2619839293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262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262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262"/>
      <c r="H23" s="23"/>
      <c r="I23" s="264">
        <f>+Yuba!I23+Yosemite!I23+'West Valley'!I23+'West Kern'!I23+'West Hills'!I23+'Victor Valley'!I23+Ventura!I23+'State Ctr'!I23+Southwestern!I23+'So Orange'!I23+Sonoma!I23+Solano!I23+Siskiyou!I23+Sierra!I23+Shasta!I23+Sequoias!I23+'Santa Monica'!I23+'Santa Clarita'!I23+'Santa Barbara'!I23+'San Mateo'!I23+SLO!I23+SJE!I23+'San Joaquin Delta'!I23+'San Francisco'!I23+'San Diego'!I23+'San Bernadino'!I23+Riverside!I23+'Rio Hondo'!I23+Redwoods!I23+'Rancho Santiago'!I23+Peralta!I23+Pasadena!I23+Palomar!I23+'Palo Verde'!I23+Ohlone!I23+'No Orange'!I23+Napa!I23+'Mt San Jacinto'!I23+'Mt SAC'!I23+Monterey!I23+Miracosta!I23+Merced!I23+Mendocino!I23+Marin!I23+'Los Rios'!I23+'Los Angeles'!I23+'Long Beach'!I23+Lassen!I23+'Lake Tahoe'!I23+Kern!I23+Imperial!I23+Hartnell!I23+Grossmont!I23+Glendale!I23+Gavilan!I23+Foothill!I23+Feather!I23+'El Camino'!I23+Desert!I23+'Copper Mtn'!I23+'Contra Costa'!I23+Compton!I23+Coast!I23+Citrus!I23+Chaffey!I23+Chabot!I23+Cerritos!I23+Cabrillo!I23+Butte!I23+Barstow!I23+Antelope!I23+'Allan Hancock'!I23</f>
        <v>416514974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262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262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262"/>
      <c r="I27" s="263">
        <f>+L99</f>
        <v>116323304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0.98778355870000001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265">
        <f>+Yuba!G35+Yosemite!G35+'West Valley'!G35+'West Kern'!G35+'West Hills'!G35+'Victor Valley'!G35+Ventura!G35+'State Ctr'!G35+Southwestern!G35+'So Orange'!G35+Sonoma!G35+Solano!G35+Siskiyou!G35+Sierra!G35+Shasta!G35+Sequoias!G35+'Santa Monica'!G35+'Santa Clarita'!G35+'Santa Barbara'!G35+'San Mateo'!G35+SLO!G35+SJE!G35+'San Joaquin Delta'!G35+'San Francisco'!G35+'San Diego'!G35+'San Bernadino'!G35+Riverside!G35+'Rio Hondo'!G35+Redwoods!G35+'Rancho Santiago'!G35+Peralta!G35+Pasadena!G35+Palomar!G35+'Palo Verde'!G35+Ohlone!G35+'No Orange'!G35+Napa!G35+'Mt San Jacinto'!G35+'Mt SAC'!G35+Monterey!G35+Miracosta!G35+Merced!G35+Mendocino!G35+Marin!G35+'Los Rios'!G35+'Los Angeles'!G35+'Long Beach'!G35+Lassen!G35+'Lake Tahoe'!G35+Kern!G35+Imperial!G35+Hartnell!G35+Grossmont!G35+Glendale!G35+Gavilan!G35+Foothill!G35+Feather!G35+'El Camino'!G35+Desert!G35+'Copper Mtn'!G35+'Contra Costa'!G35+Compton!G35+Coast!G35+Citrus!G35+Chaffey!G35+Chabot!G35+Cerritos!G35+Cabrillo!G35+Butte!G35+Barstow!G35+Antelope!G35+'Allan Hancock'!G35</f>
        <v>25</v>
      </c>
      <c r="H35" s="265">
        <f>+Yuba!H35+Yosemite!H35+'West Valley'!H35+'West Kern'!H35+'West Hills'!H35+'Victor Valley'!H35+Ventura!H35+'State Ctr'!H35+Southwestern!H35+'So Orange'!H35+Sonoma!H35+Solano!H35+Siskiyou!H35+Sierra!H35+Shasta!H35+Sequoias!H35+'Santa Monica'!H35+'Santa Clarita'!H35+'Santa Barbara'!H35+'San Mateo'!H35+SLO!H35+SJE!H35+'San Joaquin Delta'!H35+'San Francisco'!H35+'San Diego'!H35+'San Bernadino'!H35+Riverside!H35+'Rio Hondo'!H35+Redwoods!H35+'Rancho Santiago'!H35+Peralta!H35+Pasadena!H35+Palomar!H35+'Palo Verde'!H35+Ohlone!H35+'No Orange'!H35+Napa!H35+'Mt San Jacinto'!H35+'Mt SAC'!H35+Monterey!H35+Miracosta!H35+Merced!H35+Mendocino!H35+Marin!H35+'Los Rios'!H35+'Los Angeles'!H35+'Long Beach'!H35+Lassen!H35+'Lake Tahoe'!H35+Kern!H35+Imperial!H35+Hartnell!H35+Grossmont!H35+Glendale!H35+Gavilan!H35+Foothill!H35+Feather!H35+'El Camino'!H35+Desert!H35+'Copper Mtn'!H35+'Contra Costa'!H35+Compton!H35+Coast!H35+Citrus!H35+Chaffey!H35+Chabot!H35+Cerritos!H35+Cabrillo!H35+Butte!H35+Barstow!H35+Antelope!H35+'Allan Hancock'!H35</f>
        <v>34</v>
      </c>
      <c r="I35" s="50" t="s">
        <v>289</v>
      </c>
      <c r="J35" s="265">
        <f>1+Yuba!J35+Yosemite!J35+'West Valley'!J35+'West Kern'!J35+'West Hills'!J35+'Victor Valley'!J35+Ventura!J35+'State Ctr'!J35+Southwestern!J35+'So Orange'!J35+Sonoma!J35+Solano!J35+Siskiyou!J35+Sierra!J35+Shasta!J35+Sequoias!J35+'Santa Monica'!J35+'Santa Clarita'!J35+'Santa Barbara'!J35+'San Mateo'!J35+SLO!J35+SJE!J35+'San Joaquin Delta'!J35+'San Francisco'!J35+'San Diego'!J35+'San Bernadino'!J35+Riverside!J35+'Rio Hondo'!J35+Redwoods!J35+'Rancho Santiago'!J35+Peralta!J35+Pasadena!J35+Palomar!J35+'Palo Verde'!J35+Ohlone!J35+'No Orange'!J35+Napa!J35+'Mt San Jacinto'!J35+'Mt SAC'!J35+Monterey!J35+Miracosta!J35+Merced!J35+Mendocino!J35+Marin!J35+'Los Rios'!J35+'Los Angeles'!J35+'Long Beach'!J35+Lassen!J35+'Lake Tahoe'!J35+Kern!J35+Imperial!J35+Hartnell!J35+Grossmont!J35+Glendale!J35+Gavilan!J35+Foothill!J35+Feather!J35+'El Camino'!J35+Desert!J35+'Copper Mtn'!J35+'Contra Costa'!J35+Compton!J35+Coast!J35+Citrus!J35+Chaffey!J35+Chabot!J35+Cerritos!J35+Cabrillo!J35+Butte!J35+Barstow!J35+Antelope!J35+'Allan Hancock'!J35</f>
        <v>34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265">
        <f>+Yuba!G36+Yosemite!G36+'West Valley'!G36+'West Kern'!G36+'West Hills'!G36+'Victor Valley'!G36+Ventura!G36+'State Ctr'!G36+Southwestern!G36+'So Orange'!G36+Sonoma!G36+Solano!G36+Siskiyou!G36+Sierra!G36+Shasta!G36+Sequoias!G36+'Santa Monica'!G36+'Santa Clarita'!G36+'Santa Barbara'!G36+'San Mateo'!G36+SLO!G36+SJE!G36+'San Joaquin Delta'!G36+'San Francisco'!G36+'San Diego'!G36+'San Bernadino'!G36+Riverside!G36+'Rio Hondo'!G36+Redwoods!G36+'Rancho Santiago'!G36+Peralta!G36+Pasadena!G36+Palomar!G36+'Palo Verde'!G36+Ohlone!G36+'No Orange'!G36+Napa!G36+'Mt San Jacinto'!G36+'Mt SAC'!G36+Monterey!G36+Miracosta!G36+Merced!G36+Mendocino!G36+Marin!G36+'Los Rios'!G36+'Los Angeles'!G36+'Long Beach'!G36+Lassen!G36+'Lake Tahoe'!G36+Kern!G36+Imperial!G36+Hartnell!G36+Grossmont!G36+Glendale!G36+Gavilan!G36+Foothill!G36+Feather!G36+'El Camino'!G36+Desert!G36+'Copper Mtn'!G36+'Contra Costa'!G36+Compton!G36+Coast!G36+Citrus!G36+Chaffey!G36+Chabot!G36+Cerritos!G36+Cabrillo!G36+Butte!G36+Barstow!G36+Antelope!G36+'Allan Hancock'!G36</f>
        <v>20</v>
      </c>
      <c r="H36" s="265">
        <f>+Yuba!H36+Yosemite!H36+'West Valley'!H36+'West Kern'!H36+'West Hills'!H36+'Victor Valley'!H36+Ventura!H36+'State Ctr'!H36+Southwestern!H36+'So Orange'!H36+Sonoma!H36+Solano!H36+Siskiyou!H36+Sierra!H36+Shasta!H36+Sequoias!H36+'Santa Monica'!H36+'Santa Clarita'!H36+'Santa Barbara'!H36+'San Mateo'!H36+SLO!H36+SJE!H36+'San Joaquin Delta'!H36+'San Francisco'!H36+'San Diego'!H36+'San Bernadino'!H36+Riverside!H36+'Rio Hondo'!H36+Redwoods!H36+'Rancho Santiago'!H36+Peralta!H36+Pasadena!H36+Palomar!H36+'Palo Verde'!H36+Ohlone!H36+'No Orange'!H36+Napa!H36+'Mt San Jacinto'!H36+'Mt SAC'!H36+Monterey!H36+Miracosta!H36+Merced!H36+Mendocino!H36+Marin!H36+'Los Rios'!H36+'Los Angeles'!H36+'Long Beach'!H36+Lassen!H36+'Lake Tahoe'!H36+Kern!H36+Imperial!H36+Hartnell!H36+Grossmont!H36+Glendale!H36+Gavilan!H36+Foothill!H36+Feather!H36+'El Camino'!H36+Desert!H36+'Copper Mtn'!H36+'Contra Costa'!H36+Compton!H36+Coast!H36+Citrus!H36+Chaffey!H36+Chabot!H36+Cerritos!H36+Cabrillo!H36+Butte!H36+Barstow!H36+Antelope!H36+'Allan Hancock'!H36</f>
        <v>26</v>
      </c>
      <c r="I36" s="51" t="s">
        <v>99</v>
      </c>
      <c r="J36" s="265">
        <f>+Yuba!J36+Yosemite!J36+'West Valley'!J36+'West Kern'!J36+'West Hills'!J36+'Victor Valley'!J36+Ventura!J36+'State Ctr'!J36+Southwestern!J36+'So Orange'!J36+Sonoma!J36+Solano!J36+Siskiyou!J36+Sierra!J36+Shasta!J36+Sequoias!J36+'Santa Monica'!J36+'Santa Clarita'!J36+'Santa Barbara'!J36+'San Mateo'!J36+SLO!J36+SJE!J36+'San Joaquin Delta'!J36+'San Francisco'!J36+'San Diego'!J36+'San Bernadino'!J36+Riverside!J36+'Rio Hondo'!J36+Redwoods!J36+'Rancho Santiago'!J36+Peralta!J36+Pasadena!J36+Palomar!J36+'Palo Verde'!J36+Ohlone!J36+'No Orange'!J36+Napa!J36+'Mt San Jacinto'!J36+'Mt SAC'!J36+Monterey!J36+Miracosta!J36+Merced!J36+Mendocino!J36+Marin!J36+'Los Rios'!J36+'Los Angeles'!J36+'Long Beach'!J36+Lassen!J36+'Lake Tahoe'!J36+Kern!J36+Imperial!J36+Hartnell!J36+Grossmont!J36+Glendale!J36+Gavilan!J36+Foothill!J36+Feather!J36+'El Camino'!J36+Desert!J36+'Copper Mtn'!J36+'Contra Costa'!J36+Compton!J36+Coast!J36+Citrus!J36+Chaffey!J36+Chabot!J36+Cerritos!J36+Cabrillo!J36+Butte!J36+Barstow!J36+Antelope!J36+'Allan Hancock'!J36</f>
        <v>22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265">
        <f>+Yuba!G37+Yosemite!G37+'West Valley'!G37+'West Kern'!G37+'West Hills'!G37+'Victor Valley'!G37+Ventura!G37+'State Ctr'!G37+Southwestern!G37+'So Orange'!G37+Sonoma!G37+Solano!G37+Siskiyou!G37+Sierra!G37+Shasta!G37+Sequoias!G37+'Santa Monica'!G37+'Santa Clarita'!G37+'Santa Barbara'!G37+'San Mateo'!G37+SLO!G37+SJE!G37+'San Joaquin Delta'!G37+'San Francisco'!G37+'San Diego'!G37+'San Bernadino'!G37+Riverside!G37+'Rio Hondo'!G37+Redwoods!G37+'Rancho Santiago'!G37+Peralta!G37+Pasadena!G37+Palomar!G37+'Palo Verde'!G37+Ohlone!G37+'No Orange'!G37+Napa!G37+'Mt San Jacinto'!G37+'Mt SAC'!G37+Monterey!G37+Miracosta!G37+Merced!G37+Mendocino!G37+Marin!G37+'Los Rios'!G37+'Los Angeles'!G37+'Long Beach'!G37+Lassen!G37+'Lake Tahoe'!G37+Kern!G37+Imperial!G37+Hartnell!G37+Grossmont!G37+Glendale!G37+Gavilan!G37+Foothill!G37+Feather!G37+'El Camino'!G37+Desert!G37+'Copper Mtn'!G37+'Contra Costa'!G37+Compton!G37+Coast!G37+Citrus!G37+Chaffey!G37+Chabot!G37+Cerritos!G37+Cabrillo!G37+Butte!G37+Barstow!G37+Antelope!G37+'Allan Hancock'!G37</f>
        <v>7</v>
      </c>
      <c r="H37" s="265">
        <f>+Yuba!H37+Yosemite!H37+'West Valley'!H37+'West Kern'!H37+'West Hills'!H37+'Victor Valley'!H37+Ventura!H37+'State Ctr'!H37+Southwestern!H37+'So Orange'!H37+Sonoma!H37+Solano!H37+Siskiyou!H37+Sierra!H37+Shasta!H37+Sequoias!H37+'Santa Monica'!H37+'Santa Clarita'!H37+'Santa Barbara'!H37+'San Mateo'!H37+SLO!H37+SJE!H37+'San Joaquin Delta'!H37+'San Francisco'!H37+'San Diego'!H37+'San Bernadino'!H37+Riverside!H37+'Rio Hondo'!H37+Redwoods!H37+'Rancho Santiago'!H37+Peralta!H37+Pasadena!H37+Palomar!H37+'Palo Verde'!H37+Ohlone!H37+'No Orange'!H37+Napa!H37+'Mt San Jacinto'!H37+'Mt SAC'!H37+Monterey!H37+Miracosta!H37+Merced!H37+Mendocino!H37+Marin!H37+'Los Rios'!H37+'Los Angeles'!H37+'Long Beach'!H37+Lassen!H37+'Lake Tahoe'!H37+Kern!H37+Imperial!H37+Hartnell!H37+Grossmont!H37+Glendale!H37+Gavilan!H37+Foothill!H37+Feather!H37+'El Camino'!H37+Desert!H37+'Copper Mtn'!H37+'Contra Costa'!H37+Compton!H37+Coast!H37+Citrus!H37+Chaffey!H37+Chabot!H37+Cerritos!H37+Cabrillo!H37+Butte!H37+Barstow!H37+Antelope!H37+'Allan Hancock'!H37</f>
        <v>3</v>
      </c>
      <c r="I37" s="51" t="s">
        <v>111</v>
      </c>
      <c r="J37" s="265">
        <f>+Yuba!J37+Yosemite!J37+'West Valley'!J37+'West Kern'!J37+'West Hills'!J37+'Victor Valley'!J37+Ventura!J37+'State Ctr'!J37+Southwestern!J37+'So Orange'!J37+Sonoma!J37+Solano!J37+Siskiyou!J37+Sierra!J37+Shasta!J37+Sequoias!J37+'Santa Monica'!J37+'Santa Clarita'!J37+'Santa Barbara'!J37+'San Mateo'!J37+SLO!J37+SJE!J37+'San Joaquin Delta'!J37+'San Francisco'!J37+'San Diego'!J37+'San Bernadino'!J37+Riverside!J37+'Rio Hondo'!J37+Redwoods!J37+'Rancho Santiago'!J37+Peralta!J37+Pasadena!J37+Palomar!J37+'Palo Verde'!J37+Ohlone!J37+'No Orange'!J37+Napa!J37+'Mt San Jacinto'!J37+'Mt SAC'!J37+Monterey!J37+Miracosta!J37+Merced!J37+Mendocino!J37+Marin!J37+'Los Rios'!J37+'Los Angeles'!J37+'Long Beach'!J37+Lassen!J37+'Lake Tahoe'!J37+Kern!J37+Imperial!J37+Hartnell!J37+Grossmont!J37+Glendale!J37+Gavilan!J37+Foothill!J37+Feather!J37+'El Camino'!J37+Desert!J37+'Copper Mtn'!J37+'Contra Costa'!J37+Compton!J37+Coast!J37+Citrus!J37+Chaffey!J37+Chabot!J37+Cerritos!J37+Cabrillo!J37+Butte!J37+Barstow!J37+Antelope!J37+'Allan Hancock'!J37</f>
        <v>1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265">
        <f>+Yuba!G38+Yosemite!G38+'West Valley'!G38+'West Kern'!G38+'West Hills'!G38+'Victor Valley'!G38+Ventura!G38+'State Ctr'!G38+Southwestern!G38+'So Orange'!G38+Sonoma!G38+Solano!G38+Siskiyou!G38+Sierra!G38+Shasta!G38+Sequoias!G38+'Santa Monica'!G38+'Santa Clarita'!G38+'Santa Barbara'!G38+'San Mateo'!G38+SLO!G38+SJE!G38+'San Joaquin Delta'!G38+'San Francisco'!G38+'San Diego'!G38+'San Bernadino'!G38+Riverside!G38+'Rio Hondo'!G38+Redwoods!G38+'Rancho Santiago'!G38+Peralta!G38+Pasadena!G38+Palomar!G38+'Palo Verde'!G38+Ohlone!G38+'No Orange'!G38+Napa!G38+'Mt San Jacinto'!G38+'Mt SAC'!G38+Monterey!G38+Miracosta!G38+Merced!G38+Mendocino!G38+Marin!G38+'Los Rios'!G38+'Los Angeles'!G38+'Long Beach'!G38+Lassen!G38+'Lake Tahoe'!G38+Kern!G38+Imperial!G38+Hartnell!G38+Grossmont!G38+Glendale!G38+Gavilan!G38+Foothill!G38+Feather!G38+'El Camino'!G38+Desert!G38+'Copper Mtn'!G38+'Contra Costa'!G38+Compton!G38+Coast!G38+Citrus!G38+Chaffey!G38+Chabot!G38+Cerritos!G38+Cabrillo!G38+Butte!G38+Barstow!G38+Antelope!G38+'Allan Hancock'!G38</f>
        <v>11</v>
      </c>
      <c r="H38" s="55"/>
      <c r="I38" s="51" t="s">
        <v>110</v>
      </c>
      <c r="J38" s="265">
        <f>+Yuba!J38+Yosemite!J38+'West Valley'!J38+'West Kern'!J38+'West Hills'!J38+'Victor Valley'!J38+Ventura!J38+'State Ctr'!J38+Southwestern!J38+'So Orange'!J38+Sonoma!J38+Solano!J38+Siskiyou!J38+Sierra!J38+Shasta!J38+Sequoias!J38+'Santa Monica'!J38+'Santa Clarita'!J38+'Santa Barbara'!J38+'San Mateo'!J38+SLO!J38+SJE!J38+'San Joaquin Delta'!J38+'San Francisco'!J38+'San Diego'!J38+'San Bernadino'!J38+Riverside!J38+'Rio Hondo'!J38+Redwoods!J38+'Rancho Santiago'!J38+Peralta!J38+Pasadena!J38+Palomar!J38+'Palo Verde'!J38+Ohlone!J38+'No Orange'!J38+Napa!J38+'Mt San Jacinto'!J38+'Mt SAC'!J38+Monterey!J38+Miracosta!J38+Merced!J38+Mendocino!J38+Marin!J38+'Los Rios'!J38+'Los Angeles'!J38+'Long Beach'!J38+Lassen!J38+'Lake Tahoe'!J38+Kern!J38+Imperial!J38+Hartnell!J38+Grossmont!J38+Glendale!J38+Gavilan!J38+Foothill!J38+Feather!J38+'El Camino'!J38+Desert!J38+'Copper Mtn'!J38+'Contra Costa'!J38+Compton!J38+Coast!J38+Citrus!J38+Chaffey!J38+Chabot!J38+Cerritos!J38+Cabrillo!J38+Butte!J38+Barstow!J38+Antelope!J38+'Allan Hancock'!J38</f>
        <v>3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265">
        <f>+Yuba!J39+Yosemite!J39+'West Valley'!J39+'West Kern'!J39+'West Hills'!J39+'Victor Valley'!J39+Ventura!J39+'State Ctr'!J39+Southwestern!J39+'So Orange'!J39+Sonoma!J39+Solano!J39+Siskiyou!J39+Sierra!J39+Shasta!J39+Sequoias!J39+'Santa Monica'!J39+'Santa Clarita'!J39+'Santa Barbara'!J39+'San Mateo'!J39+SLO!J39+SJE!J39+'San Joaquin Delta'!J39+'San Francisco'!J39+'San Diego'!J39+'San Bernadino'!J39+Riverside!J39+'Rio Hondo'!J39+Redwoods!J39+'Rancho Santiago'!J39+Peralta!J39+Pasadena!J39+Palomar!J39+'Palo Verde'!J39+Ohlone!J39+'No Orange'!J39+Napa!J39+'Mt San Jacinto'!J39+'Mt SAC'!J39+Monterey!J39+Miracosta!J39+Merced!J39+Mendocino!J39+Marin!J39+'Los Rios'!J39+'Los Angeles'!J39+'Long Beach'!J39+Lassen!J39+'Lake Tahoe'!J39+Kern!J39+Imperial!J39+Hartnell!J39+Grossmont!J39+Glendale!J39+Gavilan!J39+Foothill!J39+Feather!J39+'El Camino'!J39+Desert!J39+'Copper Mtn'!J39+'Contra Costa'!J39+Compton!J39+Coast!J39+Citrus!J39+Chaffey!J39+Chabot!J39+Cerritos!J39+Cabrillo!J39+Butte!J39+Barstow!J39+Antelope!J39+'Allan Hancock'!J39</f>
        <v>9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265">
        <f>+Yuba!J40+Yosemite!J40+'West Valley'!J40+'West Kern'!J40+'West Hills'!J40+'Victor Valley'!J40+Ventura!J40+'State Ctr'!J40+Southwestern!J40+'So Orange'!J40+Sonoma!J40+Solano!J40+Siskiyou!J40+Sierra!J40+Shasta!J40+Sequoias!J40+'Santa Monica'!J40+'Santa Clarita'!J40+'Santa Barbara'!J40+'San Mateo'!J40+SLO!J40+SJE!J40+'San Joaquin Delta'!J40+'San Francisco'!J40+'San Diego'!J40+'San Bernadino'!J40+Riverside!J40+'Rio Hondo'!J40+Redwoods!J40+'Rancho Santiago'!J40+Peralta!J40+Pasadena!J40+Palomar!J40+'Palo Verde'!J40+Ohlone!J40+'No Orange'!J40+Napa!J40+'Mt San Jacinto'!J40+'Mt SAC'!J40+Monterey!J40+Miracosta!J40+Merced!J40+Mendocino!J40+Marin!J40+'Los Rios'!J40+'Los Angeles'!J40+'Long Beach'!J40+Lassen!J40+'Lake Tahoe'!J40+Kern!J40+Imperial!J40+Hartnell!J40+Grossmont!J40+Glendale!J40+Gavilan!J40+Foothill!J40+Feather!J40+'El Camino'!J40+Desert!J40+'Copper Mtn'!J40+'Contra Costa'!J40+Compton!J40+Coast!J40+Citrus!J40+Chaffey!J40+Chabot!J40+Cerritos!J40+Cabrillo!J40+Butte!J40+Barstow!J40+Antelope!J40+'Allan Hancock'!J40</f>
        <v>2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0.02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0.02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256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262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1066858.064</v>
      </c>
      <c r="F57" s="190"/>
      <c r="G57" s="267">
        <f>+Yuba!G57+Yosemite!G57+'West Valley'!G57+'West Kern'!G57+'West Hills'!G57+'Victor Valley'!G57+Ventura!G57+'State Ctr'!G57+Southwestern!G57+'So Orange'!G57+Sonoma!G57+Solano!G57+Siskiyou!G57+Sierra!G57+Shasta!G57+Sequoias!G57+'Santa Monica'!G57+'Santa Clarita'!G57+'Santa Barbara'!G57+'San Mateo'!G57+SLO!G57+SJE!G57+'San Joaquin Delta'!G57+'San Francisco'!G57+'San Diego'!G57+'San Bernadino'!G57+Riverside!G57+'Rio Hondo'!G57+Redwoods!G57+'Rancho Santiago'!G57+Peralta!G57+Pasadena!G57+Palomar!G57+'Palo Verde'!G57+Ohlone!G57+'No Orange'!G57+Napa!G57+'Mt San Jacinto'!G57+'Mt SAC'!G57+Monterey!G57+Miracosta!G57+Merced!G57+Mendocino!G57+Marin!G57+'Los Rios'!G57+'Los Angeles'!G57+'Long Beach'!G57+Lassen!G57+'Lake Tahoe'!G57+Kern!G57+Imperial!G57+Hartnell!G57+Grossmont!G57+Glendale!G57+Gavilan!G57+Foothill!G57+Feather!G57+'El Camino'!G57+Desert!G57+'Copper Mtn'!G57+'Contra Costa'!G57+Compton!G57+Coast!G57+Citrus!G57+Chaffey!G57+Chabot!G57+Cerritos!G57+Cabrillo!G57+Butte!G57+Barstow!G57+Antelope!G57+'Allan Hancock'!G57</f>
        <v>27843.48651733726</v>
      </c>
      <c r="H57" s="267">
        <f>+Yuba!H57+Yosemite!H57+'West Valley'!H57+'West Kern'!H57+'West Hills'!H57+'Victor Valley'!H57+Ventura!H57+'State Ctr'!H57+Southwestern!H57+'So Orange'!H57+Sonoma!H57+Solano!H57+Siskiyou!H57+Sierra!H57+Shasta!H57+Sequoias!H57+'Santa Monica'!H57+'Santa Clarita'!H57+'Santa Barbara'!H57+'San Mateo'!H57+SLO!H57+SJE!H57+'San Joaquin Delta'!H57+'San Francisco'!H57+'San Diego'!H57+'San Bernadino'!H57+Riverside!H57+'Rio Hondo'!H57+Redwoods!H57+'Rancho Santiago'!H57+Peralta!H57+Pasadena!H57+Palomar!H57+'Palo Verde'!H57+Ohlone!H57+'No Orange'!H57+Napa!H57+'Mt San Jacinto'!H57+'Mt SAC'!H57+Monterey!H57+Miracosta!H57+Merced!H57+Mendocino!H57+Marin!H57+'Los Rios'!H57+'Los Angeles'!H57+'Long Beach'!H57+Lassen!H57+'Lake Tahoe'!H57+Kern!H57+Imperial!H57+Hartnell!H57+Grossmont!H57+Glendale!H57+Gavilan!H57+Foothill!H57+Feather!H57+'El Camino'!H57+Desert!H57+'Copper Mtn'!H57+'Contra Costa'!H57+Compton!H57+Coast!H57+Citrus!H57+Chaffey!H57+Chabot!H57+Cerritos!H57+Cabrillo!H57+Butte!H57+Barstow!H57+Antelope!H57+'Allan Hancock'!H57</f>
        <v>12083.087331306737</v>
      </c>
      <c r="I57" s="267">
        <f>+Yuba!I57+Yosemite!I57+'West Valley'!I57+'West Kern'!I57+'West Hills'!I57+'Victor Valley'!I57+Ventura!I57+'State Ctr'!I57+Southwestern!I57+'So Orange'!I57+Sonoma!I57+Solano!I57+Siskiyou!I57+Sierra!I57+Shasta!I57+Sequoias!I57+'Santa Monica'!I57+'Santa Clarita'!I57+'Santa Barbara'!I57+'San Mateo'!I57+SLO!I57+SJE!I57+'San Joaquin Delta'!I57+'San Francisco'!I57+'San Diego'!I57+'San Bernadino'!I57+Riverside!I57+'Rio Hondo'!I57+Redwoods!I57+'Rancho Santiago'!I57+Peralta!I57+Pasadena!I57+Palomar!I57+'Palo Verde'!I57+Ohlone!I57+'No Orange'!I57+Napa!I57+'Mt San Jacinto'!I57+'Mt SAC'!I57+Monterey!I57+Miracosta!I57+Merced!I57+Mendocino!I57+Marin!I57+'Los Rios'!I57+'Los Angeles'!I57+'Long Beach'!I57+Lassen!I57+'Lake Tahoe'!I57+Kern!I57+Imperial!I57+Hartnell!I57+Grossmont!I57+Glendale!I57+Gavilan!I57+Foothill!I57+Feather!I57+'El Camino'!I57+Desert!I57+'Copper Mtn'!I57+'Contra Costa'!I57+Compton!I57+Coast!I57+Citrus!I57+Chaffey!I57+Chabot!I57+Cerritos!I57+Cabrillo!I57+Butte!I57+Barstow!I57+Antelope!I57+'Allan Hancock'!I57</f>
        <v>-19746.727999999999</v>
      </c>
      <c r="J57" s="190">
        <f>SUM(E57:I57)</f>
        <v>1087037.9098486439</v>
      </c>
      <c r="K57" s="190">
        <f>IF((+L57-J57)&gt;0,(L57-J57),0)</f>
        <v>1.5135644935071468E-4</v>
      </c>
      <c r="L57" s="192">
        <f>I15</f>
        <v>1087037.9100000004</v>
      </c>
      <c r="M57" s="102"/>
      <c r="N57" s="102"/>
      <c r="O57" s="102">
        <f>E57+H57+G57</f>
        <v>1106784.6378486438</v>
      </c>
      <c r="P57" s="108">
        <f>L57-E57</f>
        <v>20179.846000000369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29900.222999999991</v>
      </c>
      <c r="F58" s="190"/>
      <c r="G58" s="267">
        <f>+Yuba!G58+Yosemite!G58+'West Valley'!G58+'West Kern'!G58+'West Hills'!G58+'Victor Valley'!G58+Ventura!G58+'State Ctr'!G58+Southwestern!G58+'So Orange'!G58+Sonoma!G58+Solano!G58+Siskiyou!G58+Sierra!G58+Shasta!G58+Sequoias!G58+'Santa Monica'!G58+'Santa Clarita'!G58+'Santa Barbara'!G58+'San Mateo'!G58+SLO!G58+SJE!G58+'San Joaquin Delta'!G58+'San Francisco'!G58+'San Diego'!G58+'San Bernadino'!G58+Riverside!G58+'Rio Hondo'!G58+Redwoods!G58+'Rancho Santiago'!G58+Peralta!G58+Pasadena!G58+Palomar!G58+'Palo Verde'!G58+Ohlone!G58+'No Orange'!G58+Napa!G58+'Mt San Jacinto'!G58+'Mt SAC'!G58+Monterey!G58+Miracosta!G58+Merced!G58+Mendocino!G58+Marin!G58+'Los Rios'!G58+'Los Angeles'!G58+'Long Beach'!G58+Lassen!G58+'Lake Tahoe'!G58+Kern!G58+Imperial!G58+Hartnell!G58+Grossmont!G58+Glendale!G58+Gavilan!G58+Foothill!G58+Feather!G58+'El Camino'!G58+Desert!G58+'Copper Mtn'!G58+'Contra Costa'!G58+Compton!G58+Coast!G58+Citrus!G58+Chaffey!G58+Chabot!G58+Cerritos!G58+Cabrillo!G58+Butte!G58+Barstow!G58+Antelope!G58+'Allan Hancock'!G58</f>
        <v>-910.45083100606951</v>
      </c>
      <c r="H58" s="267">
        <f>+Yuba!H58+Yosemite!H58+'West Valley'!H58+'West Kern'!H58+'West Hills'!H58+'Victor Valley'!H58+Ventura!H58+'State Ctr'!H58+Southwestern!H58+'So Orange'!H58+Sonoma!H58+Solano!H58+Siskiyou!H58+Sierra!H58+Shasta!H58+Sequoias!H58+'Santa Monica'!H58+'Santa Clarita'!H58+'Santa Barbara'!H58+'San Mateo'!H58+SLO!H58+SJE!H58+'San Joaquin Delta'!H58+'San Francisco'!H58+'San Diego'!H58+'San Bernadino'!H58+Riverside!H58+'Rio Hondo'!H58+Redwoods!H58+'Rancho Santiago'!H58+Peralta!H58+Pasadena!H58+Palomar!H58+'Palo Verde'!H58+Ohlone!H58+'No Orange'!H58+Napa!H58+'Mt San Jacinto'!H58+'Mt SAC'!H58+Monterey!H58+Miracosta!H58+Merced!H58+Mendocino!H58+Marin!H58+'Los Rios'!H58+'Los Angeles'!H58+'Long Beach'!H58+Lassen!H58+'Lake Tahoe'!H58+Kern!H58+Imperial!H58+Hartnell!H58+Grossmont!H58+Glendale!H58+Gavilan!H58+Foothill!H58+Feather!H58+'El Camino'!H58+Desert!H58+'Copper Mtn'!H58+'Contra Costa'!H58+Compton!H58+Coast!H58+Citrus!H58+Chaffey!H58+Chabot!H58+Cerritos!H58+Cabrillo!H58+Butte!H58+Barstow!H58+Antelope!H58+'Allan Hancock'!H58</f>
        <v>822.24083100606981</v>
      </c>
      <c r="I58" s="267">
        <f>+Yuba!I58+Yosemite!I58+'West Valley'!I58+'West Kern'!I58+'West Hills'!I58+'Victor Valley'!I58+Ventura!I58+'State Ctr'!I58+Southwestern!I58+'So Orange'!I58+Sonoma!I58+Solano!I58+Siskiyou!I58+Sierra!I58+Shasta!I58+Sequoias!I58+'Santa Monica'!I58+'Santa Clarita'!I58+'Santa Barbara'!I58+'San Mateo'!I58+SLO!I58+SJE!I58+'San Joaquin Delta'!I58+'San Francisco'!I58+'San Diego'!I58+'San Bernadino'!I58+Riverside!I58+'Rio Hondo'!I58+Redwoods!I58+'Rancho Santiago'!I58+Peralta!I58+Pasadena!I58+Palomar!I58+'Palo Verde'!I58+Ohlone!I58+'No Orange'!I58+Napa!I58+'Mt San Jacinto'!I58+'Mt SAC'!I58+Monterey!I58+Miracosta!I58+Merced!I58+Mendocino!I58+Marin!I58+'Los Rios'!I58+'Los Angeles'!I58+'Long Beach'!I58+Lassen!I58+'Lake Tahoe'!I58+Kern!I58+Imperial!I58+Hartnell!I58+Grossmont!I58+Glendale!I58+Gavilan!I58+Foothill!I58+Feather!I58+'El Camino'!I58+Desert!I58+'Copper Mtn'!I58+'Contra Costa'!I58+Compton!I58+Coast!I58+Citrus!I58+Chaffey!I58+Chabot!I58+Cerritos!I58+Cabrillo!I58+Butte!I58+Barstow!I58+Antelope!I58+'Allan Hancock'!I58</f>
        <v>-548.27300000000025</v>
      </c>
      <c r="J58" s="190">
        <f>E58+H58+G58+I58</f>
        <v>29263.739999999991</v>
      </c>
      <c r="K58" s="190">
        <f>IF((+L58-J58)&gt;0,(L58-J58),0)</f>
        <v>1.8189894035458565E-11</v>
      </c>
      <c r="L58" s="192">
        <f>I16</f>
        <v>29263.740000000009</v>
      </c>
      <c r="M58" s="102"/>
      <c r="N58" s="102"/>
      <c r="O58" s="102">
        <f>IF(E59=0,J58+J59,J58)</f>
        <v>29263.739999999991</v>
      </c>
      <c r="P58" s="108">
        <f>L58+L59-E58</f>
        <v>35086.287000000018</v>
      </c>
      <c r="Q58" s="1">
        <f>L59*466-(P58)*487.11</f>
        <v>-444070.44057000987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38673.795000000006</v>
      </c>
      <c r="F59" s="190"/>
      <c r="G59" s="267">
        <f>+Yuba!G59+Yosemite!G59+'West Valley'!G59+'West Kern'!G59+'West Hills'!G59+'Victor Valley'!G59+Ventura!G59+'State Ctr'!G59+Southwestern!G59+'So Orange'!G59+Sonoma!G59+Solano!G59+Siskiyou!G59+Sierra!G59+Shasta!G59+Sequoias!G59+'Santa Monica'!G59+'Santa Clarita'!G59+'Santa Barbara'!G59+'San Mateo'!G59+SLO!G59+SJE!G59+'San Joaquin Delta'!G59+'San Francisco'!G59+'San Diego'!G59+'San Bernadino'!G59+Riverside!G59+'Rio Hondo'!G59+Redwoods!G59+'Rancho Santiago'!G59+Peralta!G59+Pasadena!G59+Palomar!G59+'Palo Verde'!G59+Ohlone!G59+'No Orange'!G59+Napa!G59+'Mt San Jacinto'!G59+'Mt SAC'!G59+Monterey!G59+Miracosta!G59+Merced!G59+Mendocino!G59+Marin!G59+'Los Rios'!G59+'Los Angeles'!G59+'Long Beach'!G59+Lassen!G59+'Lake Tahoe'!G59+Kern!G59+Imperial!G59+Hartnell!G59+Grossmont!G59+Glendale!G59+Gavilan!G59+Foothill!G59+Feather!G59+'El Camino'!G59+Desert!G59+'Copper Mtn'!G59+'Contra Costa'!G59+Compton!G59+Coast!G59+Citrus!G59+Chaffey!G59+Chabot!G59+Cerritos!G59+Cabrillo!G59+Butte!G59+Barstow!G59+Antelope!G59+'Allan Hancock'!G59</f>
        <v>-807.30738226903702</v>
      </c>
      <c r="H59" s="267">
        <f>+Yuba!H59+Yosemite!H59+'West Valley'!H59+'West Kern'!H59+'West Hills'!H59+'Victor Valley'!H59+Ventura!H59+'State Ctr'!H59+Southwestern!H59+'So Orange'!H59+Sonoma!H59+Solano!H59+Siskiyou!H59+Sierra!H59+Shasta!H59+Sequoias!H59+'Santa Monica'!H59+'Santa Clarita'!H59+'Santa Barbara'!H59+'San Mateo'!H59+SLO!H59+SJE!H59+'San Joaquin Delta'!H59+'San Francisco'!H59+'San Diego'!H59+'San Bernadino'!H59+Riverside!H59+'Rio Hondo'!H59+Redwoods!H59+'Rancho Santiago'!H59+Peralta!H59+Pasadena!H59+Palomar!H59+'Palo Verde'!H59+Ohlone!H59+'No Orange'!H59+Napa!H59+'Mt San Jacinto'!H59+'Mt SAC'!H59+Monterey!H59+Miracosta!H59+Merced!H59+Mendocino!H59+Marin!H59+'Los Rios'!H59+'Los Angeles'!H59+'Long Beach'!H59+Lassen!H59+'Lake Tahoe'!H59+Kern!H59+Imperial!H59+Hartnell!H59+Grossmont!H59+Glendale!H59+Gavilan!H59+Foothill!H59+Feather!H59+'El Camino'!H59+Desert!H59+'Copper Mtn'!H59+'Contra Costa'!H59+Compton!H59+Coast!H59+Citrus!H59+Chaffey!H59+Chabot!H59+Cerritos!H59+Cabrillo!H59+Butte!H59+Barstow!H59+Antelope!H59+'Allan Hancock'!H59</f>
        <v>15.567382269037061</v>
      </c>
      <c r="I59" s="267">
        <f>+Yuba!I59+Yosemite!I59+'West Valley'!I59+'West Kern'!I59+'West Hills'!I59+'Victor Valley'!I59+Ventura!I59+'State Ctr'!I59+Southwestern!I59+'So Orange'!I59+Sonoma!I59+Solano!I59+Siskiyou!I59+Sierra!I59+Shasta!I59+Sequoias!I59+'Santa Monica'!I59+'Santa Clarita'!I59+'Santa Barbara'!I59+'San Mateo'!I59+SLO!I59+SJE!I59+'San Joaquin Delta'!I59+'San Francisco'!I59+'San Diego'!I59+'San Bernadino'!I59+Riverside!I59+'Rio Hondo'!I59+Redwoods!I59+'Rancho Santiago'!I59+Peralta!I59+Pasadena!I59+Palomar!I59+'Palo Verde'!I59+Ohlone!I59+'No Orange'!I59+Napa!I59+'Mt San Jacinto'!I59+'Mt SAC'!I59+Monterey!I59+Miracosta!I59+Merced!I59+Mendocino!I59+Marin!I59+'Los Rios'!I59+'Los Angeles'!I59+'Long Beach'!I59+Lassen!I59+'Lake Tahoe'!I59+Kern!I59+Imperial!I59+Hartnell!I59+Grossmont!I59+Glendale!I59+Gavilan!I59+Foothill!I59+Feather!I59+'El Camino'!I59+Desert!I59+'Copper Mtn'!I59+'Contra Costa'!I59+Compton!I59+Coast!I59+Citrus!I59+Chaffey!I59+Chabot!I59+Cerritos!I59+Cabrillo!I59+Butte!I59+Barstow!I59+Antelope!I59+'Allan Hancock'!I59</f>
        <v>-2159.2850000000003</v>
      </c>
      <c r="J59" s="190">
        <f>E59+H59+G59+I59</f>
        <v>35722.770000000004</v>
      </c>
      <c r="K59" s="190">
        <f>IF((+L59-J59)&gt;0,(L59-J59),0)</f>
        <v>0</v>
      </c>
      <c r="L59" s="192">
        <f>I17</f>
        <v>35722.769999999997</v>
      </c>
      <c r="M59" s="102"/>
      <c r="N59" s="102"/>
      <c r="O59" s="102">
        <f>IF(E59=0,L58+L59,L59)</f>
        <v>35722.769999999997</v>
      </c>
      <c r="P59" s="108">
        <f>L59-E59</f>
        <v>-2951.0250000000087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1135432.0819999999</v>
      </c>
      <c r="F61" s="190"/>
      <c r="G61" s="190">
        <f>SUM(G57:G60)</f>
        <v>26125.728304062151</v>
      </c>
      <c r="H61" s="190">
        <f>SUM(H57:H60)</f>
        <v>12920.895544581843</v>
      </c>
      <c r="I61" s="190">
        <f>SUM(I57:I59)</f>
        <v>-22454.286</v>
      </c>
      <c r="J61" s="190">
        <f>SUM(J57:J60)</f>
        <v>1152024.4198486439</v>
      </c>
      <c r="K61" s="190">
        <f>SUM(K57:K60)</f>
        <v>1.5135646754060872E-4</v>
      </c>
      <c r="L61" s="192">
        <f>SUM(L57:L60)</f>
        <v>1152024.4200000004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17400918.4947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J131-F83</f>
        <v>520279069</v>
      </c>
      <c r="G65" s="176" t="s">
        <v>28</v>
      </c>
      <c r="H65" s="175" t="s">
        <v>336</v>
      </c>
      <c r="I65" s="175"/>
      <c r="J65" s="175"/>
      <c r="K65" s="175"/>
      <c r="L65" s="264">
        <f>+Yuba!L65+Yosemite!L65+'West Valley'!L65+'West Kern'!L65+'West Hills'!L65+'Victor Valley'!L65+Ventura!L65+'State Ctr'!L65+Southwestern!L65+'So Orange'!L65+Sonoma!L65+Solano!L65+Siskiyou!L65+Sierra!L65+Shasta!L65+Sequoias!L65+'Santa Monica'!L65+'Santa Clarita'!L65+'Santa Barbara'!L65+'San Mateo'!L65+SLO!L65+SJE!L65+'San Joaquin Delta'!L65+'San Francisco'!L65+'San Diego'!L65+'San Bernadino'!L65+Riverside!L65+'Rio Hondo'!L65+Redwoods!L65+'Rancho Santiago'!L65+Peralta!L65+Pasadena!L65+Palomar!L65+'Palo Verde'!L65+Ohlone!L65+'No Orange'!L65+Napa!L65+'Mt San Jacinto'!L65+'Mt SAC'!L65+Monterey!L65+Miracosta!L65+Merced!L65+Mendocino!L65+Marin!L65+'Los Rios'!L65+'Los Angeles'!L65+'Long Beach'!L65+Lassen!L65+'Lake Tahoe'!L65+Kern!L65+Imperial!L65+Hartnell!L65+Grossmont!L65+Glendale!L65+Gavilan!L65+Foothill!L65+Feather!L65+'El Camino'!L65+Desert!L65+'Copper Mtn'!L65+'Contra Costa'!L65+Compton!L65+Coast!L65+Citrus!L65+Chaffey!L65+Chabot!L65+Cerritos!L65+Cabrillo!L65+Butte!L65+Barstow!L65+Antelope!L65+'Allan Hancock'!L65</f>
        <v>-167202</v>
      </c>
      <c r="M65" s="66"/>
      <c r="N65" s="66"/>
      <c r="O65" s="154"/>
      <c r="P65" s="140">
        <f>L71-P64</f>
        <v>-17400918.4947</v>
      </c>
    </row>
    <row r="66" spans="1:18" ht="12">
      <c r="A66" s="201" t="s">
        <v>4</v>
      </c>
      <c r="B66" s="175" t="s">
        <v>330</v>
      </c>
      <c r="C66" s="175"/>
      <c r="D66" s="175"/>
      <c r="E66" s="264">
        <f>+Yuba!E66+Yosemite!E66+'West Valley'!E66+'West Kern'!E66+'West Hills'!E66+'Victor Valley'!E66+Ventura!E66+'State Ctr'!E66+Southwestern!E66+'So Orange'!E66+Sonoma!E66+Solano!E66+Siskiyou!E66+Sierra!E66+Shasta!E66+Sequoias!E66+'Santa Monica'!E66+'Santa Clarita'!E66+'Santa Barbara'!E66+'San Mateo'!E66+SLO!E66+SJE!E66+'San Joaquin Delta'!E66+'San Francisco'!E66+'San Diego'!E66+'San Bernadino'!E66+Riverside!E66+'Rio Hondo'!E66+Redwoods!E66+'Rancho Santiago'!E66+Peralta!E66+Pasadena!E66+Palomar!E66+'Palo Verde'!E66+Ohlone!E66+'No Orange'!E66+Napa!E66+'Mt San Jacinto'!E66+'Mt SAC'!E66+Monterey!E66+Miracosta!E66+Merced!E66+Mendocino!E66+Marin!E66+'Los Rios'!E66+'Los Angeles'!E66+'Long Beach'!E66+Lassen!E66+'Lake Tahoe'!E66+Kern!E66+Imperial!E66+Hartnell!E66+Grossmont!E66+Glendale!E66+Gavilan!E66+Foothill!E66+Feather!E66+'El Camino'!E66+Desert!E66+'Copper Mtn'!E66+'Contra Costa'!E66+Compton!E66+Coast!E66+Citrus!E66+Chaffey!E66+Chabot!E66+Cerritos!E66+Cabrillo!E66+Butte!E66+Barstow!E66+Antelope!E66+'Allan Hancock'!E66</f>
        <v>5267431166.8566084</v>
      </c>
      <c r="F66" s="175"/>
      <c r="G66" s="176" t="s">
        <v>29</v>
      </c>
      <c r="H66" s="175" t="s">
        <v>337</v>
      </c>
      <c r="I66" s="175"/>
      <c r="J66" s="175"/>
      <c r="K66" s="175"/>
      <c r="L66" s="264">
        <f>+Yuba!L66+Yosemite!L66+'West Valley'!L66+'West Kern'!L66+'West Hills'!L66+'Victor Valley'!L66+Ventura!L66+'State Ctr'!L66+Southwestern!L66+'So Orange'!L66+Sonoma!L66+Solano!L66+Siskiyou!L66+Sierra!L66+Shasta!L66+Sequoias!L66+'Santa Monica'!L66+'Santa Clarita'!L66+'Santa Barbara'!L66+'San Mateo'!L66+SLO!L66+SJE!L66+'San Joaquin Delta'!L66+'San Francisco'!L66+'San Diego'!L66+'San Bernadino'!L66+Riverside!L66+'Rio Hondo'!L66+Redwoods!L66+'Rancho Santiago'!L66+Peralta!L66+Pasadena!L66+Palomar!L66+'Palo Verde'!L66+Ohlone!L66+'No Orange'!L66+Napa!L66+'Mt San Jacinto'!L66+'Mt SAC'!L66+Monterey!L66+Miracosta!L66+Merced!L66+Mendocino!L66+Marin!L66+'Los Rios'!L66+'Los Angeles'!L66+'Long Beach'!L66+Lassen!L66+'Lake Tahoe'!L66+Kern!L66+Imperial!L66+Hartnell!L66+Grossmont!L66+Glendale!L66+Gavilan!L66+Foothill!L66+Feather!L66+'El Camino'!L66+Desert!L66+'Copper Mtn'!L66+'Contra Costa'!L66+Compton!L66+Coast!L66+Citrus!L66+Chaffey!L66+Chabot!L66+Cerritos!L66+Cabrillo!L66+Butte!L66+Barstow!L66+Antelope!L66+'Allan Hancock'!L66</f>
        <v>62320000</v>
      </c>
      <c r="M66" s="163"/>
      <c r="N66" s="163"/>
      <c r="O66" s="152">
        <f>L66/487.11</f>
        <v>127938.24803432489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64">
        <f>+Yuba!L67+Yosemite!L67+'West Valley'!L67+'West Kern'!L67+'West Hills'!L67+'Victor Valley'!L67+Ventura!L67+'State Ctr'!L67+Southwestern!L67+'So Orange'!L67+Sonoma!L67+Solano!L67+Siskiyou!L67+Sierra!L67+Shasta!L67+Sequoias!L67+'Santa Monica'!L67+'Santa Clarita'!L67+'Santa Barbara'!L67+'San Mateo'!L67+SLO!L67+SJE!L67+'San Joaquin Delta'!L67+'San Francisco'!L67+'San Diego'!L67+'San Bernadino'!L67+Riverside!L67+'Rio Hondo'!L67+Redwoods!L67+'Rancho Santiago'!L67+Peralta!L67+Pasadena!L67+Palomar!L67+'Palo Verde'!L67+Ohlone!L67+'No Orange'!L67+Napa!L67+'Mt San Jacinto'!L67+'Mt SAC'!L67+Monterey!L67+Miracosta!L67+Merced!L67+Mendocino!L67+Marin!L67+'Los Rios'!L67+'Los Angeles'!L67+'Long Beach'!L67+Lassen!L67+'Lake Tahoe'!L67+Kern!L67+Imperial!L67+Hartnell!L67+Grossmont!L67+Glendale!L67+Gavilan!L67+Foothill!L67+Feather!L67+'El Camino'!L67+Desert!L67+'Copper Mtn'!L67+'Contra Costa'!L67+Compton!L67+Coast!L67+Citrus!L67+Chaffey!L67+Chabot!L67+Cerritos!L67+Cabrillo!L67+Butte!L67+Barstow!L67+Antelope!L67+'Allan Hancock'!L67</f>
        <v>286900961</v>
      </c>
      <c r="M67" s="163"/>
      <c r="N67" s="163"/>
      <c r="O67" s="13"/>
      <c r="P67" s="139">
        <f>I57*D57</f>
        <v>-93275590.156284913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5267431166.8566093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-1557332.1547464458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64">
        <f>+Yuba!E69+Yosemite!E69+'West Valley'!E69+'West Kern'!E69+'West Hills'!E69+'Victor Valley'!E69+Ventura!E69+'State Ctr'!E69+Southwestern!E69+'So Orange'!E69+Sonoma!E69+Solano!E69+Siskiyou!E69+Sierra!E69+Shasta!E69+Sequoias!E69+'Santa Monica'!E69+'Santa Clarita'!E69+'Santa Barbara'!E69+'San Mateo'!E69+SLO!E69+SJE!E69+'San Joaquin Delta'!E69+'San Francisco'!E69+'San Diego'!E69+'San Bernadino'!E69+Riverside!E69+'Rio Hondo'!E69+Redwoods!E69+'Rancho Santiago'!E69+Peralta!E69+Pasadena!E69+Palomar!E69+'Palo Verde'!E69+Ohlone!E69+'No Orange'!E69+Napa!E69+'Mt San Jacinto'!E69+'Mt SAC'!E69+Monterey!E69+Miracosta!E69+Merced!E69+Mendocino!E69+Marin!E69+'Los Rios'!E69+'Los Angeles'!E69+'Long Beach'!E69+Lassen!E69+'Lake Tahoe'!E69+Kern!E69+Imperial!E69+Hartnell!E69+Grossmont!E69+Glendale!E69+Gavilan!E69+Foothill!E69+Feather!E69+'El Camino'!E69+Desert!E69+'Copper Mtn'!E69+'Contra Costa'!E69+Compton!E69+Coast!E69+Citrus!E69+Chaffey!E69+Chabot!E69+Cerritos!E69+Cabrillo!E69+Butte!E69+Barstow!E69+Antelope!E69+'Allan Hancock'!E69</f>
        <v>5002524236.5303345</v>
      </c>
      <c r="F69" s="202"/>
      <c r="G69" s="176"/>
      <c r="H69" s="174" t="s">
        <v>27</v>
      </c>
      <c r="I69" s="175"/>
      <c r="J69" s="175"/>
      <c r="K69" s="175"/>
      <c r="L69" s="203">
        <f>SUM(L65:L67)</f>
        <v>349053759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64">
        <f>+Yuba!E70+Yosemite!E70+'West Valley'!E70+'West Kern'!E70+'West Hills'!E70+'Victor Valley'!E70+Ventura!E70+'State Ctr'!E70+Southwestern!E70+'So Orange'!E70+Sonoma!E70+Solano!E70+Siskiyou!E70+Sierra!E70+Shasta!E70+Sequoias!E70+'Santa Monica'!E70+'Santa Clarita'!E70+'Santa Barbara'!E70+'San Mateo'!E70+SLO!E70+SJE!E70+'San Joaquin Delta'!E70+'San Francisco'!E70+'San Diego'!E70+'San Bernadino'!E70+Riverside!E70+'Rio Hondo'!E70+Redwoods!E70+'Rancho Santiago'!E70+Peralta!E70+Pasadena!E70+Palomar!E70+'Palo Verde'!E70+Ohlone!E70+'No Orange'!E70+Napa!E70+'Mt San Jacinto'!E70+'Mt SAC'!E70+Monterey!E70+Miracosta!E70+Merced!E70+Mendocino!E70+Marin!E70+'Los Rios'!E70+'Los Angeles'!E70+'Long Beach'!E70+Lassen!E70+'Lake Tahoe'!E70+Kern!E70+Imperial!E70+Hartnell!E70+Grossmont!E70+Glendale!E70+Gavilan!E70+Foothill!E70+Feather!E70+'El Camino'!E70+Desert!E70+'Copper Mtn'!E70+'Contra Costa'!E70+Compton!E70+Coast!E70+Citrus!E70+Chaffey!E70+Chabot!E70+Cerritos!E70+Cabrillo!E70+Butte!E70+Barstow!E70+Antelope!E70+'Allan Hancock'!E70</f>
        <v>84072014.601416707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-94832922.311031356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64">
        <f>+Yuba!E71+Yosemite!E71+'West Valley'!E71+'West Kern'!E71+'West Hills'!E71+'Victor Valley'!E71+Ventura!E71+'State Ctr'!E71+Southwestern!E71+'So Orange'!E71+Sonoma!E71+Solano!E71+Siskiyou!E71+Sierra!E71+Shasta!E71+Sequoias!E71+'Santa Monica'!E71+'Santa Clarita'!E71+'Santa Barbara'!E71+'San Mateo'!E71+SLO!E71+SJE!E71+'San Joaquin Delta'!E71+'San Francisco'!E71+'San Diego'!E71+'San Bernadino'!E71+Riverside!E71+'Rio Hondo'!E71+Redwoods!E71+'Rancho Santiago'!E71+Peralta!E71+Pasadena!E71+Palomar!E71+'Palo Verde'!E71+Ohlone!E71+'No Orange'!E71+Napa!E71+'Mt San Jacinto'!E71+'Mt SAC'!E71+Monterey!E71+Miracosta!E71+Merced!E71+Mendocino!E71+Marin!E71+'Los Rios'!E71+'Los Angeles'!E71+'Long Beach'!E71+Lassen!E71+'Lake Tahoe'!E71+Kern!E71+Imperial!E71+Hartnell!E71+Grossmont!E71+Glendale!E71+Gavilan!E71+Foothill!E71+Feather!E71+'El Camino'!E71+Desert!E71+'Copper Mtn'!E71+'Contra Costa'!E71+Compton!E71+Coast!E71+Citrus!E71+Chaffey!E71+Chabot!E71+Cerritos!E71+Cabrillo!E71+Butte!E71+Barstow!E71+Antelope!E71+'Allan Hancock'!E71</f>
        <v>180834915.72485813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204"/>
      <c r="F72" s="206">
        <f>+I57*4675.903026+I58*C58+I59*C59</f>
        <v>-103972000.26628858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6278236991.9380007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5683738235.5903206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57075638.138002694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2619839293</v>
      </c>
      <c r="M77" s="159"/>
      <c r="N77" s="159"/>
      <c r="O77" s="86">
        <f>H58*D58</f>
        <v>2335519.139317804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57974130.003021277</v>
      </c>
      <c r="F78" s="212"/>
      <c r="G78" s="176" t="s">
        <v>326</v>
      </c>
      <c r="H78" s="175" t="s">
        <v>339</v>
      </c>
      <c r="I78" s="175"/>
      <c r="J78" s="175"/>
      <c r="K78" s="175"/>
      <c r="L78" s="266">
        <f>+Yuba!L78+Yosemite!L78+'West Valley'!L78+'West Kern'!L78+'West Hills'!L78+'Victor Valley'!L78+Ventura!L78+'State Ctr'!L78+Southwestern!L78+'So Orange'!L78+Sonoma!L78+Solano!L78+Siskiyou!L78+Sierra!L78+Shasta!L78+Sequoias!L78+'Santa Monica'!L78+'Santa Clarita'!L78+'Santa Barbara'!L78+'San Mateo'!L78+SLO!L78+SJE!L78+'San Joaquin Delta'!L78+'San Francisco'!L78+'San Diego'!L78+'San Bernadino'!L78+Riverside!L78+'Rio Hondo'!L78+Redwoods!L78+'Rancho Santiago'!L78+Peralta!L78+Pasadena!L78+Palomar!L78+'Palo Verde'!L78+Ohlone!L78+'No Orange'!L78+Napa!L78+'Mt San Jacinto'!L78+'Mt SAC'!L78+Monterey!L78+Miracosta!L78+Merced!L78+Mendocino!L78+Marin!L78+'Los Rios'!L78+'Los Angeles'!L78+'Long Beach'!L78+Lassen!L78+'Lake Tahoe'!L78+Kern!L78+Imperial!L78+Hartnell!L78+Grossmont!L78+Glendale!L78+Gavilan!L78+Foothill!L78+Feather!L78+'El Camino'!L78+Desert!L78+'Copper Mtn'!L78+'Contra Costa'!L78+Compton!L78+Coast!L78+Citrus!L78+Chaffey!L78+Chabot!L78+Cerritos!L78+Cabrillo!L78+Butte!L78+Barstow!L78+Antelope!L78+'Allan Hancock'!L78</f>
        <v>-210548946</v>
      </c>
      <c r="M78" s="159"/>
      <c r="N78" s="159"/>
      <c r="O78" s="156">
        <f>H59*D59</f>
        <v>73534.044137991761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5741712365.5933418</v>
      </c>
      <c r="G79" s="176" t="s">
        <v>29</v>
      </c>
      <c r="H79" s="175" t="s">
        <v>14</v>
      </c>
      <c r="I79" s="175"/>
      <c r="J79" s="175"/>
      <c r="K79" s="175"/>
      <c r="L79" s="213">
        <f>I23</f>
        <v>416514974</v>
      </c>
      <c r="M79" s="159"/>
      <c r="N79" s="159"/>
      <c r="O79" s="86">
        <f>SUM(O76:O78)</f>
        <v>59484691.321458489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2474537204.224432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64">
        <f>+Yuba!L81+Yosemite!L81+'West Valley'!L81+'West Kern'!L81+'West Hills'!L81+'Victor Valley'!L81+Ventura!L81+'State Ctr'!L81+Southwestern!L81+'So Orange'!L81+Sonoma!L81+Solano!L81+Siskiyou!L81+Sierra!L81+Shasta!L81+Sequoias!L81+'Santa Monica'!L81+'Santa Clarita'!L81+'Santa Barbara'!L81+'San Mateo'!L81+SLO!L81+SJE!L81+'San Joaquin Delta'!L81+'San Francisco'!L81+'San Diego'!L81+'San Bernadino'!L81+Riverside!L81+'Rio Hondo'!L81+Redwoods!L81+'Rancho Santiago'!L81+Peralta!L81+Pasadena!L81+Palomar!L81+'Palo Verde'!L81+Ohlone!L81+'No Orange'!L81+Napa!L81+'Mt San Jacinto'!L81+'Mt SAC'!L81+Monterey!L81+Miracosta!L81+Merced!L81+Mendocino!L81+Marin!L81+'Los Rios'!L81+'Los Angeles'!L81+'Long Beach'!L81+Lassen!L81+'Lake Tahoe'!L81+Kern!L81+Imperial!L81+Hartnell!L81+Grossmont!L81+Glendale!L81+Gavilan!L81+Foothill!L81+Feather!L81+'El Camino'!L81+Desert!L81+'Copper Mtn'!L81+'Contra Costa'!L81+Compton!L81+Coast!L81+Citrus!L81+Chaffey!L81+Chabot!L81+Cerritos!L81+Cabrillo!L81+Butte!L81+Barstow!L81+Antelope!L81+'Allan Hancock'!L81</f>
        <v>906741860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131521416.45508032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64">
        <f>+Yuba!F83+Yosemite!F83+'West Valley'!F83+'West Kern'!F83+'West Hills'!F83+'Victor Valley'!F83+Ventura!F83+'State Ctr'!F83+Southwestern!F83+'So Orange'!F83+Sonoma!F83+Solano!F83+Siskiyou!F83+Sierra!F83+Shasta!F83+Sequoias!F83+'Santa Monica'!F83+'Santa Clarita'!F83+'Santa Barbara'!F83+'San Mateo'!F83+SLO!F83+SJE!F83+'San Joaquin Delta'!F83+'San Francisco'!F83+'San Diego'!F83+'San Bernadino'!F83+Riverside!F83+'Rio Hondo'!F83+Redwoods!F83+'Rancho Santiago'!F83+Peralta!F83+Pasadena!F83+Palomar!F83+'Palo Verde'!F83+Ohlone!F83+'No Orange'!F83+Napa!F83+'Mt San Jacinto'!F83+'Mt SAC'!F83+Monterey!F83+Miracosta!F83+Merced!F83+Mendocino!F83+Marin!F83+'Los Rios'!F83+'Los Angeles'!F83+'Long Beach'!F83+Lassen!F83+'Lake Tahoe'!F83+Kern!F83+Imperial!F83+Hartnell!F83+Grossmont!F83+Glendale!F83+Gavilan!F83+Foothill!F83+Feather!F83+'El Camino'!F83+Desert!F83+'Copper Mtn'!F83+'Contra Costa'!F83+Compton!F83+Coast!F83+Citrus!F83+Chaffey!F83+Chabot!F83+Cerritos!F83+Cabrillo!F83+Butte!F83+Barstow!F83+Antelope!F83+'Allan Hancock'!F83</f>
        <v>2835308</v>
      </c>
      <c r="G83" s="176"/>
      <c r="H83" s="174" t="s">
        <v>340</v>
      </c>
      <c r="I83" s="175"/>
      <c r="J83" s="175"/>
      <c r="K83" s="175"/>
      <c r="L83" s="213">
        <f>SUM(L77:L81)</f>
        <v>6207084385.224432</v>
      </c>
      <c r="M83" s="86"/>
      <c r="N83" s="86"/>
      <c r="O83" s="107">
        <f>G58*D58</f>
        <v>-2586073.6429504533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28920.141600000003</v>
      </c>
      <c r="G84" s="176" t="s">
        <v>11</v>
      </c>
      <c r="H84" s="175" t="s">
        <v>341</v>
      </c>
      <c r="I84" s="175"/>
      <c r="J84" s="217">
        <f>1-L84/L83</f>
        <v>0.98853687137185642</v>
      </c>
      <c r="K84" s="175"/>
      <c r="L84" s="264">
        <f>+Yuba!L84+Yosemite!L84+'West Valley'!L84+'West Kern'!L84+'West Hills'!L84+'Victor Valley'!L84+Ventura!L84+'State Ctr'!L84+Southwestern!L84+'So Orange'!L84+Sonoma!L84+Solano!L84+Siskiyou!L84+Sierra!L84+Shasta!L84+Sequoias!L84+'Santa Monica'!L84+'Santa Clarita'!L84+'Santa Barbara'!L84+'San Mateo'!L84+SLO!L84+SJE!L84+'San Joaquin Delta'!L84+'San Francisco'!L84+'San Diego'!L84+'San Bernadino'!L84+Riverside!L84+'Rio Hondo'!L84+Redwoods!L84+'Rancho Santiago'!L84+Peralta!L84+Pasadena!L84+Palomar!L84+'Palo Verde'!L84+Ohlone!L84+'No Orange'!L84+Napa!L84+'Mt San Jacinto'!L84+'Mt SAC'!L84+Monterey!L84+Miracosta!L84+Merced!L84+Mendocino!L84+Marin!L84+'Los Rios'!L84+'Los Angeles'!L84+'Long Beach'!L84+Lassen!L84+'Lake Tahoe'!L84+Kern!L84+Imperial!L84+Hartnell!L84+Grossmont!L84+Glendale!L84+Gavilan!L84+Foothill!L84+Feather!L84+'El Camino'!L84+Desert!L84+'Copper Mtn'!L84+'Contra Costa'!L84+Compton!L84+Coast!L84+Citrus!L84+Chaffey!L84+Chabot!L84+Cerritos!L84+Cabrillo!L84+Butte!L84+Barstow!L84+Antelope!L84+'Allan Hancock'!L84</f>
        <v>71152606.713568911</v>
      </c>
      <c r="M84" s="65"/>
      <c r="N84" s="65"/>
      <c r="O84" s="143">
        <f>G59*D59</f>
        <v>-3813394.9340199516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64">
        <f>+Yuba!F85+Yosemite!F85+'West Valley'!F85+'West Kern'!F85+'West Hills'!F85+'Victor Valley'!F85+Ventura!F85+'State Ctr'!F85+Southwestern!F85+'So Orange'!F85+Sonoma!F85+Solano!F85+Siskiyou!F85+Sierra!F85+Shasta!F85+Sequoias!F85+'Santa Monica'!F85+'Santa Clarita'!F85+'Santa Barbara'!F85+'San Mateo'!F85+SLO!F85+SJE!F85+'San Joaquin Delta'!F85+'San Francisco'!F85+'San Diego'!F85+'San Bernadino'!F85+Riverside!F85+'Rio Hondo'!F85+Redwoods!F85+'Rancho Santiago'!F85+Peralta!F85+Pasadena!F85+Palomar!F85+'Palo Verde'!F85+Ohlone!F85+'No Orange'!F85+Napa!F85+'Mt San Jacinto'!F85+'Mt SAC'!F85+Monterey!F85+Miracosta!F85+Merced!F85+Mendocino!F85+Marin!F85+'Los Rios'!F85+'Los Angeles'!F85+'Long Beach'!F85+Lassen!F85+'Lake Tahoe'!F85+Kern!F85+Imperial!F85+Hartnell!F85+Grossmont!F85+Glendale!F85+Gavilan!F85+Foothill!F85+Feather!F85+'El Camino'!F85+Desert!F85+'Copper Mtn'!F85+'Contra Costa'!F85+Compton!F85+Coast!F85+Citrus!F85+Chaffey!F85+Chabot!F85+Cerritos!F85+Cabrillo!F85+Butte!F85+Barstow!F85+Antelope!F85+'Allan Hancock'!F85</f>
        <v>59484691.324948885</v>
      </c>
      <c r="G85" s="176"/>
      <c r="H85" s="174" t="s">
        <v>342</v>
      </c>
      <c r="I85" s="175"/>
      <c r="J85" s="175"/>
      <c r="K85" s="175"/>
      <c r="L85" s="213">
        <f>+L84+L83</f>
        <v>6278236991.9380007</v>
      </c>
      <c r="M85" s="86"/>
      <c r="N85" s="86"/>
      <c r="O85" s="107">
        <f>SUM(O82:O84)</f>
        <v>125121947.8781099</v>
      </c>
      <c r="P85" s="103">
        <f>I168+G174</f>
        <v>-5.1540322601795197E-4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62348919.466548882</v>
      </c>
      <c r="G88" s="176" t="s">
        <v>28</v>
      </c>
      <c r="H88" s="175" t="s">
        <v>15</v>
      </c>
      <c r="I88" s="175"/>
      <c r="J88" s="175"/>
      <c r="K88" s="175"/>
      <c r="L88" s="210">
        <f>L80</f>
        <v>2474537204.224432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0.02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0.02</v>
      </c>
      <c r="F92" s="175" t="s">
        <v>213</v>
      </c>
      <c r="G92" s="176"/>
      <c r="H92" s="174" t="s">
        <v>70</v>
      </c>
      <c r="I92" s="175"/>
      <c r="J92" s="175"/>
      <c r="K92" s="175"/>
      <c r="L92" s="210">
        <f>+L88-L91</f>
        <v>2474537204.224432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106140336.05103487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64">
        <f>+Yuba!E94+Yosemite!E94+'West Valley'!E94+'West Kern'!E94+'West Hills'!E94+'Victor Valley'!E94+Ventura!E94+'State Ctr'!E94+Southwestern!E94+'So Orange'!E94+Sonoma!E94+Solano!E94+Siskiyou!E94+Sierra!E94+Shasta!E94+Sequoias!E94+'Santa Monica'!E94+'Santa Clarita'!E94+'Santa Barbara'!E94+'San Mateo'!E94+SLO!E94+SJE!E94+'San Joaquin Delta'!E94+'San Francisco'!E94+'San Diego'!E94+'San Bernadino'!E94+Riverside!E94+'Rio Hondo'!E94+Redwoods!E94+'Rancho Santiago'!E94+Peralta!E94+Pasadena!E94+Palomar!E94+'Palo Verde'!E94+Ohlone!E94+'No Orange'!E94+Napa!E94+'Mt San Jacinto'!E94+'Mt SAC'!E94+Monterey!E94+Miracosta!E94+Merced!E94+Mendocino!E94+Marin!E94+'Los Rios'!E94+'Los Angeles'!E94+'Long Beach'!E94+Lassen!E94+'Lake Tahoe'!E94+Kern!E94+Imperial!E94+Hartnell!E94+Grossmont!E94+Glendale!E94+Gavilan!E94+Foothill!E94+Feather!E94+'El Camino'!E94+Desert!E94+'Copper Mtn'!E94+'Contra Costa'!E94+Compton!E94+Coast!E94+Citrus!E94+Chaffey!E94+Chabot!E94+Cerritos!E94+Cabrillo!E94+Butte!E94+Barstow!E94+Antelope!E94+'Allan Hancock'!E94</f>
        <v>125121947.87810996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64">
        <f>+Yuba!E95+Yosemite!E95+'West Valley'!E95+'West Kern'!E95+'West Hills'!E95+'Victor Valley'!E95+Ventura!E95+'State Ctr'!E95+Southwestern!E95+'So Orange'!E95+Sonoma!E95+Solano!E95+Siskiyou!E95+Sierra!E95+Shasta!E95+Sequoias!E95+'Santa Monica'!E95+'Santa Clarita'!E95+'Santa Barbara'!E95+'San Mateo'!E95+SLO!E95+SJE!E95+'San Joaquin Delta'!E95+'San Francisco'!E95+'San Diego'!E95+'San Bernadino'!E95+Riverside!E95+'Rio Hondo'!E95+Redwoods!E95+'Rancho Santiago'!E95+Peralta!E95+Pasadena!E95+Palomar!E95+'Palo Verde'!E95+Ohlone!E95+'No Orange'!E95+Napa!E95+'Mt San Jacinto'!E95+'Mt SAC'!E95+Monterey!E95+Miracosta!E95+Merced!E95+Mendocino!E95+Marin!E95+'Los Rios'!E95+'Los Angeles'!E95+'Long Beach'!E95+Lassen!E95+'Lake Tahoe'!E95+Kern!E95+Imperial!E95+Hartnell!E95+Grossmont!E95+Glendale!E95+Gavilan!E95+Foothill!E95+Feather!E95+'El Camino'!E95+Desert!E95+'Copper Mtn'!E95+'Contra Costa'!E95+Compton!E95+Coast!E95+Citrus!E95+Chaffey!E95+Chabot!E95+Cerritos!E95+Cabrillo!E95+Butte!E95+Barstow!E95+Antelope!E95+'Allan Hancock'!E95</f>
        <v>131521416.4550804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64">
        <f>+Yuba!E96+Yosemite!E96+'West Valley'!E96+'West Kern'!E96+'West Hills'!E96+'Victor Valley'!E96+Ventura!E96+'State Ctr'!E96+Southwestern!E96+'So Orange'!E96+Sonoma!E96+Solano!E96+Siskiyou!E96+Sierra!E96+Shasta!E96+Sequoias!E96+'Santa Monica'!E96+'Santa Clarita'!E96+'Santa Barbara'!E96+'San Mateo'!E96+SLO!E96+SJE!E96+'San Joaquin Delta'!E96+'San Francisco'!E96+'San Diego'!E96+'San Bernadino'!E96+Riverside!E96+'Rio Hondo'!E96+Redwoods!E96+'Rancho Santiago'!E96+Peralta!E96+Pasadena!E96+Palomar!E96+'Palo Verde'!E96+Ohlone!E96+'No Orange'!E96+Napa!E96+'Mt San Jacinto'!E96+'Mt SAC'!E96+Monterey!E96+Miracosta!E96+Merced!E96+Mendocino!E96+Marin!E96+'Los Rios'!E96+'Los Angeles'!E96+'Long Beach'!E96+Lassen!E96+'Lake Tahoe'!E96+Kern!E96+Imperial!E96+Hartnell!E96+Grossmont!E96+Glendale!E96+Gavilan!E96+Foothill!E96+Feather!E96+'El Camino'!E96+Desert!E96+'Copper Mtn'!E96+'Contra Costa'!E96+Compton!E96+Coast!E96+Citrus!E96+Chaffey!E96+Chabot!E96+Cerritos!E96+Cabrillo!E96+Butte!E96+Barstow!E96+Antelope!E96+'Allan Hancock'!E96</f>
        <v>-2586073.6429504538</v>
      </c>
      <c r="F96" s="212"/>
      <c r="G96" s="206" t="s">
        <v>3</v>
      </c>
      <c r="H96" s="226" t="s">
        <v>345</v>
      </c>
      <c r="I96" s="175"/>
      <c r="J96" s="175"/>
      <c r="K96" s="175"/>
      <c r="L96" s="264">
        <f>+Yuba!L96+Yosemite!L96+'West Valley'!L96+'West Kern'!L96+'West Hills'!L96+'Victor Valley'!L96+Ventura!L96+'State Ctr'!L96+Southwestern!L96+'So Orange'!L96+Sonoma!L96+Solano!L96+Siskiyou!L96+Sierra!L96+Shasta!L96+Sequoias!L96+'Santa Monica'!L96+'Santa Clarita'!L96+'Santa Barbara'!L96+'San Mateo'!L96+SLO!L96+SJE!L96+'San Joaquin Delta'!L96+'San Francisco'!L96+'San Diego'!L96+'San Bernadino'!L96+Riverside!L96+'Rio Hondo'!L96+Redwoods!L96+'Rancho Santiago'!L96+Peralta!L96+Pasadena!L96+Palomar!L96+'Palo Verde'!L96+Ohlone!L96+'No Orange'!L96+Napa!L96+'Mt San Jacinto'!L96+'Mt SAC'!L96+Monterey!L96+Miracosta!L96+Merced!L96+Mendocino!L96+Marin!L96+'Los Rios'!L96+'Los Angeles'!L96+'Long Beach'!L96+Lassen!L96+'Lake Tahoe'!L96+Kern!L96+Imperial!L96+Hartnell!L96+Grossmont!L96+Glendale!L96+Gavilan!L96+Foothill!L96+Feather!L96+'El Camino'!L96+Desert!L96+'Copper Mtn'!L96+'Contra Costa'!L96+Compton!L96+Coast!L96+Citrus!L96+Chaffey!L96+Chabot!L96+Cerritos!L96+Cabrillo!L96+Butte!L96+Barstow!L96+Antelope!L96+'Allan Hancock'!L96</f>
        <v>73335033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64">
        <f>+Yuba!E97+Yosemite!E97+'West Valley'!E97+'West Kern'!E97+'West Hills'!E97+'Victor Valley'!E97+Ventura!E97+'State Ctr'!E97+Southwestern!E97+'So Orange'!E97+Sonoma!E97+Solano!E97+Siskiyou!E97+Sierra!E97+Shasta!E97+Sequoias!E97+'Santa Monica'!E97+'Santa Clarita'!E97+'Santa Barbara'!E97+'San Mateo'!E97+SLO!E97+SJE!E97+'San Joaquin Delta'!E97+'San Francisco'!E97+'San Diego'!E97+'San Bernadino'!E97+Riverside!E97+'Rio Hondo'!E97+Redwoods!E97+'Rancho Santiago'!E97+Peralta!E97+Pasadena!E97+Palomar!E97+'Palo Verde'!E97+Ohlone!E97+'No Orange'!E97+Napa!E97+'Mt San Jacinto'!E97+'Mt SAC'!E97+Monterey!E97+Miracosta!E97+Merced!E97+Mendocino!E97+Marin!E97+'Los Rios'!E97+'Los Angeles'!E97+'Long Beach'!E97+Lassen!E97+'Lake Tahoe'!E97+Kern!E97+Imperial!E97+Hartnell!E97+Grossmont!E97+Glendale!E97+Gavilan!E97+Foothill!E97+Feather!E97+'El Camino'!E97+Desert!E97+'Copper Mtn'!E97+'Contra Costa'!E97+Compton!E97+Coast!E97+Citrus!E97+Chaffey!E97+Chabot!E97+Cerritos!E97+Cabrillo!E97+Butte!E97+Barstow!E97+Antelope!E97+'Allan Hancock'!E97</f>
        <v>-3813394.9340199539</v>
      </c>
      <c r="F97" s="175"/>
      <c r="G97" s="212" t="s">
        <v>4</v>
      </c>
      <c r="H97" s="229" t="s">
        <v>346</v>
      </c>
      <c r="I97" s="175"/>
      <c r="J97" s="175"/>
      <c r="K97" s="175"/>
      <c r="L97" s="264">
        <f>+Yuba!L97+Yosemite!L97+'West Valley'!L97+'West Kern'!L97+'West Hills'!L97+'Victor Valley'!L97+Ventura!L97+'State Ctr'!L97+Southwestern!L97+'So Orange'!L97+Sonoma!L97+Solano!L97+Siskiyou!L97+Sierra!L97+Shasta!L97+Sequoias!L97+'Santa Monica'!L97+'Santa Clarita'!L97+'Santa Barbara'!L97+'San Mateo'!L97+SLO!L97+SJE!L97+'San Joaquin Delta'!L97+'San Francisco'!L97+'San Diego'!L97+'San Bernadino'!L97+Riverside!L97+'Rio Hondo'!L97+Redwoods!L97+'Rancho Santiago'!L97+Peralta!L97+Pasadena!L97+Palomar!L97+'Palo Verde'!L97+Ohlone!L97+'No Orange'!L97+Napa!L97+'Mt San Jacinto'!L97+'Mt SAC'!L97+Monterey!L97+Miracosta!L97+Merced!L97+Mendocino!L97+Marin!L97+'Los Rios'!L97+'Los Angeles'!L97+'Long Beach'!L97+Lassen!L97+'Lake Tahoe'!L97+Kern!L97+Imperial!L97+Hartnell!L97+Grossmont!L97+Glendale!L97+Gavilan!L97+Foothill!L97+Feather!L97+'El Camino'!L97+Desert!L97+'Copper Mtn'!L97+'Contra Costa'!L97+Compton!L97+Coast!L97+Citrus!L97+Chaffey!L97+Chabot!L97+Cerritos!L97+Cabrillo!L97+Butte!L97+Barstow!L97+Antelope!L97+'Allan Hancock'!L97</f>
        <v>24252734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64">
        <f>+Yuba!L98+Yosemite!L98+'West Valley'!L98+'West Kern'!L98+'West Hills'!L98+'Victor Valley'!L98+Ventura!L98+'State Ctr'!L98+Southwestern!L98+'So Orange'!L98+Sonoma!L98+Solano!L98+Siskiyou!L98+Sierra!L98+Shasta!L98+Sequoias!L98+'Santa Monica'!L98+'Santa Clarita'!L98+'Santa Barbara'!L98+'San Mateo'!L98+SLO!L98+SJE!L98+'San Joaquin Delta'!L98+'San Francisco'!L98+'San Diego'!L98+'San Bernadino'!L98+Riverside!L98+'Rio Hondo'!L98+Redwoods!L98+'Rancho Santiago'!L98+Peralta!L98+Pasadena!L98+Palomar!L98+'Palo Verde'!L98+Ohlone!L98+'No Orange'!L98+Napa!L98+'Mt San Jacinto'!L98+'Mt SAC'!L98+Monterey!L98+Miracosta!L98+Merced!L98+Mendocino!L98+Marin!L98+'Los Rios'!L98+'Los Angeles'!L98+'Long Beach'!L98+Lassen!L98+'Lake Tahoe'!L98+Kern!L98+Imperial!L98+Hartnell!L98+Grossmont!L98+Glendale!L98+Gavilan!L98+Foothill!L98+Feather!L98+'El Camino'!L98+Desert!L98+'Copper Mtn'!L98+'Contra Costa'!L98+Compton!L98+Coast!L98+Citrus!L98+Chaffey!L98+Chabot!L98+Cerritos!L98+Cabrillo!L98+Butte!L98+Barstow!L98+Antelope!L98+'Allan Hancock'!L98</f>
        <v>18735537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125121947.87810999</v>
      </c>
      <c r="G99" s="176"/>
      <c r="H99" s="174" t="s">
        <v>16</v>
      </c>
      <c r="I99" s="175"/>
      <c r="J99" s="175"/>
      <c r="K99" s="175"/>
      <c r="L99" s="203">
        <f>SUM(L96:L98)</f>
        <v>116323304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7</v>
      </c>
      <c r="C110" s="242">
        <f>G36</f>
        <v>20</v>
      </c>
      <c r="D110" s="242">
        <f>G35</f>
        <v>25</v>
      </c>
      <c r="E110" s="243">
        <f>G38</f>
        <v>11</v>
      </c>
      <c r="F110" s="242"/>
      <c r="G110" s="242">
        <f>H37</f>
        <v>3</v>
      </c>
      <c r="H110" s="242">
        <f>H36</f>
        <v>26</v>
      </c>
      <c r="I110" s="242">
        <f>H35</f>
        <v>34</v>
      </c>
      <c r="J110" s="244">
        <f>SUM(B110:D110,G110:I110)</f>
        <v>115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39694319</v>
      </c>
      <c r="C113" s="247">
        <f>C107*C110</f>
        <v>90729860</v>
      </c>
      <c r="D113" s="247">
        <f>D107*D110</f>
        <v>85059250</v>
      </c>
      <c r="E113" s="248">
        <f>E107*E110</f>
        <v>6237682</v>
      </c>
      <c r="F113" s="247"/>
      <c r="G113" s="247">
        <f>G107*G110</f>
        <v>13609479</v>
      </c>
      <c r="H113" s="247">
        <f>H107*H110</f>
        <v>103205232</v>
      </c>
      <c r="I113" s="247">
        <f>I107*I110</f>
        <v>115680580</v>
      </c>
      <c r="J113" s="242">
        <f>SUM(B113:I113)</f>
        <v>454216402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34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38560182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22</v>
      </c>
      <c r="C124" s="250">
        <f>J37</f>
        <v>1</v>
      </c>
      <c r="D124" s="252">
        <f>J38</f>
        <v>3</v>
      </c>
      <c r="E124" s="252">
        <f>J39</f>
        <v>9</v>
      </c>
      <c r="F124" s="252">
        <f>J40</f>
        <v>2</v>
      </c>
      <c r="G124" s="244"/>
      <c r="H124" s="183">
        <f>SUM(B124:F124)</f>
        <v>37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24950706</v>
      </c>
      <c r="C127" s="238">
        <f>C121*C124</f>
        <v>850592</v>
      </c>
      <c r="D127" s="238">
        <f>D121*D124</f>
        <v>1701186</v>
      </c>
      <c r="E127" s="238">
        <f>E121*E124</f>
        <v>2551779</v>
      </c>
      <c r="F127" s="238">
        <f>F121*F124</f>
        <v>283530</v>
      </c>
      <c r="G127" s="169"/>
      <c r="H127" s="253">
        <f>SUM(B127:F127)</f>
        <v>30337793</v>
      </c>
      <c r="I127" s="169"/>
      <c r="J127" s="251">
        <f>H118+H127</f>
        <v>68897975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71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523114377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116323304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95321465.151744634</v>
      </c>
      <c r="E141" s="101">
        <f>(L58-E58)*D58</f>
        <v>-1807886.6583790439</v>
      </c>
      <c r="F141" s="101">
        <f>ROUND(D141+E141,0)</f>
        <v>93513578</v>
      </c>
      <c r="G141" s="145">
        <f>IF(E59&gt;0,0,O168)</f>
        <v>0</v>
      </c>
      <c r="H141" s="101">
        <f>(L59-E59)*D59</f>
        <v>-13939453.586485391</v>
      </c>
      <c r="I141" s="101">
        <f>ROUND(D141+E141+H141,2)</f>
        <v>79574124.909999996</v>
      </c>
      <c r="J141" s="113">
        <f>I144+I145+I150+I151+I162+I163+I156+I157+I168</f>
        <v>79574124.909484595</v>
      </c>
      <c r="K141" s="113"/>
      <c r="O141" s="146">
        <f>F141+G141</f>
        <v>93513578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64986.510000000009</v>
      </c>
      <c r="M145" s="81"/>
      <c r="N145" s="81"/>
      <c r="O145" s="104">
        <f>D138/(D141+O168)*D141</f>
        <v>56867434.828416824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35086.287000000018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64986.510000000009</v>
      </c>
      <c r="M151" s="81"/>
      <c r="N151" s="81"/>
      <c r="O151" s="104">
        <f>D138/(D141+O168)*D141</f>
        <v>56867434.828416824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35086.287000000018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139343131.71665639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79574124.907395601</v>
      </c>
      <c r="E163" s="112">
        <f>IF(OR(D138=0,I141&lt;=0,E141=0,E59=0),0,IF(AND(E141&lt;0,I141&lt;D138),0,0))</f>
        <v>0</v>
      </c>
      <c r="F163" s="112">
        <f>D163+E163</f>
        <v>79574124.907395601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79574124.909999996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16846.085859672148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636.48299999997835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15747340.244349033</v>
      </c>
      <c r="E168" s="134">
        <f>IF(I141&lt;0,0,IF(AND(E59=0,I141&gt;=0),E141-E144-E145-E150-E151,IF(AND(E59&gt;0,I141&gt;=0),E141-E156-E157-E162-E163,0)))</f>
        <v>-1807886.6583790439</v>
      </c>
      <c r="F168" s="134"/>
      <c r="G168" s="134"/>
      <c r="H168" s="134">
        <f>IF(I141&lt;0,0,IF(AND(E59=0,I141&gt;=0),H141-H144-H145-H150-H151,IF(AND(E59&gt;0,I141&gt;=0),H141-H156-H157-H162-H163,0)))</f>
        <v>-13939453.586485391</v>
      </c>
      <c r="I168" s="101">
        <f>IF(I141&gt;0,D168+E168+H168,0)</f>
        <v>-5.1540322601795197E-4</v>
      </c>
      <c r="L168" s="111"/>
      <c r="M168" s="111"/>
      <c r="N168" s="111"/>
      <c r="O168" s="113">
        <f>L147*D58</f>
        <v>99660211.12796402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3333.7601403282192</v>
      </c>
      <c r="E169" s="8">
        <f>IF(E168=0,0,IF(I141&lt;0,0,L58-H58-E58))</f>
        <v>-1458.7238310060529</v>
      </c>
      <c r="F169" s="8"/>
      <c r="G169" s="8"/>
      <c r="H169" s="8">
        <f>IF(AND(E59=0,H141-I145=0),0,IF(I141&lt;0,0,IF(E59=0,(H168)/D59,IF(E59&gt;0,(H141-H156-H157-H162-H163)/D59,0))))</f>
        <v>-2951.0250000000087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79574124.909484595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-636.48299999998198</v>
      </c>
      <c r="F171" s="101"/>
      <c r="G171" s="101"/>
      <c r="H171" s="101"/>
      <c r="I171" s="136" t="s">
        <v>283</v>
      </c>
      <c r="J171" s="103">
        <f>I144+I145+I168</f>
        <v>-5.1540322601795197E-4</v>
      </c>
      <c r="K171" s="103"/>
      <c r="L171" s="103">
        <f>L147+O167</f>
        <v>35722.769999999997</v>
      </c>
      <c r="M171" s="103"/>
      <c r="N171" s="103"/>
      <c r="O171" s="115">
        <f>O167*D58+L147*D59+O167*487.11</f>
        <v>167851412.81876504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310037.23412998946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310037.23361458624</v>
      </c>
      <c r="M173" s="103"/>
      <c r="N173" s="103"/>
      <c r="O173" s="103">
        <f>L147*3232.0676</f>
        <v>113401251.41700125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1747118.9754173406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310037.23412998946</v>
      </c>
      <c r="O175" s="103">
        <f>O173+O174</f>
        <v>115148370.39241859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95321465.151744634</v>
      </c>
      <c r="E177" s="107">
        <f>E144+E145+E150+E151+E162+E163+E156+E157+E168</f>
        <v>-1807886.6583790439</v>
      </c>
      <c r="F177" s="107"/>
      <c r="G177" s="107"/>
      <c r="H177" s="107">
        <f>H144+H145+H156+H157+H168</f>
        <v>-13939453.586485391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-17484128.759547081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-393247.49897707062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95321465.151744634</v>
      </c>
      <c r="E180" s="101">
        <f>E141</f>
        <v>-1807886.6583790439</v>
      </c>
      <c r="F180" s="101"/>
      <c r="G180" s="101">
        <f>G141</f>
        <v>0</v>
      </c>
      <c r="H180" s="101">
        <f>H141</f>
        <v>-13939453.586485391</v>
      </c>
      <c r="I180" s="101">
        <f>I141</f>
        <v>79574124.909999996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10715.29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180.86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0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9836.5400000000009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185.96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0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24024401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4178293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0.98778356190000005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1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2.6200000000000001E-2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2.53E-2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10715.29</v>
      </c>
      <c r="F57" s="190"/>
      <c r="G57" s="191">
        <f>D169</f>
        <v>0</v>
      </c>
      <c r="H57" s="190">
        <f>IF(AND(E141&lt;0,E59&gt;0),D159+D165,IF(AND(E141&gt;0,E59&gt;0),D158+D164,IF(AND(E141&gt;0,E59=0),D146+D152,D147+D153)))</f>
        <v>0</v>
      </c>
      <c r="I57" s="191">
        <f>D172</f>
        <v>-878.75</v>
      </c>
      <c r="J57" s="190">
        <f>SUM(E57:I57)</f>
        <v>9836.5400000000009</v>
      </c>
      <c r="K57" s="190">
        <f>IF((+L57-J57)&gt;0,(L57-J57),0)</f>
        <v>0</v>
      </c>
      <c r="L57" s="192">
        <f>I15</f>
        <v>9836.5400000000009</v>
      </c>
      <c r="M57" s="102"/>
      <c r="N57" s="102"/>
      <c r="O57" s="102">
        <f>E57+H57+G57</f>
        <v>10715.29</v>
      </c>
      <c r="P57" s="108">
        <f>L57-E57</f>
        <v>-878.75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180.86</v>
      </c>
      <c r="F58" s="190"/>
      <c r="G58" s="191">
        <f>E169</f>
        <v>0</v>
      </c>
      <c r="H58" s="190">
        <f>IF(AND(E141&lt;0,E59&gt;0),E159+E165,IF(AND(E141&gt;=0,E59&gt;0),E158+E164,IF(AND(E141&gt;=0,E59=0),E146+E152,E147+E153)))</f>
        <v>0</v>
      </c>
      <c r="I58" s="191">
        <f>E172</f>
        <v>5.0999999999999943</v>
      </c>
      <c r="J58" s="190">
        <f>E58+H58+G58+I58</f>
        <v>185.96</v>
      </c>
      <c r="K58" s="190">
        <f>IF((+L58-J58)&gt;0,(L58-J58),0)</f>
        <v>0</v>
      </c>
      <c r="L58" s="192">
        <f>I16</f>
        <v>185.96</v>
      </c>
      <c r="M58" s="102"/>
      <c r="N58" s="102"/>
      <c r="O58" s="102">
        <f>IF(E59=0,J58+J59,J58)</f>
        <v>185.96</v>
      </c>
      <c r="P58" s="108">
        <f>L58+L59-E58</f>
        <v>5.0999999999999943</v>
      </c>
      <c r="Q58" s="1">
        <f>L59*466-(P58)*487.11</f>
        <v>-2484.2609999999972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0</v>
      </c>
      <c r="F59" s="190"/>
      <c r="G59" s="191">
        <f>H169</f>
        <v>0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0</v>
      </c>
      <c r="K59" s="190">
        <f>IF((+L59-J59)&gt;0,(L59-J59),0)</f>
        <v>0</v>
      </c>
      <c r="L59" s="192">
        <f>I17</f>
        <v>0</v>
      </c>
      <c r="M59" s="102"/>
      <c r="N59" s="102"/>
      <c r="O59" s="102">
        <f>IF(E59=0,L58+L59,L59)</f>
        <v>185.96</v>
      </c>
      <c r="P59" s="108">
        <f>L59-E59</f>
        <v>0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10896.150000000001</v>
      </c>
      <c r="F61" s="190"/>
      <c r="G61" s="190">
        <f>SUM(G57:G60)</f>
        <v>0</v>
      </c>
      <c r="H61" s="190">
        <f>SUM(H57:H60)</f>
        <v>0</v>
      </c>
      <c r="I61" s="190">
        <f>SUM(I57:I59)</f>
        <v>-873.65</v>
      </c>
      <c r="J61" s="190">
        <f>SUM(J57:J60)</f>
        <v>10022.5</v>
      </c>
      <c r="K61" s="190">
        <f>SUM(K57:K60)</f>
        <v>0</v>
      </c>
      <c r="L61" s="192">
        <f>SUM(L57:L60)</f>
        <v>10022.5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0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5670616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4136374.8839310003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50612190.419007525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543673</v>
      </c>
      <c r="M66" s="163"/>
      <c r="N66" s="163"/>
      <c r="O66" s="152">
        <f>L66/487.11</f>
        <v>1116.1195623165199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2503640</v>
      </c>
      <c r="M67" s="163"/>
      <c r="N67" s="163"/>
      <c r="O67" s="13"/>
      <c r="P67" s="139">
        <f>I57*D57</f>
        <v>-4150861.0869525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50612190.419007525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14486.203021499985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50103656.935467541</v>
      </c>
      <c r="F69" s="202"/>
      <c r="G69" s="176"/>
      <c r="H69" s="174" t="s">
        <v>27</v>
      </c>
      <c r="I69" s="175"/>
      <c r="J69" s="175"/>
      <c r="K69" s="175"/>
      <c r="L69" s="203">
        <f>SUM(L65:L67)</f>
        <v>3047313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508533.48353998002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-4136374.8839310003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0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4136374.8839310003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-4094609.8484232002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59904204.059535287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52188196.570584327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24024401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532319.6050199602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52720516.175604284</v>
      </c>
      <c r="G79" s="176" t="s">
        <v>29</v>
      </c>
      <c r="H79" s="175" t="s">
        <v>14</v>
      </c>
      <c r="I79" s="175"/>
      <c r="J79" s="175"/>
      <c r="K79" s="175"/>
      <c r="L79" s="213">
        <f>I23</f>
        <v>4178293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21797750.058712211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9171944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0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59172388.058712214</v>
      </c>
      <c r="M83" s="86"/>
      <c r="N83" s="86"/>
      <c r="O83" s="107">
        <f>G58*D58</f>
        <v>0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0.98778356190000005</v>
      </c>
      <c r="K84" s="175"/>
      <c r="L84" s="210">
        <f>+(1-J84)*L73</f>
        <v>731816.00082307844</v>
      </c>
      <c r="M84" s="65"/>
      <c r="N84" s="65"/>
      <c r="O84" s="143">
        <f>G59*D59</f>
        <v>0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59904204.059535295</v>
      </c>
      <c r="M85" s="86"/>
      <c r="N85" s="86"/>
      <c r="O85" s="107">
        <f>SUM(O82:O84)</f>
        <v>0</v>
      </c>
      <c r="P85" s="103">
        <f>I168+G174</f>
        <v>0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21797750.058712211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2.6200000000000001E-2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2.53E-2</v>
      </c>
      <c r="F92" s="175"/>
      <c r="G92" s="176"/>
      <c r="H92" s="174" t="s">
        <v>70</v>
      </c>
      <c r="I92" s="175"/>
      <c r="J92" s="175"/>
      <c r="K92" s="175"/>
      <c r="L92" s="210">
        <f>+L88-L91</f>
        <v>21797750.058712211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1293549.40410859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0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0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0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0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0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1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1134123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1134123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1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5670616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-4150861.0869525</v>
      </c>
      <c r="E141" s="101">
        <f>(L58-E58)*D58</f>
        <v>14486.203021499985</v>
      </c>
      <c r="F141" s="101">
        <f>ROUND(D141+E141,0)</f>
        <v>-4136375</v>
      </c>
      <c r="G141" s="145">
        <f>IF(E59&gt;0,0,O168)</f>
        <v>0</v>
      </c>
      <c r="H141" s="101">
        <f>(L59-E59)*D59</f>
        <v>0</v>
      </c>
      <c r="I141" s="101">
        <f>ROUND(D141+E141+H141,2)</f>
        <v>-4136374.88</v>
      </c>
      <c r="J141" s="113">
        <f>I144+I145+I150+I151+I162+I163+I156+I157+I168</f>
        <v>0</v>
      </c>
      <c r="K141" s="113"/>
      <c r="O141" s="146">
        <f>F141+G141</f>
        <v>-4136375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185.96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0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185.96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5.0999999999999943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0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0</v>
      </c>
      <c r="E168" s="134">
        <f>IF(I141&lt;0,0,IF(AND(E59=0,I141&gt;=0),E141-E144-E145-E150-E151,IF(AND(E59&gt;0,I141&gt;=0),E141-E156-E157-E162-E163,0)))</f>
        <v>0</v>
      </c>
      <c r="F168" s="134"/>
      <c r="G168" s="134"/>
      <c r="H168" s="134">
        <f>IF(I141&lt;0,0,IF(AND(E59=0,I141&gt;=0),H141-H144-H145-H150-H151,IF(AND(E59&gt;0,I141&gt;=0),H141-H156-H157-H162-H163,0)))</f>
        <v>0</v>
      </c>
      <c r="I168" s="101">
        <f>IF(I141&gt;0,D168+E168+H168,0)</f>
        <v>0</v>
      </c>
      <c r="L168" s="111"/>
      <c r="M168" s="111"/>
      <c r="N168" s="111"/>
      <c r="O168" s="113">
        <f>L147*D58</f>
        <v>0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0</v>
      </c>
      <c r="E169" s="8">
        <f>IF(E168=0,0,IF(I141&lt;0,0,L58-H58-E58))</f>
        <v>0</v>
      </c>
      <c r="F169" s="8"/>
      <c r="G169" s="8"/>
      <c r="H169" s="8">
        <f>IF(AND(E59=0,H141-I145=0),0,IF(I141&lt;0,0,IF(E59=0,(H168)/D59,IF(E59&gt;0,(H141-H156-H157-H162-H163)/D59,0))))</f>
        <v>0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0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0</v>
      </c>
      <c r="F171" s="101"/>
      <c r="G171" s="101"/>
      <c r="H171" s="101"/>
      <c r="I171" s="136" t="s">
        <v>283</v>
      </c>
      <c r="J171" s="103">
        <f>I144+I145+I168</f>
        <v>0</v>
      </c>
      <c r="K171" s="103"/>
      <c r="L171" s="103">
        <f>L147+O167</f>
        <v>0</v>
      </c>
      <c r="M171" s="103"/>
      <c r="N171" s="103"/>
      <c r="O171" s="115">
        <f>O167*D58+L147*D59+O167*487.11</f>
        <v>0</v>
      </c>
    </row>
    <row r="172" spans="1:16">
      <c r="A172" s="23"/>
      <c r="B172" s="2" t="s">
        <v>247</v>
      </c>
      <c r="D172" s="8">
        <f>IF(I141&lt;0,D141/D57,0)</f>
        <v>-878.75</v>
      </c>
      <c r="E172" s="8">
        <f>IF(I141&lt;0,E141/D58,0)</f>
        <v>5.0999999999999943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4136374.8839310003</v>
      </c>
      <c r="J172" s="103"/>
      <c r="K172" s="103"/>
      <c r="L172" s="119">
        <f>O167*487.11</f>
        <v>0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0</v>
      </c>
      <c r="M173" s="103"/>
      <c r="N173" s="103"/>
      <c r="O173" s="103">
        <f>L147*3232.0676</f>
        <v>0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0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0</v>
      </c>
      <c r="O175" s="103">
        <f>O173+O174</f>
        <v>0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0</v>
      </c>
      <c r="E177" s="107">
        <f>E144+E145+E150+E151+E162+E163+E156+E157+E168</f>
        <v>0</v>
      </c>
      <c r="F177" s="107"/>
      <c r="G177" s="107"/>
      <c r="H177" s="107">
        <f>H144+H145+H156+H157+H168</f>
        <v>0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0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0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-4150861.0869525</v>
      </c>
      <c r="E180" s="101">
        <f>E141</f>
        <v>14486.203021499985</v>
      </c>
      <c r="F180" s="101"/>
      <c r="G180" s="101">
        <f>G141</f>
        <v>0</v>
      </c>
      <c r="H180" s="101">
        <f>H141</f>
        <v>0</v>
      </c>
      <c r="I180" s="101">
        <f>I141</f>
        <v>-4136374.88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A96" zoomScale="110" zoomScaleNormal="110" zoomScalePageLayoutView="110" workbookViewId="0">
      <selection activeCell="L71" sqref="L71"/>
    </sheetView>
  </sheetViews>
  <sheetFormatPr baseColWidth="10" defaultColWidth="9.1640625" defaultRowHeight="10" x14ac:dyDescent="0"/>
  <cols>
    <col min="1" max="1" width="2.5" style="1" customWidth="1"/>
    <col min="2" max="2" width="13" style="1" customWidth="1"/>
    <col min="3" max="5" width="11.6640625" style="1" customWidth="1"/>
    <col min="6" max="6" width="9.5" style="1" customWidth="1"/>
    <col min="7" max="7" width="10.83203125" style="7" customWidth="1"/>
    <col min="8" max="8" width="12.6640625" style="1" customWidth="1"/>
    <col min="9" max="11" width="10.6640625" style="1" customWidth="1"/>
    <col min="12" max="14" width="10.33203125" style="1" customWidth="1"/>
    <col min="15" max="15" width="11" style="1" customWidth="1"/>
    <col min="16" max="16384" width="9.1640625" style="1"/>
  </cols>
  <sheetData>
    <row r="1" spans="1:14" ht="16.5" customHeight="1">
      <c r="D1" s="2"/>
      <c r="E1" s="43" t="s">
        <v>72</v>
      </c>
      <c r="F1" s="43"/>
    </row>
    <row r="2" spans="1:14" ht="11.25" customHeight="1">
      <c r="A2" s="23"/>
      <c r="B2" s="23"/>
      <c r="C2" s="23"/>
      <c r="D2" s="23"/>
      <c r="E2" s="23"/>
      <c r="F2" s="23"/>
      <c r="G2" s="157"/>
      <c r="H2" s="23"/>
      <c r="I2" s="23"/>
      <c r="J2" s="23"/>
      <c r="K2" s="23"/>
      <c r="L2" s="23"/>
      <c r="M2" s="23"/>
      <c r="N2" s="23"/>
    </row>
    <row r="3" spans="1:14" ht="11.25" customHeight="1">
      <c r="A3" s="23"/>
      <c r="B3" s="23"/>
      <c r="C3" s="36" t="s">
        <v>370</v>
      </c>
      <c r="D3" s="23"/>
      <c r="E3" s="23"/>
      <c r="F3" s="23"/>
      <c r="G3" s="157"/>
      <c r="H3" s="23"/>
      <c r="I3" s="23"/>
      <c r="J3" s="23"/>
      <c r="K3" s="23"/>
      <c r="L3" s="23"/>
      <c r="M3" s="23"/>
      <c r="N3" s="23"/>
    </row>
    <row r="4" spans="1:14" ht="11.25" customHeight="1">
      <c r="A4" s="23"/>
      <c r="B4" s="23"/>
      <c r="C4" s="36" t="s">
        <v>371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1.25" customHeight="1">
      <c r="A5" s="23"/>
      <c r="B5" s="23"/>
      <c r="C5" s="23" t="s">
        <v>217</v>
      </c>
    </row>
    <row r="6" spans="1:14" ht="11.25" customHeight="1">
      <c r="A6" s="23"/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>
      <c r="A7" s="23"/>
      <c r="B7" s="47" t="s">
        <v>81</v>
      </c>
      <c r="C7" s="24" t="s">
        <v>218</v>
      </c>
      <c r="D7" s="23"/>
      <c r="E7" s="23"/>
      <c r="F7" s="23"/>
      <c r="G7" s="157"/>
      <c r="H7" s="23"/>
      <c r="I7" s="23"/>
      <c r="J7" s="23"/>
      <c r="K7" s="23"/>
      <c r="L7" s="23"/>
      <c r="M7" s="23"/>
      <c r="N7" s="23"/>
    </row>
    <row r="8" spans="1:14" ht="11.25" customHeight="1">
      <c r="A8" s="23"/>
      <c r="B8" s="23"/>
      <c r="C8" s="23"/>
      <c r="D8" s="23"/>
      <c r="E8" s="23"/>
      <c r="F8" s="23"/>
      <c r="G8" s="157"/>
      <c r="H8" s="23"/>
      <c r="I8" s="35" t="s">
        <v>79</v>
      </c>
      <c r="J8" s="23"/>
      <c r="K8" s="23"/>
      <c r="L8" s="23"/>
      <c r="M8" s="23"/>
      <c r="N8" s="23"/>
    </row>
    <row r="9" spans="1:14" ht="11.25" customHeight="1">
      <c r="A9" s="40">
        <v>1</v>
      </c>
      <c r="B9" s="23" t="s">
        <v>85</v>
      </c>
      <c r="C9" s="23" t="s">
        <v>219</v>
      </c>
      <c r="D9" s="23"/>
      <c r="E9" s="23"/>
      <c r="F9" s="23"/>
      <c r="G9" s="157"/>
      <c r="H9" s="23"/>
      <c r="I9" s="23"/>
      <c r="J9" s="23"/>
      <c r="K9" s="23"/>
      <c r="L9" s="23"/>
      <c r="M9" s="23"/>
      <c r="N9" s="23"/>
    </row>
    <row r="10" spans="1:14" ht="11.25" customHeight="1">
      <c r="A10" s="40"/>
      <c r="B10" s="23"/>
      <c r="C10" s="23" t="s">
        <v>220</v>
      </c>
      <c r="D10" s="23"/>
      <c r="E10" s="23"/>
      <c r="F10" s="23"/>
      <c r="G10" s="157"/>
      <c r="H10" s="23"/>
      <c r="I10" s="109">
        <v>16769.145</v>
      </c>
      <c r="J10" s="23" t="s">
        <v>86</v>
      </c>
      <c r="K10" s="23"/>
      <c r="L10" s="23"/>
      <c r="M10" s="23"/>
      <c r="N10" s="23"/>
    </row>
    <row r="11" spans="1:14" ht="11.25" customHeight="1">
      <c r="A11" s="40"/>
      <c r="B11" s="23"/>
      <c r="C11" s="36" t="s">
        <v>291</v>
      </c>
      <c r="D11" s="23"/>
      <c r="E11" s="23"/>
      <c r="F11" s="23"/>
      <c r="G11" s="157"/>
      <c r="H11" s="23"/>
      <c r="I11" s="118">
        <v>346.23</v>
      </c>
      <c r="J11" s="23" t="s">
        <v>87</v>
      </c>
      <c r="K11" s="23"/>
      <c r="L11" s="23"/>
      <c r="M11" s="23"/>
      <c r="N11" s="23"/>
    </row>
    <row r="12" spans="1:14" ht="11.25" customHeight="1">
      <c r="A12" s="40"/>
      <c r="B12" s="23"/>
      <c r="C12" s="23"/>
      <c r="D12" s="23"/>
      <c r="E12" s="23"/>
      <c r="F12" s="23"/>
      <c r="G12" s="157"/>
      <c r="H12" s="23"/>
      <c r="I12" s="45">
        <v>125.51</v>
      </c>
      <c r="J12" s="23" t="s">
        <v>91</v>
      </c>
      <c r="K12" s="23"/>
      <c r="L12" s="23"/>
      <c r="M12" s="23"/>
      <c r="N12" s="23"/>
    </row>
    <row r="13" spans="1:14" ht="11.25" customHeight="1">
      <c r="A13" s="40"/>
      <c r="B13" s="23"/>
      <c r="C13" s="23"/>
      <c r="D13" s="23"/>
      <c r="E13" s="23"/>
      <c r="F13" s="23"/>
      <c r="G13" s="157"/>
      <c r="H13" s="23"/>
      <c r="I13" s="157"/>
      <c r="J13" s="23"/>
      <c r="K13" s="23"/>
      <c r="L13" s="23"/>
      <c r="M13" s="23"/>
      <c r="N13" s="23"/>
    </row>
    <row r="14" spans="1:14" ht="11.25" customHeight="1">
      <c r="G14" s="1"/>
    </row>
    <row r="15" spans="1:14" ht="11.25" customHeight="1">
      <c r="A15" s="40">
        <v>2</v>
      </c>
      <c r="B15" s="36" t="s">
        <v>222</v>
      </c>
      <c r="C15" s="36" t="s">
        <v>353</v>
      </c>
      <c r="D15" s="23"/>
      <c r="E15" s="23"/>
      <c r="F15" s="23"/>
      <c r="G15" s="157"/>
      <c r="H15" s="23"/>
      <c r="I15" s="109">
        <v>17704.490000000002</v>
      </c>
      <c r="J15" s="23" t="s">
        <v>86</v>
      </c>
      <c r="K15" s="23"/>
      <c r="L15" s="23"/>
      <c r="M15" s="23"/>
      <c r="N15" s="23"/>
    </row>
    <row r="16" spans="1:14" ht="11.25" customHeight="1">
      <c r="A16" s="40"/>
      <c r="B16" s="36" t="s">
        <v>223</v>
      </c>
      <c r="C16" s="36" t="s">
        <v>352</v>
      </c>
      <c r="D16" s="23"/>
      <c r="E16" s="23"/>
      <c r="F16" s="23"/>
      <c r="G16" s="157"/>
      <c r="H16" s="23"/>
      <c r="I16" s="109">
        <v>254.41</v>
      </c>
      <c r="J16" s="23" t="s">
        <v>87</v>
      </c>
      <c r="K16" s="23"/>
      <c r="L16" s="42"/>
      <c r="M16" s="42"/>
      <c r="N16" s="42"/>
    </row>
    <row r="17" spans="1:14" ht="12" customHeight="1">
      <c r="A17" s="2"/>
      <c r="C17" s="99"/>
      <c r="D17" s="36"/>
      <c r="E17" s="36"/>
      <c r="F17" s="36"/>
      <c r="G17" s="36"/>
      <c r="H17" s="23"/>
      <c r="I17" s="109">
        <v>172.45</v>
      </c>
      <c r="J17" s="23" t="s">
        <v>91</v>
      </c>
      <c r="K17" s="23"/>
      <c r="L17" s="42"/>
      <c r="M17" s="42"/>
      <c r="N17" s="42"/>
    </row>
    <row r="18" spans="1:14">
      <c r="G18" s="1"/>
      <c r="J18" s="23"/>
      <c r="K18" s="23"/>
      <c r="L18" s="23"/>
      <c r="M18" s="23"/>
      <c r="N18" s="23"/>
    </row>
    <row r="19" spans="1:14">
      <c r="A19" s="41">
        <v>3</v>
      </c>
      <c r="B19" s="23" t="s">
        <v>73</v>
      </c>
      <c r="C19" s="23" t="s">
        <v>221</v>
      </c>
      <c r="D19" s="23"/>
      <c r="E19" s="23"/>
      <c r="F19" s="23"/>
      <c r="G19" s="157"/>
      <c r="H19" s="23"/>
      <c r="J19" s="23"/>
      <c r="K19" s="23"/>
      <c r="L19" s="23"/>
      <c r="M19" s="23"/>
      <c r="N19" s="23"/>
    </row>
    <row r="20" spans="1:14">
      <c r="A20" s="41"/>
      <c r="B20" s="23"/>
      <c r="C20" s="36" t="s">
        <v>354</v>
      </c>
      <c r="D20" s="23"/>
      <c r="E20" s="23"/>
      <c r="F20" s="23"/>
      <c r="G20" s="157"/>
      <c r="H20" s="23"/>
      <c r="I20" s="46">
        <v>18182059</v>
      </c>
      <c r="J20" s="23"/>
      <c r="K20" s="23"/>
      <c r="L20" s="23"/>
      <c r="M20" s="23"/>
      <c r="N20" s="23"/>
    </row>
    <row r="21" spans="1:14">
      <c r="A21" s="41"/>
      <c r="B21" s="23"/>
      <c r="C21" s="23"/>
      <c r="D21" s="23"/>
      <c r="E21" s="23"/>
      <c r="F21" s="23"/>
      <c r="G21" s="157"/>
      <c r="H21" s="23"/>
      <c r="I21" s="36"/>
      <c r="J21" s="23"/>
      <c r="K21" s="23"/>
      <c r="L21" s="23"/>
      <c r="M21" s="23"/>
      <c r="N21" s="23"/>
    </row>
    <row r="22" spans="1:14">
      <c r="A22" s="41">
        <v>4</v>
      </c>
      <c r="B22" s="23" t="s">
        <v>74</v>
      </c>
      <c r="C22" s="23" t="s">
        <v>191</v>
      </c>
      <c r="D22" s="23"/>
      <c r="E22" s="23"/>
      <c r="F22" s="23"/>
      <c r="G22" s="157"/>
      <c r="H22" s="23"/>
      <c r="J22" s="23"/>
      <c r="K22" s="23"/>
      <c r="L22" s="23"/>
      <c r="M22" s="23"/>
      <c r="N22" s="23"/>
    </row>
    <row r="23" spans="1:14">
      <c r="B23" s="23"/>
      <c r="C23" s="36" t="s">
        <v>355</v>
      </c>
      <c r="D23" s="23"/>
      <c r="E23" s="23"/>
      <c r="F23" s="23"/>
      <c r="G23" s="157"/>
      <c r="H23" s="23"/>
      <c r="I23" s="46">
        <v>4302979</v>
      </c>
      <c r="J23" s="23"/>
      <c r="K23" s="23"/>
      <c r="L23" s="23"/>
      <c r="M23" s="23"/>
      <c r="N23" s="23"/>
    </row>
    <row r="24" spans="1:14">
      <c r="B24" s="23"/>
      <c r="C24" s="23"/>
      <c r="D24" s="23"/>
      <c r="E24" s="23"/>
      <c r="F24" s="23"/>
      <c r="G24" s="157"/>
      <c r="H24" s="23"/>
      <c r="I24" s="23"/>
      <c r="J24" s="23"/>
      <c r="K24" s="23"/>
      <c r="L24" s="23"/>
      <c r="M24" s="23"/>
      <c r="N24" s="23"/>
    </row>
    <row r="25" spans="1:14">
      <c r="D25" s="23"/>
      <c r="E25" s="23"/>
      <c r="F25" s="23"/>
      <c r="G25" s="157"/>
      <c r="H25" s="23"/>
      <c r="I25" s="23"/>
      <c r="J25" s="23"/>
      <c r="K25" s="23"/>
      <c r="L25" s="23"/>
      <c r="M25" s="23"/>
      <c r="N25" s="23"/>
    </row>
    <row r="26" spans="1:14">
      <c r="A26" s="41">
        <v>5</v>
      </c>
      <c r="B26" s="36" t="s">
        <v>356</v>
      </c>
      <c r="C26" s="23"/>
      <c r="D26" s="23"/>
      <c r="L26" s="23"/>
      <c r="M26" s="23"/>
      <c r="N26" s="23"/>
    </row>
    <row r="27" spans="1:14">
      <c r="A27" s="41"/>
      <c r="B27" s="23"/>
      <c r="C27" s="36" t="s">
        <v>357</v>
      </c>
      <c r="D27" s="23"/>
      <c r="E27" s="23"/>
      <c r="G27" s="157"/>
      <c r="I27" s="44">
        <f>+L99</f>
        <v>0</v>
      </c>
      <c r="J27" s="23"/>
      <c r="K27" s="23"/>
      <c r="L27" s="23"/>
      <c r="M27" s="23"/>
      <c r="N27" s="23"/>
    </row>
    <row r="28" spans="1:14">
      <c r="B28" s="23"/>
      <c r="C28" s="23"/>
      <c r="D28" s="23"/>
      <c r="E28" s="23"/>
      <c r="G28" s="1"/>
      <c r="I28" s="23"/>
      <c r="J28" s="23"/>
      <c r="K28" s="23"/>
      <c r="L28" s="23"/>
      <c r="M28" s="23"/>
      <c r="N28" s="23"/>
    </row>
    <row r="29" spans="1:14">
      <c r="A29" s="41">
        <v>6</v>
      </c>
      <c r="B29" s="36" t="s">
        <v>302</v>
      </c>
      <c r="C29" s="23"/>
      <c r="D29" s="23"/>
      <c r="E29" s="23"/>
      <c r="G29" s="1"/>
      <c r="H29" s="23"/>
      <c r="I29" s="147">
        <v>0.98778356219999996</v>
      </c>
      <c r="J29" s="23"/>
      <c r="K29" s="23"/>
      <c r="L29" s="23"/>
      <c r="M29" s="23"/>
      <c r="N29" s="23"/>
    </row>
    <row r="30" spans="1:14">
      <c r="A30" s="41"/>
      <c r="B30" s="23"/>
      <c r="C30" s="23"/>
      <c r="D30" s="23"/>
      <c r="E30" s="23"/>
      <c r="I30" s="23"/>
      <c r="J30" s="23"/>
      <c r="K30" s="23"/>
      <c r="L30" s="23"/>
      <c r="M30" s="23"/>
      <c r="N30" s="23"/>
    </row>
    <row r="31" spans="1:14" ht="12" customHeight="1">
      <c r="A31" s="41">
        <v>7</v>
      </c>
      <c r="B31" s="36" t="s">
        <v>304</v>
      </c>
      <c r="E31" s="23"/>
      <c r="I31" s="46">
        <v>0</v>
      </c>
      <c r="J31" s="23"/>
      <c r="K31" s="23"/>
    </row>
    <row r="32" spans="1:14">
      <c r="B32" s="23"/>
      <c r="C32" s="23"/>
      <c r="D32" s="23"/>
      <c r="E32" s="23"/>
      <c r="G32" s="1"/>
      <c r="L32" s="23"/>
      <c r="M32" s="23"/>
      <c r="N32" s="23"/>
    </row>
    <row r="33" spans="1:19" ht="11">
      <c r="A33" s="41">
        <v>8</v>
      </c>
      <c r="B33" s="23" t="s">
        <v>80</v>
      </c>
      <c r="C33" s="23" t="s">
        <v>95</v>
      </c>
      <c r="D33" s="23"/>
      <c r="E33" s="23"/>
      <c r="I33" s="52" t="s">
        <v>97</v>
      </c>
      <c r="L33" s="23"/>
      <c r="M33" s="23"/>
      <c r="N33" s="23"/>
    </row>
    <row r="34" spans="1:19">
      <c r="B34" s="23"/>
      <c r="C34" s="23" t="s">
        <v>102</v>
      </c>
      <c r="D34" s="23"/>
      <c r="E34" s="23" t="s">
        <v>100</v>
      </c>
      <c r="G34" s="49" t="s">
        <v>92</v>
      </c>
      <c r="H34" s="49" t="s">
        <v>93</v>
      </c>
      <c r="I34" s="53" t="s">
        <v>98</v>
      </c>
      <c r="J34" s="49" t="s">
        <v>94</v>
      </c>
      <c r="K34" s="26"/>
      <c r="L34" s="23"/>
      <c r="M34" s="23"/>
      <c r="N34" s="23"/>
      <c r="O34" s="23"/>
      <c r="P34" s="23"/>
    </row>
    <row r="35" spans="1:19">
      <c r="A35" s="41"/>
      <c r="B35" s="23"/>
      <c r="C35" s="23" t="s">
        <v>96</v>
      </c>
      <c r="D35" s="23"/>
      <c r="E35" s="36" t="s">
        <v>348</v>
      </c>
      <c r="G35" s="57">
        <v>0</v>
      </c>
      <c r="H35" s="54">
        <v>0</v>
      </c>
      <c r="I35" s="50" t="s">
        <v>289</v>
      </c>
      <c r="J35" s="54">
        <v>0</v>
      </c>
      <c r="K35" s="151"/>
      <c r="L35" s="23"/>
      <c r="M35" s="23"/>
      <c r="N35" s="23"/>
      <c r="O35" s="23"/>
      <c r="P35" s="23"/>
    </row>
    <row r="36" spans="1:19">
      <c r="B36" s="23"/>
      <c r="C36" s="23" t="s">
        <v>107</v>
      </c>
      <c r="D36" s="23"/>
      <c r="E36" s="36" t="s">
        <v>349</v>
      </c>
      <c r="G36" s="58">
        <v>1</v>
      </c>
      <c r="H36" s="55">
        <v>0</v>
      </c>
      <c r="I36" s="51" t="s">
        <v>99</v>
      </c>
      <c r="J36" s="55">
        <v>0</v>
      </c>
      <c r="K36" s="151"/>
      <c r="L36" s="23"/>
      <c r="M36" s="23"/>
      <c r="N36" s="23"/>
    </row>
    <row r="37" spans="1:19">
      <c r="A37" s="23"/>
      <c r="B37" s="23"/>
      <c r="C37" s="23" t="s">
        <v>192</v>
      </c>
      <c r="D37" s="23"/>
      <c r="E37" s="36" t="s">
        <v>350</v>
      </c>
      <c r="G37" s="58">
        <v>0</v>
      </c>
      <c r="H37" s="55">
        <v>0</v>
      </c>
      <c r="I37" s="51" t="s">
        <v>111</v>
      </c>
      <c r="J37" s="56">
        <v>0</v>
      </c>
      <c r="K37" s="151"/>
      <c r="L37" s="23"/>
      <c r="M37" s="23"/>
      <c r="N37" s="23"/>
    </row>
    <row r="38" spans="1:19" ht="11.25" customHeight="1">
      <c r="A38" s="23"/>
      <c r="B38" s="23"/>
      <c r="C38" s="23"/>
      <c r="D38" s="23"/>
      <c r="E38" s="23" t="s">
        <v>46</v>
      </c>
      <c r="G38" s="58">
        <v>0</v>
      </c>
      <c r="H38" s="55"/>
      <c r="I38" s="51" t="s">
        <v>110</v>
      </c>
      <c r="J38" s="55">
        <v>0</v>
      </c>
      <c r="K38" s="151"/>
      <c r="L38" s="23"/>
      <c r="M38" s="23"/>
      <c r="N38" s="23"/>
    </row>
    <row r="39" spans="1:19">
      <c r="A39" s="23"/>
      <c r="G39" s="1"/>
      <c r="I39" s="51" t="s">
        <v>109</v>
      </c>
      <c r="J39" s="56">
        <v>0</v>
      </c>
      <c r="K39" s="151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G40" s="1"/>
      <c r="I40" s="51" t="s">
        <v>108</v>
      </c>
      <c r="J40" s="55">
        <v>0</v>
      </c>
      <c r="K40" s="151"/>
      <c r="L40" s="23"/>
      <c r="M40" s="23"/>
      <c r="N40" s="23"/>
      <c r="O40" s="23"/>
      <c r="P40" s="23"/>
      <c r="Q40" s="23"/>
      <c r="R40" s="23"/>
      <c r="S40" s="23"/>
    </row>
    <row r="41" spans="1:19" ht="11.25" customHeight="1">
      <c r="L41" s="23"/>
      <c r="M41" s="23"/>
      <c r="N41" s="23"/>
    </row>
    <row r="42" spans="1:19" ht="11.25" customHeight="1">
      <c r="A42" s="40">
        <v>9</v>
      </c>
      <c r="B42" s="23" t="s">
        <v>106</v>
      </c>
      <c r="C42" s="36" t="s">
        <v>358</v>
      </c>
      <c r="G42" s="1"/>
      <c r="I42" s="64">
        <v>3.9E-2</v>
      </c>
      <c r="J42" s="23"/>
      <c r="K42" s="23"/>
      <c r="L42" s="23"/>
      <c r="M42" s="23"/>
      <c r="N42" s="23"/>
    </row>
    <row r="43" spans="1:19" ht="11.25" customHeight="1">
      <c r="A43" s="40"/>
      <c r="B43" s="23"/>
      <c r="C43" s="36" t="s">
        <v>351</v>
      </c>
      <c r="G43" s="1"/>
      <c r="I43" s="64">
        <v>3.7499999999999999E-2</v>
      </c>
      <c r="J43" s="23"/>
      <c r="K43" s="23"/>
      <c r="L43" s="23"/>
      <c r="M43" s="23"/>
      <c r="N43" s="23"/>
    </row>
    <row r="44" spans="1:19" ht="11.25" customHeight="1">
      <c r="I44" s="23"/>
      <c r="J44" s="23"/>
      <c r="K44" s="23"/>
      <c r="L44" s="23"/>
      <c r="M44" s="23"/>
      <c r="N44" s="23"/>
    </row>
    <row r="45" spans="1:19" ht="11.25" customHeight="1">
      <c r="A45" s="41">
        <v>10</v>
      </c>
      <c r="B45" s="24" t="s">
        <v>105</v>
      </c>
      <c r="C45" s="23"/>
      <c r="D45" s="23"/>
      <c r="E45" s="23"/>
      <c r="F45" s="23"/>
      <c r="G45" s="23"/>
      <c r="H45" s="23"/>
      <c r="I45" s="23"/>
      <c r="J45" s="23"/>
      <c r="K45" s="23"/>
      <c r="L45" s="100"/>
      <c r="M45" s="100"/>
      <c r="N45" s="100"/>
    </row>
    <row r="46" spans="1:19" ht="11.25" customHeight="1">
      <c r="B46" s="36" t="s">
        <v>359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1:19" ht="11.25" customHeight="1">
      <c r="B47" s="36" t="s">
        <v>360</v>
      </c>
      <c r="C47" s="23"/>
      <c r="I47" s="23"/>
      <c r="J47" s="23"/>
      <c r="K47" s="23"/>
      <c r="L47" s="23"/>
      <c r="M47" s="23"/>
      <c r="N47" s="23"/>
    </row>
    <row r="48" spans="1:19" ht="11.25" customHeight="1">
      <c r="B48" s="23"/>
      <c r="C48" s="23"/>
      <c r="D48" s="274" t="s">
        <v>104</v>
      </c>
      <c r="E48" s="274"/>
      <c r="F48" s="274"/>
      <c r="G48" s="275"/>
      <c r="H48" s="64">
        <v>0</v>
      </c>
      <c r="L48" s="23"/>
      <c r="M48" s="23"/>
      <c r="N48" s="23"/>
    </row>
    <row r="49" spans="1:20">
      <c r="A49" s="23"/>
      <c r="B49" s="23"/>
      <c r="C49" s="23"/>
      <c r="D49" s="23"/>
      <c r="E49" s="23"/>
      <c r="F49" s="23"/>
      <c r="G49" s="157"/>
      <c r="H49" s="23"/>
      <c r="I49" s="23"/>
      <c r="J49" s="23"/>
      <c r="K49" s="23"/>
      <c r="L49" s="23"/>
      <c r="M49" s="23"/>
      <c r="N49" s="23"/>
    </row>
    <row r="50" spans="1:20" ht="8.25" customHeight="1">
      <c r="D50" s="2"/>
      <c r="G50" s="4"/>
    </row>
    <row r="51" spans="1:20" ht="12">
      <c r="A51" s="169"/>
      <c r="B51" s="169"/>
      <c r="C51" s="169"/>
      <c r="D51" s="170"/>
      <c r="E51" s="171" t="s">
        <v>33</v>
      </c>
      <c r="F51" s="171"/>
      <c r="G51" s="172"/>
      <c r="H51" s="169"/>
      <c r="I51" s="169"/>
      <c r="J51" s="173"/>
      <c r="K51" s="173"/>
      <c r="L51" s="169"/>
    </row>
    <row r="52" spans="1:20" ht="12">
      <c r="A52" s="169"/>
      <c r="B52" s="167" t="s">
        <v>82</v>
      </c>
      <c r="C52" s="169"/>
      <c r="D52" s="170"/>
      <c r="E52" s="171" t="s">
        <v>72</v>
      </c>
      <c r="F52" s="171"/>
      <c r="G52" s="172"/>
      <c r="H52" s="169"/>
      <c r="I52" s="169"/>
      <c r="J52" s="169"/>
      <c r="K52" s="169"/>
      <c r="L52" s="169"/>
    </row>
    <row r="53" spans="1:20" ht="12">
      <c r="A53" s="177"/>
      <c r="B53" s="178"/>
      <c r="C53" s="178"/>
      <c r="D53" s="178"/>
      <c r="E53" s="178"/>
      <c r="F53" s="178"/>
      <c r="G53" s="178"/>
      <c r="H53" s="179"/>
      <c r="I53" s="178"/>
      <c r="J53" s="180" t="s">
        <v>16</v>
      </c>
      <c r="K53" s="180"/>
      <c r="L53" s="181"/>
      <c r="M53" s="13"/>
      <c r="N53" s="13"/>
      <c r="O53" s="13"/>
      <c r="P53" s="98">
        <v>4564.8250999999991</v>
      </c>
    </row>
    <row r="54" spans="1:20" ht="12">
      <c r="A54" s="182"/>
      <c r="B54" s="183" t="s">
        <v>212</v>
      </c>
      <c r="C54" s="183" t="s">
        <v>0</v>
      </c>
      <c r="D54" s="183" t="s">
        <v>47</v>
      </c>
      <c r="E54" s="183" t="s">
        <v>0</v>
      </c>
      <c r="F54" s="183"/>
      <c r="G54" s="183" t="s">
        <v>23</v>
      </c>
      <c r="H54" s="183" t="s">
        <v>328</v>
      </c>
      <c r="I54" s="183" t="s">
        <v>215</v>
      </c>
      <c r="J54" s="183" t="s">
        <v>198</v>
      </c>
      <c r="K54" s="183" t="s">
        <v>329</v>
      </c>
      <c r="L54" s="184" t="s">
        <v>197</v>
      </c>
      <c r="M54" s="16"/>
      <c r="N54" s="16"/>
      <c r="O54" s="16"/>
      <c r="P54" s="98">
        <v>2744.9577999999997</v>
      </c>
    </row>
    <row r="55" spans="1:20" ht="12">
      <c r="A55" s="185" t="s">
        <v>213</v>
      </c>
      <c r="B55" s="183" t="s">
        <v>214</v>
      </c>
      <c r="C55" s="186" t="s">
        <v>48</v>
      </c>
      <c r="D55" s="186" t="s">
        <v>48</v>
      </c>
      <c r="E55" s="186" t="s">
        <v>49</v>
      </c>
      <c r="F55" s="186"/>
      <c r="G55" s="186" t="s">
        <v>49</v>
      </c>
      <c r="H55" s="186" t="s">
        <v>49</v>
      </c>
      <c r="I55" s="186" t="s">
        <v>49</v>
      </c>
      <c r="J55" s="186" t="s">
        <v>49</v>
      </c>
      <c r="K55" s="186" t="s">
        <v>49</v>
      </c>
      <c r="L55" s="186" t="s">
        <v>49</v>
      </c>
      <c r="M55" s="16"/>
      <c r="N55" s="16"/>
      <c r="O55" s="19" t="s">
        <v>227</v>
      </c>
      <c r="P55" s="98">
        <v>3232.0675999999999</v>
      </c>
    </row>
    <row r="56" spans="1:20" ht="12">
      <c r="A56" s="182"/>
      <c r="B56" s="175"/>
      <c r="C56" s="175"/>
      <c r="D56" s="175"/>
      <c r="E56" s="175"/>
      <c r="F56" s="175"/>
      <c r="G56" s="175"/>
      <c r="H56" s="175"/>
      <c r="I56" s="176"/>
      <c r="J56" s="175"/>
      <c r="K56" s="175"/>
      <c r="L56" s="187"/>
      <c r="M56" s="13"/>
      <c r="N56" s="13"/>
      <c r="O56" s="13"/>
      <c r="P56" s="20" t="s">
        <v>234</v>
      </c>
    </row>
    <row r="57" spans="1:20" ht="12">
      <c r="A57" s="182" t="s">
        <v>1</v>
      </c>
      <c r="B57" s="175"/>
      <c r="C57" s="188">
        <f>IF(H48=0,4675.903026,H48)</f>
        <v>4675.903026</v>
      </c>
      <c r="D57" s="189">
        <v>4723.5972540000002</v>
      </c>
      <c r="E57" s="190">
        <f>I10</f>
        <v>16769.145</v>
      </c>
      <c r="F57" s="190"/>
      <c r="G57" s="191">
        <f>D169</f>
        <v>935.34500000000116</v>
      </c>
      <c r="H57" s="190">
        <f>IF(AND(E141&lt;0,E59&gt;0),D159+D165,IF(AND(E141&gt;0,E59&gt;0),D158+D164,IF(AND(E141&gt;0,E59=0),D146+D152,D147+D153)))</f>
        <v>0</v>
      </c>
      <c r="I57" s="191">
        <f>D172</f>
        <v>0</v>
      </c>
      <c r="J57" s="190">
        <f>SUM(E57:I57)</f>
        <v>17704.490000000002</v>
      </c>
      <c r="K57" s="190">
        <f>IF((+L57-J57)&gt;0,(L57-J57),0)</f>
        <v>0</v>
      </c>
      <c r="L57" s="192">
        <f>I15</f>
        <v>17704.490000000002</v>
      </c>
      <c r="M57" s="102"/>
      <c r="N57" s="102"/>
      <c r="O57" s="102">
        <f>E57+H57+G57</f>
        <v>17704.490000000002</v>
      </c>
      <c r="P57" s="108">
        <f>L57-E57</f>
        <v>935.34500000000116</v>
      </c>
      <c r="R57" s="8"/>
      <c r="S57" s="82"/>
      <c r="T57" s="8"/>
    </row>
    <row r="58" spans="1:20" ht="12">
      <c r="A58" s="182" t="s">
        <v>25</v>
      </c>
      <c r="B58" s="175"/>
      <c r="C58" s="188">
        <v>2811.7520930000001</v>
      </c>
      <c r="D58" s="189">
        <v>2840.4319650000002</v>
      </c>
      <c r="E58" s="190">
        <f>I11</f>
        <v>346.23</v>
      </c>
      <c r="F58" s="190"/>
      <c r="G58" s="191">
        <f>E169</f>
        <v>-91.820000000000022</v>
      </c>
      <c r="H58" s="190">
        <f>IF(AND(E141&lt;0,E59&gt;0),E159+E165,IF(AND(E141&gt;=0,E59&gt;0),E158+E164,IF(AND(E141&gt;=0,E59=0),E146+E152,E147+E153)))</f>
        <v>0</v>
      </c>
      <c r="I58" s="191">
        <f>E172</f>
        <v>0</v>
      </c>
      <c r="J58" s="190">
        <f>E58+H58+G58+I58</f>
        <v>254.41</v>
      </c>
      <c r="K58" s="190">
        <f>IF((+L58-J58)&gt;0,(L58-J58),0)</f>
        <v>0</v>
      </c>
      <c r="L58" s="192">
        <f>I16</f>
        <v>254.41</v>
      </c>
      <c r="M58" s="102"/>
      <c r="N58" s="102"/>
      <c r="O58" s="102">
        <f>IF(E59=0,J58+J59,J58)</f>
        <v>254.41</v>
      </c>
      <c r="P58" s="108">
        <f>L58+L59-E58</f>
        <v>80.63</v>
      </c>
      <c r="Q58" s="1">
        <f>L59*466-(P58)*487.11</f>
        <v>41086.020700000001</v>
      </c>
      <c r="R58" s="8"/>
      <c r="S58" s="8"/>
      <c r="T58" s="8"/>
    </row>
    <row r="59" spans="1:20" ht="12">
      <c r="A59" s="182" t="s">
        <v>195</v>
      </c>
      <c r="B59" s="175"/>
      <c r="C59" s="188">
        <v>4675.9030430000003</v>
      </c>
      <c r="D59" s="189">
        <v>4723.5972540000002</v>
      </c>
      <c r="E59" s="190">
        <f>I12</f>
        <v>125.51</v>
      </c>
      <c r="F59" s="190"/>
      <c r="G59" s="191">
        <f>H169</f>
        <v>46.939999999999984</v>
      </c>
      <c r="H59" s="190">
        <f>IF(AND(E59&gt;0,E141&gt;=0),H158+H164,IF(AND(E59&gt;0,E141&lt;0),H159+H165,IF(E59=0,H146+H152,H147+H153)))</f>
        <v>0</v>
      </c>
      <c r="I59" s="191">
        <f>H172</f>
        <v>0</v>
      </c>
      <c r="J59" s="190">
        <f>E59+H59+G59+I59</f>
        <v>172.45</v>
      </c>
      <c r="K59" s="190">
        <f>IF((+L59-J59)&gt;0,(L59-J59),0)</f>
        <v>0</v>
      </c>
      <c r="L59" s="192">
        <f>I17</f>
        <v>172.45</v>
      </c>
      <c r="M59" s="102"/>
      <c r="N59" s="102"/>
      <c r="O59" s="102">
        <f>IF(E59=0,L58+L59,L59)</f>
        <v>172.45</v>
      </c>
      <c r="P59" s="108">
        <f>L59-E59</f>
        <v>46.939999999999984</v>
      </c>
      <c r="R59" s="8"/>
      <c r="S59" s="8"/>
      <c r="T59" s="8"/>
    </row>
    <row r="60" spans="1:20" ht="12">
      <c r="A60" s="182"/>
      <c r="B60" s="175"/>
      <c r="C60" s="175"/>
      <c r="D60" s="175"/>
      <c r="E60" s="193"/>
      <c r="F60" s="193"/>
      <c r="G60" s="193"/>
      <c r="H60" s="193"/>
      <c r="I60" s="194"/>
      <c r="J60" s="193"/>
      <c r="K60" s="193"/>
      <c r="L60" s="195"/>
      <c r="M60" s="13"/>
      <c r="N60" s="13"/>
      <c r="O60" s="13"/>
    </row>
    <row r="61" spans="1:20" ht="12">
      <c r="A61" s="196" t="s">
        <v>35</v>
      </c>
      <c r="B61" s="175"/>
      <c r="C61" s="175"/>
      <c r="D61" s="175"/>
      <c r="E61" s="190">
        <f>SUM(E57:E60)</f>
        <v>17240.884999999998</v>
      </c>
      <c r="F61" s="190"/>
      <c r="G61" s="190">
        <f>SUM(G57:G60)</f>
        <v>890.46500000000106</v>
      </c>
      <c r="H61" s="190">
        <f>SUM(H57:H60)</f>
        <v>0</v>
      </c>
      <c r="I61" s="190">
        <f>SUM(I57:I59)</f>
        <v>0</v>
      </c>
      <c r="J61" s="190">
        <f>SUM(J57:J60)</f>
        <v>18131.350000000002</v>
      </c>
      <c r="K61" s="190">
        <f>SUM(K57:K60)</f>
        <v>0</v>
      </c>
      <c r="L61" s="192">
        <f>SUM(L57:L60)</f>
        <v>18131.350000000002</v>
      </c>
      <c r="M61" s="102"/>
      <c r="N61" s="102"/>
      <c r="O61" s="102"/>
      <c r="P61" s="13"/>
    </row>
    <row r="62" spans="1:20" ht="12">
      <c r="A62" s="197"/>
      <c r="B62" s="193"/>
      <c r="C62" s="193"/>
      <c r="D62" s="198"/>
      <c r="E62" s="193"/>
      <c r="F62" s="193"/>
      <c r="G62" s="193"/>
      <c r="H62" s="199"/>
      <c r="I62" s="193"/>
      <c r="J62" s="198"/>
      <c r="K62" s="198"/>
      <c r="L62" s="195"/>
      <c r="M62" s="13"/>
      <c r="N62" s="13"/>
      <c r="O62" s="102"/>
      <c r="P62" s="13"/>
    </row>
    <row r="63" spans="1:20" ht="12">
      <c r="A63" s="182"/>
      <c r="B63" s="175"/>
      <c r="C63" s="175"/>
      <c r="D63" s="183"/>
      <c r="E63" s="175"/>
      <c r="F63" s="175"/>
      <c r="G63" s="175"/>
      <c r="H63" s="176"/>
      <c r="I63" s="175"/>
      <c r="J63" s="175"/>
      <c r="K63" s="175"/>
      <c r="L63" s="187"/>
      <c r="M63" s="13"/>
      <c r="N63" s="13"/>
      <c r="O63" s="102"/>
      <c r="P63" s="13"/>
    </row>
    <row r="64" spans="1:20" ht="12">
      <c r="A64" s="196" t="s">
        <v>2</v>
      </c>
      <c r="B64" s="174" t="s">
        <v>41</v>
      </c>
      <c r="C64" s="174"/>
      <c r="D64" s="183"/>
      <c r="E64" s="175"/>
      <c r="F64" s="175"/>
      <c r="G64" s="200" t="s">
        <v>44</v>
      </c>
      <c r="H64" s="174" t="s">
        <v>12</v>
      </c>
      <c r="I64" s="174"/>
      <c r="J64" s="175"/>
      <c r="K64" s="175"/>
      <c r="L64" s="187"/>
      <c r="M64" s="13"/>
      <c r="N64" s="13"/>
      <c r="O64" s="102"/>
      <c r="P64" s="140">
        <f>L59*487.11</f>
        <v>84002.119500000001</v>
      </c>
    </row>
    <row r="65" spans="1:18" ht="12">
      <c r="A65" s="201" t="s">
        <v>3</v>
      </c>
      <c r="B65" s="175" t="s">
        <v>42</v>
      </c>
      <c r="C65" s="174"/>
      <c r="D65" s="175"/>
      <c r="E65" s="183"/>
      <c r="F65" s="202">
        <f>J131</f>
        <v>4536493</v>
      </c>
      <c r="G65" s="176" t="s">
        <v>28</v>
      </c>
      <c r="H65" s="175" t="s">
        <v>336</v>
      </c>
      <c r="I65" s="175"/>
      <c r="J65" s="175"/>
      <c r="K65" s="175"/>
      <c r="L65" s="203">
        <v>0</v>
      </c>
      <c r="M65" s="66"/>
      <c r="N65" s="66"/>
      <c r="O65" s="154"/>
      <c r="P65" s="140">
        <f>L71-P64</f>
        <v>-84002.119500000001</v>
      </c>
    </row>
    <row r="66" spans="1:18" ht="12">
      <c r="A66" s="201" t="s">
        <v>4</v>
      </c>
      <c r="B66" s="175" t="s">
        <v>330</v>
      </c>
      <c r="C66" s="175"/>
      <c r="D66" s="175"/>
      <c r="E66" s="204">
        <f>E69+E70+E71</f>
        <v>79971281.367019087</v>
      </c>
      <c r="F66" s="175"/>
      <c r="G66" s="176" t="s">
        <v>29</v>
      </c>
      <c r="H66" s="175" t="s">
        <v>337</v>
      </c>
      <c r="I66" s="175"/>
      <c r="J66" s="175"/>
      <c r="K66" s="175"/>
      <c r="L66" s="205">
        <v>985327</v>
      </c>
      <c r="M66" s="163"/>
      <c r="N66" s="163"/>
      <c r="O66" s="152">
        <f>L66/487.11</f>
        <v>2022.8018312085565</v>
      </c>
      <c r="P66" s="1" t="s">
        <v>286</v>
      </c>
    </row>
    <row r="67" spans="1:18" ht="12">
      <c r="A67" s="201" t="s">
        <v>6</v>
      </c>
      <c r="B67" s="175" t="s">
        <v>331</v>
      </c>
      <c r="C67" s="175"/>
      <c r="D67" s="175"/>
      <c r="E67" s="204">
        <v>0</v>
      </c>
      <c r="F67" s="175"/>
      <c r="G67" s="176" t="s">
        <v>30</v>
      </c>
      <c r="H67" s="175" t="s">
        <v>338</v>
      </c>
      <c r="I67" s="175"/>
      <c r="J67" s="175"/>
      <c r="K67" s="175"/>
      <c r="L67" s="205">
        <v>4262076</v>
      </c>
      <c r="M67" s="163"/>
      <c r="N67" s="163"/>
      <c r="O67" s="13"/>
      <c r="P67" s="139">
        <f>I57*D57</f>
        <v>0</v>
      </c>
    </row>
    <row r="68" spans="1:18" ht="12">
      <c r="A68" s="201" t="s">
        <v>7</v>
      </c>
      <c r="B68" s="175" t="s">
        <v>332</v>
      </c>
      <c r="C68" s="175"/>
      <c r="D68" s="175"/>
      <c r="E68" s="175"/>
      <c r="F68" s="202">
        <f>SUM(E69:E71)</f>
        <v>79971281.367019087</v>
      </c>
      <c r="G68" s="176"/>
      <c r="H68" s="175"/>
      <c r="I68" s="175"/>
      <c r="J68" s="175"/>
      <c r="K68" s="175"/>
      <c r="L68" s="187"/>
      <c r="M68" s="164"/>
      <c r="N68" s="164"/>
      <c r="O68" s="13"/>
      <c r="P68" s="105">
        <f>I58*D58</f>
        <v>0</v>
      </c>
      <c r="Q68" s="14"/>
      <c r="R68" s="14"/>
    </row>
    <row r="69" spans="1:18" ht="12">
      <c r="A69" s="182">
        <v>1</v>
      </c>
      <c r="B69" s="175" t="s">
        <v>18</v>
      </c>
      <c r="C69" s="175"/>
      <c r="D69" s="175"/>
      <c r="E69" s="206">
        <f>E57*C57</f>
        <v>78410895.848932773</v>
      </c>
      <c r="F69" s="202"/>
      <c r="G69" s="176"/>
      <c r="H69" s="174" t="s">
        <v>27</v>
      </c>
      <c r="I69" s="175"/>
      <c r="J69" s="175"/>
      <c r="K69" s="175"/>
      <c r="L69" s="203">
        <f>SUM(L65:L67)</f>
        <v>5247403</v>
      </c>
      <c r="M69" s="165"/>
      <c r="N69" s="165"/>
      <c r="O69" s="155"/>
      <c r="P69" s="138">
        <f>IF(AND(E59=0,L71&gt;0),(I59+L147)*D58,IF(AND(E59&gt;0,L71&gt;0),I59*D59,0))</f>
        <v>0</v>
      </c>
      <c r="Q69" s="14"/>
      <c r="R69" s="14"/>
    </row>
    <row r="70" spans="1:18" ht="12">
      <c r="A70" s="182">
        <v>2</v>
      </c>
      <c r="B70" s="175" t="s">
        <v>5</v>
      </c>
      <c r="C70" s="175"/>
      <c r="D70" s="175"/>
      <c r="E70" s="206">
        <f>E58*C58</f>
        <v>973512.92715939006</v>
      </c>
      <c r="F70" s="202"/>
      <c r="G70" s="176"/>
      <c r="H70" s="175"/>
      <c r="I70" s="175"/>
      <c r="J70" s="175"/>
      <c r="K70" s="175"/>
      <c r="L70" s="187"/>
      <c r="M70" s="164"/>
      <c r="N70" s="164"/>
      <c r="O70" s="66"/>
      <c r="P70" s="65">
        <f>SUM(P67:P69)</f>
        <v>0</v>
      </c>
      <c r="Q70" s="87"/>
    </row>
    <row r="71" spans="1:18" ht="12">
      <c r="A71" s="182">
        <v>3</v>
      </c>
      <c r="B71" s="175" t="s">
        <v>39</v>
      </c>
      <c r="C71" s="175"/>
      <c r="D71" s="175"/>
      <c r="E71" s="206">
        <f>E59*C59</f>
        <v>586872.59092693008</v>
      </c>
      <c r="F71" s="202"/>
      <c r="G71" s="200" t="s">
        <v>50</v>
      </c>
      <c r="H71" s="174" t="s">
        <v>216</v>
      </c>
      <c r="I71" s="174"/>
      <c r="J71" s="175"/>
      <c r="K71" s="175"/>
      <c r="L71" s="203">
        <f>IF(AND(I141&lt;0,I12=0),-D141-E141-(I59+L147)*D59,IF(I141&lt;0,-I141,0))</f>
        <v>0</v>
      </c>
      <c r="M71" s="165"/>
      <c r="N71" s="165"/>
      <c r="O71" s="86"/>
      <c r="P71" s="13"/>
      <c r="Q71" s="14"/>
    </row>
    <row r="72" spans="1:18" ht="12">
      <c r="A72" s="201" t="s">
        <v>11</v>
      </c>
      <c r="B72" s="207" t="s">
        <v>40</v>
      </c>
      <c r="C72" s="175"/>
      <c r="D72" s="175"/>
      <c r="E72" s="175"/>
      <c r="F72" s="206">
        <f>+I57*C57+I58*C58+I59*C59</f>
        <v>0</v>
      </c>
      <c r="G72" s="176"/>
      <c r="H72" s="175"/>
      <c r="I72" s="175"/>
      <c r="J72" s="175"/>
      <c r="K72" s="175"/>
      <c r="L72" s="187"/>
      <c r="M72" s="164"/>
      <c r="N72" s="164"/>
      <c r="O72" s="13"/>
    </row>
    <row r="73" spans="1:18" ht="12">
      <c r="A73" s="182"/>
      <c r="B73" s="175"/>
      <c r="C73" s="175"/>
      <c r="D73" s="175"/>
      <c r="E73" s="175"/>
      <c r="F73" s="175"/>
      <c r="G73" s="200" t="s">
        <v>51</v>
      </c>
      <c r="H73" s="174" t="s">
        <v>34</v>
      </c>
      <c r="I73" s="174"/>
      <c r="J73" s="175"/>
      <c r="K73" s="175"/>
      <c r="L73" s="208">
        <f>F79+F88+F99+L69+L71</f>
        <v>94996266.931181788</v>
      </c>
      <c r="M73" s="159"/>
      <c r="N73" s="159"/>
      <c r="O73" s="153"/>
      <c r="P73" s="13"/>
      <c r="Q73" s="18"/>
    </row>
    <row r="74" spans="1:18" ht="12">
      <c r="A74" s="201"/>
      <c r="B74" s="175" t="s">
        <v>53</v>
      </c>
      <c r="C74" s="175"/>
      <c r="D74" s="175"/>
      <c r="E74" s="209"/>
      <c r="F74" s="204">
        <f>SUM(F65:F72)</f>
        <v>84507774.367019087</v>
      </c>
      <c r="G74" s="176"/>
      <c r="H74" s="175" t="s">
        <v>54</v>
      </c>
      <c r="I74" s="175"/>
      <c r="J74" s="175"/>
      <c r="K74" s="175"/>
      <c r="L74" s="187"/>
      <c r="M74" s="164"/>
      <c r="N74" s="164"/>
      <c r="O74" s="86"/>
      <c r="P74" s="13"/>
      <c r="Q74" s="14"/>
    </row>
    <row r="75" spans="1:18" ht="12">
      <c r="A75" s="182"/>
      <c r="B75" s="175"/>
      <c r="C75" s="175"/>
      <c r="D75" s="175"/>
      <c r="E75" s="175"/>
      <c r="F75" s="202"/>
      <c r="G75" s="175"/>
      <c r="H75" s="175"/>
      <c r="I75" s="175"/>
      <c r="J75" s="175"/>
      <c r="K75" s="175"/>
      <c r="L75" s="187"/>
      <c r="M75" s="164"/>
      <c r="N75" s="164"/>
      <c r="O75" s="65" t="s">
        <v>226</v>
      </c>
      <c r="P75" s="13"/>
      <c r="Q75" s="14"/>
    </row>
    <row r="76" spans="1:18" ht="12">
      <c r="A76" s="196" t="s">
        <v>8</v>
      </c>
      <c r="B76" s="174" t="s">
        <v>10</v>
      </c>
      <c r="C76" s="175"/>
      <c r="D76" s="175"/>
      <c r="E76" s="175"/>
      <c r="F76" s="202"/>
      <c r="G76" s="200" t="s">
        <v>45</v>
      </c>
      <c r="H76" s="174" t="s">
        <v>17</v>
      </c>
      <c r="I76" s="175"/>
      <c r="J76" s="175"/>
      <c r="K76" s="175"/>
      <c r="L76" s="210"/>
      <c r="M76" s="166"/>
      <c r="N76" s="166"/>
      <c r="O76" s="86">
        <f>H57*D57</f>
        <v>0</v>
      </c>
      <c r="P76" s="13"/>
      <c r="Q76" s="14"/>
    </row>
    <row r="77" spans="1:18" ht="12">
      <c r="A77" s="201" t="s">
        <v>3</v>
      </c>
      <c r="B77" s="175" t="s">
        <v>193</v>
      </c>
      <c r="C77" s="175"/>
      <c r="D77" s="175"/>
      <c r="E77" s="255">
        <v>1.0200000000000001E-2</v>
      </c>
      <c r="F77" s="212"/>
      <c r="G77" s="176" t="s">
        <v>325</v>
      </c>
      <c r="H77" s="175" t="s">
        <v>13</v>
      </c>
      <c r="I77" s="175"/>
      <c r="J77" s="175"/>
      <c r="K77" s="175"/>
      <c r="L77" s="213">
        <f>I20</f>
        <v>18182059</v>
      </c>
      <c r="M77" s="159"/>
      <c r="N77" s="159"/>
      <c r="O77" s="86">
        <f>H58*D58</f>
        <v>0</v>
      </c>
      <c r="P77" s="13"/>
      <c r="Q77" s="14"/>
    </row>
    <row r="78" spans="1:18" ht="12">
      <c r="A78" s="201" t="s">
        <v>4</v>
      </c>
      <c r="B78" s="175" t="s">
        <v>10</v>
      </c>
      <c r="C78" s="214"/>
      <c r="D78" s="175"/>
      <c r="E78" s="206">
        <f>F74*E77</f>
        <v>861979.29854359478</v>
      </c>
      <c r="F78" s="212"/>
      <c r="G78" s="176" t="s">
        <v>326</v>
      </c>
      <c r="H78" s="175" t="s">
        <v>339</v>
      </c>
      <c r="I78" s="175"/>
      <c r="J78" s="175"/>
      <c r="K78" s="175"/>
      <c r="L78" s="213">
        <v>0</v>
      </c>
      <c r="M78" s="159"/>
      <c r="N78" s="159"/>
      <c r="O78" s="156">
        <f>H59*D59</f>
        <v>0</v>
      </c>
      <c r="P78" s="13"/>
      <c r="R78" s="87"/>
    </row>
    <row r="79" spans="1:18" ht="12">
      <c r="A79" s="201" t="s">
        <v>6</v>
      </c>
      <c r="B79" s="174" t="s">
        <v>194</v>
      </c>
      <c r="C79" s="175"/>
      <c r="D79" s="175"/>
      <c r="E79" s="176"/>
      <c r="F79" s="204">
        <f>F74+E78</f>
        <v>85369753.665562689</v>
      </c>
      <c r="G79" s="176" t="s">
        <v>29</v>
      </c>
      <c r="H79" s="175" t="s">
        <v>14</v>
      </c>
      <c r="I79" s="175"/>
      <c r="J79" s="175"/>
      <c r="K79" s="175"/>
      <c r="L79" s="213">
        <f>I23</f>
        <v>4302979</v>
      </c>
      <c r="M79" s="159"/>
      <c r="N79" s="159"/>
      <c r="O79" s="86">
        <f>SUM(O76:O78)</f>
        <v>0</v>
      </c>
    </row>
    <row r="80" spans="1:18" ht="12">
      <c r="A80" s="182"/>
      <c r="B80" s="175"/>
      <c r="C80" s="175"/>
      <c r="D80" s="175"/>
      <c r="E80" s="175"/>
      <c r="F80" s="175"/>
      <c r="G80" s="176" t="s">
        <v>30</v>
      </c>
      <c r="H80" s="175" t="s">
        <v>15</v>
      </c>
      <c r="I80" s="175"/>
      <c r="J80" s="175"/>
      <c r="K80" s="175"/>
      <c r="L80" s="213">
        <f>L73-L77-L78-L81-L79-L84</f>
        <v>56423478.944984809</v>
      </c>
      <c r="M80" s="159"/>
      <c r="N80" s="159"/>
      <c r="O80" s="86"/>
    </row>
    <row r="81" spans="1:16" ht="12">
      <c r="A81" s="182"/>
      <c r="B81" s="175"/>
      <c r="C81" s="175"/>
      <c r="D81" s="175"/>
      <c r="E81" s="215"/>
      <c r="F81" s="204"/>
      <c r="G81" s="176" t="s">
        <v>31</v>
      </c>
      <c r="H81" s="175" t="s">
        <v>327</v>
      </c>
      <c r="I81" s="175"/>
      <c r="J81" s="175"/>
      <c r="K81" s="175"/>
      <c r="L81" s="216">
        <v>14927234</v>
      </c>
      <c r="M81" s="159"/>
      <c r="N81" s="159"/>
      <c r="O81" s="5" t="s">
        <v>287</v>
      </c>
      <c r="P81" s="1" t="s">
        <v>288</v>
      </c>
    </row>
    <row r="82" spans="1:16" ht="12">
      <c r="A82" s="196" t="s">
        <v>9</v>
      </c>
      <c r="B82" s="174" t="s">
        <v>55</v>
      </c>
      <c r="C82" s="175"/>
      <c r="D82" s="175"/>
      <c r="E82" s="175"/>
      <c r="F82" s="175"/>
      <c r="G82" s="176"/>
      <c r="H82" s="175"/>
      <c r="I82" s="175"/>
      <c r="J82" s="175"/>
      <c r="K82" s="175"/>
      <c r="L82" s="187"/>
      <c r="M82" s="13"/>
      <c r="N82" s="13"/>
      <c r="O82" s="107">
        <f>G57*D57</f>
        <v>4418193.0735426359</v>
      </c>
    </row>
    <row r="83" spans="1:16" ht="12">
      <c r="A83" s="201" t="s">
        <v>3</v>
      </c>
      <c r="B83" s="175" t="s">
        <v>64</v>
      </c>
      <c r="C83" s="175"/>
      <c r="D83" s="175"/>
      <c r="E83" s="175"/>
      <c r="F83" s="202">
        <f>I31*C117</f>
        <v>0</v>
      </c>
      <c r="G83" s="176"/>
      <c r="H83" s="174" t="s">
        <v>340</v>
      </c>
      <c r="I83" s="175"/>
      <c r="J83" s="175"/>
      <c r="K83" s="175"/>
      <c r="L83" s="213">
        <f>SUM(L77:L81)</f>
        <v>93835750.944984809</v>
      </c>
      <c r="M83" s="86"/>
      <c r="N83" s="86"/>
      <c r="O83" s="107">
        <f>G58*D58</f>
        <v>-260808.46302630007</v>
      </c>
    </row>
    <row r="84" spans="1:16" ht="12">
      <c r="A84" s="182" t="s">
        <v>4</v>
      </c>
      <c r="B84" s="175" t="s">
        <v>303</v>
      </c>
      <c r="C84" s="175"/>
      <c r="D84" s="175"/>
      <c r="E84" s="175"/>
      <c r="F84" s="204">
        <f>F83*E77</f>
        <v>0</v>
      </c>
      <c r="G84" s="176" t="s">
        <v>11</v>
      </c>
      <c r="H84" s="175" t="s">
        <v>341</v>
      </c>
      <c r="I84" s="175"/>
      <c r="J84" s="217">
        <f>I29</f>
        <v>0.98778356219999996</v>
      </c>
      <c r="K84" s="175"/>
      <c r="L84" s="210">
        <f>+(1-J84)*L73</f>
        <v>1160515.9861969824</v>
      </c>
      <c r="M84" s="65"/>
      <c r="N84" s="65"/>
      <c r="O84" s="143">
        <f>G59*D59</f>
        <v>221725.65510275992</v>
      </c>
    </row>
    <row r="85" spans="1:16" ht="12">
      <c r="A85" s="182" t="s">
        <v>6</v>
      </c>
      <c r="B85" s="175" t="s">
        <v>333</v>
      </c>
      <c r="C85" s="175"/>
      <c r="D85" s="175"/>
      <c r="E85" s="175"/>
      <c r="F85" s="204">
        <f>IF(AND(E59=0,E141&gt;=0),I144+I150,IF(AND(E59=0,E141&lt;0),I145+I151,IF(AND(E59&gt;0,E141&gt;=0),I156+I162,I157+I163)))</f>
        <v>0</v>
      </c>
      <c r="G85" s="176"/>
      <c r="H85" s="174" t="s">
        <v>342</v>
      </c>
      <c r="I85" s="175"/>
      <c r="J85" s="175"/>
      <c r="K85" s="175"/>
      <c r="L85" s="213">
        <f>+L84+L83</f>
        <v>94996266.931181788</v>
      </c>
      <c r="M85" s="86"/>
      <c r="N85" s="86"/>
      <c r="O85" s="107">
        <f>SUM(O82:O84)</f>
        <v>4379110.2656190954</v>
      </c>
      <c r="P85" s="103">
        <f>I168+G174</f>
        <v>4379110.2656190954</v>
      </c>
    </row>
    <row r="86" spans="1:16" ht="12">
      <c r="A86" s="182" t="s">
        <v>7</v>
      </c>
      <c r="B86" s="175" t="s">
        <v>334</v>
      </c>
      <c r="C86" s="175"/>
      <c r="D86" s="175"/>
      <c r="E86" s="175"/>
      <c r="F86" s="204">
        <v>0</v>
      </c>
      <c r="G86" s="176"/>
      <c r="H86" s="175"/>
      <c r="I86" s="175"/>
      <c r="J86" s="175"/>
      <c r="K86" s="175"/>
      <c r="L86" s="187"/>
      <c r="M86" s="13"/>
      <c r="N86" s="13"/>
      <c r="O86" s="13"/>
    </row>
    <row r="87" spans="1:16" ht="12">
      <c r="A87" s="182"/>
      <c r="B87" s="175"/>
      <c r="C87" s="175"/>
      <c r="D87" s="175"/>
      <c r="E87" s="175"/>
      <c r="F87" s="202"/>
      <c r="G87" s="200" t="s">
        <v>52</v>
      </c>
      <c r="H87" s="174" t="s">
        <v>66</v>
      </c>
      <c r="I87" s="175"/>
      <c r="J87" s="175"/>
      <c r="K87" s="175"/>
      <c r="L87" s="210"/>
      <c r="M87" s="65"/>
      <c r="N87" s="65"/>
      <c r="O87" s="65"/>
    </row>
    <row r="88" spans="1:16" ht="12">
      <c r="A88" s="182"/>
      <c r="B88" s="174" t="s">
        <v>335</v>
      </c>
      <c r="C88" s="175"/>
      <c r="D88" s="175"/>
      <c r="E88" s="175"/>
      <c r="F88" s="202">
        <f>SUM(F83:F87)</f>
        <v>0</v>
      </c>
      <c r="G88" s="176" t="s">
        <v>28</v>
      </c>
      <c r="H88" s="175" t="s">
        <v>15</v>
      </c>
      <c r="I88" s="175"/>
      <c r="J88" s="175"/>
      <c r="K88" s="175"/>
      <c r="L88" s="210">
        <f>L80</f>
        <v>56423478.944984809</v>
      </c>
      <c r="M88" s="65"/>
      <c r="N88" s="65"/>
      <c r="O88" s="105"/>
      <c r="P88" s="9"/>
    </row>
    <row r="89" spans="1:16" ht="12">
      <c r="A89" s="182"/>
      <c r="B89" s="175"/>
      <c r="C89" s="175"/>
      <c r="D89" s="175"/>
      <c r="E89" s="175"/>
      <c r="F89" s="202"/>
      <c r="G89" s="176" t="s">
        <v>29</v>
      </c>
      <c r="H89" s="175" t="s">
        <v>68</v>
      </c>
      <c r="I89" s="175"/>
      <c r="J89" s="175"/>
      <c r="K89" s="175"/>
      <c r="L89" s="210">
        <v>73057</v>
      </c>
      <c r="M89" s="65"/>
      <c r="N89" s="65"/>
      <c r="O89" s="65"/>
    </row>
    <row r="90" spans="1:16" ht="12">
      <c r="A90" s="196" t="s">
        <v>22</v>
      </c>
      <c r="B90" s="174" t="s">
        <v>23</v>
      </c>
      <c r="C90" s="174"/>
      <c r="D90" s="175"/>
      <c r="E90" s="218"/>
      <c r="F90" s="202"/>
      <c r="G90" s="175"/>
      <c r="H90" s="175" t="s">
        <v>67</v>
      </c>
      <c r="I90" s="175"/>
      <c r="J90" s="175"/>
      <c r="K90" s="175"/>
      <c r="L90" s="219">
        <v>0</v>
      </c>
      <c r="M90" s="161"/>
      <c r="N90" s="161"/>
      <c r="O90" s="65"/>
    </row>
    <row r="91" spans="1:16" ht="12">
      <c r="A91" s="201" t="s">
        <v>3</v>
      </c>
      <c r="B91" s="175" t="s">
        <v>321</v>
      </c>
      <c r="C91" s="175"/>
      <c r="D91" s="175"/>
      <c r="E91" s="220">
        <f>+I42</f>
        <v>3.9E-2</v>
      </c>
      <c r="F91" s="212"/>
      <c r="G91" s="175"/>
      <c r="H91" s="175" t="s">
        <v>69</v>
      </c>
      <c r="I91" s="175"/>
      <c r="J91" s="175"/>
      <c r="K91" s="175"/>
      <c r="L91" s="210">
        <f>+L89*L90</f>
        <v>0</v>
      </c>
      <c r="M91" s="65"/>
      <c r="N91" s="65"/>
      <c r="O91" s="114"/>
    </row>
    <row r="92" spans="1:16" ht="12">
      <c r="A92" s="201" t="s">
        <v>4</v>
      </c>
      <c r="B92" s="175" t="s">
        <v>322</v>
      </c>
      <c r="C92" s="175"/>
      <c r="D92" s="175"/>
      <c r="E92" s="221">
        <f>+I43</f>
        <v>3.7499999999999999E-2</v>
      </c>
      <c r="F92" s="175"/>
      <c r="G92" s="176"/>
      <c r="H92" s="174" t="s">
        <v>70</v>
      </c>
      <c r="I92" s="175"/>
      <c r="J92" s="175"/>
      <c r="K92" s="175"/>
      <c r="L92" s="210">
        <f>+L88-L91</f>
        <v>56423478.944984809</v>
      </c>
      <c r="M92" s="65"/>
      <c r="N92" s="65"/>
      <c r="O92" s="65"/>
    </row>
    <row r="93" spans="1:16" ht="12">
      <c r="A93" s="201" t="s">
        <v>6</v>
      </c>
      <c r="B93" s="175" t="s">
        <v>323</v>
      </c>
      <c r="C93" s="175"/>
      <c r="D93" s="175"/>
      <c r="E93" s="222">
        <f>E92*E57*D57+E92*E58*D58+E92*E59*D59</f>
        <v>3029512.0771694742</v>
      </c>
      <c r="F93" s="212"/>
      <c r="G93" s="212"/>
      <c r="H93" s="212"/>
      <c r="I93" s="175"/>
      <c r="J93" s="175"/>
      <c r="K93" s="175"/>
      <c r="L93" s="203"/>
      <c r="M93" s="66"/>
      <c r="N93" s="66"/>
      <c r="O93" s="65"/>
    </row>
    <row r="94" spans="1:16" ht="12">
      <c r="A94" s="201" t="s">
        <v>7</v>
      </c>
      <c r="B94" s="175" t="s">
        <v>65</v>
      </c>
      <c r="C94" s="175"/>
      <c r="D94" s="175"/>
      <c r="E94" s="223">
        <f>IF(AND(E59&gt;0,I141&gt;=0),G57*D57+G58*D58+G59*D59,IF(AND(E59=0,I141&gt;=0),G57*D57+G58*D58+G59*D59-G174,0))</f>
        <v>4379110.2656190954</v>
      </c>
      <c r="F94" s="175"/>
      <c r="G94" s="224" t="s">
        <v>343</v>
      </c>
      <c r="H94" s="225" t="s">
        <v>344</v>
      </c>
      <c r="I94" s="175"/>
      <c r="J94" s="175"/>
      <c r="K94" s="175"/>
      <c r="L94" s="203"/>
      <c r="M94" s="66"/>
      <c r="N94" s="66"/>
      <c r="O94" s="66"/>
    </row>
    <row r="95" spans="1:16" ht="12">
      <c r="A95" s="201" t="s">
        <v>11</v>
      </c>
      <c r="B95" s="175" t="s">
        <v>20</v>
      </c>
      <c r="C95" s="175"/>
      <c r="D95" s="175"/>
      <c r="E95" s="204">
        <f>D168</f>
        <v>4418193.0735426359</v>
      </c>
      <c r="F95" s="212"/>
      <c r="G95" s="204"/>
      <c r="H95" s="175"/>
      <c r="I95" s="175"/>
      <c r="J95" s="175"/>
      <c r="K95" s="175"/>
      <c r="L95" s="203"/>
      <c r="M95" s="66"/>
      <c r="N95" s="66"/>
      <c r="O95" s="66"/>
    </row>
    <row r="96" spans="1:16" ht="12">
      <c r="A96" s="201" t="s">
        <v>19</v>
      </c>
      <c r="B96" s="175" t="s">
        <v>24</v>
      </c>
      <c r="C96" s="175"/>
      <c r="D96" s="175"/>
      <c r="E96" s="204">
        <f>E168</f>
        <v>-260808.46302630007</v>
      </c>
      <c r="F96" s="212"/>
      <c r="G96" s="206" t="s">
        <v>3</v>
      </c>
      <c r="H96" s="226" t="s">
        <v>345</v>
      </c>
      <c r="I96" s="175"/>
      <c r="J96" s="175"/>
      <c r="K96" s="175"/>
      <c r="L96" s="227">
        <v>0</v>
      </c>
      <c r="M96" s="165"/>
      <c r="N96" s="165"/>
      <c r="O96" s="13"/>
    </row>
    <row r="97" spans="1:16" ht="12">
      <c r="A97" s="182" t="s">
        <v>324</v>
      </c>
      <c r="B97" s="175" t="s">
        <v>26</v>
      </c>
      <c r="C97" s="175"/>
      <c r="D97" s="175"/>
      <c r="E97" s="228">
        <f>IF(I141&lt;0,0,H168)</f>
        <v>221725.65510275992</v>
      </c>
      <c r="F97" s="175"/>
      <c r="G97" s="212" t="s">
        <v>4</v>
      </c>
      <c r="H97" s="229" t="s">
        <v>346</v>
      </c>
      <c r="I97" s="175"/>
      <c r="J97" s="175"/>
      <c r="K97" s="175"/>
      <c r="L97" s="227">
        <v>0</v>
      </c>
      <c r="M97" s="165"/>
      <c r="N97" s="165"/>
    </row>
    <row r="98" spans="1:16" ht="12">
      <c r="A98" s="201"/>
      <c r="B98" s="175"/>
      <c r="C98" s="175"/>
      <c r="D98" s="175"/>
      <c r="E98" s="175"/>
      <c r="F98" s="212"/>
      <c r="G98" s="176" t="s">
        <v>6</v>
      </c>
      <c r="H98" s="229" t="s">
        <v>347</v>
      </c>
      <c r="I98" s="175"/>
      <c r="J98" s="175"/>
      <c r="K98" s="175"/>
      <c r="L98" s="227">
        <v>0</v>
      </c>
      <c r="M98" s="165"/>
      <c r="N98" s="165"/>
    </row>
    <row r="99" spans="1:16" ht="12">
      <c r="A99" s="201"/>
      <c r="B99" s="174" t="s">
        <v>21</v>
      </c>
      <c r="C99" s="174"/>
      <c r="D99" s="175"/>
      <c r="E99" s="176"/>
      <c r="F99" s="204">
        <f>SUM(E95:E97)</f>
        <v>4379110.2656190954</v>
      </c>
      <c r="G99" s="176"/>
      <c r="H99" s="174" t="s">
        <v>16</v>
      </c>
      <c r="I99" s="175"/>
      <c r="J99" s="175"/>
      <c r="K99" s="175"/>
      <c r="L99" s="203">
        <f>SUM(L96:L98)</f>
        <v>0</v>
      </c>
      <c r="M99" s="66"/>
      <c r="N99" s="66"/>
    </row>
    <row r="100" spans="1:16" ht="12">
      <c r="A100" s="230"/>
      <c r="B100" s="231"/>
      <c r="C100" s="231"/>
      <c r="D100" s="193"/>
      <c r="E100" s="194"/>
      <c r="F100" s="232"/>
      <c r="G100" s="194"/>
      <c r="H100" s="193"/>
      <c r="I100" s="193"/>
      <c r="J100" s="193"/>
      <c r="K100" s="193"/>
      <c r="L100" s="195"/>
      <c r="M100" s="13"/>
      <c r="N100" s="13"/>
    </row>
    <row r="101" spans="1:16" ht="12">
      <c r="A101" s="175"/>
      <c r="B101" s="168" t="s">
        <v>89</v>
      </c>
      <c r="C101" s="175"/>
      <c r="D101" s="175"/>
      <c r="E101" s="175"/>
      <c r="F101" s="175"/>
      <c r="G101" s="176"/>
      <c r="H101" s="175"/>
      <c r="I101" s="175"/>
      <c r="J101" s="175"/>
      <c r="K101" s="175"/>
      <c r="L101" s="175"/>
      <c r="M101" s="13"/>
      <c r="N101" s="13"/>
    </row>
    <row r="102" spans="1:16" ht="12">
      <c r="A102" s="175"/>
      <c r="B102" s="175"/>
      <c r="C102" s="175"/>
      <c r="D102" s="169"/>
      <c r="E102" s="183" t="s">
        <v>43</v>
      </c>
      <c r="F102" s="183"/>
      <c r="G102" s="176"/>
      <c r="H102" s="175"/>
      <c r="I102" s="175"/>
      <c r="J102" s="175"/>
      <c r="K102" s="175"/>
      <c r="L102" s="175"/>
      <c r="M102" s="13"/>
      <c r="N102" s="13"/>
    </row>
    <row r="103" spans="1:16" ht="12">
      <c r="A103" s="175"/>
      <c r="B103" s="175"/>
      <c r="C103" s="169"/>
      <c r="D103" s="169"/>
      <c r="E103" s="183" t="s">
        <v>71</v>
      </c>
      <c r="F103" s="183"/>
      <c r="G103" s="176"/>
      <c r="H103" s="175"/>
      <c r="I103" s="175"/>
      <c r="J103" s="175"/>
      <c r="K103" s="175"/>
      <c r="L103" s="175"/>
      <c r="M103" s="13"/>
      <c r="N103" s="13"/>
    </row>
    <row r="104" spans="1:16" ht="12">
      <c r="A104" s="175"/>
      <c r="B104" s="169"/>
      <c r="C104" s="175"/>
      <c r="D104" s="175"/>
      <c r="E104" s="169"/>
      <c r="F104" s="169"/>
      <c r="G104" s="176"/>
      <c r="H104" s="175"/>
      <c r="I104" s="175"/>
      <c r="J104" s="175"/>
      <c r="K104" s="175"/>
      <c r="L104" s="175"/>
      <c r="M104" s="13"/>
      <c r="N104" s="13"/>
    </row>
    <row r="105" spans="1:16" ht="12">
      <c r="A105" s="175"/>
      <c r="B105" s="233" t="s">
        <v>83</v>
      </c>
      <c r="C105" s="234"/>
      <c r="D105" s="234"/>
      <c r="E105" s="169"/>
      <c r="F105" s="169"/>
      <c r="G105" s="233" t="s">
        <v>84</v>
      </c>
      <c r="H105" s="234"/>
      <c r="I105" s="234"/>
      <c r="J105" s="175"/>
      <c r="K105" s="175"/>
      <c r="L105" s="175"/>
      <c r="M105" s="13"/>
      <c r="N105" s="13"/>
      <c r="O105" s="11"/>
      <c r="P105" s="11"/>
    </row>
    <row r="106" spans="1:16" ht="12">
      <c r="A106" s="175"/>
      <c r="B106" s="235" t="s">
        <v>307</v>
      </c>
      <c r="C106" s="235" t="s">
        <v>308</v>
      </c>
      <c r="D106" s="236" t="s">
        <v>309</v>
      </c>
      <c r="E106" s="237" t="s">
        <v>46</v>
      </c>
      <c r="F106" s="186"/>
      <c r="G106" s="235" t="s">
        <v>307</v>
      </c>
      <c r="H106" s="235" t="s">
        <v>308</v>
      </c>
      <c r="I106" s="236" t="s">
        <v>309</v>
      </c>
      <c r="J106" s="175"/>
      <c r="K106" s="175"/>
      <c r="L106" s="175"/>
      <c r="M106" s="13"/>
      <c r="N106" s="13"/>
    </row>
    <row r="107" spans="1:16" ht="12">
      <c r="A107" s="169"/>
      <c r="B107" s="238">
        <v>5670617</v>
      </c>
      <c r="C107" s="238">
        <v>4536493</v>
      </c>
      <c r="D107" s="238">
        <v>3402370</v>
      </c>
      <c r="E107" s="239">
        <v>567062</v>
      </c>
      <c r="F107" s="240"/>
      <c r="G107" s="238">
        <v>4536493</v>
      </c>
      <c r="H107" s="238">
        <v>3969432</v>
      </c>
      <c r="I107" s="238">
        <v>3402370</v>
      </c>
      <c r="J107" s="169"/>
      <c r="K107" s="169"/>
      <c r="L107" s="169"/>
      <c r="O107" s="12"/>
      <c r="P107" s="12"/>
    </row>
    <row r="108" spans="1:16" ht="12">
      <c r="A108" s="169"/>
      <c r="B108" s="175"/>
      <c r="C108" s="175"/>
      <c r="D108" s="175"/>
      <c r="E108" s="241"/>
      <c r="F108" s="175"/>
      <c r="G108" s="175"/>
      <c r="H108" s="175"/>
      <c r="I108" s="175"/>
      <c r="J108" s="169"/>
      <c r="K108" s="169"/>
      <c r="L108" s="169"/>
      <c r="O108" s="12"/>
      <c r="P108" s="12"/>
    </row>
    <row r="109" spans="1:16" ht="12">
      <c r="A109" s="169"/>
      <c r="B109" s="170" t="s">
        <v>310</v>
      </c>
      <c r="C109" s="169"/>
      <c r="D109" s="187"/>
      <c r="E109" s="187"/>
      <c r="F109" s="175"/>
      <c r="G109" s="174" t="s">
        <v>101</v>
      </c>
      <c r="H109" s="169"/>
      <c r="I109" s="169"/>
      <c r="J109" s="183" t="s">
        <v>37</v>
      </c>
      <c r="K109" s="183"/>
      <c r="L109" s="183"/>
      <c r="M109" s="10"/>
      <c r="N109" s="10"/>
      <c r="O109" s="12"/>
      <c r="P109" s="12"/>
    </row>
    <row r="110" spans="1:16" ht="12">
      <c r="A110" s="169"/>
      <c r="B110" s="242">
        <f>G37</f>
        <v>0</v>
      </c>
      <c r="C110" s="242">
        <f>G36</f>
        <v>1</v>
      </c>
      <c r="D110" s="242">
        <f>G35</f>
        <v>0</v>
      </c>
      <c r="E110" s="243">
        <f>G38</f>
        <v>0</v>
      </c>
      <c r="F110" s="242"/>
      <c r="G110" s="242">
        <f>H37</f>
        <v>0</v>
      </c>
      <c r="H110" s="242">
        <f>H36</f>
        <v>0</v>
      </c>
      <c r="I110" s="242">
        <f>H35</f>
        <v>0</v>
      </c>
      <c r="J110" s="244">
        <f>SUM(G110:I110)</f>
        <v>0</v>
      </c>
      <c r="K110" s="244"/>
      <c r="L110" s="244"/>
      <c r="M110" s="15"/>
      <c r="N110" s="15"/>
      <c r="O110" s="12"/>
      <c r="P110" s="12"/>
    </row>
    <row r="111" spans="1:16" ht="12">
      <c r="A111" s="169"/>
      <c r="B111" s="245"/>
      <c r="C111" s="234"/>
      <c r="D111" s="234"/>
      <c r="E111" s="241"/>
      <c r="F111" s="175"/>
      <c r="G111" s="234"/>
      <c r="H111" s="245"/>
      <c r="I111" s="245"/>
      <c r="J111" s="245"/>
      <c r="K111" s="245"/>
      <c r="L111" s="245"/>
      <c r="M111" s="12"/>
      <c r="N111" s="12"/>
      <c r="O111" s="12"/>
      <c r="P111" s="12"/>
    </row>
    <row r="112" spans="1:16" ht="12">
      <c r="A112" s="169"/>
      <c r="B112" s="246" t="s">
        <v>36</v>
      </c>
      <c r="C112" s="234"/>
      <c r="D112" s="234"/>
      <c r="E112" s="241"/>
      <c r="F112" s="175"/>
      <c r="G112" s="234"/>
      <c r="H112" s="234"/>
      <c r="I112" s="245"/>
      <c r="J112" s="183" t="s">
        <v>311</v>
      </c>
      <c r="K112" s="183"/>
      <c r="L112" s="183"/>
      <c r="M112" s="10"/>
      <c r="N112" s="10"/>
      <c r="O112" s="12"/>
      <c r="P112" s="12"/>
    </row>
    <row r="113" spans="1:16" ht="12">
      <c r="A113" s="169"/>
      <c r="B113" s="247">
        <f>B107*B110</f>
        <v>0</v>
      </c>
      <c r="C113" s="247">
        <f>C107*C110</f>
        <v>4536493</v>
      </c>
      <c r="D113" s="247">
        <f>D107*D110</f>
        <v>0</v>
      </c>
      <c r="E113" s="248">
        <f>E107*E110</f>
        <v>0</v>
      </c>
      <c r="F113" s="247"/>
      <c r="G113" s="247">
        <f>G107*G110</f>
        <v>0</v>
      </c>
      <c r="H113" s="247">
        <f>H107*H110</f>
        <v>0</v>
      </c>
      <c r="I113" s="247">
        <f>I107*I110</f>
        <v>0</v>
      </c>
      <c r="J113" s="242">
        <f>SUM(B113:I113)</f>
        <v>4536493</v>
      </c>
      <c r="K113" s="242"/>
      <c r="L113" s="242"/>
      <c r="M113" s="17"/>
      <c r="N113" s="17"/>
      <c r="O113" s="12"/>
      <c r="P113" s="12"/>
    </row>
    <row r="114" spans="1:16" ht="12">
      <c r="A114" s="169"/>
      <c r="B114" s="245"/>
      <c r="C114" s="245"/>
      <c r="D114" s="247"/>
      <c r="E114" s="245"/>
      <c r="F114" s="245"/>
      <c r="G114" s="245"/>
      <c r="H114" s="245"/>
      <c r="I114" s="245"/>
      <c r="J114" s="245"/>
      <c r="K114" s="245"/>
      <c r="L114" s="245"/>
      <c r="M114" s="12"/>
      <c r="N114" s="12"/>
      <c r="O114" s="12"/>
      <c r="P114" s="12"/>
    </row>
    <row r="115" spans="1:16" ht="12">
      <c r="A115" s="169"/>
      <c r="B115" s="234" t="s">
        <v>312</v>
      </c>
      <c r="C115" s="245"/>
      <c r="D115" s="245"/>
      <c r="E115" s="245"/>
      <c r="F115" s="245"/>
      <c r="G115" s="245"/>
      <c r="H115" s="245"/>
      <c r="I115" s="169"/>
      <c r="J115" s="245"/>
      <c r="K115" s="245"/>
      <c r="L115" s="245"/>
      <c r="M115" s="12"/>
      <c r="N115" s="12"/>
      <c r="O115" s="12"/>
      <c r="P115" s="12"/>
    </row>
    <row r="116" spans="1:16" ht="12">
      <c r="A116" s="169"/>
      <c r="B116" s="186" t="s">
        <v>313</v>
      </c>
      <c r="C116" s="186" t="s">
        <v>56</v>
      </c>
      <c r="D116" s="174"/>
      <c r="E116" s="169"/>
      <c r="F116" s="169"/>
      <c r="G116" s="249"/>
      <c r="H116" s="234" t="s">
        <v>319</v>
      </c>
      <c r="I116" s="169"/>
      <c r="J116" s="245"/>
      <c r="K116" s="245"/>
      <c r="L116" s="245"/>
      <c r="M116" s="12"/>
      <c r="N116" s="12"/>
      <c r="O116" s="12"/>
    </row>
    <row r="117" spans="1:16" ht="12">
      <c r="A117" s="169"/>
      <c r="B117" s="250">
        <f>J35</f>
        <v>0</v>
      </c>
      <c r="C117" s="238">
        <v>1134123</v>
      </c>
      <c r="D117" s="169"/>
      <c r="E117" s="169"/>
      <c r="F117" s="169"/>
      <c r="G117" s="249"/>
      <c r="H117" s="171" t="s">
        <v>320</v>
      </c>
      <c r="I117" s="169"/>
      <c r="J117" s="245"/>
      <c r="K117" s="245"/>
      <c r="L117" s="245"/>
      <c r="M117" s="12"/>
      <c r="N117" s="12"/>
      <c r="O117" s="11"/>
    </row>
    <row r="118" spans="1:16" ht="12">
      <c r="A118" s="169"/>
      <c r="B118" s="174"/>
      <c r="C118" s="169"/>
      <c r="D118" s="169"/>
      <c r="E118" s="169"/>
      <c r="F118" s="169"/>
      <c r="G118" s="249"/>
      <c r="H118" s="251">
        <f>B117*C117</f>
        <v>0</v>
      </c>
      <c r="I118" s="169"/>
      <c r="J118" s="245"/>
      <c r="K118" s="245"/>
      <c r="L118" s="245"/>
      <c r="M118" s="12"/>
      <c r="N118" s="12"/>
      <c r="O118" s="11"/>
    </row>
    <row r="119" spans="1:16" ht="12">
      <c r="A119" s="169"/>
      <c r="B119" s="233" t="s">
        <v>62</v>
      </c>
      <c r="C119" s="245"/>
      <c r="D119" s="245"/>
      <c r="E119" s="245"/>
      <c r="F119" s="183"/>
      <c r="G119" s="169"/>
      <c r="H119" s="169"/>
      <c r="I119" s="169"/>
      <c r="J119" s="169"/>
      <c r="K119" s="169"/>
      <c r="L119" s="245"/>
      <c r="M119" s="12"/>
      <c r="N119" s="12"/>
      <c r="O119" s="11"/>
    </row>
    <row r="120" spans="1:16" ht="12">
      <c r="A120" s="169"/>
      <c r="B120" s="235" t="s">
        <v>314</v>
      </c>
      <c r="C120" s="235" t="s">
        <v>315</v>
      </c>
      <c r="D120" s="235" t="s">
        <v>316</v>
      </c>
      <c r="E120" s="235" t="s">
        <v>317</v>
      </c>
      <c r="F120" s="235" t="s">
        <v>57</v>
      </c>
      <c r="G120" s="234"/>
      <c r="H120" s="169"/>
      <c r="I120" s="169"/>
      <c r="J120" s="169"/>
      <c r="K120" s="169"/>
      <c r="L120" s="175"/>
      <c r="M120" s="11"/>
      <c r="N120" s="11"/>
    </row>
    <row r="121" spans="1:16" ht="12">
      <c r="A121" s="169"/>
      <c r="B121" s="238">
        <v>1134123</v>
      </c>
      <c r="C121" s="238">
        <v>850592</v>
      </c>
      <c r="D121" s="238">
        <v>567062</v>
      </c>
      <c r="E121" s="238">
        <v>283531</v>
      </c>
      <c r="F121" s="238">
        <v>141765</v>
      </c>
      <c r="G121" s="175"/>
      <c r="H121" s="169"/>
      <c r="I121" s="169"/>
      <c r="J121" s="169"/>
      <c r="K121" s="169"/>
      <c r="L121" s="175"/>
      <c r="M121" s="11"/>
      <c r="N121" s="11"/>
    </row>
    <row r="122" spans="1:16" ht="12">
      <c r="A122" s="169"/>
      <c r="B122" s="169"/>
      <c r="C122" s="169"/>
      <c r="D122" s="169"/>
      <c r="E122" s="169"/>
      <c r="F122" s="169"/>
      <c r="G122" s="169"/>
      <c r="H122" s="169"/>
      <c r="I122" s="175"/>
      <c r="J122" s="175"/>
      <c r="K122" s="175"/>
      <c r="L122" s="175"/>
      <c r="M122" s="11"/>
      <c r="N122" s="11"/>
    </row>
    <row r="123" spans="1:16" ht="12">
      <c r="A123" s="169"/>
      <c r="B123" s="246" t="s">
        <v>61</v>
      </c>
      <c r="C123" s="245"/>
      <c r="D123" s="245"/>
      <c r="E123" s="245"/>
      <c r="F123" s="245"/>
      <c r="G123" s="183"/>
      <c r="H123" s="231" t="s">
        <v>318</v>
      </c>
      <c r="I123" s="169"/>
      <c r="J123" s="169"/>
      <c r="K123" s="169"/>
      <c r="L123" s="169"/>
    </row>
    <row r="124" spans="1:16" ht="12">
      <c r="A124" s="169"/>
      <c r="B124" s="250">
        <f>J36</f>
        <v>0</v>
      </c>
      <c r="C124" s="250">
        <f>J37</f>
        <v>0</v>
      </c>
      <c r="D124" s="252">
        <f>J38</f>
        <v>0</v>
      </c>
      <c r="E124" s="252">
        <f>J39</f>
        <v>0</v>
      </c>
      <c r="F124" s="252">
        <f>J40</f>
        <v>0</v>
      </c>
      <c r="G124" s="244"/>
      <c r="H124" s="183">
        <f>SUM(B124:F124)</f>
        <v>0</v>
      </c>
      <c r="I124" s="169"/>
      <c r="J124" s="169"/>
      <c r="K124" s="169"/>
      <c r="L124" s="169"/>
    </row>
    <row r="125" spans="1:16" ht="12">
      <c r="A125" s="169"/>
      <c r="B125" s="175"/>
      <c r="C125" s="175"/>
      <c r="D125" s="175"/>
      <c r="E125" s="175"/>
      <c r="F125" s="175"/>
      <c r="G125" s="169"/>
      <c r="H125" s="183" t="s">
        <v>58</v>
      </c>
      <c r="I125" s="169"/>
      <c r="J125" s="183" t="s">
        <v>38</v>
      </c>
      <c r="K125" s="183"/>
      <c r="L125" s="169"/>
    </row>
    <row r="126" spans="1:16" ht="12">
      <c r="A126" s="169"/>
      <c r="B126" s="246" t="s">
        <v>63</v>
      </c>
      <c r="C126" s="169"/>
      <c r="D126" s="169"/>
      <c r="E126" s="169"/>
      <c r="F126" s="249"/>
      <c r="G126" s="169"/>
      <c r="H126" s="235" t="s">
        <v>32</v>
      </c>
      <c r="I126" s="169"/>
      <c r="J126" s="186" t="s">
        <v>32</v>
      </c>
      <c r="K126" s="183"/>
      <c r="L126" s="169"/>
    </row>
    <row r="127" spans="1:16" ht="12">
      <c r="A127" s="169"/>
      <c r="B127" s="238">
        <f>B121*B124</f>
        <v>0</v>
      </c>
      <c r="C127" s="238">
        <f>C121*C124</f>
        <v>0</v>
      </c>
      <c r="D127" s="238">
        <f>D121*D124</f>
        <v>0</v>
      </c>
      <c r="E127" s="238">
        <f>E121*E124</f>
        <v>0</v>
      </c>
      <c r="F127" s="238">
        <f>F121*F124</f>
        <v>0</v>
      </c>
      <c r="G127" s="169"/>
      <c r="H127" s="253">
        <f>SUM(B127:F127)</f>
        <v>0</v>
      </c>
      <c r="I127" s="169"/>
      <c r="J127" s="251">
        <f>H118+H127</f>
        <v>0</v>
      </c>
      <c r="K127" s="251"/>
      <c r="L127" s="169"/>
    </row>
    <row r="128" spans="1:16" ht="12">
      <c r="A128" s="169"/>
      <c r="B128" s="169"/>
      <c r="C128" s="169"/>
      <c r="D128" s="169"/>
      <c r="E128" s="169"/>
      <c r="F128" s="249"/>
      <c r="G128" s="169"/>
      <c r="H128" s="169"/>
      <c r="I128" s="169"/>
      <c r="J128" s="169"/>
      <c r="K128" s="169"/>
      <c r="L128" s="169"/>
    </row>
    <row r="129" spans="1:16" ht="12">
      <c r="A129" s="169"/>
      <c r="B129" s="170" t="s">
        <v>200</v>
      </c>
      <c r="C129" s="254">
        <f>B117+D117+B124+C124+D124+E124+F124</f>
        <v>0</v>
      </c>
      <c r="D129" s="169"/>
      <c r="E129" s="169"/>
      <c r="F129" s="249"/>
      <c r="G129" s="169"/>
      <c r="H129" s="169"/>
      <c r="I129" s="169"/>
      <c r="J129" s="171" t="s">
        <v>59</v>
      </c>
      <c r="K129" s="171"/>
      <c r="L129" s="169"/>
    </row>
    <row r="130" spans="1:16" ht="12">
      <c r="A130" s="169"/>
      <c r="B130" s="169"/>
      <c r="C130" s="169"/>
      <c r="D130" s="169"/>
      <c r="E130" s="169"/>
      <c r="F130" s="169"/>
      <c r="G130" s="249"/>
      <c r="H130" s="169"/>
      <c r="I130" s="169"/>
      <c r="J130" s="186" t="s">
        <v>60</v>
      </c>
      <c r="K130" s="183"/>
      <c r="L130" s="169"/>
    </row>
    <row r="131" spans="1:16" ht="12">
      <c r="A131" s="169"/>
      <c r="B131" s="169"/>
      <c r="C131" s="169"/>
      <c r="D131" s="169"/>
      <c r="E131" s="171"/>
      <c r="F131" s="171"/>
      <c r="G131" s="169"/>
      <c r="H131" s="169"/>
      <c r="I131" s="169"/>
      <c r="J131" s="251">
        <f>J113+J127</f>
        <v>4536493</v>
      </c>
      <c r="K131" s="251"/>
      <c r="L131" s="251"/>
      <c r="M131" s="14"/>
      <c r="N131" s="14"/>
    </row>
    <row r="132" spans="1:16" ht="8.25" customHeight="1">
      <c r="A132" s="23"/>
      <c r="B132" s="23"/>
      <c r="C132" s="23"/>
      <c r="D132" s="23"/>
      <c r="E132" s="41"/>
      <c r="F132" s="41"/>
      <c r="G132" s="23"/>
      <c r="H132" s="23"/>
      <c r="I132" s="23"/>
      <c r="J132" s="23"/>
      <c r="K132" s="23"/>
      <c r="L132" s="23"/>
      <c r="M132" s="23"/>
      <c r="N132" s="23"/>
    </row>
    <row r="133" spans="1:16">
      <c r="A133" s="23"/>
      <c r="B133" s="23"/>
      <c r="C133" s="23"/>
      <c r="D133" s="23"/>
      <c r="F133" s="41"/>
      <c r="G133" s="23"/>
      <c r="H133" s="23"/>
      <c r="I133" s="23"/>
      <c r="J133" s="23"/>
      <c r="K133" s="23"/>
      <c r="L133" s="23"/>
      <c r="M133" s="23"/>
      <c r="N133" s="23"/>
    </row>
    <row r="134" spans="1:16">
      <c r="A134" s="23"/>
      <c r="B134" s="23"/>
      <c r="C134" s="23"/>
      <c r="D134" s="23"/>
      <c r="E134" s="41"/>
      <c r="F134" s="41"/>
      <c r="G134" s="23"/>
      <c r="H134" s="23"/>
      <c r="I134" s="23"/>
      <c r="J134" s="23"/>
      <c r="K134" s="23"/>
      <c r="L134" s="23"/>
      <c r="M134" s="23"/>
      <c r="N134" s="23"/>
    </row>
    <row r="135" spans="1:16">
      <c r="A135" s="23"/>
      <c r="I135" s="13"/>
      <c r="J135" s="13"/>
      <c r="K135" s="13"/>
      <c r="L135" s="13"/>
      <c r="M135" s="13"/>
      <c r="N135" s="13"/>
    </row>
    <row r="136" spans="1:16">
      <c r="B136" s="6"/>
      <c r="C136" s="6"/>
      <c r="D136" s="6"/>
      <c r="E136" s="6"/>
      <c r="F136" s="6"/>
      <c r="G136" s="6"/>
      <c r="H136" s="6"/>
      <c r="I136" s="6"/>
      <c r="J136" s="6"/>
      <c r="K136" s="13"/>
      <c r="L136" s="13"/>
      <c r="M136" s="13"/>
      <c r="N136" s="13"/>
    </row>
    <row r="137" spans="1:16" ht="15">
      <c r="A137" s="48"/>
      <c r="B137" s="69"/>
      <c r="C137" s="68"/>
      <c r="D137" s="71" t="s">
        <v>201</v>
      </c>
      <c r="E137" s="69"/>
      <c r="F137" s="69"/>
      <c r="G137" s="70"/>
      <c r="H137" s="23"/>
    </row>
    <row r="138" spans="1:16">
      <c r="A138" s="42"/>
      <c r="B138" s="1" t="s">
        <v>199</v>
      </c>
      <c r="D138" s="39">
        <f>I27</f>
        <v>0</v>
      </c>
      <c r="G138" s="3" t="s">
        <v>292</v>
      </c>
      <c r="I138" s="144"/>
    </row>
    <row r="139" spans="1:16">
      <c r="A139" s="23"/>
      <c r="C139" s="16" t="s">
        <v>235</v>
      </c>
      <c r="D139" s="39"/>
      <c r="G139" s="3" t="s">
        <v>295</v>
      </c>
    </row>
    <row r="140" spans="1:16">
      <c r="A140" s="23"/>
      <c r="B140" s="2" t="s">
        <v>236</v>
      </c>
      <c r="C140" s="19" t="s">
        <v>238</v>
      </c>
      <c r="D140" s="20" t="s">
        <v>88</v>
      </c>
      <c r="E140" s="19" t="s">
        <v>231</v>
      </c>
      <c r="F140" s="20" t="s">
        <v>225</v>
      </c>
      <c r="G140" s="19" t="s">
        <v>296</v>
      </c>
      <c r="H140" s="20" t="s">
        <v>90</v>
      </c>
      <c r="I140" s="49" t="s">
        <v>16</v>
      </c>
      <c r="J140" s="19"/>
      <c r="K140" s="19"/>
      <c r="L140" s="19" t="s">
        <v>228</v>
      </c>
      <c r="M140" s="19"/>
      <c r="N140" s="19"/>
      <c r="O140" s="19" t="s">
        <v>294</v>
      </c>
    </row>
    <row r="141" spans="1:16">
      <c r="A141" s="23"/>
      <c r="B141" s="2" t="s">
        <v>237</v>
      </c>
      <c r="D141" s="101">
        <f>(L57-E57)*D57</f>
        <v>4418193.0735426359</v>
      </c>
      <c r="E141" s="101">
        <f>(L58-E58)*D58</f>
        <v>-260808.46302630007</v>
      </c>
      <c r="F141" s="101">
        <f>ROUND(D141+E141,0)</f>
        <v>4157385</v>
      </c>
      <c r="G141" s="145">
        <f>IF(E59&gt;0,0,O168)</f>
        <v>0</v>
      </c>
      <c r="H141" s="101">
        <f>(L59-E59)*D59</f>
        <v>221725.65510275992</v>
      </c>
      <c r="I141" s="101">
        <f>ROUND(D141+E141+H141,2)</f>
        <v>4379110.2699999996</v>
      </c>
      <c r="J141" s="113">
        <f>I144+I145+I150+I151+I162+I163+I156+I157+I168</f>
        <v>4379110.2656190954</v>
      </c>
      <c r="K141" s="113"/>
      <c r="O141" s="146">
        <f>F141+G141</f>
        <v>4157385</v>
      </c>
      <c r="P141" s="103"/>
    </row>
    <row r="142" spans="1:16">
      <c r="A142" s="23"/>
      <c r="C142" s="101"/>
      <c r="D142" s="8"/>
      <c r="E142" s="8"/>
      <c r="F142" s="101"/>
      <c r="G142" s="101"/>
      <c r="H142" s="8"/>
      <c r="I142" s="103"/>
    </row>
    <row r="143" spans="1:16">
      <c r="A143" s="23"/>
      <c r="B143" s="21" t="s">
        <v>293</v>
      </c>
      <c r="D143" s="81"/>
      <c r="E143" s="81"/>
      <c r="F143" s="101"/>
      <c r="G143" s="101"/>
      <c r="H143" s="95"/>
      <c r="I143" s="101"/>
    </row>
    <row r="144" spans="1:16">
      <c r="A144" s="23"/>
      <c r="B144" s="101" t="s">
        <v>242</v>
      </c>
      <c r="C144" s="101"/>
      <c r="D144" s="112">
        <f>IF(OR(D138=0,D141&lt;=0,I141&lt;=0,F141+G141&gt;D138,E141&lt;0,E59&gt;0),0,IF(AND(F141&lt;D138,O168&gt;=0,F141+O168&lt;=D138,F141+O168&gt;0,D141&gt;=0),D141,IF(AND(D141&lt;D138,F141&gt;D138,E141&gt;=0),D138/(D141+E141)*D141,IF(AND(I141&lt;D138,E141&gt;=0),D141,0))))</f>
        <v>0</v>
      </c>
      <c r="E144" s="112">
        <f>IF(OR(D138=0,I141&lt;=0,E59&gt;0,D138&lt;F141+G141),0,IF(AND(D141&lt;0,E141&gt;=0,F141&lt;D138,F141+G141&lt;=D138),F141+G141,IF(AND(D141&gt;0,E141&gt;=0,F141+G141&lt;=D138),E141+G141,IF(AND(E141&gt;0,F141+G141&lt;D138),G141/(D141+G141)*(E141),0))))</f>
        <v>0</v>
      </c>
      <c r="F144" s="112">
        <f>D144+E144</f>
        <v>0</v>
      </c>
      <c r="G144" s="112"/>
      <c r="H144" s="112">
        <f>IF(OR(E59&gt;=0,E141&lt;0,D138&lt;F141+G141),0,IF(AND(O168&gt;0,I141&lt;=D138,H141&lt;O168),H141,IF(AND(O168&gt;0,I141&lt;=D138,H141&lt;O168),H141,IF(AND(I141&gt;D138,F141&lt;D138,H141&lt;D138,F141+O168&gt;D138),D138/(F141+O168)*O168,IF(AND(F141&gt;0,F141+O168&lt;=D138),O168-(E144-E141),0)))))</f>
        <v>0</v>
      </c>
      <c r="I144" s="112">
        <f>F144+H144</f>
        <v>0</v>
      </c>
      <c r="J144" s="104"/>
      <c r="K144" s="104"/>
    </row>
    <row r="145" spans="1:16">
      <c r="A145" s="23"/>
      <c r="B145" s="101" t="s">
        <v>241</v>
      </c>
      <c r="C145" s="101"/>
      <c r="D145" s="112">
        <f>IF(OR(D138=0,D141&lt;=0,I141&lt;=0,F141+G141&gt;D138,E141&gt;=0,E59&gt;0),0,IF(AND(D141&lt;D138,G141=0,E141&lt;=0,I141-D141&gt;0,F141&lt;0),0,IF(AND(F141+G141&lt;D138,G141&gt;=0,E141&lt;=0),D141+G141+E141,IF(AND(D141&gt;0,E141&lt;0,F141+G141&lt;D138,H141=0),F141,IF(AND(D141&gt;=D138,E141&lt;0,F141+G141&lt;=D138,G141&lt;0),D141+G141,0)))))</f>
        <v>0</v>
      </c>
      <c r="E145" s="112">
        <f>IF(OR(D138=0,I141&lt;=0,E141=0,F141+G141&gt;D138,E59&gt;0),0,IF(AND(E141&lt;0,H141=0,G141&lt;0),0,IF(AND(E141&lt;0,G141&gt;=0,F141+G141&lt;D138,D141&lt;0),(I141-G174)/(G141-E141+L147*(D59-D58))*(G141+L147*(D59-D58)-E141),IF(AND(E141&lt;0,D141+G141&lt;D138,D141+G141&lt;I141,D141&lt;0,G141+G174&lt;I141),G141,IF(AND(E141&lt;0,G141&gt;0,D141+G141&lt;D138,D141+G141&lt;I141,D141&gt;0),E141+G141,0)))))</f>
        <v>0</v>
      </c>
      <c r="F145" s="112">
        <f>D145+E145</f>
        <v>0</v>
      </c>
      <c r="G145" s="112"/>
      <c r="H145" s="112">
        <f>IF(OR(I141&lt;=0,H141&lt;=0,D138&lt;F141+G141,E59&gt;=0),0,IF(F141&gt;D138,D138/F141*H141,IF(AND(H141&lt;=D138,I141&gt;D138),D138,IF(AND(F141&lt;=D138,D141+E141&lt;0,F141+H141&gt;0),H141-O168,0))))</f>
        <v>0</v>
      </c>
      <c r="I145" s="112">
        <f>ROUND(D145+E145,2)</f>
        <v>0</v>
      </c>
      <c r="L145" s="81">
        <f>L58+L59</f>
        <v>426.86</v>
      </c>
      <c r="M145" s="81"/>
      <c r="N145" s="81"/>
      <c r="O145" s="104">
        <f>D138/(D141+O168)*D141</f>
        <v>0</v>
      </c>
      <c r="P145" s="1" t="s">
        <v>239</v>
      </c>
    </row>
    <row r="146" spans="1:16">
      <c r="A146" s="23"/>
      <c r="B146" s="13" t="s">
        <v>244</v>
      </c>
      <c r="D146" s="8">
        <f>D144/D57</f>
        <v>0</v>
      </c>
      <c r="E146" s="8">
        <f>E144/D58</f>
        <v>0</v>
      </c>
      <c r="F146" s="101"/>
      <c r="H146" s="8">
        <f>H144/D59</f>
        <v>0</v>
      </c>
      <c r="I146" s="101"/>
      <c r="L146" s="81"/>
      <c r="M146" s="81"/>
      <c r="N146" s="81"/>
    </row>
    <row r="147" spans="1:16">
      <c r="A147" s="23"/>
      <c r="B147" s="13" t="s">
        <v>243</v>
      </c>
      <c r="D147" s="8">
        <f>D145/D57</f>
        <v>0</v>
      </c>
      <c r="E147" s="8">
        <f>E145/D58</f>
        <v>0</v>
      </c>
      <c r="F147" s="8"/>
      <c r="H147" s="8">
        <f>H145/D59</f>
        <v>0</v>
      </c>
      <c r="I147" s="101"/>
      <c r="L147" s="81">
        <f>IF(I16-I11&gt;=0,I16+I17-I11-(I16-I11),IF(AND(I16-I11&lt;0,-(I16-I11)&lt;I17),I16+I17-I11,0))</f>
        <v>80.63</v>
      </c>
      <c r="M147" s="81"/>
      <c r="N147" s="81"/>
      <c r="O147" s="1" t="s">
        <v>285</v>
      </c>
    </row>
    <row r="148" spans="1:16">
      <c r="A148" s="23"/>
      <c r="B148" s="13"/>
      <c r="D148" s="8"/>
      <c r="E148" s="8"/>
      <c r="F148" s="8"/>
      <c r="H148" s="8"/>
      <c r="I148" s="101"/>
      <c r="L148" s="81"/>
      <c r="M148" s="81"/>
      <c r="N148" s="81"/>
    </row>
    <row r="149" spans="1:16">
      <c r="A149" s="23"/>
      <c r="B149" s="21" t="s">
        <v>299</v>
      </c>
      <c r="D149" s="81"/>
      <c r="E149" s="81"/>
      <c r="F149" s="101"/>
      <c r="G149" s="101"/>
      <c r="H149" s="95"/>
      <c r="I149" s="101"/>
    </row>
    <row r="150" spans="1:16">
      <c r="A150" s="23"/>
      <c r="B150" s="101" t="s">
        <v>242</v>
      </c>
      <c r="C150" s="101"/>
      <c r="D150" s="112">
        <f>IF(OR(D138=0,D141=0,I141&lt;=0,E141&lt;0,E59&gt;0),0,IF(AND(F141&lt;D138,O168&gt;0,F141+O168&gt;D138,D141&gt;0,E141&gt;=0),F141/(F141+O168)*D141,IF(AND(D141&gt;0,F141&gt;D138,E141&gt;=0),D138/(D141+E141)*D141,0)))</f>
        <v>0</v>
      </c>
      <c r="E150" s="112">
        <f>IF(OR(D138=0,I141&lt;=0,E141=0,E59&gt;0),0,IF(AND(D141&lt;0,E141&gt;0,F141+G141&gt;=D138),D138/(F141-D141+G141)*E141,IF(AND(E141&gt;0,F141&lt;D138,D141&gt;0,F141+G141&gt;D138),D138/(F141+G141)*(E141+G141),IF(AND(E141&gt;0,F141&gt;D138),D138/(D141+E141)*E141,0))))</f>
        <v>0</v>
      </c>
      <c r="F150" s="112">
        <f>D150+E150</f>
        <v>0</v>
      </c>
      <c r="G150" s="112"/>
      <c r="H150" s="112">
        <f>IF(OR(E59&gt;=0,E141&lt;0),0,IF(AND(I141&gt;D138,F141&lt;D138,H141&lt;D138,F141+O168&gt;D138),D138/(F141+O168)*O168,IF(AND(F141&gt;0,F141+O168&lt;=D138),O168-(E144-E141),0)))</f>
        <v>0</v>
      </c>
      <c r="I150" s="112">
        <f>F150+H150</f>
        <v>0</v>
      </c>
      <c r="J150" s="104"/>
      <c r="K150" s="104"/>
    </row>
    <row r="151" spans="1:16">
      <c r="A151" s="23"/>
      <c r="B151" s="101" t="s">
        <v>241</v>
      </c>
      <c r="C151" s="101"/>
      <c r="D151" s="112">
        <f>IF(OR(D138=0,I141&lt;=0,E141&gt;=0,E59&gt;0),0,IF(AND(D141&lt;0,G141&gt;=0,G141+F141&gt;D138,E141&lt;=0),0,IF(AND(D141&gt;=0,E141&lt;0,D141&gt;D138,I141&gt;=D138),D138/(D141)*D141,IF(AND(D141&gt;0,E141&lt;0,F141&gt;0,F141+G141&gt;D138,H141=0),F141,0))))</f>
        <v>0</v>
      </c>
      <c r="E151" s="112">
        <f>IF(OR(D138=0,I141&lt;=0,E141=0,E59&gt;0,F141+G141&lt;D138),0,IF(AND(E141&lt;0,H141=0,G141&lt;0),0,IF(AND(E141&lt;0,F141&gt;=D138),0,IF(AND(E141&lt;0,G141&gt;0,F141+G141&gt;0,D141&gt;0),D138/(F141-E141+G141)*G141,0))))</f>
        <v>0</v>
      </c>
      <c r="F151" s="112">
        <f>D151+E151</f>
        <v>0</v>
      </c>
      <c r="G151" s="112"/>
      <c r="H151" s="112">
        <f>IF(OR(I141&lt;=0,H141&lt;=0,E59&gt;=0),0,IF(F141&gt;D138,D138/F141*H147,IF(AND(H147&lt;=D138,I141&gt;D138),D138,IF(AND(F141&lt;=D138,D141+E141&lt;0,F141+H141&gt;0),H141-O168,0))))</f>
        <v>0</v>
      </c>
      <c r="I151" s="112">
        <f>ROUND(D151+E151,2)</f>
        <v>0</v>
      </c>
      <c r="L151" s="81">
        <f>L58+L59</f>
        <v>426.86</v>
      </c>
      <c r="M151" s="81"/>
      <c r="N151" s="81"/>
      <c r="O151" s="104">
        <f>D138/(D141+O168)*D141</f>
        <v>0</v>
      </c>
      <c r="P151" s="1" t="s">
        <v>239</v>
      </c>
    </row>
    <row r="152" spans="1:16">
      <c r="A152" s="23"/>
      <c r="B152" s="13" t="s">
        <v>244</v>
      </c>
      <c r="D152" s="8">
        <f>D150/D57</f>
        <v>0</v>
      </c>
      <c r="E152" s="8">
        <f>E150/D58</f>
        <v>0</v>
      </c>
      <c r="F152" s="101"/>
      <c r="H152" s="8">
        <f>H150/D59</f>
        <v>0</v>
      </c>
      <c r="I152" s="101"/>
      <c r="L152" s="81"/>
      <c r="M152" s="81"/>
      <c r="N152" s="81"/>
    </row>
    <row r="153" spans="1:16">
      <c r="A153" s="23"/>
      <c r="B153" s="13" t="s">
        <v>243</v>
      </c>
      <c r="D153" s="8">
        <f>D151/D57</f>
        <v>0</v>
      </c>
      <c r="E153" s="8">
        <f>E151/D58</f>
        <v>0</v>
      </c>
      <c r="F153" s="8"/>
      <c r="H153" s="8">
        <f>H151/D59</f>
        <v>0</v>
      </c>
      <c r="I153" s="101"/>
      <c r="L153" s="81">
        <f>I16+I17-I11</f>
        <v>80.63</v>
      </c>
      <c r="M153" s="81"/>
      <c r="N153" s="81"/>
      <c r="O153" s="1" t="s">
        <v>246</v>
      </c>
    </row>
    <row r="154" spans="1:16">
      <c r="A154" s="23"/>
      <c r="B154" s="13"/>
      <c r="D154" s="8">
        <f>D138/I141*D141</f>
        <v>0</v>
      </c>
      <c r="E154" s="8"/>
      <c r="F154" s="8"/>
      <c r="H154" s="8"/>
      <c r="I154" s="101"/>
      <c r="L154" s="81"/>
      <c r="M154" s="81"/>
      <c r="N154" s="81"/>
    </row>
    <row r="155" spans="1:16">
      <c r="A155" s="23"/>
      <c r="B155" s="21" t="s">
        <v>300</v>
      </c>
      <c r="D155" s="81"/>
      <c r="E155" s="81"/>
      <c r="F155" s="101"/>
      <c r="H155" s="101">
        <f>IF(H147=0,0,L153*D64)</f>
        <v>0</v>
      </c>
      <c r="I155" s="101"/>
      <c r="L155" s="81"/>
      <c r="M155" s="81"/>
      <c r="N155" s="81"/>
    </row>
    <row r="156" spans="1:16">
      <c r="A156" s="23"/>
      <c r="B156" s="101" t="s">
        <v>242</v>
      </c>
      <c r="C156" s="101"/>
      <c r="D156" s="112">
        <f>IF(OR(D138=0,D141=0,I141&lt;=0,I141&lt;D138,E141&lt;0,E59=0),0,IF(AND(D141&lt;0,E141&gt;0,H141&gt;0,I141&gt;0),0,IF(AND(D141&gt;0,E141&gt;0,H141&gt;=0,I141&gt;D138),D138/I141*D141,IF(AND(D141&gt;0,E141&gt;0,H141&lt;0,I141&gt;D138),D138/(I141-H141)*D141,IF(AND(D141&lt;0,E141&gt;0,H141&lt;0,I141&gt;D138),0)))))</f>
        <v>0</v>
      </c>
      <c r="E156" s="112">
        <f>IF(OR(D138=0,I141&lt;=0,E141&lt;=0,E59=0),0,IF(AND(D141&gt;0,E141&gt;0,H141&gt;0,I141&gt;D138),D138/(I141)*E141,IF(AND(D141&gt;0,E141&gt;0,H141&lt;0,I141&gt;D138),D138/(I141-H141)*E141,IF(AND(D141&lt;0,E141&gt;0,H141&gt;=0,I141&gt;D138),D138/(I141-D141)*E141,IF(AND(D141&lt;0,E141&gt;0,H141&lt;0,I141&gt;D138),D138/(I141-D141-H141)*E141,0)))))</f>
        <v>0</v>
      </c>
      <c r="F156" s="112"/>
      <c r="G156" s="112"/>
      <c r="H156" s="112">
        <f>IF(OR(I141&lt;=0,E59=0,E141&lt;0),0,IF(AND(D141&gt;0,E141&gt;0,H141&gt;0,I141&gt;D138),D138/(I141)*H141,IF(AND(D141&gt;0,E141&gt;0,H141&lt;0,I141&gt;D138),0,IF(AND(D141&lt;0,E141&gt;D138,H141&gt;0,I141&gt;D138),D138/(I141-D141)*H141,IF(AND(D141&lt;0,E141&gt;0,H141&lt;0,I141&gt;D138),0,0)))))</f>
        <v>0</v>
      </c>
      <c r="I156" s="112">
        <f>D156+E156+H156</f>
        <v>0</v>
      </c>
      <c r="L156" s="81"/>
      <c r="M156" s="81"/>
      <c r="N156" s="81"/>
    </row>
    <row r="157" spans="1:16">
      <c r="A157" s="23"/>
      <c r="B157" s="101" t="s">
        <v>241</v>
      </c>
      <c r="C157" s="101"/>
      <c r="D157" s="112">
        <f>IF(OR(D138=0,D141=0,I141&lt;=0,E141&gt;=0,E59=0),0,IF(AND(D141&gt;0,E141&lt;0,H141&gt;0,I141&gt;D138),D138/(I141-E141)*D141,IF(AND(D141&gt;0,E141&lt;0,H141&lt;0,I141&gt;D138),D138/(I141-E141-H141)*D141,IF(AND(D141&lt;0,E141&lt;0,H141&gt;0,I141&gt;D138),0,))))</f>
        <v>0</v>
      </c>
      <c r="E157" s="112">
        <f>IF(OR(D138=0,I141&lt;=0,E141=0,E59=0),0,IF(AND(E141&lt;0,I141&gt;0,E59&gt;0),0,0))</f>
        <v>0</v>
      </c>
      <c r="F157" s="112">
        <f>D157+E157</f>
        <v>0</v>
      </c>
      <c r="G157" s="112"/>
      <c r="H157" s="112">
        <f>IF(OR(I141&lt;=0,H141=0,E59=0,E141&gt;=0),0,IF(AND(D141&gt;0,E141&lt;0,H141&gt;0,I141&gt;D138),D138/(I141-E141)*H141,IF(AND(D141&gt;0,E141&lt;0,H141&lt;0,I141&gt;D138,),0,IF(AND(D141&lt;0,E141&lt;0,H141&gt;0,I141&gt;D138),D138/(I141-E141-D141)*H141,0))))</f>
        <v>0</v>
      </c>
      <c r="I157" s="112">
        <f>ROUND(D157+E157+H157,2)</f>
        <v>0</v>
      </c>
      <c r="L157" s="81"/>
      <c r="M157" s="81"/>
      <c r="N157" s="81"/>
    </row>
    <row r="158" spans="1:16">
      <c r="A158" s="23"/>
      <c r="B158" s="13" t="s">
        <v>244</v>
      </c>
      <c r="D158" s="8">
        <f>D156/D57</f>
        <v>0</v>
      </c>
      <c r="E158" s="8">
        <f>E156/D58</f>
        <v>0</v>
      </c>
      <c r="F158" s="101"/>
      <c r="H158" s="8">
        <f>H156/D59</f>
        <v>0</v>
      </c>
      <c r="I158" s="101"/>
      <c r="L158" s="81"/>
      <c r="M158" s="81"/>
      <c r="N158" s="81"/>
    </row>
    <row r="159" spans="1:16">
      <c r="A159" s="23"/>
      <c r="B159" s="13" t="s">
        <v>243</v>
      </c>
      <c r="D159" s="8">
        <f>D157/D57</f>
        <v>0</v>
      </c>
      <c r="E159" s="8">
        <f>E157/D58</f>
        <v>0</v>
      </c>
      <c r="F159" s="8"/>
      <c r="H159" s="8">
        <f>H157/D59</f>
        <v>0</v>
      </c>
      <c r="I159" s="101"/>
      <c r="L159" s="81"/>
      <c r="M159" s="81"/>
      <c r="N159" s="81"/>
    </row>
    <row r="160" spans="1:16">
      <c r="A160" s="23"/>
      <c r="B160" s="13"/>
      <c r="D160" s="8"/>
      <c r="E160" s="8"/>
      <c r="F160" s="8"/>
      <c r="H160" s="8"/>
      <c r="I160" s="101"/>
      <c r="L160" s="81"/>
      <c r="M160" s="81"/>
      <c r="N160" s="81"/>
    </row>
    <row r="161" spans="1:16">
      <c r="A161" s="23"/>
      <c r="B161" s="21" t="s">
        <v>290</v>
      </c>
      <c r="C161" s="6"/>
      <c r="D161" s="142"/>
      <c r="E161" s="142"/>
      <c r="F161" s="143"/>
      <c r="G161" s="101"/>
      <c r="H161" s="95"/>
      <c r="I161" s="101"/>
      <c r="L161" s="81"/>
      <c r="M161" s="81"/>
      <c r="N161" s="81"/>
    </row>
    <row r="162" spans="1:16">
      <c r="A162" s="23"/>
      <c r="B162" s="101" t="s">
        <v>242</v>
      </c>
      <c r="C162" s="101"/>
      <c r="D162" s="112">
        <f>IF(OR(D138=0,D141=0,I141&lt;=0,E141&lt;0,E59=0),0,IF(AND(I141&lt;D138,D141&gt;0,E141&gt;0,H141&gt;=0),D141,IF(AND(I141&lt;D138,D141&gt;0,E141&gt;0,H141&lt;0),I141/(I141-H141)*D141,IF(AND(I141&lt;D138,D141&lt;0,E141&gt;0,H141&gt;0),0,IF(AND(I141&lt;D138,D141&lt;0,E141&gt;0,H141&lt;0),0,0)))))</f>
        <v>0</v>
      </c>
      <c r="E162" s="112">
        <f>IF(OR(D138=0,I141&lt;=0,E141&lt;=0,E59=0),0,IF(AND(I141&lt;D138,D141&gt;0,E141&gt;0,H141&gt;=0),E141,IF(AND(I141&lt;D138,D141&gt;0,E141&gt;0,H141&lt;0),I141/(I141-H141)*E141,IF(AND(I141&lt;D138,D141&lt;0,E141&gt;0,H141&gt;=0),I141/(I141-D141)*E141,IF(AND(I141&lt;D138,E141&gt;0,D141&lt;0,H141&lt;0),I141/(I141-D141-H141)*E141,0)))))</f>
        <v>0</v>
      </c>
      <c r="F162" s="112"/>
      <c r="G162" s="112"/>
      <c r="H162" s="112">
        <f>IF(OR(I141&lt;=0,E59=0,E141&lt;0,H141&lt;0),0,IF(AND(D141&lt;0,E141&gt;0,H141&gt;0,I141&lt;D138),I141/(I141-D141)*H141,IF(AND(D141&gt;0,E141&gt;0,H141&gt;0,I141&lt;D138),H141,IF(AND(I141&lt;D138,D141&lt;=0,E141&gt;D138,H141&lt;=0),0,IF(AND(I141&lt;D138,D141&gt;0,E141&gt;0,H141&lt;0),0,0)))))</f>
        <v>0</v>
      </c>
      <c r="I162" s="112">
        <f>D162+E162+H162</f>
        <v>0</v>
      </c>
      <c r="J162" s="104"/>
      <c r="K162" s="104"/>
      <c r="L162" s="81"/>
      <c r="M162" s="81"/>
      <c r="N162" s="81"/>
    </row>
    <row r="163" spans="1:16">
      <c r="A163" s="23"/>
      <c r="B163" s="101" t="s">
        <v>241</v>
      </c>
      <c r="C163" s="101"/>
      <c r="D163" s="112">
        <f>IF(OR(D138=0,D141=0,I141&lt;=0,E141&gt;=0,E59=0),0,IF(AND(D141&gt;0,E141&lt;0,H141&gt;0,I141&lt;D138),I141/(I141-E141)*D141,IF(AND(D141&gt;0,E141&lt;0,H141&lt;0,I141&lt;D138),I141/(I141-E141-H141)*D141,IF(AND(D141&lt;0,E141&lt;0,H141&gt;0,I141&lt;D138),0,0))))</f>
        <v>0</v>
      </c>
      <c r="E163" s="112">
        <f>IF(OR(D138=0,I141&lt;=0,E141=0,E59=0),0,IF(AND(E141&lt;0,I141&lt;D138),0,0))</f>
        <v>0</v>
      </c>
      <c r="F163" s="112">
        <f>D163+E163</f>
        <v>0</v>
      </c>
      <c r="G163" s="112"/>
      <c r="H163" s="112">
        <f>IF(OR(I141&lt;=0,H141=0,E59=0,E141&gt;=0,D138&lt;I141),0,IF(AND(D141&gt;0,E141&lt;0,H141&gt;0,I141&lt;D138),I141/(I141-E141)*H141,IF(AND(D141&gt;0,E141&lt;0,H141&lt;0,I141&lt;D138),0,IF(AND(D141&lt;0,E141&lt;0,H141&gt;0,I141&lt;D138),I141/(I141-D141-E141)*H141,0))))</f>
        <v>0</v>
      </c>
      <c r="I163" s="112">
        <f>ROUND(D163+E163+H163,2)</f>
        <v>0</v>
      </c>
      <c r="L163" s="81"/>
      <c r="M163" s="81"/>
      <c r="N163" s="81"/>
    </row>
    <row r="164" spans="1:16">
      <c r="A164" s="23"/>
      <c r="B164" s="13" t="s">
        <v>244</v>
      </c>
      <c r="D164" s="8">
        <f>D162/D57</f>
        <v>0</v>
      </c>
      <c r="E164" s="8">
        <f>E162/D58</f>
        <v>0</v>
      </c>
      <c r="F164" s="101"/>
      <c r="H164" s="8">
        <f>H162/D59</f>
        <v>0</v>
      </c>
      <c r="I164" s="101"/>
      <c r="L164" s="81"/>
      <c r="M164" s="81"/>
      <c r="N164" s="81"/>
    </row>
    <row r="165" spans="1:16">
      <c r="A165" s="23"/>
      <c r="B165" s="13" t="s">
        <v>243</v>
      </c>
      <c r="D165" s="8">
        <f>D163/D57</f>
        <v>0</v>
      </c>
      <c r="E165" s="8">
        <f>E163/D58</f>
        <v>0</v>
      </c>
      <c r="F165" s="8"/>
      <c r="H165" s="8">
        <f>H163/D59</f>
        <v>0</v>
      </c>
      <c r="I165" s="101"/>
      <c r="L165" s="81"/>
      <c r="M165" s="81"/>
      <c r="N165" s="81"/>
    </row>
    <row r="166" spans="1:16">
      <c r="A166" s="23"/>
      <c r="B166" s="13"/>
      <c r="D166" s="8"/>
      <c r="E166" s="8"/>
      <c r="F166" s="8"/>
      <c r="H166" s="8"/>
      <c r="I166" s="101"/>
      <c r="L166" s="81"/>
      <c r="M166" s="81"/>
      <c r="N166" s="81"/>
    </row>
    <row r="167" spans="1:16">
      <c r="A167" s="23"/>
      <c r="B167" s="5" t="s">
        <v>229</v>
      </c>
      <c r="D167" s="81"/>
      <c r="E167" s="101"/>
      <c r="F167" s="101"/>
      <c r="G167" s="120"/>
      <c r="I167" s="101"/>
      <c r="L167" s="135"/>
      <c r="M167" s="135"/>
      <c r="N167" s="135"/>
      <c r="O167" s="81">
        <f>I17-L147</f>
        <v>91.82</v>
      </c>
      <c r="P167" s="1" t="s">
        <v>248</v>
      </c>
    </row>
    <row r="168" spans="1:16">
      <c r="A168" s="23"/>
      <c r="B168" s="1" t="s">
        <v>232</v>
      </c>
      <c r="D168" s="160">
        <f>IF(I141&lt;=0,0,IF(AND(E59=0,I141&gt;0),D141-D144-D145-D150-D151,IF(AND(E59&gt;0,I141&gt;0),D141-D156-D158-D162-D163,0)))</f>
        <v>4418193.0735426359</v>
      </c>
      <c r="E168" s="134">
        <f>IF(I141&lt;0,0,IF(AND(E59=0,I141&gt;=0),E141-E144-E145-E150-E151,IF(AND(E59&gt;0,I141&gt;=0),E141-E156-E157-E162-E163,0)))</f>
        <v>-260808.46302630007</v>
      </c>
      <c r="F168" s="134"/>
      <c r="G168" s="134"/>
      <c r="H168" s="134">
        <f>IF(I141&lt;0,0,IF(AND(E59=0,I141&gt;=0),H141-H144-H145-H150-H151,IF(AND(E59&gt;0,I141&gt;=0),H141-H156-H157-H162-H163,0)))</f>
        <v>221725.65510275992</v>
      </c>
      <c r="I168" s="101">
        <f>IF(I141&gt;0,D168+E168+H168,0)</f>
        <v>4379110.2656190954</v>
      </c>
      <c r="L168" s="111"/>
      <c r="M168" s="111"/>
      <c r="N168" s="111"/>
      <c r="O168" s="113">
        <f>L147*D58</f>
        <v>229024.02933794999</v>
      </c>
      <c r="P168" s="141" t="s">
        <v>284</v>
      </c>
    </row>
    <row r="169" spans="1:16">
      <c r="A169" s="23"/>
      <c r="B169" s="1" t="s">
        <v>233</v>
      </c>
      <c r="D169" s="8">
        <f>IF(D168=0,0,D168/D57)</f>
        <v>935.34500000000116</v>
      </c>
      <c r="E169" s="8">
        <f>IF(E168=0,0,IF(I141&lt;0,0,L58-H58-E58))</f>
        <v>-91.820000000000022</v>
      </c>
      <c r="F169" s="8"/>
      <c r="G169" s="8"/>
      <c r="H169" s="8">
        <f>IF(AND(E59=0,H141-I145=0),0,IF(I141&lt;0,0,IF(E59=0,(H168)/D59,IF(E59&gt;0,(H141-H156-H157-H162-H163)/D59,0))))</f>
        <v>46.939999999999984</v>
      </c>
      <c r="I169" s="104"/>
      <c r="L169" s="103"/>
      <c r="M169" s="103"/>
      <c r="N169" s="103"/>
    </row>
    <row r="170" spans="1:16">
      <c r="A170" s="23"/>
      <c r="B170" s="1" t="s">
        <v>230</v>
      </c>
      <c r="F170" s="8"/>
      <c r="G170" s="8"/>
      <c r="I170" s="104"/>
      <c r="J170" s="116">
        <f>J141-G174</f>
        <v>4379110.2656190954</v>
      </c>
      <c r="K170" s="116"/>
      <c r="L170" s="117" t="s">
        <v>245</v>
      </c>
      <c r="M170" s="117"/>
      <c r="N170" s="117"/>
    </row>
    <row r="171" spans="1:16">
      <c r="A171" s="23"/>
      <c r="B171" s="2"/>
      <c r="D171" s="101"/>
      <c r="E171" s="81">
        <f>E168/D58</f>
        <v>-91.820000000000022</v>
      </c>
      <c r="F171" s="101"/>
      <c r="G171" s="101"/>
      <c r="H171" s="101"/>
      <c r="I171" s="136" t="s">
        <v>283</v>
      </c>
      <c r="J171" s="103">
        <f>I144+I145+I168</f>
        <v>4379110.2656190954</v>
      </c>
      <c r="K171" s="103"/>
      <c r="L171" s="103">
        <f>L147+O167</f>
        <v>172.45</v>
      </c>
      <c r="M171" s="103"/>
      <c r="N171" s="103"/>
      <c r="O171" s="115">
        <f>O167*D58+L147*D59+O167*487.11</f>
        <v>686398.54981631995</v>
      </c>
    </row>
    <row r="172" spans="1:16">
      <c r="A172" s="23"/>
      <c r="B172" s="2" t="s">
        <v>247</v>
      </c>
      <c r="D172" s="8">
        <f>IF(I141&lt;0,D141/D57,0)</f>
        <v>0</v>
      </c>
      <c r="E172" s="8">
        <f>IF(I141&lt;0,E141/D58,0)</f>
        <v>0</v>
      </c>
      <c r="F172" s="8"/>
      <c r="G172" s="8"/>
      <c r="H172" s="8">
        <f>IF(I141&lt;0,H141/D59,0)</f>
        <v>0</v>
      </c>
      <c r="I172" s="137">
        <f>IF(AND(E59=0,L71&gt;0),-D172*D57-E172*D58-(H172+L147)*D58,IF(AND(E59&gt;0,L71&gt;0),-D172*D57-E172*D58-H172*D59,0))</f>
        <v>0</v>
      </c>
      <c r="J172" s="103"/>
      <c r="K172" s="103"/>
      <c r="L172" s="119">
        <f>O167*487.11</f>
        <v>44726.440199999997</v>
      </c>
      <c r="M172" s="105"/>
      <c r="N172" s="105"/>
      <c r="O172" s="9" t="s">
        <v>90</v>
      </c>
    </row>
    <row r="173" spans="1:16">
      <c r="A173" s="23"/>
      <c r="I173" s="104"/>
      <c r="J173" s="103"/>
      <c r="K173" s="103"/>
      <c r="L173" s="103">
        <f>J171+L172</f>
        <v>4423836.7058190955</v>
      </c>
      <c r="M173" s="103"/>
      <c r="N173" s="103"/>
      <c r="O173" s="103">
        <f>L147*3232.0676</f>
        <v>260601.61058799998</v>
      </c>
      <c r="P173" s="1" t="s">
        <v>281</v>
      </c>
    </row>
    <row r="174" spans="1:16">
      <c r="A174" s="23"/>
      <c r="B174" s="2" t="s">
        <v>224</v>
      </c>
      <c r="D174" s="8"/>
      <c r="E174" s="103"/>
      <c r="F174" s="8"/>
      <c r="G174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4" s="8"/>
      <c r="I174" s="104"/>
      <c r="O174" s="119">
        <f>O167*2744.9578</f>
        <v>252042.025196</v>
      </c>
      <c r="P174" s="1" t="s">
        <v>282</v>
      </c>
    </row>
    <row r="175" spans="1:16">
      <c r="A175" s="23"/>
      <c r="B175" s="2" t="s">
        <v>280</v>
      </c>
      <c r="D175" s="8"/>
      <c r="E175" s="103"/>
      <c r="F175" s="8"/>
      <c r="G175" s="101">
        <f>IF(OR(L59=0,E59&gt;0),0,IF(E58&lt;=L58-L59-I58,0,IF(L71&gt;0,L147*(D59-D58),IF(AND(E58&gt;L58,E58-L58&gt;L59),L59*(D59-D58),IF(AND(E58&gt;L58,E58-L58&lt;L59),L59*(D59-D58)-(L59+L58-E58)*(D59-D58),IF(AND(I12=0,I59&gt;0),(D59-D58)*(G59-L147),0))))))</f>
        <v>0</v>
      </c>
      <c r="H175" s="8"/>
      <c r="I175" s="104"/>
      <c r="L175" s="1">
        <f>O167*487.11</f>
        <v>44726.440199999997</v>
      </c>
      <c r="O175" s="103">
        <f>O173+O174</f>
        <v>512643.63578399998</v>
      </c>
    </row>
    <row r="176" spans="1:16">
      <c r="A176" s="23"/>
      <c r="L176" s="1">
        <f>98107/487.11</f>
        <v>201.40625320769436</v>
      </c>
    </row>
    <row r="177" spans="1:17">
      <c r="A177" s="23"/>
      <c r="B177" s="16" t="s">
        <v>297</v>
      </c>
      <c r="C177" s="5" t="s">
        <v>227</v>
      </c>
      <c r="D177" s="107">
        <f>D144+D145+D150+D151+D156+D157+D162+D163+D168</f>
        <v>4418193.0735426359</v>
      </c>
      <c r="E177" s="107">
        <f>E144+E145+E150+E151+E162+E163+E156+E157+E168</f>
        <v>-260808.46302630007</v>
      </c>
      <c r="F177" s="107"/>
      <c r="G177" s="107"/>
      <c r="H177" s="107">
        <f>H144+H145+H156+H157+H168</f>
        <v>221725.65510275992</v>
      </c>
      <c r="I177" s="134">
        <f>SUM(D175:H175)</f>
        <v>0</v>
      </c>
      <c r="J177" s="103"/>
      <c r="K177" s="103"/>
      <c r="L177" s="103"/>
      <c r="M177" s="103"/>
      <c r="N177" s="103"/>
    </row>
    <row r="178" spans="1:17">
      <c r="A178" s="23"/>
      <c r="B178" s="16"/>
      <c r="C178" s="5"/>
      <c r="D178" s="102"/>
      <c r="E178" s="102"/>
      <c r="F178" s="8" t="s">
        <v>240</v>
      </c>
      <c r="G178" s="103">
        <f>(G59-L147)*487.11</f>
        <v>-16410.735900000007</v>
      </c>
      <c r="H178" s="103"/>
      <c r="I178" s="103"/>
      <c r="J178" s="103"/>
      <c r="K178" s="103"/>
      <c r="L178" s="103"/>
      <c r="M178" s="103"/>
      <c r="N178" s="103"/>
    </row>
    <row r="179" spans="1:17">
      <c r="A179" s="23"/>
      <c r="B179" s="16"/>
      <c r="C179" s="5"/>
      <c r="D179" s="8"/>
      <c r="E179" s="8"/>
      <c r="F179" s="106"/>
      <c r="G179" s="105">
        <f>G59*487.11</f>
        <v>22864.943399999993</v>
      </c>
      <c r="H179" s="103"/>
      <c r="I179" s="103"/>
      <c r="J179" s="103"/>
      <c r="K179" s="103"/>
      <c r="L179" s="103"/>
      <c r="M179" s="103"/>
      <c r="N179" s="103"/>
      <c r="Q179" s="103"/>
    </row>
    <row r="180" spans="1:17">
      <c r="A180" s="23"/>
      <c r="B180" s="16" t="s">
        <v>298</v>
      </c>
      <c r="C180" s="5" t="s">
        <v>227</v>
      </c>
      <c r="D180" s="101">
        <f>D141</f>
        <v>4418193.0735426359</v>
      </c>
      <c r="E180" s="101">
        <f>E141</f>
        <v>-260808.46302630007</v>
      </c>
      <c r="F180" s="101"/>
      <c r="G180" s="101">
        <f>G141</f>
        <v>0</v>
      </c>
      <c r="H180" s="101">
        <f>H141</f>
        <v>221725.65510275992</v>
      </c>
      <c r="I180" s="101">
        <f>I141</f>
        <v>4379110.2699999996</v>
      </c>
      <c r="J180" s="103"/>
      <c r="K180" s="103"/>
      <c r="L180" s="103"/>
      <c r="M180" s="103"/>
      <c r="N180" s="103"/>
      <c r="Q180" s="103"/>
    </row>
    <row r="181" spans="1:17">
      <c r="A181" s="23"/>
      <c r="B181" s="13"/>
      <c r="D181" s="8"/>
      <c r="E181" s="8"/>
      <c r="F181" s="8"/>
      <c r="G181" s="110"/>
      <c r="H181" s="103"/>
      <c r="I181" s="103"/>
      <c r="J181" s="103"/>
      <c r="K181" s="103"/>
      <c r="L181" s="103"/>
      <c r="M181" s="103"/>
      <c r="N181" s="103"/>
      <c r="Q181" s="103"/>
    </row>
    <row r="182" spans="1:17">
      <c r="A182" s="23"/>
      <c r="B182" s="5"/>
      <c r="D182" s="81"/>
      <c r="E182" s="81"/>
      <c r="F182" s="81"/>
      <c r="G182" s="72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7">
      <c r="A183" s="23"/>
      <c r="B183" s="13"/>
      <c r="D183" s="8"/>
      <c r="E183" s="8"/>
      <c r="F183" s="8"/>
      <c r="G183" s="8"/>
      <c r="H183" s="8"/>
      <c r="I183" s="96"/>
      <c r="L183" s="103"/>
      <c r="M183" s="103"/>
      <c r="N183" s="103"/>
      <c r="O183" s="103"/>
      <c r="P183" s="103"/>
    </row>
    <row r="184" spans="1:17">
      <c r="A184" s="23"/>
      <c r="B184" s="13"/>
      <c r="D184" s="8"/>
      <c r="E184" s="8"/>
      <c r="F184" s="8"/>
      <c r="G184" s="8"/>
      <c r="H184" s="8"/>
      <c r="I184" s="96"/>
      <c r="J184" s="22"/>
      <c r="K184" s="22"/>
      <c r="L184" s="103"/>
      <c r="M184" s="103"/>
      <c r="N184" s="103"/>
      <c r="O184" s="103"/>
      <c r="P184" s="103"/>
    </row>
    <row r="185" spans="1:17">
      <c r="A185" s="23"/>
      <c r="B185" s="5"/>
      <c r="D185" s="81"/>
      <c r="E185" s="81"/>
      <c r="F185" s="81"/>
      <c r="G185" s="8"/>
      <c r="H185" s="81"/>
      <c r="I185" s="96"/>
      <c r="J185" s="73"/>
      <c r="K185" s="73"/>
      <c r="L185" s="103"/>
      <c r="M185" s="103"/>
      <c r="N185" s="103"/>
      <c r="O185" s="103"/>
      <c r="P185" s="103"/>
    </row>
    <row r="186" spans="1:17">
      <c r="A186" s="23"/>
      <c r="B186" s="13"/>
      <c r="D186" s="8"/>
      <c r="E186" s="8"/>
      <c r="F186" s="8"/>
      <c r="G186" s="8"/>
      <c r="H186" s="81"/>
      <c r="I186" s="96"/>
      <c r="J186" s="73"/>
      <c r="K186" s="73"/>
      <c r="L186" s="103"/>
      <c r="M186" s="103"/>
      <c r="N186" s="103"/>
      <c r="O186" s="103"/>
      <c r="P186" s="103"/>
    </row>
    <row r="187" spans="1:17">
      <c r="A187" s="23"/>
      <c r="B187" s="5"/>
      <c r="D187" s="81"/>
      <c r="E187" s="81"/>
      <c r="F187" s="81"/>
      <c r="G187" s="81"/>
      <c r="H187" s="81"/>
      <c r="I187" s="96"/>
      <c r="J187" s="73"/>
      <c r="K187" s="73"/>
      <c r="L187" s="73"/>
      <c r="M187" s="73"/>
      <c r="N187" s="73"/>
    </row>
    <row r="188" spans="1:17">
      <c r="A188" s="23"/>
      <c r="B188" s="74"/>
      <c r="D188" s="97"/>
      <c r="E188" s="97"/>
      <c r="F188" s="97"/>
      <c r="G188" s="97"/>
      <c r="H188" s="97"/>
      <c r="I188" s="94"/>
    </row>
    <row r="189" spans="1:17">
      <c r="A189" s="23"/>
      <c r="D189" s="8"/>
      <c r="E189" s="8"/>
      <c r="F189" s="8"/>
      <c r="G189" s="8"/>
      <c r="H189" s="8"/>
      <c r="I189" s="94"/>
      <c r="J189" s="34"/>
      <c r="K189" s="34"/>
      <c r="L189" s="34"/>
      <c r="M189" s="34"/>
      <c r="N189" s="34"/>
    </row>
    <row r="190" spans="1:17">
      <c r="A190" s="23"/>
      <c r="L190" s="59"/>
      <c r="M190" s="59"/>
      <c r="N190" s="59"/>
    </row>
    <row r="191" spans="1:17">
      <c r="A191" s="23"/>
      <c r="L191" s="88"/>
      <c r="M191" s="88"/>
      <c r="N191" s="88"/>
    </row>
    <row r="192" spans="1:17">
      <c r="A192" s="23"/>
      <c r="L192" s="75"/>
      <c r="M192" s="75"/>
      <c r="N192" s="75"/>
      <c r="O192" s="81"/>
    </row>
    <row r="193" spans="1:14">
      <c r="A193" s="23"/>
      <c r="L193" s="89"/>
      <c r="M193" s="89"/>
      <c r="N193" s="89"/>
    </row>
    <row r="194" spans="1:14">
      <c r="A194" s="23"/>
    </row>
    <row r="195" spans="1:14">
      <c r="A195" s="23"/>
    </row>
    <row r="196" spans="1:14">
      <c r="A196" s="23"/>
    </row>
    <row r="197" spans="1:14">
      <c r="A197" s="23"/>
      <c r="D197" s="59"/>
      <c r="E197" s="59"/>
      <c r="F197" s="59"/>
      <c r="G197" s="59"/>
      <c r="H197" s="83"/>
      <c r="I197" s="8"/>
    </row>
    <row r="198" spans="1:14">
      <c r="A198" s="23"/>
      <c r="G198" s="1"/>
      <c r="I198" s="8"/>
    </row>
    <row r="199" spans="1:14">
      <c r="A199" s="23"/>
      <c r="D199" s="34"/>
    </row>
    <row r="200" spans="1:14">
      <c r="D200" s="59"/>
      <c r="E200" s="59"/>
      <c r="F200" s="59"/>
      <c r="G200" s="84"/>
      <c r="H200" s="59"/>
    </row>
    <row r="201" spans="1:14">
      <c r="D201" s="22"/>
    </row>
    <row r="202" spans="1:14">
      <c r="D202" s="22"/>
    </row>
  </sheetData>
  <mergeCells count="1">
    <mergeCell ref="D48:G48"/>
  </mergeCells>
  <pageMargins left="0.25" right="0.25" top="0.5" bottom="0.5" header="0.5" footer="0.5"/>
  <pageSetup orientation="portrait"/>
  <headerFooter alignWithMargins="0">
    <oddFooter>&amp;L&amp;D&amp;T</oddFooter>
  </headerFooter>
  <rowBreaks count="1" manualBreakCount="1">
    <brk id="53" max="16383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Memo!!</vt:lpstr>
      <vt:lpstr>Tab #4 -  PBF Districts</vt:lpstr>
      <vt:lpstr>Tab #5 - Centers</vt:lpstr>
      <vt:lpstr>Allan Hancock</vt:lpstr>
      <vt:lpstr>Antelope</vt:lpstr>
      <vt:lpstr>Barstow</vt:lpstr>
      <vt:lpstr>Butte</vt:lpstr>
      <vt:lpstr>Cabrillo</vt:lpstr>
      <vt:lpstr>Cerritos</vt:lpstr>
      <vt:lpstr>Chabot</vt:lpstr>
      <vt:lpstr>Chaffey</vt:lpstr>
      <vt:lpstr>Citrus</vt:lpstr>
      <vt:lpstr>Coast</vt:lpstr>
      <vt:lpstr>Compton</vt:lpstr>
      <vt:lpstr>Contra Costa</vt:lpstr>
      <vt:lpstr>Copper Mtn</vt:lpstr>
      <vt:lpstr>Desert</vt:lpstr>
      <vt:lpstr>El Camino</vt:lpstr>
      <vt:lpstr>Feather</vt:lpstr>
      <vt:lpstr>Foothill</vt:lpstr>
      <vt:lpstr>Gavilan</vt:lpstr>
      <vt:lpstr>Glendale</vt:lpstr>
      <vt:lpstr>Grossmont</vt:lpstr>
      <vt:lpstr>Hartnell</vt:lpstr>
      <vt:lpstr>Imperial</vt:lpstr>
      <vt:lpstr>Kern</vt:lpstr>
      <vt:lpstr>Lake Tahoe</vt:lpstr>
      <vt:lpstr>Lassen</vt:lpstr>
      <vt:lpstr>Long Beach</vt:lpstr>
      <vt:lpstr>Los Angeles</vt:lpstr>
      <vt:lpstr>Los Rios</vt:lpstr>
      <vt:lpstr>Marin</vt:lpstr>
      <vt:lpstr>Mendocino</vt:lpstr>
      <vt:lpstr>Merced</vt:lpstr>
      <vt:lpstr>Miracosta</vt:lpstr>
      <vt:lpstr>Monterey</vt:lpstr>
      <vt:lpstr>Mt SAC</vt:lpstr>
      <vt:lpstr>Mt San Jacinto</vt:lpstr>
      <vt:lpstr>Napa</vt:lpstr>
      <vt:lpstr>No Orange</vt:lpstr>
      <vt:lpstr>Ohlone</vt:lpstr>
      <vt:lpstr>Palo Verde</vt:lpstr>
      <vt:lpstr>Palomar</vt:lpstr>
      <vt:lpstr>Pasadena</vt:lpstr>
      <vt:lpstr>Peralta</vt:lpstr>
      <vt:lpstr>Rancho Santiago</vt:lpstr>
      <vt:lpstr>Redwoods</vt:lpstr>
      <vt:lpstr>Rio Hondo</vt:lpstr>
      <vt:lpstr>Riverside</vt:lpstr>
      <vt:lpstr>San Bernadino</vt:lpstr>
      <vt:lpstr>San Diego</vt:lpstr>
      <vt:lpstr>San Francisco</vt:lpstr>
      <vt:lpstr>San Joaquin Delta</vt:lpstr>
      <vt:lpstr>SJE</vt:lpstr>
      <vt:lpstr>SLO</vt:lpstr>
      <vt:lpstr>San Mateo</vt:lpstr>
      <vt:lpstr>Santa Barbara</vt:lpstr>
      <vt:lpstr>Santa Clarita</vt:lpstr>
      <vt:lpstr>Santa Monica</vt:lpstr>
      <vt:lpstr>Sequoias</vt:lpstr>
      <vt:lpstr>Shasta</vt:lpstr>
      <vt:lpstr>Sierra</vt:lpstr>
      <vt:lpstr>Siskiyou</vt:lpstr>
      <vt:lpstr>Solano</vt:lpstr>
      <vt:lpstr>Sonoma</vt:lpstr>
      <vt:lpstr>So Orange</vt:lpstr>
      <vt:lpstr>Southwestern</vt:lpstr>
      <vt:lpstr>State Ctr</vt:lpstr>
      <vt:lpstr>Ventura</vt:lpstr>
      <vt:lpstr>Victor Valley</vt:lpstr>
      <vt:lpstr>West Hills</vt:lpstr>
      <vt:lpstr>West Kern</vt:lpstr>
      <vt:lpstr>West Valley</vt:lpstr>
      <vt:lpstr>Yosemite</vt:lpstr>
      <vt:lpstr>Yuba</vt:lpstr>
      <vt:lpstr>Statewide</vt:lpstr>
    </vt:vector>
  </TitlesOfParts>
  <Company>CCCCO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cyatooma</dc:creator>
  <cp:lastModifiedBy>Jeff DeFranco</cp:lastModifiedBy>
  <cp:lastPrinted>2016-05-05T03:51:33Z</cp:lastPrinted>
  <dcterms:created xsi:type="dcterms:W3CDTF">2005-10-17T17:46:13Z</dcterms:created>
  <dcterms:modified xsi:type="dcterms:W3CDTF">2016-05-18T04:20:27Z</dcterms:modified>
</cp:coreProperties>
</file>