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05" windowWidth="15570" windowHeight="8250" activeTab="2"/>
  </bookViews>
  <sheets>
    <sheet name="Weighted Model" sheetId="2" r:id="rId1"/>
    <sheet name="Demographics" sheetId="6" r:id="rId2"/>
    <sheet name="Long Beach" sheetId="10" r:id="rId3"/>
    <sheet name="2013-14" sheetId="1" r:id="rId4"/>
    <sheet name="2013-14 FTES" sheetId="4" r:id="rId5"/>
    <sheet name="2014-15" sheetId="3" r:id="rId6"/>
    <sheet name="2014-15 ExC" sheetId="5" r:id="rId7"/>
    <sheet name="2014-15 Rest" sheetId="9" r:id="rId8"/>
  </sheets>
  <externalReferences>
    <externalReference r:id="rId9"/>
    <externalReference r:id="rId10"/>
    <externalReference r:id="rId11"/>
  </externalReferences>
  <definedNames>
    <definedName name="_xlnm._FilterDatabase" localSheetId="2" hidden="1">'Long Beach'!$A$36:$A$38</definedName>
    <definedName name="ALL_VARIABLES_TOTALS">Demographics!$A$1:$C$73</definedName>
    <definedName name="BOTH">#REF!</definedName>
    <definedName name="DISTRICT_HHPOV">#REF!</definedName>
    <definedName name="EX_C_VARSOUT" localSheetId="7">#REF!</definedName>
    <definedName name="EX_C_VARSOUT">#REF!</definedName>
    <definedName name="_xlnm.Print_Area" localSheetId="3">'2013-14'!$A$1:$AS$81</definedName>
    <definedName name="_xlnm.Print_Area" localSheetId="0">'Weighted Model'!$A$1:$Z$76</definedName>
    <definedName name="_xlnm.Print_Titles" localSheetId="3">'2013-14'!$A:$A,'2013-14'!$7:$8</definedName>
    <definedName name="_xlnm.Print_Titles" localSheetId="6">'2014-15 ExC'!$C:$C,'2014-15 ExC'!$1:$1</definedName>
    <definedName name="_xlnm.Print_Titles" localSheetId="1">Demographics!$1:$1</definedName>
  </definedNames>
  <calcPr calcId="125725"/>
</workbook>
</file>

<file path=xl/calcChain.xml><?xml version="1.0" encoding="utf-8"?>
<calcChain xmlns="http://schemas.openxmlformats.org/spreadsheetml/2006/main">
  <c r="C92" i="10"/>
  <c r="B79"/>
  <c r="B96" s="1"/>
  <c r="C69"/>
  <c r="C66"/>
  <c r="B55"/>
  <c r="B43"/>
  <c r="B33"/>
  <c r="B42" s="1"/>
  <c r="B44" s="1"/>
  <c r="B54" s="1"/>
  <c r="B56" s="1"/>
  <c r="C33"/>
  <c r="B20"/>
  <c r="B25" s="1"/>
  <c r="B15"/>
  <c r="B24" s="1"/>
  <c r="B10"/>
  <c r="B23" s="1"/>
  <c r="X81" i="2"/>
  <c r="V81"/>
  <c r="H30" i="6"/>
  <c r="F30"/>
  <c r="F32"/>
  <c r="G32"/>
  <c r="H27"/>
  <c r="F27"/>
  <c r="G27"/>
  <c r="E27"/>
  <c r="B70" i="10" l="1"/>
  <c r="C72" s="1"/>
  <c r="C74" s="1"/>
  <c r="B82" s="1"/>
  <c r="B84" s="1"/>
  <c r="B87" s="1"/>
  <c r="C89" s="1"/>
  <c r="C93" s="1"/>
  <c r="B97" s="1"/>
  <c r="B98" s="1"/>
  <c r="B101" s="1"/>
  <c r="B103" s="1"/>
  <c r="B59"/>
  <c r="B61" s="1"/>
  <c r="B83"/>
  <c r="B34"/>
  <c r="B38" s="1"/>
  <c r="B26"/>
  <c r="B37" s="1"/>
  <c r="B39" s="1"/>
  <c r="D2" i="2"/>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C73"/>
  <c r="C2"/>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Z1" l="1"/>
  <c r="I73"/>
  <c r="H73"/>
  <c r="G73"/>
  <c r="I72"/>
  <c r="H72"/>
  <c r="G72"/>
  <c r="I71"/>
  <c r="H71"/>
  <c r="G71"/>
  <c r="I70"/>
  <c r="H70"/>
  <c r="G70"/>
  <c r="I69"/>
  <c r="H69"/>
  <c r="G69"/>
  <c r="I68"/>
  <c r="H68"/>
  <c r="G68"/>
  <c r="I67"/>
  <c r="H67"/>
  <c r="G67"/>
  <c r="I66"/>
  <c r="H66"/>
  <c r="G66"/>
  <c r="I65"/>
  <c r="H65"/>
  <c r="G65"/>
  <c r="I64"/>
  <c r="H64"/>
  <c r="G64"/>
  <c r="I63"/>
  <c r="H63"/>
  <c r="G63"/>
  <c r="I62"/>
  <c r="H62"/>
  <c r="G62"/>
  <c r="I61"/>
  <c r="H61"/>
  <c r="G61"/>
  <c r="I60"/>
  <c r="H60"/>
  <c r="G60"/>
  <c r="I59"/>
  <c r="H59"/>
  <c r="G59"/>
  <c r="I58"/>
  <c r="H58"/>
  <c r="G58"/>
  <c r="I57"/>
  <c r="H57"/>
  <c r="G57"/>
  <c r="I56"/>
  <c r="H56"/>
  <c r="G56"/>
  <c r="I55"/>
  <c r="H55"/>
  <c r="G55"/>
  <c r="I54"/>
  <c r="H54"/>
  <c r="G54"/>
  <c r="I53"/>
  <c r="H53"/>
  <c r="G53"/>
  <c r="I52"/>
  <c r="H52"/>
  <c r="G52"/>
  <c r="I51"/>
  <c r="H51"/>
  <c r="G51"/>
  <c r="I50"/>
  <c r="H50"/>
  <c r="G50"/>
  <c r="I49"/>
  <c r="H49"/>
  <c r="G49"/>
  <c r="I48"/>
  <c r="H48"/>
  <c r="G48"/>
  <c r="I47"/>
  <c r="H47"/>
  <c r="G47"/>
  <c r="I46"/>
  <c r="H46"/>
  <c r="G46"/>
  <c r="I45"/>
  <c r="H45"/>
  <c r="G45"/>
  <c r="I44"/>
  <c r="H44"/>
  <c r="G44"/>
  <c r="I43"/>
  <c r="H43"/>
  <c r="G43"/>
  <c r="I42"/>
  <c r="H42"/>
  <c r="G42"/>
  <c r="I41"/>
  <c r="H41"/>
  <c r="G41"/>
  <c r="I40"/>
  <c r="H40"/>
  <c r="G40"/>
  <c r="I39"/>
  <c r="H39"/>
  <c r="G39"/>
  <c r="I38"/>
  <c r="H38"/>
  <c r="G38"/>
  <c r="I37"/>
  <c r="H37"/>
  <c r="G37"/>
  <c r="I36"/>
  <c r="H36"/>
  <c r="G36"/>
  <c r="I35"/>
  <c r="H35"/>
  <c r="G35"/>
  <c r="I34"/>
  <c r="H34"/>
  <c r="G34"/>
  <c r="I33"/>
  <c r="H33"/>
  <c r="G33"/>
  <c r="I32"/>
  <c r="H32"/>
  <c r="G32"/>
  <c r="I31"/>
  <c r="H31"/>
  <c r="G31"/>
  <c r="I30"/>
  <c r="H30"/>
  <c r="G30"/>
  <c r="I29"/>
  <c r="H29"/>
  <c r="G29"/>
  <c r="I28"/>
  <c r="H28"/>
  <c r="G28"/>
  <c r="I27"/>
  <c r="H27"/>
  <c r="G27"/>
  <c r="I26"/>
  <c r="H26"/>
  <c r="G26"/>
  <c r="I25"/>
  <c r="H25"/>
  <c r="G25"/>
  <c r="I24"/>
  <c r="H24"/>
  <c r="G24"/>
  <c r="I23"/>
  <c r="H23"/>
  <c r="G23"/>
  <c r="I22"/>
  <c r="H22"/>
  <c r="G22"/>
  <c r="I21"/>
  <c r="H21"/>
  <c r="G21"/>
  <c r="I20"/>
  <c r="H20"/>
  <c r="G20"/>
  <c r="I19"/>
  <c r="H19"/>
  <c r="G19"/>
  <c r="I18"/>
  <c r="H18"/>
  <c r="G18"/>
  <c r="I17"/>
  <c r="H17"/>
  <c r="G17"/>
  <c r="I16"/>
  <c r="H16"/>
  <c r="G16"/>
  <c r="I15"/>
  <c r="H15"/>
  <c r="G15"/>
  <c r="I14"/>
  <c r="H14"/>
  <c r="G14"/>
  <c r="I13"/>
  <c r="H13"/>
  <c r="G13"/>
  <c r="I12"/>
  <c r="H12"/>
  <c r="G12"/>
  <c r="I11"/>
  <c r="H11"/>
  <c r="G11"/>
  <c r="I10"/>
  <c r="H10"/>
  <c r="G10"/>
  <c r="I9"/>
  <c r="H9"/>
  <c r="G9"/>
  <c r="I8"/>
  <c r="H8"/>
  <c r="G8"/>
  <c r="I7"/>
  <c r="H7"/>
  <c r="G7"/>
  <c r="I6"/>
  <c r="H6"/>
  <c r="G6"/>
  <c r="I5"/>
  <c r="H5"/>
  <c r="G5"/>
  <c r="I4"/>
  <c r="H4"/>
  <c r="G4"/>
  <c r="I3"/>
  <c r="H3"/>
  <c r="G3"/>
  <c r="I2"/>
  <c r="H2"/>
  <c r="G2"/>
  <c r="D74" i="6"/>
  <c r="BZ86" i="9" l="1"/>
  <c r="BR86"/>
  <c r="BU82"/>
  <c r="BU84" s="1"/>
  <c r="BR82"/>
  <c r="BR84" s="1"/>
  <c r="BP82"/>
  <c r="BM82"/>
  <c r="BM84" s="1"/>
  <c r="BK82"/>
  <c r="BJ82"/>
  <c r="BI82"/>
  <c r="BF82"/>
  <c r="BD82"/>
  <c r="BC82"/>
  <c r="BB82"/>
  <c r="AY82"/>
  <c r="AV82"/>
  <c r="AU82"/>
  <c r="AQ82"/>
  <c r="AN82"/>
  <c r="AI82"/>
  <c r="AG82"/>
  <c r="AF82"/>
  <c r="AA82"/>
  <c r="X82"/>
  <c r="S82"/>
  <c r="O82"/>
  <c r="N82"/>
  <c r="K82"/>
  <c r="I82"/>
  <c r="H82"/>
  <c r="G82"/>
  <c r="F82"/>
  <c r="E82"/>
  <c r="CH80"/>
  <c r="CG80"/>
  <c r="CF80"/>
  <c r="CI80" s="1"/>
  <c r="CC80"/>
  <c r="CA80"/>
  <c r="CB80" s="1"/>
  <c r="BT80"/>
  <c r="BV80" s="1"/>
  <c r="BS80"/>
  <c r="BN80"/>
  <c r="BL80"/>
  <c r="BG80"/>
  <c r="BE80"/>
  <c r="AZ80"/>
  <c r="AX80"/>
  <c r="AR80"/>
  <c r="AP80"/>
  <c r="AJ80"/>
  <c r="AH80"/>
  <c r="AB80"/>
  <c r="Z80"/>
  <c r="Q80"/>
  <c r="P80"/>
  <c r="R80" s="1"/>
  <c r="T80" s="1"/>
  <c r="J80"/>
  <c r="CH79"/>
  <c r="CG79"/>
  <c r="CF79"/>
  <c r="CI79" s="1"/>
  <c r="CC79"/>
  <c r="CA79"/>
  <c r="CB79" s="1"/>
  <c r="BT79"/>
  <c r="BV79" s="1"/>
  <c r="BS79"/>
  <c r="BN79"/>
  <c r="BL79"/>
  <c r="BG79"/>
  <c r="BE79"/>
  <c r="AZ79"/>
  <c r="AX79"/>
  <c r="AR79"/>
  <c r="AP79"/>
  <c r="AJ79"/>
  <c r="AH79"/>
  <c r="Q79"/>
  <c r="P79"/>
  <c r="R79" s="1"/>
  <c r="L79"/>
  <c r="J79"/>
  <c r="CH78"/>
  <c r="CF78"/>
  <c r="CI78" s="1"/>
  <c r="CC78"/>
  <c r="CA78"/>
  <c r="CB78" s="1"/>
  <c r="BY78"/>
  <c r="CG78" s="1"/>
  <c r="BS78"/>
  <c r="BT78" s="1"/>
  <c r="BV78" s="1"/>
  <c r="BL78"/>
  <c r="BN78" s="1"/>
  <c r="BE78"/>
  <c r="BG78" s="1"/>
  <c r="AX78"/>
  <c r="AZ78" s="1"/>
  <c r="AM78"/>
  <c r="Y78"/>
  <c r="AE78" s="1"/>
  <c r="W78"/>
  <c r="AD78" s="1"/>
  <c r="Q78"/>
  <c r="P78"/>
  <c r="R78" s="1"/>
  <c r="T78" s="1"/>
  <c r="L78"/>
  <c r="J78"/>
  <c r="CH77"/>
  <c r="CG77"/>
  <c r="CF77"/>
  <c r="CI77" s="1"/>
  <c r="CC77"/>
  <c r="CA77"/>
  <c r="CB77" s="1"/>
  <c r="CD77" s="1"/>
  <c r="E70" i="2" s="1"/>
  <c r="BT77" i="9"/>
  <c r="BV77" s="1"/>
  <c r="BS77"/>
  <c r="BN77"/>
  <c r="BL77"/>
  <c r="BG77"/>
  <c r="BE77"/>
  <c r="AZ77"/>
  <c r="AX77"/>
  <c r="AR77"/>
  <c r="AP77"/>
  <c r="AJ77"/>
  <c r="AH77"/>
  <c r="Y77"/>
  <c r="Z77" s="1"/>
  <c r="AB77" s="1"/>
  <c r="Q77"/>
  <c r="P77"/>
  <c r="R77" s="1"/>
  <c r="T77" s="1"/>
  <c r="L77"/>
  <c r="J77"/>
  <c r="CH76"/>
  <c r="CG76"/>
  <c r="CF76"/>
  <c r="CI76" s="1"/>
  <c r="CC76"/>
  <c r="CA76"/>
  <c r="CB76" s="1"/>
  <c r="CD76" s="1"/>
  <c r="E69" i="2" s="1"/>
  <c r="BT76" i="9"/>
  <c r="BV76" s="1"/>
  <c r="BS76"/>
  <c r="BN76"/>
  <c r="BL76"/>
  <c r="BG76"/>
  <c r="BE76"/>
  <c r="AZ76"/>
  <c r="AX76"/>
  <c r="AR76"/>
  <c r="AP76"/>
  <c r="AJ76"/>
  <c r="AH76"/>
  <c r="AB76"/>
  <c r="Z76"/>
  <c r="Q76"/>
  <c r="P76"/>
  <c r="R76" s="1"/>
  <c r="T76" s="1"/>
  <c r="L76"/>
  <c r="J76"/>
  <c r="CH75"/>
  <c r="CG75"/>
  <c r="CI75" s="1"/>
  <c r="CF75"/>
  <c r="CC75"/>
  <c r="CB75"/>
  <c r="CA75"/>
  <c r="BS75"/>
  <c r="BT75" s="1"/>
  <c r="BV75" s="1"/>
  <c r="BL75"/>
  <c r="BN75" s="1"/>
  <c r="BE75"/>
  <c r="BG75" s="1"/>
  <c r="AX75"/>
  <c r="AZ75" s="1"/>
  <c r="AR75"/>
  <c r="AP75"/>
  <c r="Y75"/>
  <c r="Q75"/>
  <c r="W75" s="1"/>
  <c r="Z75" s="1"/>
  <c r="AB75" s="1"/>
  <c r="AE75" s="1"/>
  <c r="AH75" s="1"/>
  <c r="AJ75" s="1"/>
  <c r="P75"/>
  <c r="R75" s="1"/>
  <c r="T75" s="1"/>
  <c r="L75"/>
  <c r="J75"/>
  <c r="CH74"/>
  <c r="CG74"/>
  <c r="CI74" s="1"/>
  <c r="CF74"/>
  <c r="CC74"/>
  <c r="CB74"/>
  <c r="CD74" s="1"/>
  <c r="E67" i="2" s="1"/>
  <c r="CA74" i="9"/>
  <c r="BS74"/>
  <c r="BT74" s="1"/>
  <c r="BV74" s="1"/>
  <c r="BL74"/>
  <c r="BN74" s="1"/>
  <c r="BE74"/>
  <c r="BG74" s="1"/>
  <c r="AX74"/>
  <c r="AZ74" s="1"/>
  <c r="AR74"/>
  <c r="AP74"/>
  <c r="AH74"/>
  <c r="AJ74" s="1"/>
  <c r="Q74"/>
  <c r="P74"/>
  <c r="L74"/>
  <c r="J74"/>
  <c r="CH73"/>
  <c r="CG73"/>
  <c r="CI73" s="1"/>
  <c r="CF73"/>
  <c r="CC73"/>
  <c r="CB73"/>
  <c r="CA73"/>
  <c r="BV73"/>
  <c r="BS73"/>
  <c r="BT73" s="1"/>
  <c r="BL73"/>
  <c r="BN73" s="1"/>
  <c r="BE73"/>
  <c r="BG73" s="1"/>
  <c r="AX73"/>
  <c r="AZ73" s="1"/>
  <c r="AR73"/>
  <c r="AP73"/>
  <c r="AH73"/>
  <c r="AJ73" s="1"/>
  <c r="Z73"/>
  <c r="AB73" s="1"/>
  <c r="Y73"/>
  <c r="Q73"/>
  <c r="P73"/>
  <c r="R73" s="1"/>
  <c r="T73" s="1"/>
  <c r="L73"/>
  <c r="J73"/>
  <c r="CH72"/>
  <c r="CG72"/>
  <c r="CI72" s="1"/>
  <c r="CF72"/>
  <c r="CC72"/>
  <c r="CB72"/>
  <c r="CA72"/>
  <c r="BS72"/>
  <c r="BT72" s="1"/>
  <c r="BV72" s="1"/>
  <c r="BL72"/>
  <c r="BN72" s="1"/>
  <c r="BE72"/>
  <c r="BG72" s="1"/>
  <c r="AX72"/>
  <c r="AZ72" s="1"/>
  <c r="AR72"/>
  <c r="AP72"/>
  <c r="AH72"/>
  <c r="AJ72" s="1"/>
  <c r="Z72"/>
  <c r="AB72" s="1"/>
  <c r="Q72"/>
  <c r="L72"/>
  <c r="R72" s="1"/>
  <c r="T72" s="1"/>
  <c r="J72"/>
  <c r="CH71"/>
  <c r="CC71"/>
  <c r="BY71"/>
  <c r="CG71" s="1"/>
  <c r="BX71"/>
  <c r="CF71" s="1"/>
  <c r="BS71"/>
  <c r="BT71" s="1"/>
  <c r="BV71" s="1"/>
  <c r="BL71"/>
  <c r="BN71" s="1"/>
  <c r="BE71"/>
  <c r="BG71" s="1"/>
  <c r="AX71"/>
  <c r="AZ71" s="1"/>
  <c r="AR71"/>
  <c r="AP71"/>
  <c r="AH71"/>
  <c r="AJ71" s="1"/>
  <c r="Z71"/>
  <c r="AB71" s="1"/>
  <c r="Q71"/>
  <c r="P71"/>
  <c r="R71" s="1"/>
  <c r="T71" s="1"/>
  <c r="L71"/>
  <c r="J71"/>
  <c r="CH70"/>
  <c r="CG70"/>
  <c r="CF70"/>
  <c r="CI70" s="1"/>
  <c r="CC70"/>
  <c r="CA70"/>
  <c r="CB70" s="1"/>
  <c r="BT70"/>
  <c r="BV70" s="1"/>
  <c r="BS70"/>
  <c r="BN70"/>
  <c r="BL70"/>
  <c r="BG70"/>
  <c r="BE70"/>
  <c r="AZ70"/>
  <c r="AX70"/>
  <c r="AR70"/>
  <c r="AP70"/>
  <c r="AJ70"/>
  <c r="AH70"/>
  <c r="Q70"/>
  <c r="W70" s="1"/>
  <c r="P70"/>
  <c r="R70" s="1"/>
  <c r="T70" s="1"/>
  <c r="L70"/>
  <c r="V70" s="1"/>
  <c r="Z70" s="1"/>
  <c r="AB70" s="1"/>
  <c r="J70"/>
  <c r="CH69"/>
  <c r="CF69"/>
  <c r="CC69"/>
  <c r="BT69"/>
  <c r="BV69" s="1"/>
  <c r="BY69" s="1"/>
  <c r="BS69"/>
  <c r="BN69"/>
  <c r="BL69"/>
  <c r="BG69"/>
  <c r="BE69"/>
  <c r="AZ69"/>
  <c r="AX69"/>
  <c r="AR69"/>
  <c r="AP69"/>
  <c r="Z69"/>
  <c r="AE69" s="1"/>
  <c r="AH69" s="1"/>
  <c r="AJ69" s="1"/>
  <c r="Y69"/>
  <c r="Q69"/>
  <c r="P69"/>
  <c r="R69" s="1"/>
  <c r="T69" s="1"/>
  <c r="L69"/>
  <c r="J69"/>
  <c r="CH68"/>
  <c r="CG68"/>
  <c r="CC68"/>
  <c r="BX68"/>
  <c r="CF68" s="1"/>
  <c r="CI68" s="1"/>
  <c r="BT68"/>
  <c r="BV68" s="1"/>
  <c r="BS68"/>
  <c r="BN68"/>
  <c r="BL68"/>
  <c r="BG68"/>
  <c r="BE68"/>
  <c r="AZ68"/>
  <c r="AX68"/>
  <c r="AR68"/>
  <c r="AP68"/>
  <c r="Y68"/>
  <c r="AE68" s="1"/>
  <c r="V68"/>
  <c r="Q68"/>
  <c r="P68"/>
  <c r="R68" s="1"/>
  <c r="T68" s="1"/>
  <c r="L68"/>
  <c r="J68"/>
  <c r="CH67"/>
  <c r="CG67"/>
  <c r="CF67"/>
  <c r="CI67" s="1"/>
  <c r="CC67"/>
  <c r="CA67"/>
  <c r="CB67" s="1"/>
  <c r="CD67" s="1"/>
  <c r="E60" i="2" s="1"/>
  <c r="BT67" i="9"/>
  <c r="BV67" s="1"/>
  <c r="BS67"/>
  <c r="BN67"/>
  <c r="BL67"/>
  <c r="BG67"/>
  <c r="BE67"/>
  <c r="AZ67"/>
  <c r="AX67"/>
  <c r="AR67"/>
  <c r="AP67"/>
  <c r="AJ67"/>
  <c r="AH67"/>
  <c r="AB67"/>
  <c r="Z67"/>
  <c r="Q67"/>
  <c r="P67"/>
  <c r="R67" s="1"/>
  <c r="T67" s="1"/>
  <c r="L67"/>
  <c r="J67"/>
  <c r="CH66"/>
  <c r="CG66"/>
  <c r="CI66" s="1"/>
  <c r="CF66"/>
  <c r="CC66"/>
  <c r="CB66"/>
  <c r="CA66"/>
  <c r="BS66"/>
  <c r="BT66" s="1"/>
  <c r="BV66" s="1"/>
  <c r="BL66"/>
  <c r="BN66" s="1"/>
  <c r="BE66"/>
  <c r="BG66" s="1"/>
  <c r="AX66"/>
  <c r="AZ66" s="1"/>
  <c r="AR66"/>
  <c r="AP66"/>
  <c r="Y66"/>
  <c r="Z66" s="1"/>
  <c r="R66"/>
  <c r="T66" s="1"/>
  <c r="Q66"/>
  <c r="CH65"/>
  <c r="CG65"/>
  <c r="CI65" s="1"/>
  <c r="CF65"/>
  <c r="CC65"/>
  <c r="CB65"/>
  <c r="CD65" s="1"/>
  <c r="E58" i="2" s="1"/>
  <c r="CA65" i="9"/>
  <c r="BS65"/>
  <c r="BT65" s="1"/>
  <c r="BV65" s="1"/>
  <c r="BL65"/>
  <c r="BN65" s="1"/>
  <c r="BE65"/>
  <c r="BG65" s="1"/>
  <c r="AX65"/>
  <c r="AZ65" s="1"/>
  <c r="AR65"/>
  <c r="AP65"/>
  <c r="AH65"/>
  <c r="AJ65" s="1"/>
  <c r="Z65"/>
  <c r="AB65" s="1"/>
  <c r="Q65"/>
  <c r="P65"/>
  <c r="R65" s="1"/>
  <c r="T65" s="1"/>
  <c r="L65"/>
  <c r="J65"/>
  <c r="CH64"/>
  <c r="CG64"/>
  <c r="CF64"/>
  <c r="CI64" s="1"/>
  <c r="CC64"/>
  <c r="CA64"/>
  <c r="CB64" s="1"/>
  <c r="CD64" s="1"/>
  <c r="E57" i="2" s="1"/>
  <c r="BT64" i="9"/>
  <c r="BV64" s="1"/>
  <c r="BS64"/>
  <c r="BN64"/>
  <c r="BL64"/>
  <c r="BG64"/>
  <c r="BE64"/>
  <c r="AZ64"/>
  <c r="AX64"/>
  <c r="AR64"/>
  <c r="AP64"/>
  <c r="AJ64"/>
  <c r="AH64"/>
  <c r="AB64"/>
  <c r="Z64"/>
  <c r="Q64"/>
  <c r="R64" s="1"/>
  <c r="T64" s="1"/>
  <c r="CH63"/>
  <c r="CG63"/>
  <c r="CF63"/>
  <c r="CI63" s="1"/>
  <c r="CC63"/>
  <c r="CA63"/>
  <c r="CB63" s="1"/>
  <c r="CD63" s="1"/>
  <c r="E56" i="2" s="1"/>
  <c r="BT63" i="9"/>
  <c r="BV63" s="1"/>
  <c r="BS63"/>
  <c r="BN63"/>
  <c r="BL63"/>
  <c r="BE63"/>
  <c r="AX63"/>
  <c r="AZ63" s="1"/>
  <c r="AR63"/>
  <c r="AP63"/>
  <c r="AH63"/>
  <c r="AJ63" s="1"/>
  <c r="Z63"/>
  <c r="AB63" s="1"/>
  <c r="Q63"/>
  <c r="P63"/>
  <c r="R63" s="1"/>
  <c r="T63" s="1"/>
  <c r="L63"/>
  <c r="J63"/>
  <c r="CH62"/>
  <c r="CG62"/>
  <c r="CF62"/>
  <c r="CI62" s="1"/>
  <c r="CC62"/>
  <c r="CA62"/>
  <c r="CB62" s="1"/>
  <c r="BT62"/>
  <c r="BV62" s="1"/>
  <c r="BS62"/>
  <c r="BN62"/>
  <c r="BL62"/>
  <c r="BG62"/>
  <c r="BE62"/>
  <c r="AZ62"/>
  <c r="AX62"/>
  <c r="AR62"/>
  <c r="AP62"/>
  <c r="AJ62"/>
  <c r="AH62"/>
  <c r="AB62"/>
  <c r="Z62"/>
  <c r="Q62"/>
  <c r="P62"/>
  <c r="R62" s="1"/>
  <c r="T62" s="1"/>
  <c r="L62"/>
  <c r="J62"/>
  <c r="CH61"/>
  <c r="CC61"/>
  <c r="BY61"/>
  <c r="CG61" s="1"/>
  <c r="BX61"/>
  <c r="CF61" s="1"/>
  <c r="CI61" s="1"/>
  <c r="BS61"/>
  <c r="BT61" s="1"/>
  <c r="BV61" s="1"/>
  <c r="BL61"/>
  <c r="BN61" s="1"/>
  <c r="BE61"/>
  <c r="BG61" s="1"/>
  <c r="AX61"/>
  <c r="AZ61" s="1"/>
  <c r="AR61"/>
  <c r="AP61"/>
  <c r="Q61"/>
  <c r="P61"/>
  <c r="R61" s="1"/>
  <c r="T61" s="1"/>
  <c r="W61" s="1"/>
  <c r="L61"/>
  <c r="J61"/>
  <c r="CH60"/>
  <c r="CF60"/>
  <c r="CC60"/>
  <c r="BS60"/>
  <c r="BT60" s="1"/>
  <c r="BV60" s="1"/>
  <c r="BY60" s="1"/>
  <c r="BL60"/>
  <c r="BN60" s="1"/>
  <c r="BE60"/>
  <c r="BG60" s="1"/>
  <c r="AX60"/>
  <c r="AZ60" s="1"/>
  <c r="AR60"/>
  <c r="AP60"/>
  <c r="AH60"/>
  <c r="AJ60" s="1"/>
  <c r="Z60"/>
  <c r="AB60" s="1"/>
  <c r="Q60"/>
  <c r="P60"/>
  <c r="R60" s="1"/>
  <c r="T60" s="1"/>
  <c r="L60"/>
  <c r="J60"/>
  <c r="CH59"/>
  <c r="CF59"/>
  <c r="CC59"/>
  <c r="CA59"/>
  <c r="CB59" s="1"/>
  <c r="CD59" s="1"/>
  <c r="E52" i="2" s="1"/>
  <c r="BY59" i="9"/>
  <c r="CG59" s="1"/>
  <c r="BS59"/>
  <c r="BT59" s="1"/>
  <c r="BV59" s="1"/>
  <c r="BL59"/>
  <c r="BN59" s="1"/>
  <c r="BE59"/>
  <c r="BG59" s="1"/>
  <c r="AX59"/>
  <c r="AZ59" s="1"/>
  <c r="AR59"/>
  <c r="AP59"/>
  <c r="AH59"/>
  <c r="AJ59" s="1"/>
  <c r="Z59"/>
  <c r="AB59" s="1"/>
  <c r="Q59"/>
  <c r="J59"/>
  <c r="R59" s="1"/>
  <c r="T59" s="1"/>
  <c r="CH58"/>
  <c r="CG58"/>
  <c r="CF58"/>
  <c r="CI58" s="1"/>
  <c r="CC58"/>
  <c r="CA58"/>
  <c r="CB58" s="1"/>
  <c r="CD58" s="1"/>
  <c r="E51" i="2" s="1"/>
  <c r="BT58" i="9"/>
  <c r="BV58" s="1"/>
  <c r="BS58"/>
  <c r="BN58"/>
  <c r="BL58"/>
  <c r="BG58"/>
  <c r="BE58"/>
  <c r="AZ58"/>
  <c r="AX58"/>
  <c r="AR58"/>
  <c r="AP58"/>
  <c r="AJ58"/>
  <c r="AH58"/>
  <c r="AB58"/>
  <c r="Z58"/>
  <c r="Q58"/>
  <c r="P58"/>
  <c r="R58" s="1"/>
  <c r="T58" s="1"/>
  <c r="L58"/>
  <c r="J58"/>
  <c r="CG57"/>
  <c r="CC57"/>
  <c r="BZ57"/>
  <c r="BZ82" s="1"/>
  <c r="BZ84" s="1"/>
  <c r="BX57"/>
  <c r="CF57" s="1"/>
  <c r="BS57"/>
  <c r="BT57" s="1"/>
  <c r="BV57" s="1"/>
  <c r="BL57"/>
  <c r="BN57" s="1"/>
  <c r="BE57"/>
  <c r="BG57" s="1"/>
  <c r="AX57"/>
  <c r="AZ57" s="1"/>
  <c r="AW57"/>
  <c r="AR57"/>
  <c r="AP57"/>
  <c r="AJ57"/>
  <c r="AH57"/>
  <c r="AB57"/>
  <c r="Z57"/>
  <c r="Q57"/>
  <c r="P57"/>
  <c r="R57" s="1"/>
  <c r="T57" s="1"/>
  <c r="L57"/>
  <c r="J57"/>
  <c r="CH56"/>
  <c r="CG56"/>
  <c r="CI56" s="1"/>
  <c r="CF56"/>
  <c r="CC56"/>
  <c r="CB56"/>
  <c r="CD56" s="1"/>
  <c r="E49" i="2" s="1"/>
  <c r="CA56" i="9"/>
  <c r="BS56"/>
  <c r="BT56" s="1"/>
  <c r="BV56" s="1"/>
  <c r="BL56"/>
  <c r="BN56" s="1"/>
  <c r="BE56"/>
  <c r="BG56" s="1"/>
  <c r="AX56"/>
  <c r="AZ56" s="1"/>
  <c r="AR56"/>
  <c r="AP56"/>
  <c r="AH56"/>
  <c r="AJ56" s="1"/>
  <c r="Z56"/>
  <c r="AB56" s="1"/>
  <c r="Q56"/>
  <c r="P56"/>
  <c r="R56" s="1"/>
  <c r="T56" s="1"/>
  <c r="L56"/>
  <c r="J56"/>
  <c r="CH55"/>
  <c r="CG55"/>
  <c r="CF55"/>
  <c r="CI55" s="1"/>
  <c r="CC55"/>
  <c r="CA55"/>
  <c r="CB55" s="1"/>
  <c r="CD55" s="1"/>
  <c r="E48" i="2" s="1"/>
  <c r="BT55" i="9"/>
  <c r="BV55" s="1"/>
  <c r="BS55"/>
  <c r="BN55"/>
  <c r="BL55"/>
  <c r="BG55"/>
  <c r="BE55"/>
  <c r="AZ55"/>
  <c r="AX55"/>
  <c r="AR55"/>
  <c r="AP55"/>
  <c r="AJ55"/>
  <c r="AH55"/>
  <c r="Q55"/>
  <c r="P55"/>
  <c r="R55" s="1"/>
  <c r="L55"/>
  <c r="J55"/>
  <c r="CH54"/>
  <c r="CG54"/>
  <c r="CF54"/>
  <c r="CI54" s="1"/>
  <c r="CC54"/>
  <c r="CA54"/>
  <c r="CB54" s="1"/>
  <c r="BT54"/>
  <c r="BV54" s="1"/>
  <c r="BS54"/>
  <c r="BN54"/>
  <c r="BL54"/>
  <c r="BG54"/>
  <c r="BE54"/>
  <c r="AZ54"/>
  <c r="AX54"/>
  <c r="AR54"/>
  <c r="AP54"/>
  <c r="AJ54"/>
  <c r="AH54"/>
  <c r="Y54"/>
  <c r="Z54" s="1"/>
  <c r="AB54" s="1"/>
  <c r="Q54"/>
  <c r="P54"/>
  <c r="R54" s="1"/>
  <c r="T54" s="1"/>
  <c r="L54"/>
  <c r="J54"/>
  <c r="CH53"/>
  <c r="CG53"/>
  <c r="CF53"/>
  <c r="CI53" s="1"/>
  <c r="CC53"/>
  <c r="CA53"/>
  <c r="CB53" s="1"/>
  <c r="BT53"/>
  <c r="BV53" s="1"/>
  <c r="BS53"/>
  <c r="BN53"/>
  <c r="BL53"/>
  <c r="BG53"/>
  <c r="BE53"/>
  <c r="AZ53"/>
  <c r="AX53"/>
  <c r="AR53"/>
  <c r="AP53"/>
  <c r="AJ53"/>
  <c r="AH53"/>
  <c r="AB53"/>
  <c r="Z53"/>
  <c r="Q53"/>
  <c r="P53"/>
  <c r="R53" s="1"/>
  <c r="T53" s="1"/>
  <c r="L53"/>
  <c r="J53"/>
  <c r="CH52"/>
  <c r="CC52"/>
  <c r="BY52"/>
  <c r="CG52" s="1"/>
  <c r="BX52"/>
  <c r="CF52" s="1"/>
  <c r="CI52" s="1"/>
  <c r="BS52"/>
  <c r="BT52" s="1"/>
  <c r="BV52" s="1"/>
  <c r="BL52"/>
  <c r="BN52" s="1"/>
  <c r="BE52"/>
  <c r="BG52" s="1"/>
  <c r="AX52"/>
  <c r="AZ52" s="1"/>
  <c r="AR52"/>
  <c r="AP52"/>
  <c r="Y52"/>
  <c r="AE52" s="1"/>
  <c r="W52"/>
  <c r="AD52" s="1"/>
  <c r="Q52"/>
  <c r="P52"/>
  <c r="R52" s="1"/>
  <c r="T52" s="1"/>
  <c r="L52"/>
  <c r="V52" s="1"/>
  <c r="Z52" s="1"/>
  <c r="AB52" s="1"/>
  <c r="J52"/>
  <c r="CH51"/>
  <c r="CG51"/>
  <c r="CI51" s="1"/>
  <c r="CF51"/>
  <c r="CC51"/>
  <c r="CB51"/>
  <c r="CD51" s="1"/>
  <c r="E44" i="2" s="1"/>
  <c r="CA51" i="9"/>
  <c r="BS51"/>
  <c r="BT51" s="1"/>
  <c r="BV51" s="1"/>
  <c r="BL51"/>
  <c r="BN51" s="1"/>
  <c r="BE51"/>
  <c r="BG51" s="1"/>
  <c r="AX51"/>
  <c r="AZ51" s="1"/>
  <c r="AR51"/>
  <c r="AP51"/>
  <c r="AH51"/>
  <c r="AJ51" s="1"/>
  <c r="Z51"/>
  <c r="AB51" s="1"/>
  <c r="Q51"/>
  <c r="P51"/>
  <c r="R51" s="1"/>
  <c r="T51" s="1"/>
  <c r="L51"/>
  <c r="J51"/>
  <c r="CH50"/>
  <c r="CG50"/>
  <c r="CF50"/>
  <c r="CI50" s="1"/>
  <c r="CC50"/>
  <c r="CA50"/>
  <c r="CB50" s="1"/>
  <c r="CD50" s="1"/>
  <c r="E43" i="2" s="1"/>
  <c r="BT50" i="9"/>
  <c r="BV50" s="1"/>
  <c r="BS50"/>
  <c r="BN50"/>
  <c r="BL50"/>
  <c r="BG50"/>
  <c r="BE50"/>
  <c r="AZ50"/>
  <c r="AX50"/>
  <c r="AR50"/>
  <c r="AP50"/>
  <c r="AJ50"/>
  <c r="AH50"/>
  <c r="AB50"/>
  <c r="Z50"/>
  <c r="Q50"/>
  <c r="P50"/>
  <c r="R50" s="1"/>
  <c r="T50" s="1"/>
  <c r="L50"/>
  <c r="J50"/>
  <c r="CH49"/>
  <c r="CG49"/>
  <c r="CI49" s="1"/>
  <c r="CF49"/>
  <c r="CC49"/>
  <c r="CB49"/>
  <c r="CA49"/>
  <c r="BS49"/>
  <c r="BT49" s="1"/>
  <c r="BV49" s="1"/>
  <c r="BL49"/>
  <c r="BN49" s="1"/>
  <c r="BE49"/>
  <c r="BG49" s="1"/>
  <c r="AX49"/>
  <c r="AZ49" s="1"/>
  <c r="AR49"/>
  <c r="AP49"/>
  <c r="AH49"/>
  <c r="AJ49" s="1"/>
  <c r="Z49"/>
  <c r="AB49" s="1"/>
  <c r="Q49"/>
  <c r="P49"/>
  <c r="R49" s="1"/>
  <c r="T49" s="1"/>
  <c r="L49"/>
  <c r="J49"/>
  <c r="CH48"/>
  <c r="CG48"/>
  <c r="CF48"/>
  <c r="CI48" s="1"/>
  <c r="CC48"/>
  <c r="CA48"/>
  <c r="CB48" s="1"/>
  <c r="BT48"/>
  <c r="BV48" s="1"/>
  <c r="BS48"/>
  <c r="BN48"/>
  <c r="BL48"/>
  <c r="BG48"/>
  <c r="BE48"/>
  <c r="AZ48"/>
  <c r="AX48"/>
  <c r="AR48"/>
  <c r="AP48"/>
  <c r="AJ48"/>
  <c r="AH48"/>
  <c r="AB48"/>
  <c r="Z48"/>
  <c r="Q48"/>
  <c r="P48"/>
  <c r="R48" s="1"/>
  <c r="T48" s="1"/>
  <c r="L48"/>
  <c r="J48"/>
  <c r="CH47"/>
  <c r="CG47"/>
  <c r="CC47"/>
  <c r="BX47"/>
  <c r="CF47" s="1"/>
  <c r="CI47" s="1"/>
  <c r="BT47"/>
  <c r="BV47" s="1"/>
  <c r="BS47"/>
  <c r="BN47"/>
  <c r="BL47"/>
  <c r="BG47"/>
  <c r="BE47"/>
  <c r="AZ47"/>
  <c r="AX47"/>
  <c r="AR47"/>
  <c r="AP47"/>
  <c r="AJ47"/>
  <c r="AH47"/>
  <c r="AB47"/>
  <c r="Z47"/>
  <c r="Q47"/>
  <c r="R47" s="1"/>
  <c r="T47" s="1"/>
  <c r="J47"/>
  <c r="CH46"/>
  <c r="CG46"/>
  <c r="CI46" s="1"/>
  <c r="CF46"/>
  <c r="CC46"/>
  <c r="CB46"/>
  <c r="CD46" s="1"/>
  <c r="E39" i="2" s="1"/>
  <c r="CA46" i="9"/>
  <c r="BS46"/>
  <c r="BT46" s="1"/>
  <c r="BV46" s="1"/>
  <c r="BL46"/>
  <c r="BN46" s="1"/>
  <c r="BE46"/>
  <c r="BG46" s="1"/>
  <c r="AX46"/>
  <c r="AZ46" s="1"/>
  <c r="AR46"/>
  <c r="AP46"/>
  <c r="AH46"/>
  <c r="AJ46" s="1"/>
  <c r="Z46"/>
  <c r="AB46" s="1"/>
  <c r="Q46"/>
  <c r="J46"/>
  <c r="R46" s="1"/>
  <c r="T46" s="1"/>
  <c r="CH45"/>
  <c r="CG45"/>
  <c r="CF45"/>
  <c r="CI45" s="1"/>
  <c r="CC45"/>
  <c r="CA45"/>
  <c r="CB45" s="1"/>
  <c r="CD45" s="1"/>
  <c r="E38" i="2" s="1"/>
  <c r="BT45" i="9"/>
  <c r="BV45" s="1"/>
  <c r="BS45"/>
  <c r="BN45"/>
  <c r="BL45"/>
  <c r="BG45"/>
  <c r="BE45"/>
  <c r="AZ45"/>
  <c r="AX45"/>
  <c r="AR45"/>
  <c r="AP45"/>
  <c r="AJ45"/>
  <c r="AH45"/>
  <c r="AB45"/>
  <c r="Z45"/>
  <c r="Q45"/>
  <c r="P45"/>
  <c r="R45" s="1"/>
  <c r="T45" s="1"/>
  <c r="CH44"/>
  <c r="CG44"/>
  <c r="CI44" s="1"/>
  <c r="CF44"/>
  <c r="CC44"/>
  <c r="CB44"/>
  <c r="CA44"/>
  <c r="BS44"/>
  <c r="BT44" s="1"/>
  <c r="BV44" s="1"/>
  <c r="BL44"/>
  <c r="BN44" s="1"/>
  <c r="BE44"/>
  <c r="BG44" s="1"/>
  <c r="AX44"/>
  <c r="AZ44" s="1"/>
  <c r="AR44"/>
  <c r="AP44"/>
  <c r="AH44"/>
  <c r="AJ44" s="1"/>
  <c r="Q44"/>
  <c r="P44"/>
  <c r="R44" s="1"/>
  <c r="L44"/>
  <c r="J44"/>
  <c r="CH43"/>
  <c r="CG43"/>
  <c r="CI43" s="1"/>
  <c r="CF43"/>
  <c r="CC43"/>
  <c r="CB43"/>
  <c r="CD43" s="1"/>
  <c r="E36" i="2" s="1"/>
  <c r="CA43" i="9"/>
  <c r="BS43"/>
  <c r="BT43" s="1"/>
  <c r="BV43" s="1"/>
  <c r="BL43"/>
  <c r="BN43" s="1"/>
  <c r="BE43"/>
  <c r="BG43" s="1"/>
  <c r="AX43"/>
  <c r="AZ43" s="1"/>
  <c r="AR43"/>
  <c r="AP43"/>
  <c r="AH43"/>
  <c r="AJ43" s="1"/>
  <c r="Z43"/>
  <c r="AB43" s="1"/>
  <c r="Q43"/>
  <c r="P43"/>
  <c r="R43" s="1"/>
  <c r="T43" s="1"/>
  <c r="L43"/>
  <c r="J43"/>
  <c r="CH42"/>
  <c r="CG42"/>
  <c r="CF42"/>
  <c r="CI42" s="1"/>
  <c r="CC42"/>
  <c r="CA42"/>
  <c r="CB42" s="1"/>
  <c r="CD42" s="1"/>
  <c r="E35" i="2" s="1"/>
  <c r="BT42" i="9"/>
  <c r="BV42" s="1"/>
  <c r="BS42"/>
  <c r="BN42"/>
  <c r="BL42"/>
  <c r="BG42"/>
  <c r="BE42"/>
  <c r="AZ42"/>
  <c r="AX42"/>
  <c r="AR42"/>
  <c r="AP42"/>
  <c r="AJ42"/>
  <c r="AH42"/>
  <c r="AB42"/>
  <c r="Z42"/>
  <c r="Q42"/>
  <c r="P42"/>
  <c r="R42" s="1"/>
  <c r="T42" s="1"/>
  <c r="L42"/>
  <c r="J42"/>
  <c r="CH41"/>
  <c r="CG41"/>
  <c r="CC41"/>
  <c r="BX41"/>
  <c r="CF41" s="1"/>
  <c r="CI41" s="1"/>
  <c r="BT41"/>
  <c r="BV41" s="1"/>
  <c r="BS41"/>
  <c r="BN41"/>
  <c r="BL41"/>
  <c r="BG41"/>
  <c r="BE41"/>
  <c r="AZ41"/>
  <c r="AX41"/>
  <c r="AR41"/>
  <c r="AP41"/>
  <c r="V41"/>
  <c r="Q41"/>
  <c r="W41" s="1"/>
  <c r="AD41" s="1"/>
  <c r="AH41" s="1"/>
  <c r="AJ41" s="1"/>
  <c r="P41"/>
  <c r="R41" s="1"/>
  <c r="T41" s="1"/>
  <c r="L41"/>
  <c r="J41"/>
  <c r="CH40"/>
  <c r="CG40"/>
  <c r="CF40"/>
  <c r="CI40" s="1"/>
  <c r="CC40"/>
  <c r="CA40"/>
  <c r="CB40" s="1"/>
  <c r="CD40" s="1"/>
  <c r="E33" i="2" s="1"/>
  <c r="BT40" i="9"/>
  <c r="BV40" s="1"/>
  <c r="BS40"/>
  <c r="BN40"/>
  <c r="BL40"/>
  <c r="BG40"/>
  <c r="BE40"/>
  <c r="AZ40"/>
  <c r="AX40"/>
  <c r="AR40"/>
  <c r="AP40"/>
  <c r="AJ40"/>
  <c r="AH40"/>
  <c r="AB40"/>
  <c r="Z40"/>
  <c r="Q40"/>
  <c r="R40" s="1"/>
  <c r="T40" s="1"/>
  <c r="CH39"/>
  <c r="CG39"/>
  <c r="CF39"/>
  <c r="CI39" s="1"/>
  <c r="CC39"/>
  <c r="CA39"/>
  <c r="CB39" s="1"/>
  <c r="CD39" s="1"/>
  <c r="E32" i="2" s="1"/>
  <c r="BT39" i="9"/>
  <c r="BV39" s="1"/>
  <c r="BS39"/>
  <c r="BN39"/>
  <c r="BL39"/>
  <c r="BG39"/>
  <c r="BE39"/>
  <c r="AZ39"/>
  <c r="AX39"/>
  <c r="AR39"/>
  <c r="AP39"/>
  <c r="AJ39"/>
  <c r="AH39"/>
  <c r="Q39"/>
  <c r="P39"/>
  <c r="L39"/>
  <c r="J39"/>
  <c r="CH38"/>
  <c r="CG38"/>
  <c r="CF38"/>
  <c r="CI38" s="1"/>
  <c r="CC38"/>
  <c r="CA38"/>
  <c r="CB38" s="1"/>
  <c r="BX38"/>
  <c r="BS38"/>
  <c r="BT38" s="1"/>
  <c r="BV38" s="1"/>
  <c r="BL38"/>
  <c r="BN38" s="1"/>
  <c r="BE38"/>
  <c r="BG38" s="1"/>
  <c r="AX38"/>
  <c r="AZ38" s="1"/>
  <c r="AW38"/>
  <c r="AW82" s="1"/>
  <c r="AR38"/>
  <c r="AP38"/>
  <c r="AJ38"/>
  <c r="AH38"/>
  <c r="AB38"/>
  <c r="Z38"/>
  <c r="Q38"/>
  <c r="P38"/>
  <c r="L38"/>
  <c r="J38"/>
  <c r="CH37"/>
  <c r="CC37"/>
  <c r="BY37"/>
  <c r="CG37" s="1"/>
  <c r="CI37" s="1"/>
  <c r="BX37"/>
  <c r="CF37" s="1"/>
  <c r="BV37"/>
  <c r="BS37"/>
  <c r="BT37" s="1"/>
  <c r="BL37"/>
  <c r="BN37" s="1"/>
  <c r="BE37"/>
  <c r="BG37" s="1"/>
  <c r="AX37"/>
  <c r="AZ37" s="1"/>
  <c r="AR37"/>
  <c r="AP37"/>
  <c r="W37"/>
  <c r="AD37" s="1"/>
  <c r="AH37" s="1"/>
  <c r="AJ37" s="1"/>
  <c r="Q37"/>
  <c r="P37"/>
  <c r="R37" s="1"/>
  <c r="T37" s="1"/>
  <c r="L37"/>
  <c r="V37" s="1"/>
  <c r="Z37" s="1"/>
  <c r="AB37" s="1"/>
  <c r="J37"/>
  <c r="CH36"/>
  <c r="CG36"/>
  <c r="CI36" s="1"/>
  <c r="CF36"/>
  <c r="CC36"/>
  <c r="CB36"/>
  <c r="CD36" s="1"/>
  <c r="E29" i="2" s="1"/>
  <c r="CA36" i="9"/>
  <c r="BS36"/>
  <c r="BT36" s="1"/>
  <c r="BV36" s="1"/>
  <c r="BL36"/>
  <c r="BN36" s="1"/>
  <c r="BE36"/>
  <c r="BG36" s="1"/>
  <c r="AX36"/>
  <c r="AZ36" s="1"/>
  <c r="AR36"/>
  <c r="AP36"/>
  <c r="AH36"/>
  <c r="AJ36" s="1"/>
  <c r="Z36"/>
  <c r="AB36" s="1"/>
  <c r="Q36"/>
  <c r="P36"/>
  <c r="R36" s="1"/>
  <c r="T36" s="1"/>
  <c r="L36"/>
  <c r="J36"/>
  <c r="CH35"/>
  <c r="CG35"/>
  <c r="CF35"/>
  <c r="CI35" s="1"/>
  <c r="CC35"/>
  <c r="CA35"/>
  <c r="CB35" s="1"/>
  <c r="CD35" s="1"/>
  <c r="E28" i="2" s="1"/>
  <c r="BT35" i="9"/>
  <c r="BV35" s="1"/>
  <c r="BS35"/>
  <c r="BN35"/>
  <c r="BL35"/>
  <c r="BG35"/>
  <c r="BE35"/>
  <c r="AZ35"/>
  <c r="AX35"/>
  <c r="AR35"/>
  <c r="AP35"/>
  <c r="AJ35"/>
  <c r="AH35"/>
  <c r="AB35"/>
  <c r="Z35"/>
  <c r="Q35"/>
  <c r="P35"/>
  <c r="R35" s="1"/>
  <c r="T35" s="1"/>
  <c r="L35"/>
  <c r="J35"/>
  <c r="CH34"/>
  <c r="CG34"/>
  <c r="CI34" s="1"/>
  <c r="CF34"/>
  <c r="CC34"/>
  <c r="CB34"/>
  <c r="CA34"/>
  <c r="BS34"/>
  <c r="BT34" s="1"/>
  <c r="BV34" s="1"/>
  <c r="BL34"/>
  <c r="BN34" s="1"/>
  <c r="BE34"/>
  <c r="BG34" s="1"/>
  <c r="AX34"/>
  <c r="AZ34" s="1"/>
  <c r="AR34"/>
  <c r="AP34"/>
  <c r="AH34"/>
  <c r="AJ34" s="1"/>
  <c r="Z34"/>
  <c r="AB34" s="1"/>
  <c r="Q34"/>
  <c r="P34"/>
  <c r="R34" s="1"/>
  <c r="T34" s="1"/>
  <c r="L34"/>
  <c r="J34"/>
  <c r="CH33"/>
  <c r="CF33"/>
  <c r="CC33"/>
  <c r="BS33"/>
  <c r="BT33" s="1"/>
  <c r="BV33" s="1"/>
  <c r="BY33" s="1"/>
  <c r="BL33"/>
  <c r="BN33" s="1"/>
  <c r="BE33"/>
  <c r="BG33" s="1"/>
  <c r="AM33"/>
  <c r="Y33"/>
  <c r="AE33" s="1"/>
  <c r="V33"/>
  <c r="Q33"/>
  <c r="P33"/>
  <c r="W33" s="1"/>
  <c r="AD33" s="1"/>
  <c r="L33"/>
  <c r="J33"/>
  <c r="CH32"/>
  <c r="CF32"/>
  <c r="CC32"/>
  <c r="BS32"/>
  <c r="BT32" s="1"/>
  <c r="BV32" s="1"/>
  <c r="BY32" s="1"/>
  <c r="BL32"/>
  <c r="BN32" s="1"/>
  <c r="BE32"/>
  <c r="BG32" s="1"/>
  <c r="AX32"/>
  <c r="AZ32" s="1"/>
  <c r="AR32"/>
  <c r="AP32"/>
  <c r="Q32"/>
  <c r="P32"/>
  <c r="R32" s="1"/>
  <c r="T32" s="1"/>
  <c r="L32"/>
  <c r="J32"/>
  <c r="W32" s="1"/>
  <c r="CH31"/>
  <c r="CG31"/>
  <c r="CF31"/>
  <c r="CI31" s="1"/>
  <c r="CC31"/>
  <c r="CA31"/>
  <c r="CB31" s="1"/>
  <c r="BT31"/>
  <c r="BV31" s="1"/>
  <c r="BS31"/>
  <c r="BN31"/>
  <c r="BL31"/>
  <c r="BG31"/>
  <c r="BE31"/>
  <c r="AZ31"/>
  <c r="AX31"/>
  <c r="AR31"/>
  <c r="AP31"/>
  <c r="AJ31"/>
  <c r="AH31"/>
  <c r="Q31"/>
  <c r="P31"/>
  <c r="R31" s="1"/>
  <c r="L31"/>
  <c r="J31"/>
  <c r="CH30"/>
  <c r="CG30"/>
  <c r="CF30"/>
  <c r="CI30" s="1"/>
  <c r="CC30"/>
  <c r="CA30"/>
  <c r="CB30" s="1"/>
  <c r="CD30" s="1"/>
  <c r="E23" i="2" s="1"/>
  <c r="BT30" i="9"/>
  <c r="BV30" s="1"/>
  <c r="BS30"/>
  <c r="BN30"/>
  <c r="BL30"/>
  <c r="BG30"/>
  <c r="BE30"/>
  <c r="AZ30"/>
  <c r="AX30"/>
  <c r="AR30"/>
  <c r="AP30"/>
  <c r="AJ30"/>
  <c r="AH30"/>
  <c r="AB30"/>
  <c r="Z30"/>
  <c r="Q30"/>
  <c r="P30"/>
  <c r="R30" s="1"/>
  <c r="T30" s="1"/>
  <c r="L30"/>
  <c r="J30"/>
  <c r="CH29"/>
  <c r="CG29"/>
  <c r="CI29" s="1"/>
  <c r="CF29"/>
  <c r="CC29"/>
  <c r="CB29"/>
  <c r="CA29"/>
  <c r="BS29"/>
  <c r="BT29" s="1"/>
  <c r="BV29" s="1"/>
  <c r="BL29"/>
  <c r="BN29" s="1"/>
  <c r="BE29"/>
  <c r="BG29" s="1"/>
  <c r="AX29"/>
  <c r="AZ29" s="1"/>
  <c r="AR29"/>
  <c r="AP29"/>
  <c r="W29"/>
  <c r="AD29" s="1"/>
  <c r="AH29" s="1"/>
  <c r="AJ29" s="1"/>
  <c r="Q29"/>
  <c r="P29"/>
  <c r="R29" s="1"/>
  <c r="T29" s="1"/>
  <c r="L29"/>
  <c r="J29"/>
  <c r="CH28"/>
  <c r="CG28"/>
  <c r="CF28"/>
  <c r="CI28" s="1"/>
  <c r="CC28"/>
  <c r="CA28"/>
  <c r="CB28" s="1"/>
  <c r="CD28" s="1"/>
  <c r="E21" i="2" s="1"/>
  <c r="BT28" i="9"/>
  <c r="BV28" s="1"/>
  <c r="BS28"/>
  <c r="BN28"/>
  <c r="BL28"/>
  <c r="BG28"/>
  <c r="BE28"/>
  <c r="AZ28"/>
  <c r="AX28"/>
  <c r="AR28"/>
  <c r="AP28"/>
  <c r="AJ28"/>
  <c r="AH28"/>
  <c r="AB28"/>
  <c r="Z28"/>
  <c r="Q28"/>
  <c r="P28"/>
  <c r="R28" s="1"/>
  <c r="T28" s="1"/>
  <c r="L28"/>
  <c r="J28"/>
  <c r="CH27"/>
  <c r="CG27"/>
  <c r="CI27" s="1"/>
  <c r="CF27"/>
  <c r="CC27"/>
  <c r="CB27"/>
  <c r="CA27"/>
  <c r="BS27"/>
  <c r="BT27" s="1"/>
  <c r="BV27" s="1"/>
  <c r="BL27"/>
  <c r="BN27" s="1"/>
  <c r="BE27"/>
  <c r="BG27" s="1"/>
  <c r="AX27"/>
  <c r="AZ27" s="1"/>
  <c r="AR27"/>
  <c r="AP27"/>
  <c r="AH27"/>
  <c r="AJ27" s="1"/>
  <c r="Z27"/>
  <c r="AB27" s="1"/>
  <c r="Y27"/>
  <c r="Q27"/>
  <c r="P27"/>
  <c r="R27" s="1"/>
  <c r="T27" s="1"/>
  <c r="L27"/>
  <c r="J27"/>
  <c r="CH26"/>
  <c r="CG26"/>
  <c r="CI26" s="1"/>
  <c r="CF26"/>
  <c r="CC26"/>
  <c r="CB26"/>
  <c r="CD26" s="1"/>
  <c r="E19" i="2" s="1"/>
  <c r="CA26" i="9"/>
  <c r="BS26"/>
  <c r="BT26" s="1"/>
  <c r="BV26" s="1"/>
  <c r="BL26"/>
  <c r="BN26" s="1"/>
  <c r="BE26"/>
  <c r="BG26" s="1"/>
  <c r="AX26"/>
  <c r="AZ26" s="1"/>
  <c r="AR26"/>
  <c r="AP26"/>
  <c r="AH26"/>
  <c r="AJ26" s="1"/>
  <c r="Z26"/>
  <c r="AB26" s="1"/>
  <c r="Q26"/>
  <c r="P26"/>
  <c r="R26" s="1"/>
  <c r="T26" s="1"/>
  <c r="L26"/>
  <c r="J26"/>
  <c r="CH25"/>
  <c r="CF25"/>
  <c r="CC25"/>
  <c r="CA25"/>
  <c r="CB25" s="1"/>
  <c r="BY25"/>
  <c r="CG25" s="1"/>
  <c r="BS25"/>
  <c r="BT25" s="1"/>
  <c r="BV25" s="1"/>
  <c r="BL25"/>
  <c r="BN25" s="1"/>
  <c r="BE25"/>
  <c r="BG25" s="1"/>
  <c r="AX25"/>
  <c r="AZ25" s="1"/>
  <c r="AR25"/>
  <c r="AP25"/>
  <c r="AH25"/>
  <c r="AJ25" s="1"/>
  <c r="Z25"/>
  <c r="AB25" s="1"/>
  <c r="Y25"/>
  <c r="Q25"/>
  <c r="R25" s="1"/>
  <c r="T25" s="1"/>
  <c r="J25"/>
  <c r="CH24"/>
  <c r="CF24"/>
  <c r="CC24"/>
  <c r="BT24"/>
  <c r="BV24" s="1"/>
  <c r="BY24" s="1"/>
  <c r="BS24"/>
  <c r="BN24"/>
  <c r="BL24"/>
  <c r="BG24"/>
  <c r="BE24"/>
  <c r="AZ24"/>
  <c r="AX24"/>
  <c r="AR24"/>
  <c r="AP24"/>
  <c r="AJ24"/>
  <c r="AH24"/>
  <c r="Y24"/>
  <c r="Q24"/>
  <c r="P24"/>
  <c r="W24" s="1"/>
  <c r="Z24" s="1"/>
  <c r="AB24" s="1"/>
  <c r="CH23"/>
  <c r="CG23"/>
  <c r="CI23" s="1"/>
  <c r="CF23"/>
  <c r="CC23"/>
  <c r="CB23"/>
  <c r="CD23" s="1"/>
  <c r="E16" i="2" s="1"/>
  <c r="CA23" i="9"/>
  <c r="BS23"/>
  <c r="BT23" s="1"/>
  <c r="BV23" s="1"/>
  <c r="BL23"/>
  <c r="BN23" s="1"/>
  <c r="BE23"/>
  <c r="BG23" s="1"/>
  <c r="AX23"/>
  <c r="AZ23" s="1"/>
  <c r="AR23"/>
  <c r="AP23"/>
  <c r="Q23"/>
  <c r="P23"/>
  <c r="R23" s="1"/>
  <c r="T23" s="1"/>
  <c r="W23" s="1"/>
  <c r="Z23" s="1"/>
  <c r="AB23" s="1"/>
  <c r="AD23" s="1"/>
  <c r="AH23" s="1"/>
  <c r="AJ23" s="1"/>
  <c r="L23"/>
  <c r="J23"/>
  <c r="CH22"/>
  <c r="CG22"/>
  <c r="CF22"/>
  <c r="CI22" s="1"/>
  <c r="CC22"/>
  <c r="CA22"/>
  <c r="CB22" s="1"/>
  <c r="CD22" s="1"/>
  <c r="E15" i="2" s="1"/>
  <c r="BX22" i="9"/>
  <c r="BX82" s="1"/>
  <c r="BS22"/>
  <c r="BT22" s="1"/>
  <c r="BV22" s="1"/>
  <c r="BQ22"/>
  <c r="BQ82" s="1"/>
  <c r="BN22"/>
  <c r="BL22"/>
  <c r="BG22"/>
  <c r="BE22"/>
  <c r="AZ22"/>
  <c r="AX22"/>
  <c r="AR22"/>
  <c r="AP22"/>
  <c r="AJ22"/>
  <c r="AH22"/>
  <c r="AB22"/>
  <c r="Z22"/>
  <c r="Q22"/>
  <c r="P22"/>
  <c r="R22" s="1"/>
  <c r="T22" s="1"/>
  <c r="L22"/>
  <c r="J22"/>
  <c r="CH21"/>
  <c r="CG21"/>
  <c r="CI21" s="1"/>
  <c r="CF21"/>
  <c r="CC21"/>
  <c r="CB21"/>
  <c r="CD21" s="1"/>
  <c r="E14" i="2" s="1"/>
  <c r="CA21" i="9"/>
  <c r="BS21"/>
  <c r="BT21" s="1"/>
  <c r="BV21" s="1"/>
  <c r="BL21"/>
  <c r="BN21" s="1"/>
  <c r="BE21"/>
  <c r="BG21" s="1"/>
  <c r="AX21"/>
  <c r="AZ21" s="1"/>
  <c r="AR21"/>
  <c r="AP21"/>
  <c r="Y21"/>
  <c r="AE21" s="1"/>
  <c r="Q21"/>
  <c r="P21"/>
  <c r="W21" s="1"/>
  <c r="L21"/>
  <c r="J21"/>
  <c r="CH20"/>
  <c r="CG20"/>
  <c r="CF20"/>
  <c r="CI20" s="1"/>
  <c r="CC20"/>
  <c r="CA20"/>
  <c r="CB20" s="1"/>
  <c r="BT20"/>
  <c r="BV20" s="1"/>
  <c r="BS20"/>
  <c r="BN20"/>
  <c r="BL20"/>
  <c r="BG20"/>
  <c r="BE20"/>
  <c r="AZ20"/>
  <c r="AX20"/>
  <c r="AR20"/>
  <c r="AO20"/>
  <c r="AO82" s="1"/>
  <c r="AL20"/>
  <c r="AP20" s="1"/>
  <c r="AJ20"/>
  <c r="AH20"/>
  <c r="Y20"/>
  <c r="Q20"/>
  <c r="L20"/>
  <c r="V20" s="1"/>
  <c r="Z20" s="1"/>
  <c r="AB20" s="1"/>
  <c r="J20"/>
  <c r="CH19"/>
  <c r="CG19"/>
  <c r="CF19"/>
  <c r="CI19" s="1"/>
  <c r="CC19"/>
  <c r="CA19"/>
  <c r="CB19" s="1"/>
  <c r="BT19"/>
  <c r="BV19" s="1"/>
  <c r="BS19"/>
  <c r="BN19"/>
  <c r="BL19"/>
  <c r="BG19"/>
  <c r="BE19"/>
  <c r="AR19"/>
  <c r="AT19" s="1"/>
  <c r="AX19" s="1"/>
  <c r="AP19"/>
  <c r="Y19"/>
  <c r="AE19" s="1"/>
  <c r="P19"/>
  <c r="CH18"/>
  <c r="CG18"/>
  <c r="CF18"/>
  <c r="CI18" s="1"/>
  <c r="CC18"/>
  <c r="CA18"/>
  <c r="CB18" s="1"/>
  <c r="CD18" s="1"/>
  <c r="E11" i="2" s="1"/>
  <c r="BT18" i="9"/>
  <c r="BV18" s="1"/>
  <c r="BS18"/>
  <c r="BN18"/>
  <c r="BL18"/>
  <c r="BG18"/>
  <c r="BE18"/>
  <c r="AZ18"/>
  <c r="AX18"/>
  <c r="AR18"/>
  <c r="AP18"/>
  <c r="AJ18"/>
  <c r="AH18"/>
  <c r="Y18"/>
  <c r="Z18" s="1"/>
  <c r="AB18" s="1"/>
  <c r="Q18"/>
  <c r="P18"/>
  <c r="R18" s="1"/>
  <c r="T18" s="1"/>
  <c r="CH17"/>
  <c r="CG17"/>
  <c r="CF17"/>
  <c r="CI17" s="1"/>
  <c r="CC17"/>
  <c r="CA17"/>
  <c r="CB17" s="1"/>
  <c r="CD17" s="1"/>
  <c r="E10" i="2" s="1"/>
  <c r="BT17" i="9"/>
  <c r="BV17" s="1"/>
  <c r="BS17"/>
  <c r="BN17"/>
  <c r="BL17"/>
  <c r="BG17"/>
  <c r="BE17"/>
  <c r="AZ17"/>
  <c r="AX17"/>
  <c r="AR17"/>
  <c r="AP17"/>
  <c r="AJ17"/>
  <c r="AH17"/>
  <c r="Y17"/>
  <c r="Z17" s="1"/>
  <c r="AB17" s="1"/>
  <c r="Q17"/>
  <c r="P17"/>
  <c r="R17" s="1"/>
  <c r="T17" s="1"/>
  <c r="L17"/>
  <c r="J17"/>
  <c r="CH16"/>
  <c r="CG16"/>
  <c r="CF16"/>
  <c r="CI16" s="1"/>
  <c r="CC16"/>
  <c r="CA16"/>
  <c r="CB16" s="1"/>
  <c r="CD16" s="1"/>
  <c r="E9" i="2" s="1"/>
  <c r="BT16" i="9"/>
  <c r="BV16" s="1"/>
  <c r="BS16"/>
  <c r="BN16"/>
  <c r="BL16"/>
  <c r="BG16"/>
  <c r="BE16"/>
  <c r="AZ16"/>
  <c r="AX16"/>
  <c r="AR16"/>
  <c r="AP16"/>
  <c r="AJ16"/>
  <c r="AH16"/>
  <c r="Y16"/>
  <c r="Z16" s="1"/>
  <c r="AB16" s="1"/>
  <c r="Q16"/>
  <c r="P16"/>
  <c r="R16" s="1"/>
  <c r="T16" s="1"/>
  <c r="L16"/>
  <c r="J16"/>
  <c r="CH15"/>
  <c r="CG15"/>
  <c r="CF15"/>
  <c r="CI15" s="1"/>
  <c r="CC15"/>
  <c r="CA15"/>
  <c r="CB15" s="1"/>
  <c r="CD15" s="1"/>
  <c r="E8" i="2" s="1"/>
  <c r="BT15" i="9"/>
  <c r="BV15" s="1"/>
  <c r="BS15"/>
  <c r="BN15"/>
  <c r="BL15"/>
  <c r="BG15"/>
  <c r="BE15"/>
  <c r="AZ15"/>
  <c r="AX15"/>
  <c r="AR15"/>
  <c r="AP15"/>
  <c r="AJ15"/>
  <c r="AH15"/>
  <c r="Y15"/>
  <c r="Z15" s="1"/>
  <c r="AB15" s="1"/>
  <c r="Q15"/>
  <c r="P15"/>
  <c r="R15" s="1"/>
  <c r="T15" s="1"/>
  <c r="L15"/>
  <c r="J15"/>
  <c r="CH14"/>
  <c r="CG14"/>
  <c r="CF14"/>
  <c r="CI14" s="1"/>
  <c r="CC14"/>
  <c r="CA14"/>
  <c r="CB14" s="1"/>
  <c r="CD14" s="1"/>
  <c r="E7" i="2" s="1"/>
  <c r="BT14" i="9"/>
  <c r="BV14" s="1"/>
  <c r="BS14"/>
  <c r="BN14"/>
  <c r="BL14"/>
  <c r="BG14"/>
  <c r="BE14"/>
  <c r="AZ14"/>
  <c r="AX14"/>
  <c r="AR14"/>
  <c r="AP14"/>
  <c r="Y14"/>
  <c r="W14"/>
  <c r="Z14" s="1"/>
  <c r="Q14"/>
  <c r="P14"/>
  <c r="R14" s="1"/>
  <c r="T14" s="1"/>
  <c r="L14"/>
  <c r="J14"/>
  <c r="CH13"/>
  <c r="CG13"/>
  <c r="CF13"/>
  <c r="CI13" s="1"/>
  <c r="CC13"/>
  <c r="CA13"/>
  <c r="CB13" s="1"/>
  <c r="BT13"/>
  <c r="BV13" s="1"/>
  <c r="BS13"/>
  <c r="BN13"/>
  <c r="BL13"/>
  <c r="BG13"/>
  <c r="BE13"/>
  <c r="AZ13"/>
  <c r="AX13"/>
  <c r="AR13"/>
  <c r="AP13"/>
  <c r="AJ13"/>
  <c r="AH13"/>
  <c r="Y13"/>
  <c r="Z13" s="1"/>
  <c r="AB13" s="1"/>
  <c r="Q13"/>
  <c r="P13"/>
  <c r="R13" s="1"/>
  <c r="T13" s="1"/>
  <c r="L13"/>
  <c r="J13"/>
  <c r="CH12"/>
  <c r="CG12"/>
  <c r="CF12"/>
  <c r="CI12" s="1"/>
  <c r="CC12"/>
  <c r="CA12"/>
  <c r="CB12" s="1"/>
  <c r="BT12"/>
  <c r="BV12" s="1"/>
  <c r="BS12"/>
  <c r="BN12"/>
  <c r="BL12"/>
  <c r="BG12"/>
  <c r="BE12"/>
  <c r="AZ12"/>
  <c r="AX12"/>
  <c r="AM12"/>
  <c r="AM82" s="1"/>
  <c r="Y12"/>
  <c r="AE12" s="1"/>
  <c r="V12"/>
  <c r="V82" s="1"/>
  <c r="Q12"/>
  <c r="W12" s="1"/>
  <c r="AD12" s="1"/>
  <c r="P12"/>
  <c r="R12" s="1"/>
  <c r="T12" s="1"/>
  <c r="L12"/>
  <c r="CH11"/>
  <c r="CG11"/>
  <c r="CI11" s="1"/>
  <c r="CF11"/>
  <c r="CC11"/>
  <c r="CB11"/>
  <c r="CA11"/>
  <c r="BS11"/>
  <c r="BT11" s="1"/>
  <c r="BV11" s="1"/>
  <c r="BL11"/>
  <c r="BN11" s="1"/>
  <c r="BE11"/>
  <c r="BG11" s="1"/>
  <c r="AX11"/>
  <c r="AZ11" s="1"/>
  <c r="AR11"/>
  <c r="AP11"/>
  <c r="AH11"/>
  <c r="AJ11" s="1"/>
  <c r="Y11"/>
  <c r="Q11"/>
  <c r="P11"/>
  <c r="R11" s="1"/>
  <c r="L11"/>
  <c r="J11"/>
  <c r="CH10"/>
  <c r="CG10"/>
  <c r="CF10"/>
  <c r="CI10" s="1"/>
  <c r="CC10"/>
  <c r="CA10"/>
  <c r="CB10" s="1"/>
  <c r="CD10" s="1"/>
  <c r="E3" i="2" s="1"/>
  <c r="BT10" i="9"/>
  <c r="BV10" s="1"/>
  <c r="BS10"/>
  <c r="BN10"/>
  <c r="BL10"/>
  <c r="BG10"/>
  <c r="BE10"/>
  <c r="AZ10"/>
  <c r="AX10"/>
  <c r="AR10"/>
  <c r="AP10"/>
  <c r="AJ10"/>
  <c r="AH10"/>
  <c r="Y10"/>
  <c r="Z10" s="1"/>
  <c r="AB10" s="1"/>
  <c r="Q10"/>
  <c r="P10"/>
  <c r="R10" s="1"/>
  <c r="T10" s="1"/>
  <c r="L10"/>
  <c r="J10"/>
  <c r="CH9"/>
  <c r="CG9"/>
  <c r="CF9"/>
  <c r="CF82" s="1"/>
  <c r="CC9"/>
  <c r="CA9"/>
  <c r="BT9"/>
  <c r="BS9"/>
  <c r="BN9"/>
  <c r="BL9"/>
  <c r="BL82" s="1"/>
  <c r="BL84" s="1"/>
  <c r="BG9"/>
  <c r="BE9"/>
  <c r="BE82" s="1"/>
  <c r="BE84" s="1"/>
  <c r="AZ9"/>
  <c r="AX9"/>
  <c r="AR9"/>
  <c r="AP9"/>
  <c r="AJ9"/>
  <c r="AH9"/>
  <c r="Y9"/>
  <c r="Y82" s="1"/>
  <c r="Q9"/>
  <c r="P9"/>
  <c r="P82" s="1"/>
  <c r="L9"/>
  <c r="L82" s="1"/>
  <c r="J9"/>
  <c r="J82" s="1"/>
  <c r="AE6"/>
  <c r="W6"/>
  <c r="AD6" s="1"/>
  <c r="AH6" s="1"/>
  <c r="AJ6" s="1"/>
  <c r="R6"/>
  <c r="T6" s="1"/>
  <c r="P6"/>
  <c r="AP5"/>
  <c r="Y5"/>
  <c r="AE5" s="1"/>
  <c r="W5"/>
  <c r="AD5" s="1"/>
  <c r="S5"/>
  <c r="R5"/>
  <c r="T5" s="1"/>
  <c r="S4"/>
  <c r="P75" i="2"/>
  <c r="O75"/>
  <c r="CC82" i="9" l="1"/>
  <c r="CC84" s="1"/>
  <c r="O3" i="2"/>
  <c r="O5"/>
  <c r="O7"/>
  <c r="O9"/>
  <c r="O11"/>
  <c r="O13"/>
  <c r="O15"/>
  <c r="O17"/>
  <c r="O19"/>
  <c r="O21"/>
  <c r="O23"/>
  <c r="O25"/>
  <c r="O27"/>
  <c r="O29"/>
  <c r="O31"/>
  <c r="O33"/>
  <c r="O35"/>
  <c r="O37"/>
  <c r="O39"/>
  <c r="O41"/>
  <c r="O43"/>
  <c r="O45"/>
  <c r="O47"/>
  <c r="O49"/>
  <c r="O51"/>
  <c r="O53"/>
  <c r="O55"/>
  <c r="O57"/>
  <c r="O59"/>
  <c r="O61"/>
  <c r="O63"/>
  <c r="O65"/>
  <c r="O67"/>
  <c r="O69"/>
  <c r="O71"/>
  <c r="O73"/>
  <c r="O2"/>
  <c r="O4"/>
  <c r="O6"/>
  <c r="O8"/>
  <c r="O10"/>
  <c r="O12"/>
  <c r="O14"/>
  <c r="O16"/>
  <c r="O18"/>
  <c r="O20"/>
  <c r="O22"/>
  <c r="O24"/>
  <c r="O26"/>
  <c r="O28"/>
  <c r="O30"/>
  <c r="O32"/>
  <c r="O34"/>
  <c r="O36"/>
  <c r="O38"/>
  <c r="O40"/>
  <c r="O42"/>
  <c r="O44"/>
  <c r="O46"/>
  <c r="O48"/>
  <c r="O50"/>
  <c r="O52"/>
  <c r="O54"/>
  <c r="O56"/>
  <c r="O58"/>
  <c r="O60"/>
  <c r="O62"/>
  <c r="O64"/>
  <c r="O66"/>
  <c r="O68"/>
  <c r="O70"/>
  <c r="O72"/>
  <c r="CD11" i="9"/>
  <c r="E4" i="2" s="1"/>
  <c r="CD70" i="9"/>
  <c r="E63" i="2" s="1"/>
  <c r="CD12" i="9"/>
  <c r="E5" i="2" s="1"/>
  <c r="CD13" i="9"/>
  <c r="E6" i="2" s="1"/>
  <c r="CD19" i="9"/>
  <c r="E12" i="2" s="1"/>
  <c r="CD20" i="9"/>
  <c r="E13" i="2" s="1"/>
  <c r="CD25" i="9"/>
  <c r="E18" i="2" s="1"/>
  <c r="CD27" i="9"/>
  <c r="E20" i="2" s="1"/>
  <c r="CD29" i="9"/>
  <c r="E22" i="2" s="1"/>
  <c r="CD31" i="9"/>
  <c r="E24" i="2" s="1"/>
  <c r="CD34" i="9"/>
  <c r="E27" i="2" s="1"/>
  <c r="CD44" i="9"/>
  <c r="E37" i="2" s="1"/>
  <c r="CD48" i="9"/>
  <c r="E41" i="2" s="1"/>
  <c r="CD49" i="9"/>
  <c r="E42" i="2" s="1"/>
  <c r="CD53" i="9"/>
  <c r="E46" i="2" s="1"/>
  <c r="CD54" i="9"/>
  <c r="E47" i="2" s="1"/>
  <c r="CD62" i="9"/>
  <c r="E55" i="2" s="1"/>
  <c r="CD66" i="9"/>
  <c r="E59" i="2" s="1"/>
  <c r="CD72" i="9"/>
  <c r="E65" i="2" s="1"/>
  <c r="CD73" i="9"/>
  <c r="E66" i="2" s="1"/>
  <c r="CD75" i="9"/>
  <c r="E68" i="2" s="1"/>
  <c r="CD78" i="9"/>
  <c r="E71" i="2" s="1"/>
  <c r="CD79" i="9"/>
  <c r="E72" i="2" s="1"/>
  <c r="CD80" i="9"/>
  <c r="E73" i="2" s="1"/>
  <c r="AH5" i="9"/>
  <c r="AJ5" s="1"/>
  <c r="AL6"/>
  <c r="AP6" s="1"/>
  <c r="AB14"/>
  <c r="AE14"/>
  <c r="AH14" s="1"/>
  <c r="AJ14" s="1"/>
  <c r="T11"/>
  <c r="W11"/>
  <c r="Z11" s="1"/>
  <c r="AB11" s="1"/>
  <c r="AL12"/>
  <c r="AH12"/>
  <c r="AJ12" s="1"/>
  <c r="AI3"/>
  <c r="Z5"/>
  <c r="AB5" s="1"/>
  <c r="BG82"/>
  <c r="BN82"/>
  <c r="BN84" s="1"/>
  <c r="BT82"/>
  <c r="BT84" s="1"/>
  <c r="BT86"/>
  <c r="CA86"/>
  <c r="W19"/>
  <c r="R19"/>
  <c r="T19" s="1"/>
  <c r="R20"/>
  <c r="T20" s="1"/>
  <c r="AD21"/>
  <c r="AH21" s="1"/>
  <c r="AJ21" s="1"/>
  <c r="Z21"/>
  <c r="AB21" s="1"/>
  <c r="AD32"/>
  <c r="AH32" s="1"/>
  <c r="AJ32" s="1"/>
  <c r="Z32"/>
  <c r="AB32" s="1"/>
  <c r="CG33"/>
  <c r="CA33"/>
  <c r="CB33" s="1"/>
  <c r="CD33" s="1"/>
  <c r="E26" i="2" s="1"/>
  <c r="CI33" i="9"/>
  <c r="Z6"/>
  <c r="AB6" s="1"/>
  <c r="R9"/>
  <c r="W9"/>
  <c r="BS86"/>
  <c r="BS82"/>
  <c r="BS84" s="1"/>
  <c r="BV9"/>
  <c r="BV82" s="1"/>
  <c r="BV84" s="1"/>
  <c r="CB9"/>
  <c r="CI9"/>
  <c r="Z12"/>
  <c r="AB12" s="1"/>
  <c r="BY82"/>
  <c r="CA24"/>
  <c r="CB24" s="1"/>
  <c r="CD24" s="1"/>
  <c r="E17" i="2" s="1"/>
  <c r="CG24" i="9"/>
  <c r="CI24" s="1"/>
  <c r="CI25"/>
  <c r="T31"/>
  <c r="W31"/>
  <c r="Z31" s="1"/>
  <c r="AB31" s="1"/>
  <c r="CG32"/>
  <c r="CA32"/>
  <c r="CB32" s="1"/>
  <c r="CD32" s="1"/>
  <c r="E25" i="2" s="1"/>
  <c r="CI32" i="9"/>
  <c r="AL33"/>
  <c r="AH33"/>
  <c r="AJ33" s="1"/>
  <c r="Z33"/>
  <c r="AB33" s="1"/>
  <c r="R21"/>
  <c r="T21" s="1"/>
  <c r="R33"/>
  <c r="T33" s="1"/>
  <c r="R39"/>
  <c r="W55"/>
  <c r="Z55" s="1"/>
  <c r="AB55" s="1"/>
  <c r="T55"/>
  <c r="CI59"/>
  <c r="R24"/>
  <c r="T24" s="1"/>
  <c r="Z29"/>
  <c r="AB29" s="1"/>
  <c r="R38"/>
  <c r="T38" s="1"/>
  <c r="CD38"/>
  <c r="E31" i="2" s="1"/>
  <c r="Z41" i="9"/>
  <c r="AB41" s="1"/>
  <c r="T44"/>
  <c r="W44"/>
  <c r="Z44" s="1"/>
  <c r="AB44" s="1"/>
  <c r="AH52"/>
  <c r="AJ52" s="1"/>
  <c r="CA60"/>
  <c r="CB60" s="1"/>
  <c r="CD60" s="1"/>
  <c r="E53" i="2" s="1"/>
  <c r="CG60" i="9"/>
  <c r="CI60" s="1"/>
  <c r="AD61"/>
  <c r="AH61" s="1"/>
  <c r="AJ61" s="1"/>
  <c r="Z61"/>
  <c r="AB61" s="1"/>
  <c r="CA37"/>
  <c r="CB37" s="1"/>
  <c r="CD37" s="1"/>
  <c r="E30" i="2" s="1"/>
  <c r="CA41" i="9"/>
  <c r="CB41" s="1"/>
  <c r="CD41" s="1"/>
  <c r="E34" i="2" s="1"/>
  <c r="CA47" i="9"/>
  <c r="CB47" s="1"/>
  <c r="CD47" s="1"/>
  <c r="E40" i="2" s="1"/>
  <c r="CA52" i="9"/>
  <c r="CB52" s="1"/>
  <c r="CD52" s="1"/>
  <c r="E45" i="2" s="1"/>
  <c r="CA57" i="9"/>
  <c r="CB57" s="1"/>
  <c r="CD57" s="1"/>
  <c r="E50" i="2" s="1"/>
  <c r="CH57" i="9"/>
  <c r="CI57" s="1"/>
  <c r="CG69"/>
  <c r="CI69" s="1"/>
  <c r="CA69"/>
  <c r="CB69" s="1"/>
  <c r="CD69" s="1"/>
  <c r="E62" i="2" s="1"/>
  <c r="AB66" i="9"/>
  <c r="AE66"/>
  <c r="AH66" s="1"/>
  <c r="AJ66" s="1"/>
  <c r="Z68"/>
  <c r="AB68" s="1"/>
  <c r="CI71"/>
  <c r="CA61"/>
  <c r="CB61" s="1"/>
  <c r="CD61" s="1"/>
  <c r="E54" i="2" s="1"/>
  <c r="W68" i="9"/>
  <c r="AD68" s="1"/>
  <c r="AH68" s="1"/>
  <c r="AJ68" s="1"/>
  <c r="CA68"/>
  <c r="CB68" s="1"/>
  <c r="CD68" s="1"/>
  <c r="E61" i="2" s="1"/>
  <c r="AB69" i="9"/>
  <c r="CA71"/>
  <c r="CB71" s="1"/>
  <c r="CD71" s="1"/>
  <c r="E64" i="2" s="1"/>
  <c r="R74" i="9"/>
  <c r="AL78"/>
  <c r="AH78"/>
  <c r="AJ78" s="1"/>
  <c r="T79"/>
  <c r="W79"/>
  <c r="Z79" s="1"/>
  <c r="AB79" s="1"/>
  <c r="Z78"/>
  <c r="AB78" s="1"/>
  <c r="O74" i="2" l="1"/>
  <c r="W74" i="9"/>
  <c r="Z74" s="1"/>
  <c r="AB74" s="1"/>
  <c r="T74"/>
  <c r="W39"/>
  <c r="Z39" s="1"/>
  <c r="AB39" s="1"/>
  <c r="T39"/>
  <c r="CG82"/>
  <c r="Z9"/>
  <c r="AD19"/>
  <c r="Z19"/>
  <c r="AB19" s="1"/>
  <c r="CH82"/>
  <c r="CA82"/>
  <c r="CA84" s="1"/>
  <c r="AL82"/>
  <c r="AP82" s="1"/>
  <c r="AP12"/>
  <c r="AR12"/>
  <c r="AR78"/>
  <c r="AP78"/>
  <c r="AP33"/>
  <c r="AR33"/>
  <c r="AT33" s="1"/>
  <c r="CI82"/>
  <c r="CB86"/>
  <c r="CB82"/>
  <c r="CB84" s="1"/>
  <c r="CD9"/>
  <c r="R82"/>
  <c r="T9"/>
  <c r="T82" s="1"/>
  <c r="T86" s="1"/>
  <c r="AE82"/>
  <c r="I74" i="2"/>
  <c r="B74" i="6"/>
  <c r="C74"/>
  <c r="E2" i="5"/>
  <c r="F2"/>
  <c r="G2"/>
  <c r="H2"/>
  <c r="I2"/>
  <c r="J2"/>
  <c r="K2"/>
  <c r="L2"/>
  <c r="M2"/>
  <c r="N2"/>
  <c r="O2"/>
  <c r="P2"/>
  <c r="Q2"/>
  <c r="R2"/>
  <c r="S2"/>
  <c r="T2"/>
  <c r="U2"/>
  <c r="V2"/>
  <c r="W2"/>
  <c r="X2"/>
  <c r="Y2"/>
  <c r="Z2"/>
  <c r="AA2"/>
  <c r="AB2"/>
  <c r="AC2"/>
  <c r="AD2"/>
  <c r="AE2"/>
  <c r="AF2"/>
  <c r="AG2"/>
  <c r="AH2"/>
  <c r="AI2"/>
  <c r="AL2"/>
  <c r="AM2"/>
  <c r="AN2"/>
  <c r="AO2"/>
  <c r="AP2"/>
  <c r="AQ2"/>
  <c r="AR2"/>
  <c r="AS2"/>
  <c r="AT2"/>
  <c r="AU2"/>
  <c r="AV2"/>
  <c r="AW2"/>
  <c r="AX2"/>
  <c r="AY2"/>
  <c r="BA2"/>
  <c r="BB2"/>
  <c r="BC2"/>
  <c r="BE2"/>
  <c r="BG2"/>
  <c r="BG3" s="1"/>
  <c r="BH2"/>
  <c r="BJ2"/>
  <c r="BK2"/>
  <c r="BL2"/>
  <c r="BM2"/>
  <c r="BN2"/>
  <c r="BP2"/>
  <c r="BQ2"/>
  <c r="BR2"/>
  <c r="BS2"/>
  <c r="BT2"/>
  <c r="BU2"/>
  <c r="BV2"/>
  <c r="BW2"/>
  <c r="BX2"/>
  <c r="BY2"/>
  <c r="BZ2"/>
  <c r="CA2"/>
  <c r="CC2"/>
  <c r="CD2"/>
  <c r="CM2" s="1"/>
  <c r="CF2"/>
  <c r="CE2" s="1"/>
  <c r="CG2"/>
  <c r="CH2"/>
  <c r="CI2"/>
  <c r="CJ2"/>
  <c r="CK2"/>
  <c r="CL2"/>
  <c r="CN2"/>
  <c r="CO2"/>
  <c r="CP2"/>
  <c r="CQ2"/>
  <c r="CS2"/>
  <c r="CT2"/>
  <c r="CU2"/>
  <c r="CW2"/>
  <c r="DF2"/>
  <c r="DG2"/>
  <c r="DH2"/>
  <c r="DI2"/>
  <c r="DJ2"/>
  <c r="DK2"/>
  <c r="DL2"/>
  <c r="CX2" s="1"/>
  <c r="DM2"/>
  <c r="DN2"/>
  <c r="DO2"/>
  <c r="DP2"/>
  <c r="DQ2"/>
  <c r="DR2"/>
  <c r="DS2"/>
  <c r="DT2"/>
  <c r="DU2"/>
  <c r="DV2"/>
  <c r="DW2"/>
  <c r="DX2"/>
  <c r="DY2"/>
  <c r="DZ2"/>
  <c r="EA2"/>
  <c r="EB2"/>
  <c r="EC2"/>
  <c r="ED2"/>
  <c r="EE2"/>
  <c r="EF2"/>
  <c r="EG2"/>
  <c r="EH2"/>
  <c r="EI2"/>
  <c r="EJ2"/>
  <c r="EK2"/>
  <c r="B3"/>
  <c r="E3"/>
  <c r="F3"/>
  <c r="F4" s="1"/>
  <c r="F5" s="1"/>
  <c r="F6" s="1"/>
  <c r="F7" s="1"/>
  <c r="F8" s="1"/>
  <c r="F9" s="1"/>
  <c r="F10" s="1"/>
  <c r="F11" s="1"/>
  <c r="F12" s="1"/>
  <c r="F13" s="1"/>
  <c r="F14" s="1"/>
  <c r="F15" s="1"/>
  <c r="F16" s="1"/>
  <c r="F17" s="1"/>
  <c r="F18" s="1"/>
  <c r="F19" s="1"/>
  <c r="F20" s="1"/>
  <c r="F21" s="1"/>
  <c r="F22" s="1"/>
  <c r="F23" s="1"/>
  <c r="F24" s="1"/>
  <c r="F25" s="1"/>
  <c r="F26" s="1"/>
  <c r="F27" s="1"/>
  <c r="F28" s="1"/>
  <c r="G3"/>
  <c r="H3"/>
  <c r="H4" s="1"/>
  <c r="H5" s="1"/>
  <c r="H6" s="1"/>
  <c r="H7" s="1"/>
  <c r="H8" s="1"/>
  <c r="H9" s="1"/>
  <c r="H10" s="1"/>
  <c r="H11" s="1"/>
  <c r="H12" s="1"/>
  <c r="H13" s="1"/>
  <c r="H14" s="1"/>
  <c r="H15" s="1"/>
  <c r="H16" s="1"/>
  <c r="H17" s="1"/>
  <c r="H18" s="1"/>
  <c r="H19" s="1"/>
  <c r="H20" s="1"/>
  <c r="H21" s="1"/>
  <c r="H22" s="1"/>
  <c r="H23" s="1"/>
  <c r="H24" s="1"/>
  <c r="H25" s="1"/>
  <c r="H26" s="1"/>
  <c r="H27" s="1"/>
  <c r="H28" s="1"/>
  <c r="I3"/>
  <c r="J3"/>
  <c r="J4" s="1"/>
  <c r="J5" s="1"/>
  <c r="J6" s="1"/>
  <c r="J7" s="1"/>
  <c r="J8" s="1"/>
  <c r="J9" s="1"/>
  <c r="J10" s="1"/>
  <c r="J11" s="1"/>
  <c r="J12" s="1"/>
  <c r="J13" s="1"/>
  <c r="J14" s="1"/>
  <c r="J15" s="1"/>
  <c r="J16" s="1"/>
  <c r="J17" s="1"/>
  <c r="J18" s="1"/>
  <c r="J19" s="1"/>
  <c r="J20" s="1"/>
  <c r="J21" s="1"/>
  <c r="J22" s="1"/>
  <c r="J23" s="1"/>
  <c r="J24" s="1"/>
  <c r="J25" s="1"/>
  <c r="J26" s="1"/>
  <c r="J27" s="1"/>
  <c r="J28" s="1"/>
  <c r="K3"/>
  <c r="L3"/>
  <c r="AO3" s="1"/>
  <c r="M3"/>
  <c r="N3"/>
  <c r="O3"/>
  <c r="P3"/>
  <c r="Q3"/>
  <c r="R3"/>
  <c r="S3"/>
  <c r="T3"/>
  <c r="U3"/>
  <c r="V3"/>
  <c r="W3"/>
  <c r="X3"/>
  <c r="Y3"/>
  <c r="Z3"/>
  <c r="AA3"/>
  <c r="AB3"/>
  <c r="AC3"/>
  <c r="AD3"/>
  <c r="AE3"/>
  <c r="AF3"/>
  <c r="AG3"/>
  <c r="AH3"/>
  <c r="AI3"/>
  <c r="AL3"/>
  <c r="AM3"/>
  <c r="AN3"/>
  <c r="AS3"/>
  <c r="AW3"/>
  <c r="AY3"/>
  <c r="BA3"/>
  <c r="BB3"/>
  <c r="BC3"/>
  <c r="BE3"/>
  <c r="BH3"/>
  <c r="BJ3"/>
  <c r="BK3"/>
  <c r="BL3"/>
  <c r="BM3"/>
  <c r="BN3"/>
  <c r="BP3"/>
  <c r="BQ3"/>
  <c r="BR3"/>
  <c r="BS3"/>
  <c r="BT3"/>
  <c r="BU3"/>
  <c r="BV3"/>
  <c r="BW3"/>
  <c r="BX3"/>
  <c r="BY3"/>
  <c r="BZ3"/>
  <c r="CA3"/>
  <c r="CC3"/>
  <c r="CD3"/>
  <c r="CF3"/>
  <c r="CE3" s="1"/>
  <c r="CG3"/>
  <c r="CH3"/>
  <c r="CI3"/>
  <c r="CJ3"/>
  <c r="CK3"/>
  <c r="CL3"/>
  <c r="CN3"/>
  <c r="CO3"/>
  <c r="CR3" s="1"/>
  <c r="CP3"/>
  <c r="CQ3"/>
  <c r="CS3"/>
  <c r="CT3"/>
  <c r="CU3"/>
  <c r="CW3"/>
  <c r="DF3"/>
  <c r="DG3"/>
  <c r="DH3"/>
  <c r="DI3"/>
  <c r="DJ3"/>
  <c r="DK3"/>
  <c r="DL3"/>
  <c r="CY3" s="1"/>
  <c r="DM3"/>
  <c r="DN3"/>
  <c r="DO3"/>
  <c r="DP3"/>
  <c r="DQ3"/>
  <c r="DR3"/>
  <c r="DS3"/>
  <c r="DT3"/>
  <c r="DU3"/>
  <c r="DV3"/>
  <c r="DW3"/>
  <c r="DX3"/>
  <c r="DY3"/>
  <c r="DZ3"/>
  <c r="EA3"/>
  <c r="EB3"/>
  <c r="EC3"/>
  <c r="ED3"/>
  <c r="EE3"/>
  <c r="EF3"/>
  <c r="EG3"/>
  <c r="EH3"/>
  <c r="EI3"/>
  <c r="EJ3"/>
  <c r="EK3"/>
  <c r="B4"/>
  <c r="E4"/>
  <c r="G4"/>
  <c r="G5" s="1"/>
  <c r="G6" s="1"/>
  <c r="G7" s="1"/>
  <c r="G8" s="1"/>
  <c r="G9" s="1"/>
  <c r="G10" s="1"/>
  <c r="I4"/>
  <c r="I5" s="1"/>
  <c r="I6" s="1"/>
  <c r="I7" s="1"/>
  <c r="I8" s="1"/>
  <c r="I9" s="1"/>
  <c r="I10" s="1"/>
  <c r="K4"/>
  <c r="L4"/>
  <c r="M4"/>
  <c r="N4"/>
  <c r="O4"/>
  <c r="P4"/>
  <c r="Q4"/>
  <c r="R4"/>
  <c r="S4"/>
  <c r="T4"/>
  <c r="U4"/>
  <c r="AR4" s="1"/>
  <c r="V4"/>
  <c r="W4"/>
  <c r="X4"/>
  <c r="Y4"/>
  <c r="Z4"/>
  <c r="AA4"/>
  <c r="AT4" s="1"/>
  <c r="AB4"/>
  <c r="AC4"/>
  <c r="AD4"/>
  <c r="AE4"/>
  <c r="AF4"/>
  <c r="AG4"/>
  <c r="AV4" s="1"/>
  <c r="AH4"/>
  <c r="AI4"/>
  <c r="AL4"/>
  <c r="AM4"/>
  <c r="AX4" s="1"/>
  <c r="AN4"/>
  <c r="AP4"/>
  <c r="AW4"/>
  <c r="AY4"/>
  <c r="BA4"/>
  <c r="BB4"/>
  <c r="BC4"/>
  <c r="BE4"/>
  <c r="BG4"/>
  <c r="BH4"/>
  <c r="BJ4"/>
  <c r="BO4" s="1"/>
  <c r="BK4"/>
  <c r="BL4"/>
  <c r="BM4"/>
  <c r="BN4"/>
  <c r="BP4"/>
  <c r="BQ4"/>
  <c r="BR4"/>
  <c r="BS4"/>
  <c r="BT4"/>
  <c r="BU4"/>
  <c r="BV4"/>
  <c r="BW4"/>
  <c r="BX4"/>
  <c r="BY4"/>
  <c r="BZ4"/>
  <c r="CA4"/>
  <c r="CC4"/>
  <c r="CD4"/>
  <c r="CF4"/>
  <c r="CE4" s="1"/>
  <c r="CG4"/>
  <c r="CH4"/>
  <c r="CI4"/>
  <c r="CJ4"/>
  <c r="CK4"/>
  <c r="CL4"/>
  <c r="CN4"/>
  <c r="CO4"/>
  <c r="CP4"/>
  <c r="CQ4"/>
  <c r="CS4"/>
  <c r="CT4"/>
  <c r="CU4"/>
  <c r="CW4"/>
  <c r="DF4"/>
  <c r="DG4"/>
  <c r="DH4"/>
  <c r="DI4"/>
  <c r="DJ4"/>
  <c r="DK4"/>
  <c r="DL4"/>
  <c r="CX4" s="1"/>
  <c r="DM4"/>
  <c r="DN4"/>
  <c r="DO4"/>
  <c r="DP4"/>
  <c r="DQ4"/>
  <c r="DR4"/>
  <c r="DS4"/>
  <c r="DT4"/>
  <c r="DU4"/>
  <c r="DV4"/>
  <c r="DW4"/>
  <c r="DX4"/>
  <c r="DY4"/>
  <c r="DZ4"/>
  <c r="EA4"/>
  <c r="EB4"/>
  <c r="EC4"/>
  <c r="ED4"/>
  <c r="EE4"/>
  <c r="EF4"/>
  <c r="EG4"/>
  <c r="EH4"/>
  <c r="EI4"/>
  <c r="EJ4"/>
  <c r="EK4"/>
  <c r="B5"/>
  <c r="E5"/>
  <c r="K5"/>
  <c r="L5"/>
  <c r="M5"/>
  <c r="N5"/>
  <c r="O5"/>
  <c r="P5"/>
  <c r="Q5"/>
  <c r="R5"/>
  <c r="S5"/>
  <c r="T5"/>
  <c r="U5"/>
  <c r="V5"/>
  <c r="W5"/>
  <c r="X5"/>
  <c r="Y5"/>
  <c r="Z5"/>
  <c r="AA5"/>
  <c r="AB5"/>
  <c r="AC5"/>
  <c r="AU5" s="1"/>
  <c r="AD5"/>
  <c r="AE5"/>
  <c r="AF5"/>
  <c r="AG5"/>
  <c r="AH5"/>
  <c r="AI5"/>
  <c r="AL5"/>
  <c r="AM5"/>
  <c r="AN5"/>
  <c r="AQ5"/>
  <c r="AW5"/>
  <c r="AY5"/>
  <c r="BA5"/>
  <c r="BB5"/>
  <c r="BC5"/>
  <c r="BE5"/>
  <c r="BG5"/>
  <c r="BH5"/>
  <c r="BJ5"/>
  <c r="BK5"/>
  <c r="BL5"/>
  <c r="BM5"/>
  <c r="BN5"/>
  <c r="BP5"/>
  <c r="BQ5"/>
  <c r="BR5"/>
  <c r="BS5"/>
  <c r="BT5"/>
  <c r="BU5"/>
  <c r="BV5"/>
  <c r="BW5"/>
  <c r="BX5"/>
  <c r="BY5"/>
  <c r="CB5" s="1"/>
  <c r="BZ5"/>
  <c r="CA5"/>
  <c r="CC5"/>
  <c r="CD5"/>
  <c r="CF5"/>
  <c r="CG5"/>
  <c r="CH5"/>
  <c r="CI5"/>
  <c r="CJ5"/>
  <c r="CK5"/>
  <c r="CL5"/>
  <c r="CN5"/>
  <c r="CO5"/>
  <c r="CR5" s="1"/>
  <c r="CP5"/>
  <c r="CQ5"/>
  <c r="CS5"/>
  <c r="CV5" s="1"/>
  <c r="CT5"/>
  <c r="CU5"/>
  <c r="CW5"/>
  <c r="DF5"/>
  <c r="DG5"/>
  <c r="DH5"/>
  <c r="DI5"/>
  <c r="DJ5"/>
  <c r="DK5"/>
  <c r="DL5"/>
  <c r="CY5" s="1"/>
  <c r="DM5"/>
  <c r="DN5"/>
  <c r="DO5"/>
  <c r="DP5"/>
  <c r="DQ5"/>
  <c r="DR5"/>
  <c r="DS5"/>
  <c r="DT5"/>
  <c r="DU5"/>
  <c r="DV5"/>
  <c r="DW5"/>
  <c r="DX5"/>
  <c r="DY5"/>
  <c r="DZ5"/>
  <c r="EA5"/>
  <c r="EB5"/>
  <c r="EC5"/>
  <c r="ED5"/>
  <c r="EE5"/>
  <c r="EF5"/>
  <c r="EG5"/>
  <c r="EH5"/>
  <c r="EI5"/>
  <c r="EJ5"/>
  <c r="EK5"/>
  <c r="B6"/>
  <c r="E6"/>
  <c r="K6"/>
  <c r="L6"/>
  <c r="M6"/>
  <c r="N6"/>
  <c r="O6"/>
  <c r="P6"/>
  <c r="Q6"/>
  <c r="R6"/>
  <c r="S6"/>
  <c r="T6"/>
  <c r="U6"/>
  <c r="V6"/>
  <c r="W6"/>
  <c r="X6"/>
  <c r="Y6"/>
  <c r="Z6"/>
  <c r="AA6"/>
  <c r="AB6"/>
  <c r="AC6"/>
  <c r="AD6"/>
  <c r="AE6"/>
  <c r="AF6"/>
  <c r="AG6"/>
  <c r="AV6" s="1"/>
  <c r="AH6"/>
  <c r="AI6"/>
  <c r="AL6"/>
  <c r="AM6"/>
  <c r="AX6" s="1"/>
  <c r="AN6"/>
  <c r="AR6"/>
  <c r="AW6"/>
  <c r="AY6"/>
  <c r="BA6"/>
  <c r="BB6"/>
  <c r="BC6"/>
  <c r="BE6"/>
  <c r="BG6"/>
  <c r="BH6"/>
  <c r="BJ6"/>
  <c r="BK6"/>
  <c r="BL6"/>
  <c r="BM6"/>
  <c r="BN6"/>
  <c r="BP6"/>
  <c r="BQ6"/>
  <c r="BR6"/>
  <c r="BS6"/>
  <c r="BT6"/>
  <c r="BU6"/>
  <c r="BV6"/>
  <c r="BW6"/>
  <c r="BX6"/>
  <c r="BY6"/>
  <c r="BZ6"/>
  <c r="CA6"/>
  <c r="CC6"/>
  <c r="CD6"/>
  <c r="CE6"/>
  <c r="CF6"/>
  <c r="CG6"/>
  <c r="CH6"/>
  <c r="CI6"/>
  <c r="CJ6"/>
  <c r="CK6"/>
  <c r="CL6"/>
  <c r="CM6"/>
  <c r="CN6"/>
  <c r="CO6"/>
  <c r="CR6" s="1"/>
  <c r="CP6"/>
  <c r="CQ6"/>
  <c r="CS6"/>
  <c r="CT6"/>
  <c r="CU6"/>
  <c r="CW6"/>
  <c r="DE6"/>
  <c r="DF6"/>
  <c r="DG6"/>
  <c r="DH6"/>
  <c r="DI6"/>
  <c r="DJ6"/>
  <c r="DK6"/>
  <c r="DL6"/>
  <c r="CX6" s="1"/>
  <c r="DM6"/>
  <c r="DN6"/>
  <c r="DO6"/>
  <c r="DP6"/>
  <c r="DQ6"/>
  <c r="DR6"/>
  <c r="DS6"/>
  <c r="DT6"/>
  <c r="DU6"/>
  <c r="DV6"/>
  <c r="DW6"/>
  <c r="DX6"/>
  <c r="DY6"/>
  <c r="DZ6"/>
  <c r="EA6"/>
  <c r="EB6"/>
  <c r="EC6"/>
  <c r="ED6"/>
  <c r="EE6"/>
  <c r="EF6"/>
  <c r="EG6"/>
  <c r="EH6"/>
  <c r="EI6"/>
  <c r="EJ6"/>
  <c r="EK6"/>
  <c r="B7"/>
  <c r="E7"/>
  <c r="K7"/>
  <c r="L7"/>
  <c r="AO7" s="1"/>
  <c r="M7"/>
  <c r="N7"/>
  <c r="O7"/>
  <c r="P7"/>
  <c r="Q7"/>
  <c r="R7"/>
  <c r="S7"/>
  <c r="T7"/>
  <c r="U7"/>
  <c r="V7"/>
  <c r="W7"/>
  <c r="X7"/>
  <c r="Y7"/>
  <c r="Z7"/>
  <c r="AA7"/>
  <c r="AB7"/>
  <c r="AC7"/>
  <c r="AD7"/>
  <c r="AE7"/>
  <c r="AF7"/>
  <c r="AG7"/>
  <c r="AH7"/>
  <c r="AI7"/>
  <c r="AL7"/>
  <c r="AM7"/>
  <c r="AN7"/>
  <c r="AS7"/>
  <c r="AW7"/>
  <c r="AY7"/>
  <c r="BA7"/>
  <c r="BB7"/>
  <c r="BC7"/>
  <c r="BE7"/>
  <c r="BG7"/>
  <c r="BH7"/>
  <c r="BJ7"/>
  <c r="BK7"/>
  <c r="BL7"/>
  <c r="BM7"/>
  <c r="BN7"/>
  <c r="BP7"/>
  <c r="BQ7"/>
  <c r="BR7"/>
  <c r="BS7"/>
  <c r="BT7"/>
  <c r="BU7"/>
  <c r="BV7"/>
  <c r="BW7"/>
  <c r="BX7"/>
  <c r="BY7"/>
  <c r="BZ7"/>
  <c r="CA7"/>
  <c r="CC7"/>
  <c r="CD7"/>
  <c r="CF7"/>
  <c r="CE7" s="1"/>
  <c r="CG7"/>
  <c r="CH7"/>
  <c r="CI7"/>
  <c r="CJ7"/>
  <c r="CK7"/>
  <c r="CL7"/>
  <c r="CN7"/>
  <c r="CO7"/>
  <c r="CR7" s="1"/>
  <c r="CP7"/>
  <c r="CQ7"/>
  <c r="CS7"/>
  <c r="CT7"/>
  <c r="CU7"/>
  <c r="CW7"/>
  <c r="DF7"/>
  <c r="DG7"/>
  <c r="DH7"/>
  <c r="DI7"/>
  <c r="DJ7"/>
  <c r="DK7"/>
  <c r="DL7"/>
  <c r="CY7" s="1"/>
  <c r="DM7"/>
  <c r="DN7"/>
  <c r="DO7"/>
  <c r="DP7"/>
  <c r="DQ7"/>
  <c r="DR7"/>
  <c r="DS7"/>
  <c r="DT7"/>
  <c r="DU7"/>
  <c r="DV7"/>
  <c r="DW7"/>
  <c r="DX7"/>
  <c r="DY7"/>
  <c r="DZ7"/>
  <c r="EA7"/>
  <c r="EB7"/>
  <c r="EC7"/>
  <c r="ED7"/>
  <c r="EE7"/>
  <c r="EF7"/>
  <c r="EG7"/>
  <c r="EH7"/>
  <c r="EI7"/>
  <c r="EJ7"/>
  <c r="EK7"/>
  <c r="B8"/>
  <c r="E8"/>
  <c r="K8"/>
  <c r="L8"/>
  <c r="M8"/>
  <c r="N8"/>
  <c r="AP8" s="1"/>
  <c r="O8"/>
  <c r="P8"/>
  <c r="Q8"/>
  <c r="R8"/>
  <c r="S8"/>
  <c r="T8"/>
  <c r="U8"/>
  <c r="V8"/>
  <c r="W8"/>
  <c r="X8"/>
  <c r="Y8"/>
  <c r="Z8"/>
  <c r="AA8"/>
  <c r="AB8"/>
  <c r="AC8"/>
  <c r="AD8"/>
  <c r="AE8"/>
  <c r="AF8"/>
  <c r="AG8"/>
  <c r="AH8"/>
  <c r="AI8"/>
  <c r="AL8"/>
  <c r="AM8"/>
  <c r="AN8"/>
  <c r="AT8"/>
  <c r="AW8"/>
  <c r="AY8"/>
  <c r="BA8"/>
  <c r="BB8"/>
  <c r="AZ8" s="1"/>
  <c r="BC8"/>
  <c r="BE8"/>
  <c r="BG8"/>
  <c r="BH8"/>
  <c r="BJ8"/>
  <c r="BK8"/>
  <c r="BL8"/>
  <c r="BM8"/>
  <c r="BN8"/>
  <c r="BO8"/>
  <c r="BP8"/>
  <c r="BQ8"/>
  <c r="BR8"/>
  <c r="BS8"/>
  <c r="BT8"/>
  <c r="BU8"/>
  <c r="BV8"/>
  <c r="BW8"/>
  <c r="BX8"/>
  <c r="BY8"/>
  <c r="CB8" s="1"/>
  <c r="BZ8"/>
  <c r="CA8"/>
  <c r="CC8"/>
  <c r="CD8"/>
  <c r="CM8" s="1"/>
  <c r="CF8"/>
  <c r="CG8"/>
  <c r="CH8"/>
  <c r="CI8"/>
  <c r="CJ8"/>
  <c r="CK8"/>
  <c r="CL8"/>
  <c r="CN8"/>
  <c r="CO8"/>
  <c r="CP8"/>
  <c r="CQ8"/>
  <c r="CS8"/>
  <c r="CT8"/>
  <c r="CU8"/>
  <c r="CW8"/>
  <c r="DF8"/>
  <c r="DG8"/>
  <c r="DH8"/>
  <c r="DI8"/>
  <c r="DJ8"/>
  <c r="DK8"/>
  <c r="DL8"/>
  <c r="CY8" s="1"/>
  <c r="DM8"/>
  <c r="DN8"/>
  <c r="DO8"/>
  <c r="DP8"/>
  <c r="DQ8"/>
  <c r="DR8"/>
  <c r="DS8"/>
  <c r="DT8"/>
  <c r="DU8"/>
  <c r="DV8"/>
  <c r="DW8"/>
  <c r="DX8"/>
  <c r="DY8"/>
  <c r="DZ8"/>
  <c r="EA8"/>
  <c r="EB8"/>
  <c r="EC8"/>
  <c r="ED8"/>
  <c r="EE8"/>
  <c r="EF8"/>
  <c r="EG8"/>
  <c r="EH8"/>
  <c r="EI8"/>
  <c r="EJ8"/>
  <c r="EK8"/>
  <c r="B9"/>
  <c r="E9"/>
  <c r="K9"/>
  <c r="L9"/>
  <c r="M9"/>
  <c r="N9"/>
  <c r="O9"/>
  <c r="P9"/>
  <c r="Q9"/>
  <c r="R9"/>
  <c r="S9"/>
  <c r="T9"/>
  <c r="U9"/>
  <c r="V9"/>
  <c r="W9"/>
  <c r="X9"/>
  <c r="Y9"/>
  <c r="Z9"/>
  <c r="AA9"/>
  <c r="AB9"/>
  <c r="AC9"/>
  <c r="AD9"/>
  <c r="AE9"/>
  <c r="AF9"/>
  <c r="AG9"/>
  <c r="AV9" s="1"/>
  <c r="AH9"/>
  <c r="AI9"/>
  <c r="AL9"/>
  <c r="AM9"/>
  <c r="AX9" s="1"/>
  <c r="AN9"/>
  <c r="AR9"/>
  <c r="AW9"/>
  <c r="AY9"/>
  <c r="BA9"/>
  <c r="BB9"/>
  <c r="BC9"/>
  <c r="BE9"/>
  <c r="BG9"/>
  <c r="BH9"/>
  <c r="BJ9"/>
  <c r="BK9"/>
  <c r="BL9"/>
  <c r="BM9"/>
  <c r="BN9"/>
  <c r="BP9"/>
  <c r="BQ9"/>
  <c r="BR9"/>
  <c r="BS9"/>
  <c r="BT9"/>
  <c r="BU9"/>
  <c r="BV9"/>
  <c r="BW9"/>
  <c r="BX9"/>
  <c r="BY9"/>
  <c r="BZ9"/>
  <c r="CA9"/>
  <c r="CC9"/>
  <c r="CD9"/>
  <c r="CE9"/>
  <c r="CF9"/>
  <c r="CG9"/>
  <c r="CH9"/>
  <c r="CI9"/>
  <c r="CJ9"/>
  <c r="CK9"/>
  <c r="CL9"/>
  <c r="CM9"/>
  <c r="CN9"/>
  <c r="CO9"/>
  <c r="CR9" s="1"/>
  <c r="CP9"/>
  <c r="CQ9"/>
  <c r="CS9"/>
  <c r="CT9"/>
  <c r="CU9"/>
  <c r="CW9"/>
  <c r="DE9"/>
  <c r="DF9"/>
  <c r="DG9"/>
  <c r="DH9"/>
  <c r="DI9"/>
  <c r="DJ9"/>
  <c r="DK9"/>
  <c r="DL9"/>
  <c r="CX9" s="1"/>
  <c r="DM9"/>
  <c r="DN9"/>
  <c r="DO9"/>
  <c r="DP9"/>
  <c r="DQ9"/>
  <c r="DR9"/>
  <c r="DS9"/>
  <c r="DT9"/>
  <c r="DU9"/>
  <c r="DV9"/>
  <c r="DW9"/>
  <c r="DX9"/>
  <c r="DY9"/>
  <c r="DZ9"/>
  <c r="EA9"/>
  <c r="EB9"/>
  <c r="EC9"/>
  <c r="ED9"/>
  <c r="EE9"/>
  <c r="EF9"/>
  <c r="EG9"/>
  <c r="EH9"/>
  <c r="EI9"/>
  <c r="EJ9"/>
  <c r="EK9"/>
  <c r="B10"/>
  <c r="E10"/>
  <c r="K10"/>
  <c r="L10"/>
  <c r="M10"/>
  <c r="N10"/>
  <c r="O10"/>
  <c r="AP10" s="1"/>
  <c r="P10"/>
  <c r="Q10"/>
  <c r="R10"/>
  <c r="S10"/>
  <c r="T10"/>
  <c r="U10"/>
  <c r="AR10" s="1"/>
  <c r="V10"/>
  <c r="W10"/>
  <c r="X10"/>
  <c r="Y10"/>
  <c r="AS10" s="1"/>
  <c r="Z10"/>
  <c r="AA10"/>
  <c r="AT10" s="1"/>
  <c r="AB10"/>
  <c r="AC10"/>
  <c r="AD10"/>
  <c r="AE10"/>
  <c r="AF10"/>
  <c r="AG10"/>
  <c r="AV10" s="1"/>
  <c r="AH10"/>
  <c r="AI10"/>
  <c r="AL10"/>
  <c r="AM10"/>
  <c r="AX10" s="1"/>
  <c r="AN10"/>
  <c r="AO10"/>
  <c r="AW10"/>
  <c r="AY10"/>
  <c r="BA10"/>
  <c r="BB10"/>
  <c r="BC10"/>
  <c r="BE10"/>
  <c r="BG10"/>
  <c r="BH10"/>
  <c r="BJ10"/>
  <c r="BK10"/>
  <c r="BL10"/>
  <c r="BM10"/>
  <c r="BN10"/>
  <c r="BP10"/>
  <c r="BQ10"/>
  <c r="BR10"/>
  <c r="BS10"/>
  <c r="BT10"/>
  <c r="BU10"/>
  <c r="BV10"/>
  <c r="BW10"/>
  <c r="BX10"/>
  <c r="BY10"/>
  <c r="CB10" s="1"/>
  <c r="BZ10"/>
  <c r="CA10"/>
  <c r="CC10"/>
  <c r="CD10"/>
  <c r="CF10"/>
  <c r="CG10"/>
  <c r="CH10"/>
  <c r="CI10"/>
  <c r="CJ10"/>
  <c r="CK10"/>
  <c r="CL10"/>
  <c r="CN10"/>
  <c r="CO10"/>
  <c r="CP10"/>
  <c r="CQ10"/>
  <c r="CS10"/>
  <c r="CT10"/>
  <c r="CU10"/>
  <c r="CW10"/>
  <c r="DF10"/>
  <c r="DG10"/>
  <c r="DH10"/>
  <c r="DI10"/>
  <c r="DJ10"/>
  <c r="DK10"/>
  <c r="DL10"/>
  <c r="CX10" s="1"/>
  <c r="DM10"/>
  <c r="DN10"/>
  <c r="DO10"/>
  <c r="DP10"/>
  <c r="DQ10"/>
  <c r="DR10"/>
  <c r="DS10"/>
  <c r="DT10"/>
  <c r="DU10"/>
  <c r="DV10"/>
  <c r="DW10"/>
  <c r="DX10"/>
  <c r="DY10"/>
  <c r="DZ10"/>
  <c r="EA10"/>
  <c r="EB10"/>
  <c r="EC10"/>
  <c r="ED10"/>
  <c r="EE10"/>
  <c r="EF10"/>
  <c r="EG10"/>
  <c r="EH10"/>
  <c r="EI10"/>
  <c r="EJ10"/>
  <c r="EK10"/>
  <c r="B11"/>
  <c r="E11"/>
  <c r="G11"/>
  <c r="G12" s="1"/>
  <c r="I11"/>
  <c r="I12" s="1"/>
  <c r="K11"/>
  <c r="L11"/>
  <c r="M11"/>
  <c r="N11"/>
  <c r="O11"/>
  <c r="P11"/>
  <c r="Q11"/>
  <c r="R11"/>
  <c r="S11"/>
  <c r="T11"/>
  <c r="U11"/>
  <c r="AR11" s="1"/>
  <c r="V11"/>
  <c r="W11"/>
  <c r="X11"/>
  <c r="Y11"/>
  <c r="Z11"/>
  <c r="AA11"/>
  <c r="AT11" s="1"/>
  <c r="AB11"/>
  <c r="AC11"/>
  <c r="AD11"/>
  <c r="AE11"/>
  <c r="AF11"/>
  <c r="AG11"/>
  <c r="AV11" s="1"/>
  <c r="AH11"/>
  <c r="AI11"/>
  <c r="AW11" s="1"/>
  <c r="AL11"/>
  <c r="AM11"/>
  <c r="AX11" s="1"/>
  <c r="AN11"/>
  <c r="AP11"/>
  <c r="AY11"/>
  <c r="BA11"/>
  <c r="BB11"/>
  <c r="AZ11" s="1"/>
  <c r="BC11"/>
  <c r="BE11"/>
  <c r="BG11"/>
  <c r="BH11"/>
  <c r="BJ11"/>
  <c r="BK11"/>
  <c r="BL11"/>
  <c r="BM11"/>
  <c r="BN11"/>
  <c r="BO11"/>
  <c r="BP11"/>
  <c r="BQ11"/>
  <c r="BR11"/>
  <c r="BS11"/>
  <c r="BT11"/>
  <c r="BU11"/>
  <c r="BV11"/>
  <c r="BW11"/>
  <c r="BX11"/>
  <c r="BY11"/>
  <c r="CB11" s="1"/>
  <c r="BZ11"/>
  <c r="CA11"/>
  <c r="CC11"/>
  <c r="CD11"/>
  <c r="CF11"/>
  <c r="CG11"/>
  <c r="CH11"/>
  <c r="CI11"/>
  <c r="CJ11"/>
  <c r="CK11"/>
  <c r="CL11"/>
  <c r="CN11"/>
  <c r="CO11"/>
  <c r="CP11"/>
  <c r="CQ11"/>
  <c r="CS11"/>
  <c r="CT11"/>
  <c r="CU11"/>
  <c r="CW11"/>
  <c r="DC11"/>
  <c r="DF11"/>
  <c r="DG11"/>
  <c r="DH11"/>
  <c r="DI11"/>
  <c r="DJ11"/>
  <c r="DK11"/>
  <c r="DL11"/>
  <c r="DM11"/>
  <c r="DN11"/>
  <c r="DO11"/>
  <c r="DP11"/>
  <c r="DQ11"/>
  <c r="DR11"/>
  <c r="DS11"/>
  <c r="DT11"/>
  <c r="DU11"/>
  <c r="DV11"/>
  <c r="DW11"/>
  <c r="DX11"/>
  <c r="DY11"/>
  <c r="DZ11"/>
  <c r="EA11"/>
  <c r="EB11"/>
  <c r="EC11"/>
  <c r="ED11"/>
  <c r="EE11"/>
  <c r="EF11"/>
  <c r="EG11"/>
  <c r="EH11"/>
  <c r="EI11"/>
  <c r="EJ11"/>
  <c r="EK11"/>
  <c r="B12"/>
  <c r="E12"/>
  <c r="K12"/>
  <c r="L12"/>
  <c r="M12"/>
  <c r="N12"/>
  <c r="O12"/>
  <c r="P12"/>
  <c r="Q12"/>
  <c r="R12"/>
  <c r="S12"/>
  <c r="T12"/>
  <c r="U12"/>
  <c r="V12"/>
  <c r="W12"/>
  <c r="X12"/>
  <c r="Y12"/>
  <c r="Z12"/>
  <c r="AA12"/>
  <c r="AB12"/>
  <c r="AC12"/>
  <c r="AU12" s="1"/>
  <c r="AD12"/>
  <c r="AE12"/>
  <c r="AF12"/>
  <c r="AG12"/>
  <c r="AH12"/>
  <c r="AI12"/>
  <c r="AL12"/>
  <c r="AM12"/>
  <c r="AN12"/>
  <c r="AQ12"/>
  <c r="AW12"/>
  <c r="AY12"/>
  <c r="BA12"/>
  <c r="BB12"/>
  <c r="BC12"/>
  <c r="BE12"/>
  <c r="BG12"/>
  <c r="BH12"/>
  <c r="BJ12"/>
  <c r="BK12"/>
  <c r="BL12"/>
  <c r="BM12"/>
  <c r="BN12"/>
  <c r="BP12"/>
  <c r="BQ12"/>
  <c r="BR12"/>
  <c r="BS12"/>
  <c r="BT12"/>
  <c r="BU12"/>
  <c r="BV12"/>
  <c r="BW12"/>
  <c r="BX12"/>
  <c r="BY12"/>
  <c r="CB12" s="1"/>
  <c r="BZ12"/>
  <c r="CA12"/>
  <c r="CC12"/>
  <c r="CD12"/>
  <c r="CF12"/>
  <c r="CG12"/>
  <c r="CH12"/>
  <c r="CI12"/>
  <c r="CJ12"/>
  <c r="CK12"/>
  <c r="CL12"/>
  <c r="CN12"/>
  <c r="CO12"/>
  <c r="CP12"/>
  <c r="CQ12"/>
  <c r="CS12"/>
  <c r="CT12"/>
  <c r="CU12"/>
  <c r="CW12"/>
  <c r="DF12"/>
  <c r="DG12"/>
  <c r="DH12"/>
  <c r="DI12"/>
  <c r="DJ12"/>
  <c r="DK12"/>
  <c r="DL12"/>
  <c r="CX12" s="1"/>
  <c r="DM12"/>
  <c r="DN12"/>
  <c r="DO12"/>
  <c r="DP12"/>
  <c r="DQ12"/>
  <c r="DR12"/>
  <c r="DS12"/>
  <c r="DT12"/>
  <c r="DU12"/>
  <c r="DV12"/>
  <c r="DW12"/>
  <c r="DX12"/>
  <c r="DY12"/>
  <c r="DZ12"/>
  <c r="EA12"/>
  <c r="EB12"/>
  <c r="EC12"/>
  <c r="ED12"/>
  <c r="EE12"/>
  <c r="EF12"/>
  <c r="EG12"/>
  <c r="EH12"/>
  <c r="EI12"/>
  <c r="EJ12"/>
  <c r="EK12"/>
  <c r="B13"/>
  <c r="E13"/>
  <c r="G13"/>
  <c r="I13"/>
  <c r="K13"/>
  <c r="L13"/>
  <c r="AO13" s="1"/>
  <c r="M13"/>
  <c r="N13"/>
  <c r="O13"/>
  <c r="P13"/>
  <c r="Q13"/>
  <c r="R13"/>
  <c r="AQ13" s="1"/>
  <c r="S13"/>
  <c r="T13"/>
  <c r="U13"/>
  <c r="V13"/>
  <c r="W13"/>
  <c r="X13"/>
  <c r="AS13" s="1"/>
  <c r="Y13"/>
  <c r="Z13"/>
  <c r="AA13"/>
  <c r="AB13"/>
  <c r="AC13"/>
  <c r="AD13"/>
  <c r="AU13" s="1"/>
  <c r="AE13"/>
  <c r="AF13"/>
  <c r="AG13"/>
  <c r="AH13"/>
  <c r="AI13"/>
  <c r="AL13"/>
  <c r="AM13"/>
  <c r="AN13"/>
  <c r="AP13"/>
  <c r="AR13"/>
  <c r="AT13"/>
  <c r="AV13"/>
  <c r="AW13"/>
  <c r="AX13"/>
  <c r="AY13"/>
  <c r="BA13"/>
  <c r="BB13"/>
  <c r="BC13"/>
  <c r="BE13"/>
  <c r="BG13"/>
  <c r="BH13"/>
  <c r="BJ13"/>
  <c r="BO13" s="1"/>
  <c r="BK13"/>
  <c r="BL13"/>
  <c r="BM13"/>
  <c r="BN13"/>
  <c r="BP13"/>
  <c r="BQ13"/>
  <c r="BR13"/>
  <c r="BS13"/>
  <c r="BT13"/>
  <c r="BU13"/>
  <c r="BV13"/>
  <c r="BW13"/>
  <c r="BX13"/>
  <c r="BY13"/>
  <c r="BZ13"/>
  <c r="CA13"/>
  <c r="CC13"/>
  <c r="CD13"/>
  <c r="CF13"/>
  <c r="CE13" s="1"/>
  <c r="CG13"/>
  <c r="CH13"/>
  <c r="CI13"/>
  <c r="CJ13"/>
  <c r="CK13"/>
  <c r="CL13"/>
  <c r="CN13"/>
  <c r="CO13"/>
  <c r="CP13"/>
  <c r="CQ13"/>
  <c r="CS13"/>
  <c r="CT13"/>
  <c r="CU13"/>
  <c r="CW13"/>
  <c r="DE13"/>
  <c r="DF13"/>
  <c r="DG13"/>
  <c r="DH13"/>
  <c r="DI13"/>
  <c r="DJ13"/>
  <c r="DK13"/>
  <c r="DL13"/>
  <c r="CY13" s="1"/>
  <c r="DM13"/>
  <c r="DN13"/>
  <c r="DO13"/>
  <c r="DP13"/>
  <c r="DQ13"/>
  <c r="DR13"/>
  <c r="DS13"/>
  <c r="DT13"/>
  <c r="DU13"/>
  <c r="DV13"/>
  <c r="DW13"/>
  <c r="DX13"/>
  <c r="DY13"/>
  <c r="DZ13"/>
  <c r="EA13"/>
  <c r="EB13"/>
  <c r="EC13"/>
  <c r="ED13"/>
  <c r="EE13"/>
  <c r="EF13"/>
  <c r="EG13"/>
  <c r="EH13"/>
  <c r="EI13"/>
  <c r="EJ13"/>
  <c r="EK13"/>
  <c r="B14"/>
  <c r="E14"/>
  <c r="G14"/>
  <c r="I14"/>
  <c r="K14"/>
  <c r="L14"/>
  <c r="M14"/>
  <c r="N14"/>
  <c r="O14"/>
  <c r="AP14" s="1"/>
  <c r="P14"/>
  <c r="Q14"/>
  <c r="R14"/>
  <c r="S14"/>
  <c r="T14"/>
  <c r="U14"/>
  <c r="AR14" s="1"/>
  <c r="V14"/>
  <c r="W14"/>
  <c r="X14"/>
  <c r="Y14"/>
  <c r="Z14"/>
  <c r="AA14"/>
  <c r="AT14" s="1"/>
  <c r="AB14"/>
  <c r="AC14"/>
  <c r="AU14" s="1"/>
  <c r="AD14"/>
  <c r="AE14"/>
  <c r="AF14"/>
  <c r="AG14"/>
  <c r="AV14" s="1"/>
  <c r="AH14"/>
  <c r="AI14"/>
  <c r="AL14"/>
  <c r="AM14"/>
  <c r="AX14" s="1"/>
  <c r="AN14"/>
  <c r="AO14"/>
  <c r="AQ14"/>
  <c r="AS14"/>
  <c r="AW14"/>
  <c r="AY14"/>
  <c r="BA14"/>
  <c r="BB14"/>
  <c r="BC14"/>
  <c r="BE14"/>
  <c r="BG14"/>
  <c r="BH14"/>
  <c r="BJ14"/>
  <c r="BO14" s="1"/>
  <c r="BK14"/>
  <c r="BL14"/>
  <c r="BM14"/>
  <c r="BN14"/>
  <c r="BP14"/>
  <c r="BQ14"/>
  <c r="BR14"/>
  <c r="BS14"/>
  <c r="BT14"/>
  <c r="BU14"/>
  <c r="BV14"/>
  <c r="BW14"/>
  <c r="BX14"/>
  <c r="BY14"/>
  <c r="BZ14"/>
  <c r="CA14"/>
  <c r="CC14"/>
  <c r="CD14"/>
  <c r="CF14"/>
  <c r="CE14" s="1"/>
  <c r="CG14"/>
  <c r="CH14"/>
  <c r="CI14"/>
  <c r="CJ14"/>
  <c r="CK14"/>
  <c r="CL14"/>
  <c r="CN14"/>
  <c r="CO14"/>
  <c r="CP14"/>
  <c r="CQ14"/>
  <c r="CS14"/>
  <c r="CT14"/>
  <c r="CU14"/>
  <c r="CW14"/>
  <c r="DF14"/>
  <c r="DG14"/>
  <c r="DH14"/>
  <c r="DI14"/>
  <c r="DJ14"/>
  <c r="DK14"/>
  <c r="DL14"/>
  <c r="CX14" s="1"/>
  <c r="DM14"/>
  <c r="DN14"/>
  <c r="DO14"/>
  <c r="DP14"/>
  <c r="DQ14"/>
  <c r="DR14"/>
  <c r="DS14"/>
  <c r="DT14"/>
  <c r="DU14"/>
  <c r="DV14"/>
  <c r="DW14"/>
  <c r="DX14"/>
  <c r="DY14"/>
  <c r="DZ14"/>
  <c r="EA14"/>
  <c r="EB14"/>
  <c r="EC14"/>
  <c r="ED14"/>
  <c r="EE14"/>
  <c r="EF14"/>
  <c r="EG14"/>
  <c r="EH14"/>
  <c r="EI14"/>
  <c r="EJ14"/>
  <c r="EK14"/>
  <c r="B15"/>
  <c r="E15"/>
  <c r="G15"/>
  <c r="G16" s="1"/>
  <c r="G17" s="1"/>
  <c r="G18" s="1"/>
  <c r="G19" s="1"/>
  <c r="G20" s="1"/>
  <c r="G21" s="1"/>
  <c r="G22" s="1"/>
  <c r="G23" s="1"/>
  <c r="G24" s="1"/>
  <c r="G25" s="1"/>
  <c r="G26" s="1"/>
  <c r="G27" s="1"/>
  <c r="G28" s="1"/>
  <c r="G29" s="1"/>
  <c r="I15"/>
  <c r="I16" s="1"/>
  <c r="I17" s="1"/>
  <c r="I18" s="1"/>
  <c r="I19" s="1"/>
  <c r="I20" s="1"/>
  <c r="I21" s="1"/>
  <c r="I22" s="1"/>
  <c r="I23" s="1"/>
  <c r="I24" s="1"/>
  <c r="I25" s="1"/>
  <c r="I26" s="1"/>
  <c r="K15"/>
  <c r="L15"/>
  <c r="M15"/>
  <c r="N15"/>
  <c r="O15"/>
  <c r="AP15" s="1"/>
  <c r="P15"/>
  <c r="Q15"/>
  <c r="AQ15" s="1"/>
  <c r="R15"/>
  <c r="S15"/>
  <c r="T15"/>
  <c r="U15"/>
  <c r="AR15" s="1"/>
  <c r="V15"/>
  <c r="W15"/>
  <c r="X15"/>
  <c r="Y15"/>
  <c r="Z15"/>
  <c r="AA15"/>
  <c r="AT15" s="1"/>
  <c r="AB15"/>
  <c r="AC15"/>
  <c r="AU15" s="1"/>
  <c r="AD15"/>
  <c r="AE15"/>
  <c r="AF15"/>
  <c r="AG15"/>
  <c r="AV15" s="1"/>
  <c r="AH15"/>
  <c r="AI15"/>
  <c r="AL15"/>
  <c r="AM15"/>
  <c r="AX15" s="1"/>
  <c r="AN15"/>
  <c r="AO15"/>
  <c r="AS15"/>
  <c r="AW15"/>
  <c r="AY15"/>
  <c r="BA15"/>
  <c r="BB15"/>
  <c r="BC15"/>
  <c r="BE15"/>
  <c r="BG15"/>
  <c r="BH15"/>
  <c r="BJ15"/>
  <c r="BK15"/>
  <c r="BL15"/>
  <c r="BM15"/>
  <c r="BN15"/>
  <c r="BP15"/>
  <c r="BQ15"/>
  <c r="BR15"/>
  <c r="BS15"/>
  <c r="BT15"/>
  <c r="BU15"/>
  <c r="BV15"/>
  <c r="BW15"/>
  <c r="BX15"/>
  <c r="BY15"/>
  <c r="CB15" s="1"/>
  <c r="BZ15"/>
  <c r="CA15"/>
  <c r="CC15"/>
  <c r="CD15"/>
  <c r="CF15"/>
  <c r="CM15" s="1"/>
  <c r="CG15"/>
  <c r="CH15"/>
  <c r="CI15"/>
  <c r="CJ15"/>
  <c r="CK15"/>
  <c r="CL15"/>
  <c r="CN15"/>
  <c r="CO15"/>
  <c r="CP15"/>
  <c r="CQ15"/>
  <c r="CS15"/>
  <c r="CT15"/>
  <c r="CU15"/>
  <c r="CW15"/>
  <c r="DF15"/>
  <c r="DG15"/>
  <c r="DH15"/>
  <c r="DI15"/>
  <c r="DJ15"/>
  <c r="DK15"/>
  <c r="DL15"/>
  <c r="CY15" s="1"/>
  <c r="DM15"/>
  <c r="DN15"/>
  <c r="DO15"/>
  <c r="DP15"/>
  <c r="DQ15"/>
  <c r="DR15"/>
  <c r="DS15"/>
  <c r="DT15"/>
  <c r="DU15"/>
  <c r="DV15"/>
  <c r="DW15"/>
  <c r="DX15"/>
  <c r="DY15"/>
  <c r="DZ15"/>
  <c r="EA15"/>
  <c r="EB15"/>
  <c r="EC15"/>
  <c r="ED15"/>
  <c r="EE15"/>
  <c r="EF15"/>
  <c r="EG15"/>
  <c r="EH15"/>
  <c r="EI15"/>
  <c r="EJ15"/>
  <c r="EK15"/>
  <c r="B16"/>
  <c r="E16"/>
  <c r="K16"/>
  <c r="L16"/>
  <c r="AO16" s="1"/>
  <c r="M16"/>
  <c r="N16"/>
  <c r="O16"/>
  <c r="P16"/>
  <c r="Q16"/>
  <c r="R16"/>
  <c r="S16"/>
  <c r="T16"/>
  <c r="U16"/>
  <c r="V16"/>
  <c r="W16"/>
  <c r="X16"/>
  <c r="AS16" s="1"/>
  <c r="Y16"/>
  <c r="Z16"/>
  <c r="AA16"/>
  <c r="AB16"/>
  <c r="AC16"/>
  <c r="AD16"/>
  <c r="AE16"/>
  <c r="AF16"/>
  <c r="AG16"/>
  <c r="AH16"/>
  <c r="AI16"/>
  <c r="AL16"/>
  <c r="AM16"/>
  <c r="AN16"/>
  <c r="AQ16"/>
  <c r="AU16"/>
  <c r="AW16"/>
  <c r="AY16"/>
  <c r="BA16"/>
  <c r="BB16"/>
  <c r="AZ16" s="1"/>
  <c r="BC16"/>
  <c r="BE16"/>
  <c r="BG16"/>
  <c r="BH16"/>
  <c r="BJ16"/>
  <c r="BK16"/>
  <c r="BL16"/>
  <c r="BM16"/>
  <c r="BN16"/>
  <c r="BO16"/>
  <c r="BP16"/>
  <c r="BQ16"/>
  <c r="BR16"/>
  <c r="BS16"/>
  <c r="BT16"/>
  <c r="BU16"/>
  <c r="BV16"/>
  <c r="BW16"/>
  <c r="BX16"/>
  <c r="BY16"/>
  <c r="CB16" s="1"/>
  <c r="BZ16"/>
  <c r="CA16"/>
  <c r="CC16"/>
  <c r="CD16"/>
  <c r="CM16" s="1"/>
  <c r="CF16"/>
  <c r="CG16"/>
  <c r="CH16"/>
  <c r="CI16"/>
  <c r="CJ16"/>
  <c r="CK16"/>
  <c r="CL16"/>
  <c r="CN16"/>
  <c r="CO16"/>
  <c r="CP16"/>
  <c r="CQ16"/>
  <c r="CS16"/>
  <c r="CT16"/>
  <c r="CU16"/>
  <c r="CW16"/>
  <c r="DF16"/>
  <c r="DG16"/>
  <c r="DH16"/>
  <c r="DI16"/>
  <c r="DJ16"/>
  <c r="DK16"/>
  <c r="DL16"/>
  <c r="CX16" s="1"/>
  <c r="DM16"/>
  <c r="DN16"/>
  <c r="DO16"/>
  <c r="DP16"/>
  <c r="DQ16"/>
  <c r="DR16"/>
  <c r="DS16"/>
  <c r="DT16"/>
  <c r="DU16"/>
  <c r="DV16"/>
  <c r="DW16"/>
  <c r="DX16"/>
  <c r="DY16"/>
  <c r="DZ16"/>
  <c r="EA16"/>
  <c r="EB16"/>
  <c r="EC16"/>
  <c r="ED16"/>
  <c r="EE16"/>
  <c r="EF16"/>
  <c r="EG16"/>
  <c r="EH16"/>
  <c r="EI16"/>
  <c r="EJ16"/>
  <c r="EK16"/>
  <c r="B17"/>
  <c r="E17"/>
  <c r="K17"/>
  <c r="L17"/>
  <c r="AO17" s="1"/>
  <c r="M17"/>
  <c r="N17"/>
  <c r="AP17" s="1"/>
  <c r="O17"/>
  <c r="P17"/>
  <c r="Q17"/>
  <c r="R17"/>
  <c r="AQ17" s="1"/>
  <c r="S17"/>
  <c r="T17"/>
  <c r="U17"/>
  <c r="V17"/>
  <c r="W17"/>
  <c r="X17"/>
  <c r="AS17" s="1"/>
  <c r="Y17"/>
  <c r="Z17"/>
  <c r="AT17" s="1"/>
  <c r="AA17"/>
  <c r="AB17"/>
  <c r="AC17"/>
  <c r="AD17"/>
  <c r="AU17" s="1"/>
  <c r="AE17"/>
  <c r="AF17"/>
  <c r="AG17"/>
  <c r="AH17"/>
  <c r="AI17"/>
  <c r="AL17"/>
  <c r="AM17"/>
  <c r="AN17"/>
  <c r="AR17"/>
  <c r="AV17"/>
  <c r="AW17"/>
  <c r="AX17"/>
  <c r="AY17"/>
  <c r="BA17"/>
  <c r="BB17"/>
  <c r="BC17"/>
  <c r="BE17"/>
  <c r="BG17"/>
  <c r="BH17"/>
  <c r="BJ17"/>
  <c r="BK17"/>
  <c r="BL17"/>
  <c r="BM17"/>
  <c r="BN17"/>
  <c r="BP17"/>
  <c r="BQ17"/>
  <c r="BR17"/>
  <c r="BS17"/>
  <c r="BT17"/>
  <c r="BU17"/>
  <c r="BV17"/>
  <c r="BW17"/>
  <c r="BX17"/>
  <c r="BY17"/>
  <c r="BZ17"/>
  <c r="CA17"/>
  <c r="CC17"/>
  <c r="CD17"/>
  <c r="CM17" s="1"/>
  <c r="CF17"/>
  <c r="CE17" s="1"/>
  <c r="CG17"/>
  <c r="CH17"/>
  <c r="CI17"/>
  <c r="CJ17"/>
  <c r="CK17"/>
  <c r="CL17"/>
  <c r="CN17"/>
  <c r="CO17"/>
  <c r="CP17"/>
  <c r="CQ17"/>
  <c r="CS17"/>
  <c r="CV17" s="1"/>
  <c r="CT17"/>
  <c r="CU17"/>
  <c r="CW17"/>
  <c r="DF17"/>
  <c r="DG17"/>
  <c r="DH17"/>
  <c r="DI17"/>
  <c r="DJ17"/>
  <c r="DK17"/>
  <c r="DL17"/>
  <c r="CX17" s="1"/>
  <c r="DM17"/>
  <c r="DN17"/>
  <c r="DO17"/>
  <c r="DP17"/>
  <c r="DQ17"/>
  <c r="DR17"/>
  <c r="DS17"/>
  <c r="DT17"/>
  <c r="DU17"/>
  <c r="DV17"/>
  <c r="DW17"/>
  <c r="DX17"/>
  <c r="DY17"/>
  <c r="DZ17"/>
  <c r="EA17"/>
  <c r="EB17"/>
  <c r="EC17"/>
  <c r="ED17"/>
  <c r="EE17"/>
  <c r="EF17"/>
  <c r="EG17"/>
  <c r="EH17"/>
  <c r="EI17"/>
  <c r="EJ17"/>
  <c r="EK17"/>
  <c r="B18"/>
  <c r="E18"/>
  <c r="K18"/>
  <c r="L18"/>
  <c r="M18"/>
  <c r="N18"/>
  <c r="O18"/>
  <c r="P18"/>
  <c r="Q18"/>
  <c r="R18"/>
  <c r="S18"/>
  <c r="T18"/>
  <c r="U18"/>
  <c r="V18"/>
  <c r="W18"/>
  <c r="X18"/>
  <c r="Y18"/>
  <c r="Z18"/>
  <c r="AA18"/>
  <c r="AB18"/>
  <c r="AC18"/>
  <c r="AD18"/>
  <c r="AE18"/>
  <c r="AF18"/>
  <c r="AG18"/>
  <c r="AV18" s="1"/>
  <c r="AH18"/>
  <c r="AI18"/>
  <c r="AL18"/>
  <c r="AM18"/>
  <c r="AX18" s="1"/>
  <c r="AN18"/>
  <c r="AR18"/>
  <c r="AW18"/>
  <c r="AY18"/>
  <c r="BA18"/>
  <c r="BB18"/>
  <c r="BC18"/>
  <c r="BE18"/>
  <c r="BG18"/>
  <c r="BH18"/>
  <c r="BJ18"/>
  <c r="BK18"/>
  <c r="BL18"/>
  <c r="BM18"/>
  <c r="BN18"/>
  <c r="BP18"/>
  <c r="BQ18"/>
  <c r="BR18"/>
  <c r="BS18"/>
  <c r="BT18"/>
  <c r="BU18"/>
  <c r="BV18"/>
  <c r="BW18"/>
  <c r="BX18"/>
  <c r="BY18"/>
  <c r="BZ18"/>
  <c r="CA18"/>
  <c r="CC18"/>
  <c r="CD18"/>
  <c r="CE18"/>
  <c r="CF18"/>
  <c r="CG18"/>
  <c r="CH18"/>
  <c r="CI18"/>
  <c r="CJ18"/>
  <c r="CK18"/>
  <c r="CL18"/>
  <c r="CM18"/>
  <c r="CN18"/>
  <c r="CO18"/>
  <c r="CR18" s="1"/>
  <c r="CP18"/>
  <c r="CQ18"/>
  <c r="CS18"/>
  <c r="CT18"/>
  <c r="CU18"/>
  <c r="CW18"/>
  <c r="DE18"/>
  <c r="DF18"/>
  <c r="DG18"/>
  <c r="DH18"/>
  <c r="DI18"/>
  <c r="DJ18"/>
  <c r="DK18"/>
  <c r="DL18"/>
  <c r="CX18" s="1"/>
  <c r="DM18"/>
  <c r="DN18"/>
  <c r="DO18"/>
  <c r="DP18"/>
  <c r="DQ18"/>
  <c r="DR18"/>
  <c r="DS18"/>
  <c r="DT18"/>
  <c r="DU18"/>
  <c r="DV18"/>
  <c r="DW18"/>
  <c r="DX18"/>
  <c r="DY18"/>
  <c r="DZ18"/>
  <c r="EA18"/>
  <c r="EB18"/>
  <c r="EC18"/>
  <c r="ED18"/>
  <c r="EE18"/>
  <c r="EF18"/>
  <c r="EG18"/>
  <c r="EH18"/>
  <c r="EI18"/>
  <c r="EJ18"/>
  <c r="EK18"/>
  <c r="B19"/>
  <c r="E19"/>
  <c r="K19"/>
  <c r="L19"/>
  <c r="M19"/>
  <c r="N19"/>
  <c r="O19"/>
  <c r="AP19" s="1"/>
  <c r="P19"/>
  <c r="Q19"/>
  <c r="R19"/>
  <c r="S19"/>
  <c r="T19"/>
  <c r="U19"/>
  <c r="AR19" s="1"/>
  <c r="V19"/>
  <c r="W19"/>
  <c r="AS19" s="1"/>
  <c r="X19"/>
  <c r="Y19"/>
  <c r="Z19"/>
  <c r="AA19"/>
  <c r="AT19" s="1"/>
  <c r="AB19"/>
  <c r="AC19"/>
  <c r="AD19"/>
  <c r="AE19"/>
  <c r="AF19"/>
  <c r="AG19"/>
  <c r="AV19" s="1"/>
  <c r="AH19"/>
  <c r="AI19"/>
  <c r="AL19"/>
  <c r="AM19"/>
  <c r="AX19" s="1"/>
  <c r="AN19"/>
  <c r="AO19"/>
  <c r="AW19"/>
  <c r="AY19"/>
  <c r="BA19"/>
  <c r="BB19"/>
  <c r="BC19"/>
  <c r="BE19"/>
  <c r="BG19"/>
  <c r="BH19"/>
  <c r="BJ19"/>
  <c r="BK19"/>
  <c r="BL19"/>
  <c r="BM19"/>
  <c r="BN19"/>
  <c r="BP19"/>
  <c r="BQ19"/>
  <c r="BR19"/>
  <c r="BS19"/>
  <c r="BT19"/>
  <c r="BU19"/>
  <c r="BV19"/>
  <c r="BW19"/>
  <c r="BX19"/>
  <c r="BY19"/>
  <c r="CB19" s="1"/>
  <c r="BZ19"/>
  <c r="CA19"/>
  <c r="CC19"/>
  <c r="CD19"/>
  <c r="CF19"/>
  <c r="CG19"/>
  <c r="CH19"/>
  <c r="CI19"/>
  <c r="CJ19"/>
  <c r="CK19"/>
  <c r="CL19"/>
  <c r="CN19"/>
  <c r="CO19"/>
  <c r="CP19"/>
  <c r="CQ19"/>
  <c r="CS19"/>
  <c r="CT19"/>
  <c r="CU19"/>
  <c r="CW19"/>
  <c r="DF19"/>
  <c r="DG19"/>
  <c r="DH19"/>
  <c r="DI19"/>
  <c r="DJ19"/>
  <c r="DK19"/>
  <c r="DL19"/>
  <c r="CX19" s="1"/>
  <c r="DM19"/>
  <c r="DN19"/>
  <c r="DO19"/>
  <c r="DP19"/>
  <c r="DQ19"/>
  <c r="DR19"/>
  <c r="DS19"/>
  <c r="DT19"/>
  <c r="DU19"/>
  <c r="DV19"/>
  <c r="DW19"/>
  <c r="DX19"/>
  <c r="DY19"/>
  <c r="DZ19"/>
  <c r="EA19"/>
  <c r="EB19"/>
  <c r="EC19"/>
  <c r="ED19"/>
  <c r="EE19"/>
  <c r="EF19"/>
  <c r="EG19"/>
  <c r="EH19"/>
  <c r="EI19"/>
  <c r="EJ19"/>
  <c r="EK19"/>
  <c r="B20"/>
  <c r="E20"/>
  <c r="K20"/>
  <c r="L20"/>
  <c r="M20"/>
  <c r="N20"/>
  <c r="AP20" s="1"/>
  <c r="O20"/>
  <c r="P20"/>
  <c r="Q20"/>
  <c r="R20"/>
  <c r="S20"/>
  <c r="T20"/>
  <c r="U20"/>
  <c r="V20"/>
  <c r="W20"/>
  <c r="X20"/>
  <c r="Y20"/>
  <c r="Z20"/>
  <c r="AA20"/>
  <c r="AB20"/>
  <c r="AC20"/>
  <c r="AD20"/>
  <c r="AE20"/>
  <c r="AF20"/>
  <c r="AG20"/>
  <c r="AH20"/>
  <c r="AI20"/>
  <c r="AL20"/>
  <c r="AM20"/>
  <c r="AN20"/>
  <c r="AT20"/>
  <c r="AW20"/>
  <c r="AY20"/>
  <c r="BA20"/>
  <c r="BB20"/>
  <c r="AZ20" s="1"/>
  <c r="BC20"/>
  <c r="BE20"/>
  <c r="BG20"/>
  <c r="BH20"/>
  <c r="BJ20"/>
  <c r="BK20"/>
  <c r="BL20"/>
  <c r="BM20"/>
  <c r="BN20"/>
  <c r="BO20"/>
  <c r="BP20"/>
  <c r="BQ20"/>
  <c r="BR20"/>
  <c r="BS20"/>
  <c r="BT20"/>
  <c r="BU20"/>
  <c r="BV20"/>
  <c r="BW20"/>
  <c r="BX20"/>
  <c r="BY20"/>
  <c r="CB20" s="1"/>
  <c r="BZ20"/>
  <c r="CA20"/>
  <c r="CC20"/>
  <c r="CD20"/>
  <c r="CM20" s="1"/>
  <c r="CF20"/>
  <c r="CG20"/>
  <c r="CH20"/>
  <c r="CI20"/>
  <c r="CJ20"/>
  <c r="CK20"/>
  <c r="CL20"/>
  <c r="CN20"/>
  <c r="CO20"/>
  <c r="CP20"/>
  <c r="CQ20"/>
  <c r="CS20"/>
  <c r="CT20"/>
  <c r="CU20"/>
  <c r="CW20"/>
  <c r="DF20"/>
  <c r="DG20"/>
  <c r="DH20"/>
  <c r="DI20"/>
  <c r="DJ20"/>
  <c r="DK20"/>
  <c r="DL20"/>
  <c r="CX20" s="1"/>
  <c r="DM20"/>
  <c r="DN20"/>
  <c r="DO20"/>
  <c r="DP20"/>
  <c r="DQ20"/>
  <c r="DR20"/>
  <c r="DS20"/>
  <c r="DT20"/>
  <c r="DU20"/>
  <c r="DV20"/>
  <c r="DW20"/>
  <c r="DX20"/>
  <c r="DY20"/>
  <c r="DZ20"/>
  <c r="EA20"/>
  <c r="EB20"/>
  <c r="EC20"/>
  <c r="ED20"/>
  <c r="EE20"/>
  <c r="EF20"/>
  <c r="EG20"/>
  <c r="EH20"/>
  <c r="EI20"/>
  <c r="EJ20"/>
  <c r="EK20"/>
  <c r="B21"/>
  <c r="E21"/>
  <c r="K21"/>
  <c r="L21"/>
  <c r="AO21" s="1"/>
  <c r="M21"/>
  <c r="N21"/>
  <c r="O21"/>
  <c r="P21"/>
  <c r="Q21"/>
  <c r="R21"/>
  <c r="AQ21" s="1"/>
  <c r="S21"/>
  <c r="T21"/>
  <c r="U21"/>
  <c r="V21"/>
  <c r="W21"/>
  <c r="X21"/>
  <c r="AS21" s="1"/>
  <c r="Y21"/>
  <c r="Z21"/>
  <c r="AA21"/>
  <c r="AB21"/>
  <c r="AC21"/>
  <c r="AD21"/>
  <c r="AE21"/>
  <c r="AF21"/>
  <c r="AG21"/>
  <c r="AH21"/>
  <c r="AI21"/>
  <c r="AL21"/>
  <c r="AM21"/>
  <c r="AN21"/>
  <c r="AU21"/>
  <c r="AW21"/>
  <c r="AY21"/>
  <c r="BA21"/>
  <c r="BB21"/>
  <c r="BC21"/>
  <c r="BE21"/>
  <c r="BG21"/>
  <c r="BH21"/>
  <c r="BJ21"/>
  <c r="BK21"/>
  <c r="BL21"/>
  <c r="BM21"/>
  <c r="BN21"/>
  <c r="BP21"/>
  <c r="BQ21"/>
  <c r="BR21"/>
  <c r="BS21"/>
  <c r="BT21"/>
  <c r="BU21"/>
  <c r="BV21"/>
  <c r="BW21"/>
  <c r="BX21"/>
  <c r="BY21"/>
  <c r="BZ21"/>
  <c r="CA21"/>
  <c r="CB21"/>
  <c r="CC21"/>
  <c r="CD21"/>
  <c r="CM21" s="1"/>
  <c r="CF21"/>
  <c r="CG21"/>
  <c r="CH21"/>
  <c r="CI21"/>
  <c r="CJ21"/>
  <c r="CK21"/>
  <c r="CL21"/>
  <c r="CN21"/>
  <c r="CO21"/>
  <c r="CP21"/>
  <c r="CQ21"/>
  <c r="CR21"/>
  <c r="CS21"/>
  <c r="CT21"/>
  <c r="CU21"/>
  <c r="CV21"/>
  <c r="CW21"/>
  <c r="DF21"/>
  <c r="DG21"/>
  <c r="DH21"/>
  <c r="DI21"/>
  <c r="DJ21"/>
  <c r="DK21"/>
  <c r="DL21"/>
  <c r="CX21" s="1"/>
  <c r="DM21"/>
  <c r="DN21"/>
  <c r="DO21"/>
  <c r="DP21"/>
  <c r="DQ21"/>
  <c r="DR21"/>
  <c r="DS21"/>
  <c r="DT21"/>
  <c r="DU21"/>
  <c r="DV21"/>
  <c r="DW21"/>
  <c r="DX21"/>
  <c r="DY21"/>
  <c r="DZ21"/>
  <c r="EA21"/>
  <c r="EB21"/>
  <c r="EC21"/>
  <c r="ED21"/>
  <c r="EE21"/>
  <c r="EF21"/>
  <c r="EG21"/>
  <c r="EH21"/>
  <c r="EI21"/>
  <c r="EJ21"/>
  <c r="EK21"/>
  <c r="B22"/>
  <c r="E22"/>
  <c r="K22"/>
  <c r="L22"/>
  <c r="AO22" s="1"/>
  <c r="M22"/>
  <c r="N22"/>
  <c r="O22"/>
  <c r="P22"/>
  <c r="Q22"/>
  <c r="R22"/>
  <c r="AQ22" s="1"/>
  <c r="S22"/>
  <c r="T22"/>
  <c r="AR22" s="1"/>
  <c r="U22"/>
  <c r="V22"/>
  <c r="W22"/>
  <c r="X22"/>
  <c r="AS22" s="1"/>
  <c r="Y22"/>
  <c r="Z22"/>
  <c r="AA22"/>
  <c r="AB22"/>
  <c r="AC22"/>
  <c r="AD22"/>
  <c r="AU22" s="1"/>
  <c r="AE22"/>
  <c r="AF22"/>
  <c r="AG22"/>
  <c r="AH22"/>
  <c r="AI22"/>
  <c r="AL22"/>
  <c r="AM22"/>
  <c r="AN22"/>
  <c r="AV22"/>
  <c r="AW22"/>
  <c r="AX22"/>
  <c r="AY22"/>
  <c r="BA22"/>
  <c r="BB22"/>
  <c r="BC22"/>
  <c r="BE22"/>
  <c r="BG22"/>
  <c r="BH22"/>
  <c r="BJ22"/>
  <c r="BK22"/>
  <c r="BL22"/>
  <c r="BM22"/>
  <c r="BN22"/>
  <c r="BP22"/>
  <c r="BQ22"/>
  <c r="BR22"/>
  <c r="BS22"/>
  <c r="BT22"/>
  <c r="BU22"/>
  <c r="BV22"/>
  <c r="BW22"/>
  <c r="BX22"/>
  <c r="BY22"/>
  <c r="BZ22"/>
  <c r="CA22"/>
  <c r="CC22"/>
  <c r="CD22"/>
  <c r="CM22" s="1"/>
  <c r="CF22"/>
  <c r="CE22" s="1"/>
  <c r="CG22"/>
  <c r="CH22"/>
  <c r="CI22"/>
  <c r="CJ22"/>
  <c r="CK22"/>
  <c r="CL22"/>
  <c r="CN22"/>
  <c r="CO22"/>
  <c r="CP22"/>
  <c r="CQ22"/>
  <c r="CS22"/>
  <c r="CT22"/>
  <c r="CU22"/>
  <c r="CW22"/>
  <c r="DF22"/>
  <c r="DG22"/>
  <c r="DH22"/>
  <c r="DI22"/>
  <c r="DJ22"/>
  <c r="DK22"/>
  <c r="DL22"/>
  <c r="CX22" s="1"/>
  <c r="DM22"/>
  <c r="DN22"/>
  <c r="DO22"/>
  <c r="DP22"/>
  <c r="DQ22"/>
  <c r="DR22"/>
  <c r="DS22"/>
  <c r="DT22"/>
  <c r="DU22"/>
  <c r="DV22"/>
  <c r="DW22"/>
  <c r="DX22"/>
  <c r="DY22"/>
  <c r="DZ22"/>
  <c r="EA22"/>
  <c r="EB22"/>
  <c r="EC22"/>
  <c r="ED22"/>
  <c r="EE22"/>
  <c r="EF22"/>
  <c r="EG22"/>
  <c r="EH22"/>
  <c r="EI22"/>
  <c r="EJ22"/>
  <c r="EK22"/>
  <c r="B23"/>
  <c r="E23"/>
  <c r="K23"/>
  <c r="L23"/>
  <c r="M23"/>
  <c r="N23"/>
  <c r="O23"/>
  <c r="AP23" s="1"/>
  <c r="P23"/>
  <c r="Q23"/>
  <c r="R23"/>
  <c r="S23"/>
  <c r="T23"/>
  <c r="U23"/>
  <c r="AR23" s="1"/>
  <c r="V23"/>
  <c r="W23"/>
  <c r="AS23" s="1"/>
  <c r="X23"/>
  <c r="Y23"/>
  <c r="Z23"/>
  <c r="AA23"/>
  <c r="AT23" s="1"/>
  <c r="AB23"/>
  <c r="AC23"/>
  <c r="AD23"/>
  <c r="AE23"/>
  <c r="AF23"/>
  <c r="AG23"/>
  <c r="AV23" s="1"/>
  <c r="AH23"/>
  <c r="AI23"/>
  <c r="AL23"/>
  <c r="AM23"/>
  <c r="AX23" s="1"/>
  <c r="AN23"/>
  <c r="AO23"/>
  <c r="AW23"/>
  <c r="AY23"/>
  <c r="BA23"/>
  <c r="BB23"/>
  <c r="BC23"/>
  <c r="BE23"/>
  <c r="BG23"/>
  <c r="BH23"/>
  <c r="BJ23"/>
  <c r="BK23"/>
  <c r="BL23"/>
  <c r="BM23"/>
  <c r="BN23"/>
  <c r="BP23"/>
  <c r="BQ23"/>
  <c r="BR23"/>
  <c r="BS23"/>
  <c r="BT23"/>
  <c r="BU23"/>
  <c r="BV23"/>
  <c r="BW23"/>
  <c r="BX23"/>
  <c r="BY23"/>
  <c r="CB23" s="1"/>
  <c r="BZ23"/>
  <c r="CA23"/>
  <c r="CC23"/>
  <c r="CD23"/>
  <c r="CF23"/>
  <c r="CG23"/>
  <c r="CH23"/>
  <c r="CI23"/>
  <c r="CJ23"/>
  <c r="CK23"/>
  <c r="CL23"/>
  <c r="CN23"/>
  <c r="CO23"/>
  <c r="CP23"/>
  <c r="CQ23"/>
  <c r="CS23"/>
  <c r="CT23"/>
  <c r="CU23"/>
  <c r="CW23"/>
  <c r="DF23"/>
  <c r="DG23"/>
  <c r="DH23"/>
  <c r="DI23"/>
  <c r="DJ23"/>
  <c r="DK23"/>
  <c r="DL23"/>
  <c r="CX23" s="1"/>
  <c r="DM23"/>
  <c r="DN23"/>
  <c r="DO23"/>
  <c r="DP23"/>
  <c r="DQ23"/>
  <c r="DR23"/>
  <c r="DS23"/>
  <c r="DT23"/>
  <c r="DU23"/>
  <c r="DV23"/>
  <c r="DW23"/>
  <c r="DX23"/>
  <c r="DY23"/>
  <c r="DZ23"/>
  <c r="EA23"/>
  <c r="EB23"/>
  <c r="EC23"/>
  <c r="ED23"/>
  <c r="EE23"/>
  <c r="EF23"/>
  <c r="EG23"/>
  <c r="EH23"/>
  <c r="EI23"/>
  <c r="EJ23"/>
  <c r="EK23"/>
  <c r="B24"/>
  <c r="E24"/>
  <c r="K24"/>
  <c r="L24"/>
  <c r="M24"/>
  <c r="N24"/>
  <c r="O24"/>
  <c r="P24"/>
  <c r="Q24"/>
  <c r="R24"/>
  <c r="S24"/>
  <c r="T24"/>
  <c r="U24"/>
  <c r="AR24" s="1"/>
  <c r="V24"/>
  <c r="W24"/>
  <c r="X24"/>
  <c r="Y24"/>
  <c r="Z24"/>
  <c r="AA24"/>
  <c r="AT24" s="1"/>
  <c r="AB24"/>
  <c r="AC24"/>
  <c r="AD24"/>
  <c r="AE24"/>
  <c r="AF24"/>
  <c r="AG24"/>
  <c r="AV24" s="1"/>
  <c r="AH24"/>
  <c r="AI24"/>
  <c r="AW24" s="1"/>
  <c r="AL24"/>
  <c r="AM24"/>
  <c r="AX24" s="1"/>
  <c r="AN24"/>
  <c r="AP24"/>
  <c r="AY24"/>
  <c r="BA24"/>
  <c r="BB24"/>
  <c r="BC24"/>
  <c r="BE24"/>
  <c r="BG24"/>
  <c r="BH24"/>
  <c r="BJ24"/>
  <c r="BK24"/>
  <c r="BL24"/>
  <c r="BM24"/>
  <c r="BN24"/>
  <c r="BP24"/>
  <c r="BQ24"/>
  <c r="BR24"/>
  <c r="BS24"/>
  <c r="BT24"/>
  <c r="BU24"/>
  <c r="BV24"/>
  <c r="BW24"/>
  <c r="BX24"/>
  <c r="BY24"/>
  <c r="BZ24"/>
  <c r="CA24"/>
  <c r="CC24"/>
  <c r="CD24"/>
  <c r="CF24"/>
  <c r="CE24" s="1"/>
  <c r="CG24"/>
  <c r="CH24"/>
  <c r="CI24"/>
  <c r="CJ24"/>
  <c r="CK24"/>
  <c r="CL24"/>
  <c r="CN24"/>
  <c r="CO24"/>
  <c r="CP24"/>
  <c r="CQ24"/>
  <c r="CS24"/>
  <c r="CT24"/>
  <c r="CU24"/>
  <c r="CW24"/>
  <c r="DF24"/>
  <c r="DG24"/>
  <c r="DH24"/>
  <c r="DI24"/>
  <c r="DJ24"/>
  <c r="DK24"/>
  <c r="DL24"/>
  <c r="CX24" s="1"/>
  <c r="DM24"/>
  <c r="DN24"/>
  <c r="DO24"/>
  <c r="DP24"/>
  <c r="DQ24"/>
  <c r="DR24"/>
  <c r="DS24"/>
  <c r="DT24"/>
  <c r="DU24"/>
  <c r="DV24"/>
  <c r="DW24"/>
  <c r="DX24"/>
  <c r="DY24"/>
  <c r="DZ24"/>
  <c r="EA24"/>
  <c r="EB24"/>
  <c r="EC24"/>
  <c r="ED24"/>
  <c r="EE24"/>
  <c r="EF24"/>
  <c r="EG24"/>
  <c r="EH24"/>
  <c r="EI24"/>
  <c r="EJ24"/>
  <c r="EK24"/>
  <c r="B25"/>
  <c r="E25"/>
  <c r="K25"/>
  <c r="L25"/>
  <c r="AO25" s="1"/>
  <c r="M25"/>
  <c r="N25"/>
  <c r="O25"/>
  <c r="P25"/>
  <c r="Q25"/>
  <c r="R25"/>
  <c r="AQ25" s="1"/>
  <c r="S25"/>
  <c r="T25"/>
  <c r="U25"/>
  <c r="V25"/>
  <c r="W25"/>
  <c r="X25"/>
  <c r="AS25" s="1"/>
  <c r="Y25"/>
  <c r="Z25"/>
  <c r="AA25"/>
  <c r="AB25"/>
  <c r="AC25"/>
  <c r="AD25"/>
  <c r="AU25" s="1"/>
  <c r="AE25"/>
  <c r="AF25"/>
  <c r="AG25"/>
  <c r="AH25"/>
  <c r="AI25"/>
  <c r="AL25"/>
  <c r="AM25"/>
  <c r="AN25"/>
  <c r="AW25"/>
  <c r="AY25"/>
  <c r="BA25"/>
  <c r="BB25"/>
  <c r="BC25"/>
  <c r="BE25"/>
  <c r="BG25"/>
  <c r="BH25"/>
  <c r="BJ25"/>
  <c r="BK25"/>
  <c r="BL25"/>
  <c r="BM25"/>
  <c r="BN25"/>
  <c r="BP25"/>
  <c r="BQ25"/>
  <c r="BR25"/>
  <c r="BS25"/>
  <c r="BT25"/>
  <c r="BU25"/>
  <c r="BV25"/>
  <c r="BW25"/>
  <c r="BX25"/>
  <c r="BY25"/>
  <c r="BZ25"/>
  <c r="CA25"/>
  <c r="CB25"/>
  <c r="CC25"/>
  <c r="CD25"/>
  <c r="CM25" s="1"/>
  <c r="CF25"/>
  <c r="CG25"/>
  <c r="CH25"/>
  <c r="CI25"/>
  <c r="CJ25"/>
  <c r="CK25"/>
  <c r="CL25"/>
  <c r="CN25"/>
  <c r="CO25"/>
  <c r="CP25"/>
  <c r="CQ25"/>
  <c r="CR25"/>
  <c r="CS25"/>
  <c r="CT25"/>
  <c r="CU25"/>
  <c r="CV25"/>
  <c r="CW25"/>
  <c r="DF25"/>
  <c r="DG25"/>
  <c r="DH25"/>
  <c r="DI25"/>
  <c r="DJ25"/>
  <c r="DK25"/>
  <c r="DL25"/>
  <c r="CX25" s="1"/>
  <c r="DM25"/>
  <c r="DN25"/>
  <c r="DO25"/>
  <c r="DP25"/>
  <c r="DQ25"/>
  <c r="DR25"/>
  <c r="DS25"/>
  <c r="DT25"/>
  <c r="DU25"/>
  <c r="DV25"/>
  <c r="DW25"/>
  <c r="DX25"/>
  <c r="DY25"/>
  <c r="DZ25"/>
  <c r="EA25"/>
  <c r="EB25"/>
  <c r="EC25"/>
  <c r="ED25"/>
  <c r="EE25"/>
  <c r="EF25"/>
  <c r="EG25"/>
  <c r="EH25"/>
  <c r="EI25"/>
  <c r="EJ25"/>
  <c r="EK25"/>
  <c r="B26"/>
  <c r="E26"/>
  <c r="K26"/>
  <c r="L26"/>
  <c r="M26"/>
  <c r="N26"/>
  <c r="O26"/>
  <c r="P26"/>
  <c r="Q26"/>
  <c r="R26"/>
  <c r="S26"/>
  <c r="T26"/>
  <c r="U26"/>
  <c r="V26"/>
  <c r="W26"/>
  <c r="X26"/>
  <c r="Y26"/>
  <c r="Z26"/>
  <c r="AA26"/>
  <c r="AB26"/>
  <c r="AC26"/>
  <c r="AD26"/>
  <c r="AE26"/>
  <c r="AF26"/>
  <c r="AG26"/>
  <c r="AV26" s="1"/>
  <c r="AH26"/>
  <c r="AI26"/>
  <c r="AL26"/>
  <c r="AM26"/>
  <c r="AX26" s="1"/>
  <c r="AN26"/>
  <c r="AR26"/>
  <c r="AW26"/>
  <c r="AY26"/>
  <c r="BA26"/>
  <c r="BB26"/>
  <c r="BC26"/>
  <c r="BE26"/>
  <c r="BG26"/>
  <c r="BH26"/>
  <c r="BJ26"/>
  <c r="BK26"/>
  <c r="BL26"/>
  <c r="BM26"/>
  <c r="BN26"/>
  <c r="BP26"/>
  <c r="BQ26"/>
  <c r="BR26"/>
  <c r="BS26"/>
  <c r="BT26"/>
  <c r="BU26"/>
  <c r="BV26"/>
  <c r="BW26"/>
  <c r="BX26"/>
  <c r="BY26"/>
  <c r="BZ26"/>
  <c r="CA26"/>
  <c r="CC26"/>
  <c r="CD26"/>
  <c r="CE26"/>
  <c r="CF26"/>
  <c r="CG26"/>
  <c r="CH26"/>
  <c r="CI26"/>
  <c r="CJ26"/>
  <c r="CK26"/>
  <c r="CL26"/>
  <c r="CM26"/>
  <c r="CN26"/>
  <c r="CO26"/>
  <c r="CR26" s="1"/>
  <c r="CP26"/>
  <c r="CQ26"/>
  <c r="CS26"/>
  <c r="CT26"/>
  <c r="CU26"/>
  <c r="CW26"/>
  <c r="DE26"/>
  <c r="DF26"/>
  <c r="DG26"/>
  <c r="DH26"/>
  <c r="DI26"/>
  <c r="DJ26"/>
  <c r="DK26"/>
  <c r="DL26"/>
  <c r="CX26" s="1"/>
  <c r="DM26"/>
  <c r="DN26"/>
  <c r="DO26"/>
  <c r="DP26"/>
  <c r="DQ26"/>
  <c r="DR26"/>
  <c r="DS26"/>
  <c r="DT26"/>
  <c r="DU26"/>
  <c r="DV26"/>
  <c r="DW26"/>
  <c r="DX26"/>
  <c r="DY26"/>
  <c r="DZ26"/>
  <c r="EA26"/>
  <c r="EB26"/>
  <c r="EC26"/>
  <c r="ED26"/>
  <c r="EE26"/>
  <c r="EF26"/>
  <c r="EG26"/>
  <c r="EH26"/>
  <c r="EI26"/>
  <c r="EJ26"/>
  <c r="EK26"/>
  <c r="B27"/>
  <c r="E27"/>
  <c r="I27"/>
  <c r="K27"/>
  <c r="L27"/>
  <c r="AO27" s="1"/>
  <c r="M27"/>
  <c r="N27"/>
  <c r="O27"/>
  <c r="P27"/>
  <c r="Q27"/>
  <c r="R27"/>
  <c r="S27"/>
  <c r="T27"/>
  <c r="U27"/>
  <c r="V27"/>
  <c r="W27"/>
  <c r="X27"/>
  <c r="Y27"/>
  <c r="Z27"/>
  <c r="AA27"/>
  <c r="AB27"/>
  <c r="AC27"/>
  <c r="AD27"/>
  <c r="AE27"/>
  <c r="AF27"/>
  <c r="AG27"/>
  <c r="AH27"/>
  <c r="AI27"/>
  <c r="AL27"/>
  <c r="AM27"/>
  <c r="AN27"/>
  <c r="AS27"/>
  <c r="AW27"/>
  <c r="AY27"/>
  <c r="BA27"/>
  <c r="BB27"/>
  <c r="BC27"/>
  <c r="BE27"/>
  <c r="BG27"/>
  <c r="BH27"/>
  <c r="BJ27"/>
  <c r="BK27"/>
  <c r="BL27"/>
  <c r="BM27"/>
  <c r="BN27"/>
  <c r="BP27"/>
  <c r="BQ27"/>
  <c r="BR27"/>
  <c r="BS27"/>
  <c r="BT27"/>
  <c r="BU27"/>
  <c r="BV27"/>
  <c r="BW27"/>
  <c r="BX27"/>
  <c r="BY27"/>
  <c r="BZ27"/>
  <c r="CA27"/>
  <c r="CC27"/>
  <c r="CD27"/>
  <c r="CF27"/>
  <c r="CE27" s="1"/>
  <c r="CG27"/>
  <c r="CH27"/>
  <c r="CI27"/>
  <c r="CJ27"/>
  <c r="CK27"/>
  <c r="CL27"/>
  <c r="CN27"/>
  <c r="CO27"/>
  <c r="CR27" s="1"/>
  <c r="CP27"/>
  <c r="CQ27"/>
  <c r="CS27"/>
  <c r="CT27"/>
  <c r="CU27"/>
  <c r="CW27"/>
  <c r="DF27"/>
  <c r="DG27"/>
  <c r="DH27"/>
  <c r="DI27"/>
  <c r="DJ27"/>
  <c r="DK27"/>
  <c r="DL27"/>
  <c r="CX27" s="1"/>
  <c r="DM27"/>
  <c r="DN27"/>
  <c r="DO27"/>
  <c r="DP27"/>
  <c r="DQ27"/>
  <c r="DR27"/>
  <c r="DS27"/>
  <c r="DT27"/>
  <c r="DU27"/>
  <c r="DV27"/>
  <c r="DW27"/>
  <c r="DX27"/>
  <c r="DY27"/>
  <c r="DZ27"/>
  <c r="EA27"/>
  <c r="EB27"/>
  <c r="EC27"/>
  <c r="ED27"/>
  <c r="EE27"/>
  <c r="EF27"/>
  <c r="EG27"/>
  <c r="EH27"/>
  <c r="EI27"/>
  <c r="EJ27"/>
  <c r="EK27"/>
  <c r="B28"/>
  <c r="E28"/>
  <c r="I28"/>
  <c r="I29" s="1"/>
  <c r="K28"/>
  <c r="L28"/>
  <c r="M28"/>
  <c r="N28"/>
  <c r="O28"/>
  <c r="P28"/>
  <c r="Q28"/>
  <c r="R28"/>
  <c r="S28"/>
  <c r="T28"/>
  <c r="U28"/>
  <c r="V28"/>
  <c r="W28"/>
  <c r="X28"/>
  <c r="Y28"/>
  <c r="Z28"/>
  <c r="AA28"/>
  <c r="AB28"/>
  <c r="AC28"/>
  <c r="AD28"/>
  <c r="AE28"/>
  <c r="AF28"/>
  <c r="AG28"/>
  <c r="AH28"/>
  <c r="AI28"/>
  <c r="AL28"/>
  <c r="AM28"/>
  <c r="AN28"/>
  <c r="AR28"/>
  <c r="AV28"/>
  <c r="AW28"/>
  <c r="AX28"/>
  <c r="AY28"/>
  <c r="BA28"/>
  <c r="BB28"/>
  <c r="BC28"/>
  <c r="BE28"/>
  <c r="BG28"/>
  <c r="BH28"/>
  <c r="BJ28"/>
  <c r="BK28"/>
  <c r="BL28"/>
  <c r="BM28"/>
  <c r="BN28"/>
  <c r="BP28"/>
  <c r="BQ28"/>
  <c r="BR28"/>
  <c r="BS28"/>
  <c r="BT28"/>
  <c r="BU28"/>
  <c r="BV28"/>
  <c r="BW28"/>
  <c r="BX28"/>
  <c r="BY28"/>
  <c r="BZ28"/>
  <c r="CA28"/>
  <c r="CC28"/>
  <c r="CD28"/>
  <c r="CF28"/>
  <c r="CE28" s="1"/>
  <c r="CG28"/>
  <c r="CH28"/>
  <c r="CI28"/>
  <c r="CJ28"/>
  <c r="CK28"/>
  <c r="CL28"/>
  <c r="CN28"/>
  <c r="CO28"/>
  <c r="CP28"/>
  <c r="CQ28"/>
  <c r="CS28"/>
  <c r="CT28"/>
  <c r="CU28"/>
  <c r="CW28"/>
  <c r="DF28"/>
  <c r="DG28"/>
  <c r="DH28"/>
  <c r="DI28"/>
  <c r="DJ28"/>
  <c r="DK28"/>
  <c r="DL28"/>
  <c r="DM28"/>
  <c r="DN28"/>
  <c r="DO28"/>
  <c r="DP28"/>
  <c r="DQ28"/>
  <c r="DR28"/>
  <c r="DS28"/>
  <c r="DT28"/>
  <c r="DU28"/>
  <c r="DV28"/>
  <c r="DW28"/>
  <c r="DX28"/>
  <c r="DY28"/>
  <c r="DZ28"/>
  <c r="EA28"/>
  <c r="EB28"/>
  <c r="EC28"/>
  <c r="ED28"/>
  <c r="EE28"/>
  <c r="EF28"/>
  <c r="EG28"/>
  <c r="EH28"/>
  <c r="EI28"/>
  <c r="EJ28"/>
  <c r="EK28"/>
  <c r="B29"/>
  <c r="E29"/>
  <c r="F29"/>
  <c r="H29"/>
  <c r="J29"/>
  <c r="K29"/>
  <c r="L29"/>
  <c r="AO29" s="1"/>
  <c r="M29"/>
  <c r="N29"/>
  <c r="O29"/>
  <c r="P29"/>
  <c r="Q29"/>
  <c r="R29"/>
  <c r="AQ29" s="1"/>
  <c r="S29"/>
  <c r="T29"/>
  <c r="U29"/>
  <c r="V29"/>
  <c r="W29"/>
  <c r="X29"/>
  <c r="AS29" s="1"/>
  <c r="Y29"/>
  <c r="Z29"/>
  <c r="AA29"/>
  <c r="AB29"/>
  <c r="AC29"/>
  <c r="AD29"/>
  <c r="AE29"/>
  <c r="AF29"/>
  <c r="AG29"/>
  <c r="AH29"/>
  <c r="AI29"/>
  <c r="AL29"/>
  <c r="AM29"/>
  <c r="AN29"/>
  <c r="AW29"/>
  <c r="AY29"/>
  <c r="BA29"/>
  <c r="BB29"/>
  <c r="BC29"/>
  <c r="BE29"/>
  <c r="BG29"/>
  <c r="BH29"/>
  <c r="BJ29"/>
  <c r="BK29"/>
  <c r="BL29"/>
  <c r="BM29"/>
  <c r="BN29"/>
  <c r="BP29"/>
  <c r="BQ29"/>
  <c r="BR29"/>
  <c r="BS29"/>
  <c r="BT29"/>
  <c r="BU29"/>
  <c r="BV29"/>
  <c r="BW29"/>
  <c r="BX29"/>
  <c r="BY29"/>
  <c r="CB29" s="1"/>
  <c r="BZ29"/>
  <c r="CA29"/>
  <c r="CC29"/>
  <c r="CD29"/>
  <c r="CF29"/>
  <c r="CG29"/>
  <c r="CH29"/>
  <c r="CI29"/>
  <c r="CJ29"/>
  <c r="CK29"/>
  <c r="CL29"/>
  <c r="CN29"/>
  <c r="CO29"/>
  <c r="CP29"/>
  <c r="CQ29"/>
  <c r="CS29"/>
  <c r="CT29"/>
  <c r="CU29"/>
  <c r="CW29"/>
  <c r="DF29"/>
  <c r="DG29"/>
  <c r="DH29"/>
  <c r="DI29"/>
  <c r="DJ29"/>
  <c r="DK29"/>
  <c r="DL29"/>
  <c r="CX29" s="1"/>
  <c r="DM29"/>
  <c r="DN29"/>
  <c r="DO29"/>
  <c r="DP29"/>
  <c r="DQ29"/>
  <c r="DR29"/>
  <c r="DS29"/>
  <c r="DT29"/>
  <c r="DU29"/>
  <c r="DV29"/>
  <c r="DW29"/>
  <c r="DX29"/>
  <c r="DY29"/>
  <c r="DZ29"/>
  <c r="EA29"/>
  <c r="EB29"/>
  <c r="EC29"/>
  <c r="ED29"/>
  <c r="EE29"/>
  <c r="EF29"/>
  <c r="EG29"/>
  <c r="EH29"/>
  <c r="EI29"/>
  <c r="EJ29"/>
  <c r="EK29"/>
  <c r="B30"/>
  <c r="E30"/>
  <c r="F30"/>
  <c r="G30"/>
  <c r="H30"/>
  <c r="I30"/>
  <c r="J30"/>
  <c r="K30"/>
  <c r="L30"/>
  <c r="M30"/>
  <c r="N30"/>
  <c r="AP30" s="1"/>
  <c r="O30"/>
  <c r="P30"/>
  <c r="Q30"/>
  <c r="R30"/>
  <c r="S30"/>
  <c r="T30"/>
  <c r="U30"/>
  <c r="V30"/>
  <c r="W30"/>
  <c r="X30"/>
  <c r="Y30"/>
  <c r="Z30"/>
  <c r="AA30"/>
  <c r="AB30"/>
  <c r="AC30"/>
  <c r="AD30"/>
  <c r="AE30"/>
  <c r="AF30"/>
  <c r="AG30"/>
  <c r="AH30"/>
  <c r="AI30"/>
  <c r="AL30"/>
  <c r="AM30"/>
  <c r="AN30"/>
  <c r="AT30"/>
  <c r="AW30"/>
  <c r="AY30"/>
  <c r="BA30"/>
  <c r="BB30"/>
  <c r="AZ30" s="1"/>
  <c r="BC30"/>
  <c r="BE30"/>
  <c r="BG30"/>
  <c r="BH30"/>
  <c r="BJ30"/>
  <c r="BK30"/>
  <c r="BL30"/>
  <c r="BM30"/>
  <c r="BN30"/>
  <c r="BO30"/>
  <c r="BP30"/>
  <c r="BQ30"/>
  <c r="BR30"/>
  <c r="BS30"/>
  <c r="BT30"/>
  <c r="BU30"/>
  <c r="BV30"/>
  <c r="BW30"/>
  <c r="BX30"/>
  <c r="BY30"/>
  <c r="CB30" s="1"/>
  <c r="BZ30"/>
  <c r="CA30"/>
  <c r="CC30"/>
  <c r="CD30"/>
  <c r="CM30" s="1"/>
  <c r="CF30"/>
  <c r="CG30"/>
  <c r="CH30"/>
  <c r="CI30"/>
  <c r="CJ30"/>
  <c r="CK30"/>
  <c r="CL30"/>
  <c r="CN30"/>
  <c r="CO30"/>
  <c r="CP30"/>
  <c r="CQ30"/>
  <c r="CS30"/>
  <c r="CT30"/>
  <c r="CU30"/>
  <c r="CW30"/>
  <c r="DF30"/>
  <c r="DG30"/>
  <c r="DH30"/>
  <c r="DI30"/>
  <c r="DJ30"/>
  <c r="DK30"/>
  <c r="DL30"/>
  <c r="DC30" s="1"/>
  <c r="DM30"/>
  <c r="DN30"/>
  <c r="DO30"/>
  <c r="DP30"/>
  <c r="DQ30"/>
  <c r="DR30"/>
  <c r="DS30"/>
  <c r="DT30"/>
  <c r="DU30"/>
  <c r="DV30"/>
  <c r="DW30"/>
  <c r="DX30"/>
  <c r="DY30"/>
  <c r="DZ30"/>
  <c r="EA30"/>
  <c r="EB30"/>
  <c r="EC30"/>
  <c r="ED30"/>
  <c r="EE30"/>
  <c r="EF30"/>
  <c r="EG30"/>
  <c r="EH30"/>
  <c r="EI30"/>
  <c r="EJ30"/>
  <c r="EK30"/>
  <c r="B31"/>
  <c r="E31"/>
  <c r="F3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G31"/>
  <c r="H31"/>
  <c r="H32" s="1"/>
  <c r="H33" s="1"/>
  <c r="H34" s="1"/>
  <c r="H35" s="1"/>
  <c r="H36" s="1"/>
  <c r="H37" s="1"/>
  <c r="H38" s="1"/>
  <c r="H39" s="1"/>
  <c r="H40" s="1"/>
  <c r="H41" s="1"/>
  <c r="H42" s="1"/>
  <c r="H43" s="1"/>
  <c r="H44" s="1"/>
  <c r="H45" s="1"/>
  <c r="H46" s="1"/>
  <c r="H47" s="1"/>
  <c r="H48" s="1"/>
  <c r="H49" s="1"/>
  <c r="H50" s="1"/>
  <c r="H51" s="1"/>
  <c r="H52" s="1"/>
  <c r="H53" s="1"/>
  <c r="H54" s="1"/>
  <c r="H55" s="1"/>
  <c r="H56" s="1"/>
  <c r="H57" s="1"/>
  <c r="H58" s="1"/>
  <c r="H59" s="1"/>
  <c r="H60" s="1"/>
  <c r="H61" s="1"/>
  <c r="H62" s="1"/>
  <c r="H63" s="1"/>
  <c r="I31"/>
  <c r="J31"/>
  <c r="J32" s="1"/>
  <c r="J33" s="1"/>
  <c r="J34" s="1"/>
  <c r="J35" s="1"/>
  <c r="J36" s="1"/>
  <c r="J37" s="1"/>
  <c r="J38" s="1"/>
  <c r="J39" s="1"/>
  <c r="J40" s="1"/>
  <c r="J41" s="1"/>
  <c r="J42" s="1"/>
  <c r="J43" s="1"/>
  <c r="J44" s="1"/>
  <c r="J45" s="1"/>
  <c r="J46" s="1"/>
  <c r="J47" s="1"/>
  <c r="J48" s="1"/>
  <c r="J49" s="1"/>
  <c r="J50" s="1"/>
  <c r="J51" s="1"/>
  <c r="J52" s="1"/>
  <c r="J53" s="1"/>
  <c r="J54" s="1"/>
  <c r="J55" s="1"/>
  <c r="J56" s="1"/>
  <c r="J57" s="1"/>
  <c r="J58" s="1"/>
  <c r="J59" s="1"/>
  <c r="J60" s="1"/>
  <c r="J61" s="1"/>
  <c r="J62" s="1"/>
  <c r="J63" s="1"/>
  <c r="K31"/>
  <c r="L31"/>
  <c r="AO31" s="1"/>
  <c r="M31"/>
  <c r="N31"/>
  <c r="O31"/>
  <c r="P31"/>
  <c r="Q31"/>
  <c r="R31"/>
  <c r="S31"/>
  <c r="T31"/>
  <c r="U31"/>
  <c r="V31"/>
  <c r="W31"/>
  <c r="X31"/>
  <c r="Y31"/>
  <c r="Z31"/>
  <c r="AA31"/>
  <c r="AB31"/>
  <c r="AC31"/>
  <c r="AD31"/>
  <c r="AE31"/>
  <c r="AF31"/>
  <c r="AG31"/>
  <c r="AH31"/>
  <c r="AI31"/>
  <c r="AL31"/>
  <c r="AM31"/>
  <c r="AN31"/>
  <c r="AS31"/>
  <c r="AW31"/>
  <c r="AY31"/>
  <c r="BA31"/>
  <c r="BB31"/>
  <c r="BC31"/>
  <c r="BE31"/>
  <c r="BG31"/>
  <c r="BH31"/>
  <c r="BJ31"/>
  <c r="BK31"/>
  <c r="BL31"/>
  <c r="BM31"/>
  <c r="BN31"/>
  <c r="BP31"/>
  <c r="BQ31"/>
  <c r="BR31"/>
  <c r="BS31"/>
  <c r="BT31"/>
  <c r="BU31"/>
  <c r="BV31"/>
  <c r="BW31"/>
  <c r="BX31"/>
  <c r="BY31"/>
  <c r="BZ31"/>
  <c r="CA31"/>
  <c r="CC31"/>
  <c r="CD31"/>
  <c r="CF31"/>
  <c r="CE31" s="1"/>
  <c r="CG31"/>
  <c r="CH31"/>
  <c r="CI31"/>
  <c r="CJ31"/>
  <c r="CK31"/>
  <c r="CL31"/>
  <c r="CN31"/>
  <c r="CO31"/>
  <c r="CR31" s="1"/>
  <c r="CP31"/>
  <c r="CQ31"/>
  <c r="CS31"/>
  <c r="CT31"/>
  <c r="CU31"/>
  <c r="CW31"/>
  <c r="DF31"/>
  <c r="DG31"/>
  <c r="DH31"/>
  <c r="DI31"/>
  <c r="DJ31"/>
  <c r="DK31"/>
  <c r="DL31"/>
  <c r="CX31" s="1"/>
  <c r="DM31"/>
  <c r="DN31"/>
  <c r="DO31"/>
  <c r="DP31"/>
  <c r="DQ31"/>
  <c r="DR31"/>
  <c r="DS31"/>
  <c r="DT31"/>
  <c r="DU31"/>
  <c r="DV31"/>
  <c r="DW31"/>
  <c r="DX31"/>
  <c r="DY31"/>
  <c r="DZ31"/>
  <c r="EA31"/>
  <c r="EB31"/>
  <c r="EC31"/>
  <c r="ED31"/>
  <c r="EE31"/>
  <c r="EF31"/>
  <c r="EG31"/>
  <c r="EH31"/>
  <c r="EI31"/>
  <c r="EJ31"/>
  <c r="EK31"/>
  <c r="B32"/>
  <c r="E32"/>
  <c r="G32"/>
  <c r="I32"/>
  <c r="K32"/>
  <c r="L32"/>
  <c r="M32"/>
  <c r="N32"/>
  <c r="O32"/>
  <c r="P32"/>
  <c r="Q32"/>
  <c r="R32"/>
  <c r="S32"/>
  <c r="T32"/>
  <c r="U32"/>
  <c r="AR32" s="1"/>
  <c r="V32"/>
  <c r="W32"/>
  <c r="X32"/>
  <c r="Y32"/>
  <c r="Z32"/>
  <c r="AA32"/>
  <c r="AT32" s="1"/>
  <c r="AB32"/>
  <c r="AC32"/>
  <c r="AD32"/>
  <c r="AE32"/>
  <c r="AF32"/>
  <c r="AG32"/>
  <c r="AV32" s="1"/>
  <c r="AH32"/>
  <c r="AI32"/>
  <c r="AL32"/>
  <c r="AM32"/>
  <c r="AX32" s="1"/>
  <c r="AN32"/>
  <c r="AP32"/>
  <c r="AW32"/>
  <c r="AY32"/>
  <c r="BA32"/>
  <c r="BB32"/>
  <c r="BC32"/>
  <c r="BE32"/>
  <c r="BG32"/>
  <c r="BH32"/>
  <c r="BJ32"/>
  <c r="BO32" s="1"/>
  <c r="BK32"/>
  <c r="BL32"/>
  <c r="BM32"/>
  <c r="BN32"/>
  <c r="BP32"/>
  <c r="BQ32"/>
  <c r="BR32"/>
  <c r="BS32"/>
  <c r="BT32"/>
  <c r="BU32"/>
  <c r="BV32"/>
  <c r="BW32"/>
  <c r="BX32"/>
  <c r="BY32"/>
  <c r="BZ32"/>
  <c r="CA32"/>
  <c r="CC32"/>
  <c r="CD32"/>
  <c r="CF32"/>
  <c r="CE32" s="1"/>
  <c r="CG32"/>
  <c r="CH32"/>
  <c r="CI32"/>
  <c r="CJ32"/>
  <c r="CK32"/>
  <c r="CL32"/>
  <c r="CN32"/>
  <c r="CO32"/>
  <c r="CP32"/>
  <c r="CQ32"/>
  <c r="CS32"/>
  <c r="CT32"/>
  <c r="CU32"/>
  <c r="CW32"/>
  <c r="DF32"/>
  <c r="DG32"/>
  <c r="DH32"/>
  <c r="DI32"/>
  <c r="DJ32"/>
  <c r="DK32"/>
  <c r="DL32"/>
  <c r="CX32" s="1"/>
  <c r="DM32"/>
  <c r="DN32"/>
  <c r="DO32"/>
  <c r="DP32"/>
  <c r="DQ32"/>
  <c r="DR32"/>
  <c r="DS32"/>
  <c r="DT32"/>
  <c r="DU32"/>
  <c r="DV32"/>
  <c r="DW32"/>
  <c r="DX32"/>
  <c r="DY32"/>
  <c r="DZ32"/>
  <c r="EA32"/>
  <c r="EB32"/>
  <c r="EC32"/>
  <c r="ED32"/>
  <c r="EE32"/>
  <c r="EF32"/>
  <c r="EG32"/>
  <c r="EH32"/>
  <c r="EI32"/>
  <c r="EJ32"/>
  <c r="EK32"/>
  <c r="B33"/>
  <c r="E33"/>
  <c r="G33"/>
  <c r="I33"/>
  <c r="K33"/>
  <c r="L33"/>
  <c r="M33"/>
  <c r="N33"/>
  <c r="O33"/>
  <c r="P33"/>
  <c r="Q33"/>
  <c r="R33"/>
  <c r="S33"/>
  <c r="T33"/>
  <c r="U33"/>
  <c r="V33"/>
  <c r="W33"/>
  <c r="X33"/>
  <c r="Y33"/>
  <c r="Z33"/>
  <c r="AA33"/>
  <c r="AB33"/>
  <c r="AC33"/>
  <c r="AU33" s="1"/>
  <c r="AD33"/>
  <c r="AE33"/>
  <c r="AF33"/>
  <c r="AG33"/>
  <c r="AH33"/>
  <c r="AI33"/>
  <c r="AL33"/>
  <c r="AM33"/>
  <c r="AN33"/>
  <c r="AQ33"/>
  <c r="AW33"/>
  <c r="AY33"/>
  <c r="BA33"/>
  <c r="BB33"/>
  <c r="BC33"/>
  <c r="BE33"/>
  <c r="BG33"/>
  <c r="BH33"/>
  <c r="BJ33"/>
  <c r="BK33"/>
  <c r="BL33"/>
  <c r="BM33"/>
  <c r="BN33"/>
  <c r="BP33"/>
  <c r="BQ33"/>
  <c r="BR33"/>
  <c r="BS33"/>
  <c r="BT33"/>
  <c r="BU33"/>
  <c r="BV33"/>
  <c r="BW33"/>
  <c r="BX33"/>
  <c r="BY33"/>
  <c r="CB33" s="1"/>
  <c r="BZ33"/>
  <c r="CA33"/>
  <c r="CC33"/>
  <c r="CD33"/>
  <c r="CF33"/>
  <c r="CG33"/>
  <c r="CH33"/>
  <c r="CI33"/>
  <c r="CJ33"/>
  <c r="CK33"/>
  <c r="CL33"/>
  <c r="CN33"/>
  <c r="CO33"/>
  <c r="CR33" s="1"/>
  <c r="CP33"/>
  <c r="CQ33"/>
  <c r="CS33"/>
  <c r="CV33" s="1"/>
  <c r="CT33"/>
  <c r="CU33"/>
  <c r="CW33"/>
  <c r="DF33"/>
  <c r="DG33"/>
  <c r="DH33"/>
  <c r="DI33"/>
  <c r="DJ33"/>
  <c r="DK33"/>
  <c r="DL33"/>
  <c r="CX33" s="1"/>
  <c r="DM33"/>
  <c r="DN33"/>
  <c r="DO33"/>
  <c r="DP33"/>
  <c r="DQ33"/>
  <c r="DR33"/>
  <c r="DS33"/>
  <c r="DT33"/>
  <c r="DU33"/>
  <c r="DV33"/>
  <c r="DW33"/>
  <c r="DX33"/>
  <c r="DY33"/>
  <c r="DZ33"/>
  <c r="EA33"/>
  <c r="EB33"/>
  <c r="EC33"/>
  <c r="ED33"/>
  <c r="EE33"/>
  <c r="EF33"/>
  <c r="EG33"/>
  <c r="EH33"/>
  <c r="EI33"/>
  <c r="EJ33"/>
  <c r="EK33"/>
  <c r="B34"/>
  <c r="E34"/>
  <c r="G34"/>
  <c r="I34"/>
  <c r="K34"/>
  <c r="L34"/>
  <c r="M34"/>
  <c r="N34"/>
  <c r="O34"/>
  <c r="P34"/>
  <c r="Q34"/>
  <c r="R34"/>
  <c r="S34"/>
  <c r="T34"/>
  <c r="U34"/>
  <c r="V34"/>
  <c r="W34"/>
  <c r="X34"/>
  <c r="Y34"/>
  <c r="Z34"/>
  <c r="AA34"/>
  <c r="AB34"/>
  <c r="AC34"/>
  <c r="AD34"/>
  <c r="AE34"/>
  <c r="AF34"/>
  <c r="AG34"/>
  <c r="AV34" s="1"/>
  <c r="AH34"/>
  <c r="AI34"/>
  <c r="AL34"/>
  <c r="AM34"/>
  <c r="AX34" s="1"/>
  <c r="AN34"/>
  <c r="AR34"/>
  <c r="AW34"/>
  <c r="AY34"/>
  <c r="BA34"/>
  <c r="BB34"/>
  <c r="BC34"/>
  <c r="BE34"/>
  <c r="BG34"/>
  <c r="BH34"/>
  <c r="BJ34"/>
  <c r="BK34"/>
  <c r="BL34"/>
  <c r="BM34"/>
  <c r="BN34"/>
  <c r="BP34"/>
  <c r="BQ34"/>
  <c r="BR34"/>
  <c r="BS34"/>
  <c r="BT34"/>
  <c r="BU34"/>
  <c r="BV34"/>
  <c r="BW34"/>
  <c r="BX34"/>
  <c r="BY34"/>
  <c r="BZ34"/>
  <c r="CA34"/>
  <c r="CC34"/>
  <c r="CD34"/>
  <c r="CE34"/>
  <c r="CF34"/>
  <c r="CG34"/>
  <c r="CH34"/>
  <c r="CI34"/>
  <c r="CJ34"/>
  <c r="CK34"/>
  <c r="CL34"/>
  <c r="CM34"/>
  <c r="CN34"/>
  <c r="CO34"/>
  <c r="CR34" s="1"/>
  <c r="CP34"/>
  <c r="CQ34"/>
  <c r="CS34"/>
  <c r="CT34"/>
  <c r="CU34"/>
  <c r="CW34"/>
  <c r="DE34"/>
  <c r="DF34"/>
  <c r="DG34"/>
  <c r="DH34"/>
  <c r="DI34"/>
  <c r="DJ34"/>
  <c r="DK34"/>
  <c r="DL34"/>
  <c r="CX34" s="1"/>
  <c r="DM34"/>
  <c r="DN34"/>
  <c r="DO34"/>
  <c r="DP34"/>
  <c r="DQ34"/>
  <c r="DR34"/>
  <c r="DS34"/>
  <c r="DT34"/>
  <c r="DU34"/>
  <c r="DV34"/>
  <c r="DW34"/>
  <c r="DX34"/>
  <c r="DY34"/>
  <c r="DZ34"/>
  <c r="EA34"/>
  <c r="EB34"/>
  <c r="EC34"/>
  <c r="ED34"/>
  <c r="EE34"/>
  <c r="EF34"/>
  <c r="EG34"/>
  <c r="EH34"/>
  <c r="EI34"/>
  <c r="EJ34"/>
  <c r="EK34"/>
  <c r="B35"/>
  <c r="E35"/>
  <c r="G35"/>
  <c r="G36" s="1"/>
  <c r="G37" s="1"/>
  <c r="G38" s="1"/>
  <c r="G39" s="1"/>
  <c r="G40" s="1"/>
  <c r="G41" s="1"/>
  <c r="G42" s="1"/>
  <c r="G43" s="1"/>
  <c r="G44" s="1"/>
  <c r="G45" s="1"/>
  <c r="G46" s="1"/>
  <c r="G47" s="1"/>
  <c r="G48" s="1"/>
  <c r="G49" s="1"/>
  <c r="G50" s="1"/>
  <c r="G51" s="1"/>
  <c r="G52" s="1"/>
  <c r="G53" s="1"/>
  <c r="G54" s="1"/>
  <c r="G55" s="1"/>
  <c r="G56" s="1"/>
  <c r="G57" s="1"/>
  <c r="G58" s="1"/>
  <c r="G59" s="1"/>
  <c r="G60" s="1"/>
  <c r="G61" s="1"/>
  <c r="G62" s="1"/>
  <c r="G63" s="1"/>
  <c r="G64" s="1"/>
  <c r="G65" s="1"/>
  <c r="G66" s="1"/>
  <c r="G67" s="1"/>
  <c r="G68" s="1"/>
  <c r="I35"/>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K35"/>
  <c r="L35"/>
  <c r="M35"/>
  <c r="N35"/>
  <c r="O35"/>
  <c r="AP35" s="1"/>
  <c r="P35"/>
  <c r="Q35"/>
  <c r="R35"/>
  <c r="S35"/>
  <c r="T35"/>
  <c r="U35"/>
  <c r="AR35" s="1"/>
  <c r="V35"/>
  <c r="W35"/>
  <c r="AS35" s="1"/>
  <c r="X35"/>
  <c r="Y35"/>
  <c r="Z35"/>
  <c r="AA35"/>
  <c r="AT35" s="1"/>
  <c r="AB35"/>
  <c r="AC35"/>
  <c r="AD35"/>
  <c r="AE35"/>
  <c r="AF35"/>
  <c r="AG35"/>
  <c r="AV35" s="1"/>
  <c r="AH35"/>
  <c r="AI35"/>
  <c r="AL35"/>
  <c r="AM35"/>
  <c r="AX35" s="1"/>
  <c r="AN35"/>
  <c r="AO35"/>
  <c r="AW35"/>
  <c r="AY35"/>
  <c r="BA35"/>
  <c r="BB35"/>
  <c r="BC35"/>
  <c r="BE35"/>
  <c r="BG35"/>
  <c r="BH35"/>
  <c r="BJ35"/>
  <c r="BK35"/>
  <c r="BL35"/>
  <c r="BM35"/>
  <c r="BN35"/>
  <c r="BP35"/>
  <c r="BQ35"/>
  <c r="BR35"/>
  <c r="BS35"/>
  <c r="BT35"/>
  <c r="BU35"/>
  <c r="BV35"/>
  <c r="BW35"/>
  <c r="BX35"/>
  <c r="BY35"/>
  <c r="CB35" s="1"/>
  <c r="BZ35"/>
  <c r="CA35"/>
  <c r="CC35"/>
  <c r="CD35"/>
  <c r="CF35"/>
  <c r="CG35"/>
  <c r="CH35"/>
  <c r="CI35"/>
  <c r="CJ35"/>
  <c r="CK35"/>
  <c r="CL35"/>
  <c r="CN35"/>
  <c r="CO35"/>
  <c r="CP35"/>
  <c r="CQ35"/>
  <c r="CS35"/>
  <c r="CT35"/>
  <c r="CU35"/>
  <c r="CW35"/>
  <c r="DF35"/>
  <c r="DG35"/>
  <c r="DH35"/>
  <c r="DI35"/>
  <c r="DJ35"/>
  <c r="DK35"/>
  <c r="DL35"/>
  <c r="CX35" s="1"/>
  <c r="DM35"/>
  <c r="DN35"/>
  <c r="DO35"/>
  <c r="DP35"/>
  <c r="DQ35"/>
  <c r="DR35"/>
  <c r="DS35"/>
  <c r="DT35"/>
  <c r="DU35"/>
  <c r="DV35"/>
  <c r="DW35"/>
  <c r="DX35"/>
  <c r="DY35"/>
  <c r="DZ35"/>
  <c r="EA35"/>
  <c r="EB35"/>
  <c r="EC35"/>
  <c r="ED35"/>
  <c r="EE35"/>
  <c r="EF35"/>
  <c r="EG35"/>
  <c r="EH35"/>
  <c r="EI35"/>
  <c r="EJ35"/>
  <c r="EK35"/>
  <c r="B36"/>
  <c r="E36"/>
  <c r="K36"/>
  <c r="L36"/>
  <c r="M36"/>
  <c r="N36"/>
  <c r="AP36" s="1"/>
  <c r="O36"/>
  <c r="P36"/>
  <c r="Q36"/>
  <c r="R36"/>
  <c r="S36"/>
  <c r="T36"/>
  <c r="U36"/>
  <c r="V36"/>
  <c r="W36"/>
  <c r="X36"/>
  <c r="Y36"/>
  <c r="Z36"/>
  <c r="AA36"/>
  <c r="AB36"/>
  <c r="AC36"/>
  <c r="AD36"/>
  <c r="AE36"/>
  <c r="AF36"/>
  <c r="AG36"/>
  <c r="AH36"/>
  <c r="AI36"/>
  <c r="AL36"/>
  <c r="AM36"/>
  <c r="AN36"/>
  <c r="AT36"/>
  <c r="AW36"/>
  <c r="AY36"/>
  <c r="BA36"/>
  <c r="BB36"/>
  <c r="AZ36" s="1"/>
  <c r="BC36"/>
  <c r="BE36"/>
  <c r="BG36"/>
  <c r="BH36"/>
  <c r="BJ36"/>
  <c r="BK36"/>
  <c r="BL36"/>
  <c r="BM36"/>
  <c r="BN36"/>
  <c r="BO36"/>
  <c r="BP36"/>
  <c r="BQ36"/>
  <c r="BR36"/>
  <c r="BS36"/>
  <c r="BT36"/>
  <c r="BU36"/>
  <c r="BV36"/>
  <c r="BW36"/>
  <c r="BX36"/>
  <c r="BY36"/>
  <c r="CB36" s="1"/>
  <c r="BZ36"/>
  <c r="CA36"/>
  <c r="CC36"/>
  <c r="CD36"/>
  <c r="CM36" s="1"/>
  <c r="CF36"/>
  <c r="CG36"/>
  <c r="CH36"/>
  <c r="CI36"/>
  <c r="CJ36"/>
  <c r="CK36"/>
  <c r="CL36"/>
  <c r="CN36"/>
  <c r="CO36"/>
  <c r="CP36"/>
  <c r="CQ36"/>
  <c r="CS36"/>
  <c r="CT36"/>
  <c r="CU36"/>
  <c r="CW36"/>
  <c r="DF36"/>
  <c r="DG36"/>
  <c r="DH36"/>
  <c r="DI36"/>
  <c r="DJ36"/>
  <c r="DK36"/>
  <c r="DL36"/>
  <c r="CX36" s="1"/>
  <c r="DM36"/>
  <c r="DN36"/>
  <c r="DO36"/>
  <c r="DP36"/>
  <c r="DQ36"/>
  <c r="DR36"/>
  <c r="DS36"/>
  <c r="DT36"/>
  <c r="DU36"/>
  <c r="DV36"/>
  <c r="DW36"/>
  <c r="DX36"/>
  <c r="DY36"/>
  <c r="DZ36"/>
  <c r="EA36"/>
  <c r="EB36"/>
  <c r="EC36"/>
  <c r="ED36"/>
  <c r="EE36"/>
  <c r="EF36"/>
  <c r="EG36"/>
  <c r="EH36"/>
  <c r="EI36"/>
  <c r="EJ36"/>
  <c r="EK36"/>
  <c r="B37"/>
  <c r="E37"/>
  <c r="K37"/>
  <c r="L37"/>
  <c r="AO37" s="1"/>
  <c r="M37"/>
  <c r="N37"/>
  <c r="O37"/>
  <c r="P37"/>
  <c r="Q37"/>
  <c r="R37"/>
  <c r="AQ37" s="1"/>
  <c r="S37"/>
  <c r="T37"/>
  <c r="U37"/>
  <c r="V37"/>
  <c r="W37"/>
  <c r="X37"/>
  <c r="AS37" s="1"/>
  <c r="Y37"/>
  <c r="Z37"/>
  <c r="AA37"/>
  <c r="AB37"/>
  <c r="AC37"/>
  <c r="AD37"/>
  <c r="AE37"/>
  <c r="AF37"/>
  <c r="AG37"/>
  <c r="AH37"/>
  <c r="AI37"/>
  <c r="AL37"/>
  <c r="AM37"/>
  <c r="AN37"/>
  <c r="AU37"/>
  <c r="AW37"/>
  <c r="AY37"/>
  <c r="BA37"/>
  <c r="BB37"/>
  <c r="BC37"/>
  <c r="BE37"/>
  <c r="BG37"/>
  <c r="BH37"/>
  <c r="BJ37"/>
  <c r="BK37"/>
  <c r="BL37"/>
  <c r="BM37"/>
  <c r="BN37"/>
  <c r="BP37"/>
  <c r="BQ37"/>
  <c r="BR37"/>
  <c r="BS37"/>
  <c r="BT37"/>
  <c r="BU37"/>
  <c r="BV37"/>
  <c r="BW37"/>
  <c r="BX37"/>
  <c r="BY37"/>
  <c r="BZ37"/>
  <c r="CA37"/>
  <c r="CB37"/>
  <c r="CC37"/>
  <c r="CD37"/>
  <c r="CM37" s="1"/>
  <c r="CF37"/>
  <c r="CG37"/>
  <c r="CH37"/>
  <c r="CI37"/>
  <c r="CJ37"/>
  <c r="CK37"/>
  <c r="CL37"/>
  <c r="CN37"/>
  <c r="CO37"/>
  <c r="CP37"/>
  <c r="CQ37"/>
  <c r="CR37"/>
  <c r="CS37"/>
  <c r="CT37"/>
  <c r="CU37"/>
  <c r="CV37"/>
  <c r="CW37"/>
  <c r="DF37"/>
  <c r="DG37"/>
  <c r="DH37"/>
  <c r="DI37"/>
  <c r="DJ37"/>
  <c r="DK37"/>
  <c r="DL37"/>
  <c r="CX37" s="1"/>
  <c r="DM37"/>
  <c r="DN37"/>
  <c r="DO37"/>
  <c r="DP37"/>
  <c r="DQ37"/>
  <c r="DR37"/>
  <c r="DS37"/>
  <c r="DT37"/>
  <c r="DU37"/>
  <c r="DV37"/>
  <c r="DW37"/>
  <c r="DX37"/>
  <c r="DY37"/>
  <c r="DZ37"/>
  <c r="EA37"/>
  <c r="EB37"/>
  <c r="EC37"/>
  <c r="ED37"/>
  <c r="EE37"/>
  <c r="EF37"/>
  <c r="EG37"/>
  <c r="EH37"/>
  <c r="EI37"/>
  <c r="EJ37"/>
  <c r="EK37"/>
  <c r="B38"/>
  <c r="E38"/>
  <c r="K38"/>
  <c r="L38"/>
  <c r="AO38" s="1"/>
  <c r="M38"/>
  <c r="N38"/>
  <c r="O38"/>
  <c r="P38"/>
  <c r="Q38"/>
  <c r="R38"/>
  <c r="AQ38" s="1"/>
  <c r="S38"/>
  <c r="T38"/>
  <c r="AR38" s="1"/>
  <c r="U38"/>
  <c r="V38"/>
  <c r="W38"/>
  <c r="X38"/>
  <c r="AS38" s="1"/>
  <c r="Y38"/>
  <c r="Z38"/>
  <c r="AA38"/>
  <c r="AB38"/>
  <c r="AC38"/>
  <c r="AD38"/>
  <c r="AU38" s="1"/>
  <c r="AE38"/>
  <c r="AF38"/>
  <c r="AG38"/>
  <c r="AH38"/>
  <c r="AI38"/>
  <c r="AL38"/>
  <c r="AM38"/>
  <c r="AN38"/>
  <c r="AV38"/>
  <c r="AW38"/>
  <c r="AX38"/>
  <c r="AY38"/>
  <c r="BA38"/>
  <c r="BB38"/>
  <c r="BC38"/>
  <c r="BE38"/>
  <c r="BG38"/>
  <c r="BH38"/>
  <c r="BJ38"/>
  <c r="BK38"/>
  <c r="BL38"/>
  <c r="BM38"/>
  <c r="BN38"/>
  <c r="BP38"/>
  <c r="BQ38"/>
  <c r="BR38"/>
  <c r="BS38"/>
  <c r="BT38"/>
  <c r="BU38"/>
  <c r="BV38"/>
  <c r="BW38"/>
  <c r="BX38"/>
  <c r="BY38"/>
  <c r="BZ38"/>
  <c r="CA38"/>
  <c r="CC38"/>
  <c r="CD38"/>
  <c r="CM38" s="1"/>
  <c r="CF38"/>
  <c r="CE38" s="1"/>
  <c r="CG38"/>
  <c r="CH38"/>
  <c r="CI38"/>
  <c r="CJ38"/>
  <c r="CK38"/>
  <c r="CL38"/>
  <c r="CN38"/>
  <c r="CO38"/>
  <c r="CP38"/>
  <c r="CQ38"/>
  <c r="CS38"/>
  <c r="CT38"/>
  <c r="CU38"/>
  <c r="CW38"/>
  <c r="DF38"/>
  <c r="DG38"/>
  <c r="DH38"/>
  <c r="DI38"/>
  <c r="DJ38"/>
  <c r="DK38"/>
  <c r="DL38"/>
  <c r="CX38" s="1"/>
  <c r="DM38"/>
  <c r="DN38"/>
  <c r="DO38"/>
  <c r="DP38"/>
  <c r="DQ38"/>
  <c r="DR38"/>
  <c r="DS38"/>
  <c r="DT38"/>
  <c r="DU38"/>
  <c r="DV38"/>
  <c r="DW38"/>
  <c r="DX38"/>
  <c r="DY38"/>
  <c r="DZ38"/>
  <c r="EA38"/>
  <c r="EB38"/>
  <c r="EC38"/>
  <c r="ED38"/>
  <c r="EE38"/>
  <c r="EF38"/>
  <c r="EG38"/>
  <c r="EH38"/>
  <c r="EI38"/>
  <c r="EJ38"/>
  <c r="EK38"/>
  <c r="B39"/>
  <c r="E39"/>
  <c r="K39"/>
  <c r="L39"/>
  <c r="M39"/>
  <c r="N39"/>
  <c r="O39"/>
  <c r="AP39" s="1"/>
  <c r="P39"/>
  <c r="Q39"/>
  <c r="R39"/>
  <c r="S39"/>
  <c r="T39"/>
  <c r="U39"/>
  <c r="AR39" s="1"/>
  <c r="V39"/>
  <c r="W39"/>
  <c r="AS39" s="1"/>
  <c r="X39"/>
  <c r="Y39"/>
  <c r="Z39"/>
  <c r="AA39"/>
  <c r="AT39" s="1"/>
  <c r="AB39"/>
  <c r="AC39"/>
  <c r="AD39"/>
  <c r="AE39"/>
  <c r="AF39"/>
  <c r="AG39"/>
  <c r="AV39" s="1"/>
  <c r="AH39"/>
  <c r="AI39"/>
  <c r="AL39"/>
  <c r="AM39"/>
  <c r="AX39" s="1"/>
  <c r="AN39"/>
  <c r="AO39"/>
  <c r="AW39"/>
  <c r="AY39"/>
  <c r="BA39"/>
  <c r="BB39"/>
  <c r="BC39"/>
  <c r="BE39"/>
  <c r="BG39"/>
  <c r="BH39"/>
  <c r="BJ39"/>
  <c r="BK39"/>
  <c r="BL39"/>
  <c r="BM39"/>
  <c r="BN39"/>
  <c r="BP39"/>
  <c r="BQ39"/>
  <c r="BR39"/>
  <c r="BS39"/>
  <c r="BT39"/>
  <c r="BU39"/>
  <c r="BV39"/>
  <c r="BW39"/>
  <c r="BX39"/>
  <c r="BY39"/>
  <c r="CB39" s="1"/>
  <c r="BZ39"/>
  <c r="CA39"/>
  <c r="CC39"/>
  <c r="CD39"/>
  <c r="CF39"/>
  <c r="CG39"/>
  <c r="CH39"/>
  <c r="CI39"/>
  <c r="CJ39"/>
  <c r="CK39"/>
  <c r="CL39"/>
  <c r="CN39"/>
  <c r="CO39"/>
  <c r="CP39"/>
  <c r="CQ39"/>
  <c r="CS39"/>
  <c r="CT39"/>
  <c r="CU39"/>
  <c r="CW39"/>
  <c r="DF39"/>
  <c r="DG39"/>
  <c r="DH39"/>
  <c r="DI39"/>
  <c r="DJ39"/>
  <c r="DK39"/>
  <c r="DL39"/>
  <c r="CX39" s="1"/>
  <c r="DM39"/>
  <c r="DN39"/>
  <c r="DO39"/>
  <c r="DP39"/>
  <c r="DQ39"/>
  <c r="DR39"/>
  <c r="DS39"/>
  <c r="DT39"/>
  <c r="DU39"/>
  <c r="DV39"/>
  <c r="DW39"/>
  <c r="DX39"/>
  <c r="DY39"/>
  <c r="DZ39"/>
  <c r="EA39"/>
  <c r="EB39"/>
  <c r="EC39"/>
  <c r="ED39"/>
  <c r="EE39"/>
  <c r="EF39"/>
  <c r="EG39"/>
  <c r="EH39"/>
  <c r="EI39"/>
  <c r="EJ39"/>
  <c r="EK39"/>
  <c r="B40"/>
  <c r="E40"/>
  <c r="K40"/>
  <c r="L40"/>
  <c r="M40"/>
  <c r="N40"/>
  <c r="O40"/>
  <c r="P40"/>
  <c r="Q40"/>
  <c r="R40"/>
  <c r="S40"/>
  <c r="T40"/>
  <c r="U40"/>
  <c r="AR40" s="1"/>
  <c r="V40"/>
  <c r="W40"/>
  <c r="X40"/>
  <c r="Y40"/>
  <c r="Z40"/>
  <c r="AA40"/>
  <c r="AT40" s="1"/>
  <c r="AB40"/>
  <c r="AC40"/>
  <c r="AD40"/>
  <c r="AE40"/>
  <c r="AF40"/>
  <c r="AG40"/>
  <c r="AV40" s="1"/>
  <c r="AH40"/>
  <c r="AI40"/>
  <c r="AL40"/>
  <c r="AM40"/>
  <c r="AX40" s="1"/>
  <c r="AN40"/>
  <c r="AP40"/>
  <c r="AW40"/>
  <c r="AY40"/>
  <c r="BA40"/>
  <c r="BB40"/>
  <c r="BC40"/>
  <c r="BE40"/>
  <c r="BG40"/>
  <c r="BH40"/>
  <c r="BJ40"/>
  <c r="BO40" s="1"/>
  <c r="BK40"/>
  <c r="BL40"/>
  <c r="BM40"/>
  <c r="BN40"/>
  <c r="BP40"/>
  <c r="BQ40"/>
  <c r="BR40"/>
  <c r="BS40"/>
  <c r="BT40"/>
  <c r="BU40"/>
  <c r="BV40"/>
  <c r="BW40"/>
  <c r="BX40"/>
  <c r="BY40"/>
  <c r="BZ40"/>
  <c r="CA40"/>
  <c r="CC40"/>
  <c r="CD40"/>
  <c r="CF40"/>
  <c r="CE40" s="1"/>
  <c r="CG40"/>
  <c r="CH40"/>
  <c r="CI40"/>
  <c r="CJ40"/>
  <c r="CK40"/>
  <c r="CL40"/>
  <c r="CN40"/>
  <c r="CO40"/>
  <c r="CP40"/>
  <c r="CQ40"/>
  <c r="CS40"/>
  <c r="CT40"/>
  <c r="CU40"/>
  <c r="CW40"/>
  <c r="DF40"/>
  <c r="DG40"/>
  <c r="DH40"/>
  <c r="DI40"/>
  <c r="DJ40"/>
  <c r="DK40"/>
  <c r="DL40"/>
  <c r="CX40" s="1"/>
  <c r="DM40"/>
  <c r="DN40"/>
  <c r="DO40"/>
  <c r="DP40"/>
  <c r="DQ40"/>
  <c r="DR40"/>
  <c r="DS40"/>
  <c r="DT40"/>
  <c r="DU40"/>
  <c r="DV40"/>
  <c r="DW40"/>
  <c r="DX40"/>
  <c r="DY40"/>
  <c r="DZ40"/>
  <c r="EA40"/>
  <c r="EB40"/>
  <c r="EC40"/>
  <c r="ED40"/>
  <c r="EE40"/>
  <c r="EF40"/>
  <c r="EG40"/>
  <c r="EH40"/>
  <c r="EI40"/>
  <c r="EJ40"/>
  <c r="EK40"/>
  <c r="B41"/>
  <c r="E41"/>
  <c r="K41"/>
  <c r="L41"/>
  <c r="AO41" s="1"/>
  <c r="M41"/>
  <c r="N41"/>
  <c r="O41"/>
  <c r="P41"/>
  <c r="Q41"/>
  <c r="R41"/>
  <c r="AQ41" s="1"/>
  <c r="S41"/>
  <c r="T41"/>
  <c r="U41"/>
  <c r="V41"/>
  <c r="W41"/>
  <c r="X41"/>
  <c r="AS41" s="1"/>
  <c r="Y41"/>
  <c r="Z41"/>
  <c r="AA41"/>
  <c r="AB41"/>
  <c r="AC41"/>
  <c r="AD41"/>
  <c r="AE41"/>
  <c r="AF41"/>
  <c r="AG41"/>
  <c r="AH41"/>
  <c r="AI41"/>
  <c r="AL41"/>
  <c r="AM41"/>
  <c r="AN41"/>
  <c r="AU41"/>
  <c r="AW41"/>
  <c r="AY41"/>
  <c r="BA41"/>
  <c r="BB41"/>
  <c r="BC41"/>
  <c r="BE41"/>
  <c r="BG41"/>
  <c r="BH41"/>
  <c r="BJ41"/>
  <c r="BK41"/>
  <c r="BL41"/>
  <c r="BM41"/>
  <c r="BN41"/>
  <c r="BP41"/>
  <c r="BQ41"/>
  <c r="BR41"/>
  <c r="BS41"/>
  <c r="BT41"/>
  <c r="BU41"/>
  <c r="BV41"/>
  <c r="BW41"/>
  <c r="BX41"/>
  <c r="BY41"/>
  <c r="BZ41"/>
  <c r="CA41"/>
  <c r="CB41"/>
  <c r="CC41"/>
  <c r="CD41"/>
  <c r="CM41" s="1"/>
  <c r="CF41"/>
  <c r="CG41"/>
  <c r="CH41"/>
  <c r="CI41"/>
  <c r="CJ41"/>
  <c r="CK41"/>
  <c r="CL41"/>
  <c r="CN41"/>
  <c r="CO41"/>
  <c r="CP41"/>
  <c r="CQ41"/>
  <c r="CR41"/>
  <c r="CS41"/>
  <c r="CT41"/>
  <c r="CU41"/>
  <c r="CV41"/>
  <c r="CW41"/>
  <c r="DF41"/>
  <c r="DG41"/>
  <c r="DH41"/>
  <c r="DI41"/>
  <c r="DJ41"/>
  <c r="DK41"/>
  <c r="DL41"/>
  <c r="CX41" s="1"/>
  <c r="DM41"/>
  <c r="DN41"/>
  <c r="DO41"/>
  <c r="DP41"/>
  <c r="DQ41"/>
  <c r="DR41"/>
  <c r="DS41"/>
  <c r="DT41"/>
  <c r="DU41"/>
  <c r="DV41"/>
  <c r="DW41"/>
  <c r="DX41"/>
  <c r="DY41"/>
  <c r="DZ41"/>
  <c r="EA41"/>
  <c r="EB41"/>
  <c r="EC41"/>
  <c r="ED41"/>
  <c r="EE41"/>
  <c r="EF41"/>
  <c r="EG41"/>
  <c r="EH41"/>
  <c r="EI41"/>
  <c r="EJ41"/>
  <c r="EK41"/>
  <c r="B42"/>
  <c r="E42"/>
  <c r="K42"/>
  <c r="L42"/>
  <c r="M42"/>
  <c r="N42"/>
  <c r="O42"/>
  <c r="P42"/>
  <c r="Q42"/>
  <c r="R42"/>
  <c r="S42"/>
  <c r="T42"/>
  <c r="U42"/>
  <c r="V42"/>
  <c r="W42"/>
  <c r="X42"/>
  <c r="Y42"/>
  <c r="Z42"/>
  <c r="AA42"/>
  <c r="AB42"/>
  <c r="AC42"/>
  <c r="AD42"/>
  <c r="AE42"/>
  <c r="AF42"/>
  <c r="AG42"/>
  <c r="AV42" s="1"/>
  <c r="AH42"/>
  <c r="AI42"/>
  <c r="AL42"/>
  <c r="AM42"/>
  <c r="AX42" s="1"/>
  <c r="AN42"/>
  <c r="AR42"/>
  <c r="AW42"/>
  <c r="AY42"/>
  <c r="BA42"/>
  <c r="BB42"/>
  <c r="BC42"/>
  <c r="BE42"/>
  <c r="BG42"/>
  <c r="BH42"/>
  <c r="BJ42"/>
  <c r="BK42"/>
  <c r="BL42"/>
  <c r="BM42"/>
  <c r="BN42"/>
  <c r="BP42"/>
  <c r="BQ42"/>
  <c r="BR42"/>
  <c r="BS42"/>
  <c r="BT42"/>
  <c r="BU42"/>
  <c r="BV42"/>
  <c r="BW42"/>
  <c r="BX42"/>
  <c r="BY42"/>
  <c r="BZ42"/>
  <c r="CA42"/>
  <c r="CC42"/>
  <c r="CD42"/>
  <c r="CE42"/>
  <c r="CF42"/>
  <c r="CG42"/>
  <c r="CH42"/>
  <c r="CI42"/>
  <c r="CJ42"/>
  <c r="CK42"/>
  <c r="CL42"/>
  <c r="CM42"/>
  <c r="CN42"/>
  <c r="CO42"/>
  <c r="CR42" s="1"/>
  <c r="CP42"/>
  <c r="CQ42"/>
  <c r="CS42"/>
  <c r="CT42"/>
  <c r="CU42"/>
  <c r="CW42"/>
  <c r="DE42"/>
  <c r="DF42"/>
  <c r="DG42"/>
  <c r="DH42"/>
  <c r="DI42"/>
  <c r="DJ42"/>
  <c r="DK42"/>
  <c r="DL42"/>
  <c r="CX42" s="1"/>
  <c r="DM42"/>
  <c r="DN42"/>
  <c r="DO42"/>
  <c r="DP42"/>
  <c r="DQ42"/>
  <c r="DR42"/>
  <c r="DS42"/>
  <c r="DT42"/>
  <c r="DU42"/>
  <c r="DV42"/>
  <c r="DW42"/>
  <c r="DX42"/>
  <c r="DY42"/>
  <c r="DZ42"/>
  <c r="EA42"/>
  <c r="EB42"/>
  <c r="EC42"/>
  <c r="ED42"/>
  <c r="EE42"/>
  <c r="EF42"/>
  <c r="EG42"/>
  <c r="EH42"/>
  <c r="EI42"/>
  <c r="EJ42"/>
  <c r="EK42"/>
  <c r="B43"/>
  <c r="E43"/>
  <c r="K43"/>
  <c r="L43"/>
  <c r="AO43" s="1"/>
  <c r="M43"/>
  <c r="N43"/>
  <c r="O43"/>
  <c r="P43"/>
  <c r="Q43"/>
  <c r="R43"/>
  <c r="S43"/>
  <c r="T43"/>
  <c r="U43"/>
  <c r="V43"/>
  <c r="W43"/>
  <c r="X43"/>
  <c r="Y43"/>
  <c r="Z43"/>
  <c r="AA43"/>
  <c r="AB43"/>
  <c r="AC43"/>
  <c r="AD43"/>
  <c r="AE43"/>
  <c r="AF43"/>
  <c r="AG43"/>
  <c r="AH43"/>
  <c r="AI43"/>
  <c r="AL43"/>
  <c r="AM43"/>
  <c r="AN43"/>
  <c r="AS43"/>
  <c r="AW43"/>
  <c r="AY43"/>
  <c r="BA43"/>
  <c r="BB43"/>
  <c r="BC43"/>
  <c r="BE43"/>
  <c r="BG43"/>
  <c r="BH43"/>
  <c r="BJ43"/>
  <c r="BK43"/>
  <c r="BL43"/>
  <c r="BM43"/>
  <c r="BN43"/>
  <c r="BP43"/>
  <c r="BQ43"/>
  <c r="BR43"/>
  <c r="BS43"/>
  <c r="BT43"/>
  <c r="BU43"/>
  <c r="BV43"/>
  <c r="BW43"/>
  <c r="BX43"/>
  <c r="BY43"/>
  <c r="BZ43"/>
  <c r="CA43"/>
  <c r="CC43"/>
  <c r="CD43"/>
  <c r="CF43"/>
  <c r="CE43" s="1"/>
  <c r="CG43"/>
  <c r="CH43"/>
  <c r="CI43"/>
  <c r="CJ43"/>
  <c r="CK43"/>
  <c r="CL43"/>
  <c r="CN43"/>
  <c r="CO43"/>
  <c r="CR43" s="1"/>
  <c r="CP43"/>
  <c r="CQ43"/>
  <c r="CS43"/>
  <c r="CT43"/>
  <c r="CU43"/>
  <c r="CW43"/>
  <c r="DF43"/>
  <c r="DG43"/>
  <c r="DH43"/>
  <c r="DI43"/>
  <c r="DJ43"/>
  <c r="DK43"/>
  <c r="DL43"/>
  <c r="CX43" s="1"/>
  <c r="DM43"/>
  <c r="DN43"/>
  <c r="DO43"/>
  <c r="DP43"/>
  <c r="DQ43"/>
  <c r="DR43"/>
  <c r="DS43"/>
  <c r="DT43"/>
  <c r="DU43"/>
  <c r="DV43"/>
  <c r="DW43"/>
  <c r="DX43"/>
  <c r="DY43"/>
  <c r="DZ43"/>
  <c r="EA43"/>
  <c r="EB43"/>
  <c r="EC43"/>
  <c r="ED43"/>
  <c r="EE43"/>
  <c r="EF43"/>
  <c r="EG43"/>
  <c r="EH43"/>
  <c r="EI43"/>
  <c r="EJ43"/>
  <c r="EK43"/>
  <c r="B44"/>
  <c r="E44"/>
  <c r="K44"/>
  <c r="L44"/>
  <c r="M44"/>
  <c r="N44"/>
  <c r="AP44" s="1"/>
  <c r="O44"/>
  <c r="P44"/>
  <c r="Q44"/>
  <c r="R44"/>
  <c r="S44"/>
  <c r="T44"/>
  <c r="U44"/>
  <c r="V44"/>
  <c r="W44"/>
  <c r="X44"/>
  <c r="Y44"/>
  <c r="Z44"/>
  <c r="AA44"/>
  <c r="AB44"/>
  <c r="AC44"/>
  <c r="AD44"/>
  <c r="AE44"/>
  <c r="AF44"/>
  <c r="AG44"/>
  <c r="AH44"/>
  <c r="AI44"/>
  <c r="AL44"/>
  <c r="AM44"/>
  <c r="AN44"/>
  <c r="AT44"/>
  <c r="AW44"/>
  <c r="AY44"/>
  <c r="BA44"/>
  <c r="BB44"/>
  <c r="AZ44" s="1"/>
  <c r="BC44"/>
  <c r="BE44"/>
  <c r="BG44"/>
  <c r="BH44"/>
  <c r="BJ44"/>
  <c r="BK44"/>
  <c r="BL44"/>
  <c r="BM44"/>
  <c r="BN44"/>
  <c r="BO44"/>
  <c r="BP44"/>
  <c r="BQ44"/>
  <c r="BR44"/>
  <c r="BS44"/>
  <c r="BT44"/>
  <c r="BU44"/>
  <c r="BV44"/>
  <c r="BW44"/>
  <c r="BX44"/>
  <c r="BY44"/>
  <c r="CB44" s="1"/>
  <c r="BZ44"/>
  <c r="CA44"/>
  <c r="CC44"/>
  <c r="CD44"/>
  <c r="CM44" s="1"/>
  <c r="CF44"/>
  <c r="CG44"/>
  <c r="CH44"/>
  <c r="CI44"/>
  <c r="CJ44"/>
  <c r="CK44"/>
  <c r="CL44"/>
  <c r="CN44"/>
  <c r="CO44"/>
  <c r="CP44"/>
  <c r="CQ44"/>
  <c r="CS44"/>
  <c r="CT44"/>
  <c r="CU44"/>
  <c r="CW44"/>
  <c r="DF44"/>
  <c r="DG44"/>
  <c r="DH44"/>
  <c r="DI44"/>
  <c r="DJ44"/>
  <c r="DK44"/>
  <c r="DL44"/>
  <c r="CX44" s="1"/>
  <c r="DM44"/>
  <c r="DN44"/>
  <c r="DO44"/>
  <c r="DP44"/>
  <c r="DQ44"/>
  <c r="DR44"/>
  <c r="DS44"/>
  <c r="DT44"/>
  <c r="DU44"/>
  <c r="DV44"/>
  <c r="DW44"/>
  <c r="DX44"/>
  <c r="DY44"/>
  <c r="DZ44"/>
  <c r="EA44"/>
  <c r="EB44"/>
  <c r="EC44"/>
  <c r="ED44"/>
  <c r="EE44"/>
  <c r="EF44"/>
  <c r="EG44"/>
  <c r="EH44"/>
  <c r="EI44"/>
  <c r="EJ44"/>
  <c r="EK44"/>
  <c r="B45"/>
  <c r="E45"/>
  <c r="K45"/>
  <c r="L45"/>
  <c r="M45"/>
  <c r="N45"/>
  <c r="O45"/>
  <c r="P45"/>
  <c r="Q45"/>
  <c r="R45"/>
  <c r="S45"/>
  <c r="T45"/>
  <c r="U45"/>
  <c r="V45"/>
  <c r="W45"/>
  <c r="X45"/>
  <c r="Y45"/>
  <c r="Z45"/>
  <c r="AA45"/>
  <c r="AB45"/>
  <c r="AC45"/>
  <c r="AU45" s="1"/>
  <c r="AD45"/>
  <c r="AE45"/>
  <c r="AF45"/>
  <c r="AG45"/>
  <c r="AH45"/>
  <c r="AI45"/>
  <c r="AL45"/>
  <c r="AM45"/>
  <c r="AN45"/>
  <c r="AQ45"/>
  <c r="AW45"/>
  <c r="AY45"/>
  <c r="BA45"/>
  <c r="BB45"/>
  <c r="BC45"/>
  <c r="BE45"/>
  <c r="BG45"/>
  <c r="BH45"/>
  <c r="BJ45"/>
  <c r="BK45"/>
  <c r="BL45"/>
  <c r="BM45"/>
  <c r="BN45"/>
  <c r="BP45"/>
  <c r="BQ45"/>
  <c r="BR45"/>
  <c r="BS45"/>
  <c r="BT45"/>
  <c r="BU45"/>
  <c r="BV45"/>
  <c r="BW45"/>
  <c r="BX45"/>
  <c r="BY45"/>
  <c r="CB45" s="1"/>
  <c r="BZ45"/>
  <c r="CA45"/>
  <c r="CC45"/>
  <c r="CD45"/>
  <c r="CF45"/>
  <c r="CG45"/>
  <c r="CH45"/>
  <c r="CI45"/>
  <c r="CJ45"/>
  <c r="CK45"/>
  <c r="CL45"/>
  <c r="CN45"/>
  <c r="CO45"/>
  <c r="CR45" s="1"/>
  <c r="CP45"/>
  <c r="CQ45"/>
  <c r="CS45"/>
  <c r="CV45" s="1"/>
  <c r="CT45"/>
  <c r="CU45"/>
  <c r="CW45"/>
  <c r="DF45"/>
  <c r="DG45"/>
  <c r="DH45"/>
  <c r="DI45"/>
  <c r="DJ45"/>
  <c r="DK45"/>
  <c r="DL45"/>
  <c r="CX45" s="1"/>
  <c r="DM45"/>
  <c r="DN45"/>
  <c r="DO45"/>
  <c r="DP45"/>
  <c r="DQ45"/>
  <c r="DR45"/>
  <c r="DS45"/>
  <c r="DT45"/>
  <c r="DU45"/>
  <c r="DV45"/>
  <c r="DW45"/>
  <c r="DX45"/>
  <c r="DY45"/>
  <c r="DZ45"/>
  <c r="EA45"/>
  <c r="EB45"/>
  <c r="EC45"/>
  <c r="ED45"/>
  <c r="EE45"/>
  <c r="EF45"/>
  <c r="EG45"/>
  <c r="EH45"/>
  <c r="EI45"/>
  <c r="EJ45"/>
  <c r="EK45"/>
  <c r="B46"/>
  <c r="E46"/>
  <c r="K46"/>
  <c r="L46"/>
  <c r="AO46" s="1"/>
  <c r="M46"/>
  <c r="N46"/>
  <c r="O46"/>
  <c r="P46"/>
  <c r="Q46"/>
  <c r="R46"/>
  <c r="AQ46" s="1"/>
  <c r="S46"/>
  <c r="T46"/>
  <c r="AR46" s="1"/>
  <c r="U46"/>
  <c r="V46"/>
  <c r="W46"/>
  <c r="X46"/>
  <c r="AS46" s="1"/>
  <c r="Y46"/>
  <c r="Z46"/>
  <c r="AA46"/>
  <c r="AB46"/>
  <c r="AC46"/>
  <c r="AD46"/>
  <c r="AU46" s="1"/>
  <c r="AE46"/>
  <c r="AF46"/>
  <c r="AG46"/>
  <c r="AH46"/>
  <c r="AI46"/>
  <c r="AL46"/>
  <c r="AM46"/>
  <c r="AN46"/>
  <c r="AV46"/>
  <c r="AW46"/>
  <c r="AX46"/>
  <c r="AY46"/>
  <c r="BA46"/>
  <c r="BB46"/>
  <c r="BC46"/>
  <c r="BE46"/>
  <c r="BG46"/>
  <c r="BH46"/>
  <c r="BJ46"/>
  <c r="BK46"/>
  <c r="BL46"/>
  <c r="BM46"/>
  <c r="BN46"/>
  <c r="BP46"/>
  <c r="BQ46"/>
  <c r="BR46"/>
  <c r="BS46"/>
  <c r="BT46"/>
  <c r="BU46"/>
  <c r="BV46"/>
  <c r="BW46"/>
  <c r="BX46"/>
  <c r="BY46"/>
  <c r="BZ46"/>
  <c r="CA46"/>
  <c r="CC46"/>
  <c r="CD46"/>
  <c r="CM46" s="1"/>
  <c r="CF46"/>
  <c r="CE46" s="1"/>
  <c r="CG46"/>
  <c r="CH46"/>
  <c r="CI46"/>
  <c r="CJ46"/>
  <c r="CK46"/>
  <c r="CL46"/>
  <c r="CN46"/>
  <c r="CO46"/>
  <c r="CP46"/>
  <c r="CQ46"/>
  <c r="CS46"/>
  <c r="CT46"/>
  <c r="CU46"/>
  <c r="CW46"/>
  <c r="DF46"/>
  <c r="DG46"/>
  <c r="DH46"/>
  <c r="DI46"/>
  <c r="DJ46"/>
  <c r="DK46"/>
  <c r="DL46"/>
  <c r="CX46" s="1"/>
  <c r="DM46"/>
  <c r="DN46"/>
  <c r="DO46"/>
  <c r="DP46"/>
  <c r="DQ46"/>
  <c r="DR46"/>
  <c r="DS46"/>
  <c r="DT46"/>
  <c r="DU46"/>
  <c r="DV46"/>
  <c r="DW46"/>
  <c r="DX46"/>
  <c r="DY46"/>
  <c r="DZ46"/>
  <c r="EA46"/>
  <c r="EB46"/>
  <c r="EC46"/>
  <c r="ED46"/>
  <c r="EE46"/>
  <c r="EF46"/>
  <c r="EG46"/>
  <c r="EH46"/>
  <c r="EI46"/>
  <c r="EJ46"/>
  <c r="EK46"/>
  <c r="B47"/>
  <c r="E47"/>
  <c r="K47"/>
  <c r="L47"/>
  <c r="M47"/>
  <c r="N47"/>
  <c r="O47"/>
  <c r="AP47" s="1"/>
  <c r="P47"/>
  <c r="Q47"/>
  <c r="R47"/>
  <c r="S47"/>
  <c r="T47"/>
  <c r="U47"/>
  <c r="AR47" s="1"/>
  <c r="V47"/>
  <c r="W47"/>
  <c r="AS47" s="1"/>
  <c r="X47"/>
  <c r="Y47"/>
  <c r="Z47"/>
  <c r="AA47"/>
  <c r="AT47" s="1"/>
  <c r="AB47"/>
  <c r="AC47"/>
  <c r="AD47"/>
  <c r="AE47"/>
  <c r="AF47"/>
  <c r="AG47"/>
  <c r="AV47" s="1"/>
  <c r="AH47"/>
  <c r="AI47"/>
  <c r="AL47"/>
  <c r="AM47"/>
  <c r="AX47" s="1"/>
  <c r="AN47"/>
  <c r="AO47"/>
  <c r="AW47"/>
  <c r="AY47"/>
  <c r="BA47"/>
  <c r="BB47"/>
  <c r="BC47"/>
  <c r="BE47"/>
  <c r="BG47"/>
  <c r="BH47"/>
  <c r="BJ47"/>
  <c r="BK47"/>
  <c r="BL47"/>
  <c r="BM47"/>
  <c r="BN47"/>
  <c r="BP47"/>
  <c r="BQ47"/>
  <c r="BR47"/>
  <c r="BS47"/>
  <c r="BT47"/>
  <c r="BU47"/>
  <c r="BV47"/>
  <c r="BW47"/>
  <c r="BX47"/>
  <c r="BY47"/>
  <c r="CB47" s="1"/>
  <c r="BZ47"/>
  <c r="CA47"/>
  <c r="CC47"/>
  <c r="CD47"/>
  <c r="CF47"/>
  <c r="CG47"/>
  <c r="CH47"/>
  <c r="CI47"/>
  <c r="CJ47"/>
  <c r="CK47"/>
  <c r="CL47"/>
  <c r="CN47"/>
  <c r="CO47"/>
  <c r="CP47"/>
  <c r="CQ47"/>
  <c r="CS47"/>
  <c r="CT47"/>
  <c r="CU47"/>
  <c r="CW47"/>
  <c r="DF47"/>
  <c r="DG47"/>
  <c r="DH47"/>
  <c r="DI47"/>
  <c r="DJ47"/>
  <c r="DK47"/>
  <c r="DL47"/>
  <c r="CX47" s="1"/>
  <c r="DM47"/>
  <c r="DN47"/>
  <c r="DO47"/>
  <c r="DP47"/>
  <c r="DQ47"/>
  <c r="DR47"/>
  <c r="DS47"/>
  <c r="DT47"/>
  <c r="DU47"/>
  <c r="DV47"/>
  <c r="DW47"/>
  <c r="DX47"/>
  <c r="DY47"/>
  <c r="DZ47"/>
  <c r="EA47"/>
  <c r="EB47"/>
  <c r="EC47"/>
  <c r="ED47"/>
  <c r="EE47"/>
  <c r="EF47"/>
  <c r="EG47"/>
  <c r="EH47"/>
  <c r="EI47"/>
  <c r="EJ47"/>
  <c r="EK47"/>
  <c r="B48"/>
  <c r="E48"/>
  <c r="K48"/>
  <c r="L48"/>
  <c r="M48"/>
  <c r="N48"/>
  <c r="O48"/>
  <c r="P48"/>
  <c r="Q48"/>
  <c r="R48"/>
  <c r="S48"/>
  <c r="T48"/>
  <c r="U48"/>
  <c r="AR48" s="1"/>
  <c r="V48"/>
  <c r="W48"/>
  <c r="X48"/>
  <c r="Y48"/>
  <c r="Z48"/>
  <c r="AA48"/>
  <c r="AT48" s="1"/>
  <c r="AB48"/>
  <c r="AC48"/>
  <c r="AD48"/>
  <c r="AE48"/>
  <c r="AF48"/>
  <c r="AG48"/>
  <c r="AV48" s="1"/>
  <c r="AH48"/>
  <c r="AI48"/>
  <c r="AL48"/>
  <c r="AM48"/>
  <c r="AX48" s="1"/>
  <c r="AN48"/>
  <c r="AP48"/>
  <c r="AW48"/>
  <c r="AY48"/>
  <c r="BA48"/>
  <c r="BB48"/>
  <c r="BC48"/>
  <c r="BE48"/>
  <c r="BG48"/>
  <c r="BH48"/>
  <c r="BJ48"/>
  <c r="BO48" s="1"/>
  <c r="BK48"/>
  <c r="BL48"/>
  <c r="BM48"/>
  <c r="BN48"/>
  <c r="BP48"/>
  <c r="BQ48"/>
  <c r="BR48"/>
  <c r="BS48"/>
  <c r="BT48"/>
  <c r="BU48"/>
  <c r="BV48"/>
  <c r="BW48"/>
  <c r="BX48"/>
  <c r="BY48"/>
  <c r="BZ48"/>
  <c r="CA48"/>
  <c r="CC48"/>
  <c r="CD48"/>
  <c r="CF48"/>
  <c r="CE48" s="1"/>
  <c r="CG48"/>
  <c r="CH48"/>
  <c r="CI48"/>
  <c r="CJ48"/>
  <c r="CK48"/>
  <c r="CL48"/>
  <c r="CN48"/>
  <c r="CO48"/>
  <c r="CP48"/>
  <c r="CQ48"/>
  <c r="CS48"/>
  <c r="CT48"/>
  <c r="CU48"/>
  <c r="CW48"/>
  <c r="DF48"/>
  <c r="DG48"/>
  <c r="DH48"/>
  <c r="DI48"/>
  <c r="DJ48"/>
  <c r="DK48"/>
  <c r="DL48"/>
  <c r="CX48" s="1"/>
  <c r="DM48"/>
  <c r="DN48"/>
  <c r="DO48"/>
  <c r="DP48"/>
  <c r="DQ48"/>
  <c r="DR48"/>
  <c r="DS48"/>
  <c r="DT48"/>
  <c r="DU48"/>
  <c r="DV48"/>
  <c r="DW48"/>
  <c r="DX48"/>
  <c r="DY48"/>
  <c r="DZ48"/>
  <c r="EA48"/>
  <c r="EB48"/>
  <c r="EC48"/>
  <c r="ED48"/>
  <c r="EE48"/>
  <c r="EF48"/>
  <c r="EG48"/>
  <c r="EH48"/>
  <c r="EI48"/>
  <c r="EJ48"/>
  <c r="EK48"/>
  <c r="B49"/>
  <c r="E49"/>
  <c r="K49"/>
  <c r="L49"/>
  <c r="AO49" s="1"/>
  <c r="M49"/>
  <c r="N49"/>
  <c r="O49"/>
  <c r="P49"/>
  <c r="Q49"/>
  <c r="R49"/>
  <c r="AQ49" s="1"/>
  <c r="S49"/>
  <c r="T49"/>
  <c r="U49"/>
  <c r="V49"/>
  <c r="W49"/>
  <c r="X49"/>
  <c r="AS49" s="1"/>
  <c r="Y49"/>
  <c r="Z49"/>
  <c r="AA49"/>
  <c r="AB49"/>
  <c r="AC49"/>
  <c r="AD49"/>
  <c r="AE49"/>
  <c r="AF49"/>
  <c r="AG49"/>
  <c r="AH49"/>
  <c r="AI49"/>
  <c r="AL49"/>
  <c r="AM49"/>
  <c r="AN49"/>
  <c r="AU49"/>
  <c r="AW49"/>
  <c r="AY49"/>
  <c r="BA49"/>
  <c r="BB49"/>
  <c r="BC49"/>
  <c r="BE49"/>
  <c r="BG49"/>
  <c r="BH49"/>
  <c r="BJ49"/>
  <c r="BK49"/>
  <c r="BL49"/>
  <c r="BM49"/>
  <c r="BN49"/>
  <c r="BP49"/>
  <c r="BQ49"/>
  <c r="BR49"/>
  <c r="BS49"/>
  <c r="BT49"/>
  <c r="BU49"/>
  <c r="BV49"/>
  <c r="BW49"/>
  <c r="BX49"/>
  <c r="BY49"/>
  <c r="BZ49"/>
  <c r="CA49"/>
  <c r="CB49"/>
  <c r="CC49"/>
  <c r="CD49"/>
  <c r="CM49" s="1"/>
  <c r="CF49"/>
  <c r="CG49"/>
  <c r="CH49"/>
  <c r="CI49"/>
  <c r="CJ49"/>
  <c r="CK49"/>
  <c r="CL49"/>
  <c r="CN49"/>
  <c r="CO49"/>
  <c r="CP49"/>
  <c r="CQ49"/>
  <c r="CR49"/>
  <c r="CS49"/>
  <c r="CT49"/>
  <c r="CU49"/>
  <c r="CV49"/>
  <c r="CW49"/>
  <c r="DF49"/>
  <c r="DG49"/>
  <c r="DH49"/>
  <c r="DI49"/>
  <c r="DJ49"/>
  <c r="DK49"/>
  <c r="DL49"/>
  <c r="CX49" s="1"/>
  <c r="DM49"/>
  <c r="DN49"/>
  <c r="DO49"/>
  <c r="DP49"/>
  <c r="DQ49"/>
  <c r="DR49"/>
  <c r="DS49"/>
  <c r="DT49"/>
  <c r="DU49"/>
  <c r="DV49"/>
  <c r="DW49"/>
  <c r="DX49"/>
  <c r="DY49"/>
  <c r="DZ49"/>
  <c r="EA49"/>
  <c r="EB49"/>
  <c r="EC49"/>
  <c r="ED49"/>
  <c r="EE49"/>
  <c r="EF49"/>
  <c r="EG49"/>
  <c r="EH49"/>
  <c r="EI49"/>
  <c r="EJ49"/>
  <c r="EK49"/>
  <c r="B50"/>
  <c r="E50"/>
  <c r="K50"/>
  <c r="L50"/>
  <c r="M50"/>
  <c r="N50"/>
  <c r="O50"/>
  <c r="P50"/>
  <c r="Q50"/>
  <c r="R50"/>
  <c r="S50"/>
  <c r="T50"/>
  <c r="U50"/>
  <c r="V50"/>
  <c r="W50"/>
  <c r="X50"/>
  <c r="Y50"/>
  <c r="Z50"/>
  <c r="AA50"/>
  <c r="AB50"/>
  <c r="AC50"/>
  <c r="AD50"/>
  <c r="AE50"/>
  <c r="AF50"/>
  <c r="AG50"/>
  <c r="AV50" s="1"/>
  <c r="AH50"/>
  <c r="AI50"/>
  <c r="AL50"/>
  <c r="AM50"/>
  <c r="AX50" s="1"/>
  <c r="AN50"/>
  <c r="AR50"/>
  <c r="AW50"/>
  <c r="AY50"/>
  <c r="BA50"/>
  <c r="BB50"/>
  <c r="BC50"/>
  <c r="BE50"/>
  <c r="BG50"/>
  <c r="BH50"/>
  <c r="BJ50"/>
  <c r="BK50"/>
  <c r="BL50"/>
  <c r="BM50"/>
  <c r="BN50"/>
  <c r="BP50"/>
  <c r="BQ50"/>
  <c r="BR50"/>
  <c r="BS50"/>
  <c r="BT50"/>
  <c r="BU50"/>
  <c r="BV50"/>
  <c r="BW50"/>
  <c r="BX50"/>
  <c r="BY50"/>
  <c r="BZ50"/>
  <c r="CA50"/>
  <c r="CC50"/>
  <c r="CD50"/>
  <c r="CE50"/>
  <c r="CF50"/>
  <c r="CG50"/>
  <c r="CH50"/>
  <c r="CI50"/>
  <c r="CJ50"/>
  <c r="CK50"/>
  <c r="CL50"/>
  <c r="CM50"/>
  <c r="CN50"/>
  <c r="CO50"/>
  <c r="CR50" s="1"/>
  <c r="CP50"/>
  <c r="CQ50"/>
  <c r="CS50"/>
  <c r="CT50"/>
  <c r="CU50"/>
  <c r="CW50"/>
  <c r="DE50"/>
  <c r="DF50"/>
  <c r="DG50"/>
  <c r="DH50"/>
  <c r="DI50"/>
  <c r="DJ50"/>
  <c r="DK50"/>
  <c r="DL50"/>
  <c r="CX50" s="1"/>
  <c r="DM50"/>
  <c r="DN50"/>
  <c r="DO50"/>
  <c r="DP50"/>
  <c r="DQ50"/>
  <c r="DR50"/>
  <c r="DS50"/>
  <c r="DT50"/>
  <c r="DU50"/>
  <c r="DV50"/>
  <c r="DW50"/>
  <c r="DX50"/>
  <c r="DY50"/>
  <c r="DZ50"/>
  <c r="EA50"/>
  <c r="EB50"/>
  <c r="EC50"/>
  <c r="ED50"/>
  <c r="EE50"/>
  <c r="EF50"/>
  <c r="EG50"/>
  <c r="EH50"/>
  <c r="EI50"/>
  <c r="EJ50"/>
  <c r="EK50"/>
  <c r="B51"/>
  <c r="E51"/>
  <c r="K51"/>
  <c r="L51"/>
  <c r="AO51" s="1"/>
  <c r="M51"/>
  <c r="N51"/>
  <c r="O51"/>
  <c r="P51"/>
  <c r="Q51"/>
  <c r="R51"/>
  <c r="S51"/>
  <c r="T51"/>
  <c r="U51"/>
  <c r="V51"/>
  <c r="W51"/>
  <c r="X51"/>
  <c r="Y51"/>
  <c r="Z51"/>
  <c r="AA51"/>
  <c r="AB51"/>
  <c r="AC51"/>
  <c r="AD51"/>
  <c r="AE51"/>
  <c r="AF51"/>
  <c r="AG51"/>
  <c r="AH51"/>
  <c r="AI51"/>
  <c r="AL51"/>
  <c r="AM51"/>
  <c r="AN51"/>
  <c r="AS51"/>
  <c r="AW51"/>
  <c r="AY51"/>
  <c r="BA51"/>
  <c r="BB51"/>
  <c r="BC51"/>
  <c r="BE51"/>
  <c r="BG51"/>
  <c r="BH51"/>
  <c r="BJ51"/>
  <c r="BK51"/>
  <c r="BL51"/>
  <c r="BM51"/>
  <c r="BN51"/>
  <c r="BP51"/>
  <c r="BQ51"/>
  <c r="BR51"/>
  <c r="BS51"/>
  <c r="BT51"/>
  <c r="BU51"/>
  <c r="BV51"/>
  <c r="BW51"/>
  <c r="BX51"/>
  <c r="BY51"/>
  <c r="BZ51"/>
  <c r="CA51"/>
  <c r="CC51"/>
  <c r="CD51"/>
  <c r="CF51"/>
  <c r="CE51" s="1"/>
  <c r="CG51"/>
  <c r="CH51"/>
  <c r="CI51"/>
  <c r="CJ51"/>
  <c r="CK51"/>
  <c r="CL51"/>
  <c r="CN51"/>
  <c r="CO51"/>
  <c r="CR51" s="1"/>
  <c r="CP51"/>
  <c r="CQ51"/>
  <c r="CS51"/>
  <c r="CT51"/>
  <c r="CU51"/>
  <c r="CW51"/>
  <c r="DF51"/>
  <c r="DG51"/>
  <c r="DH51"/>
  <c r="DI51"/>
  <c r="DJ51"/>
  <c r="DK51"/>
  <c r="DL51"/>
  <c r="CX51" s="1"/>
  <c r="DM51"/>
  <c r="DN51"/>
  <c r="DO51"/>
  <c r="DP51"/>
  <c r="DQ51"/>
  <c r="DR51"/>
  <c r="DS51"/>
  <c r="DT51"/>
  <c r="DU51"/>
  <c r="DV51"/>
  <c r="DW51"/>
  <c r="DX51"/>
  <c r="DY51"/>
  <c r="DZ51"/>
  <c r="EA51"/>
  <c r="EB51"/>
  <c r="EC51"/>
  <c r="ED51"/>
  <c r="EE51"/>
  <c r="EF51"/>
  <c r="EG51"/>
  <c r="EH51"/>
  <c r="EI51"/>
  <c r="EJ51"/>
  <c r="EK51"/>
  <c r="B52"/>
  <c r="E52"/>
  <c r="K52"/>
  <c r="L52"/>
  <c r="M52"/>
  <c r="N52"/>
  <c r="AP52" s="1"/>
  <c r="O52"/>
  <c r="P52"/>
  <c r="Q52"/>
  <c r="R52"/>
  <c r="S52"/>
  <c r="T52"/>
  <c r="U52"/>
  <c r="V52"/>
  <c r="W52"/>
  <c r="X52"/>
  <c r="Y52"/>
  <c r="Z52"/>
  <c r="AA52"/>
  <c r="AB52"/>
  <c r="AC52"/>
  <c r="AD52"/>
  <c r="AE52"/>
  <c r="AF52"/>
  <c r="AG52"/>
  <c r="AH52"/>
  <c r="AI52"/>
  <c r="AL52"/>
  <c r="AM52"/>
  <c r="AN52"/>
  <c r="AT52"/>
  <c r="AW52"/>
  <c r="AY52"/>
  <c r="BA52"/>
  <c r="BB52"/>
  <c r="AZ52" s="1"/>
  <c r="BC52"/>
  <c r="BE52"/>
  <c r="BG52"/>
  <c r="BH52"/>
  <c r="BJ52"/>
  <c r="BK52"/>
  <c r="BL52"/>
  <c r="BM52"/>
  <c r="BN52"/>
  <c r="BO52"/>
  <c r="BP52"/>
  <c r="BQ52"/>
  <c r="BR52"/>
  <c r="BS52"/>
  <c r="BT52"/>
  <c r="BU52"/>
  <c r="BV52"/>
  <c r="BW52"/>
  <c r="BX52"/>
  <c r="BY52"/>
  <c r="CB52" s="1"/>
  <c r="BZ52"/>
  <c r="CA52"/>
  <c r="CC52"/>
  <c r="CD52"/>
  <c r="CM52" s="1"/>
  <c r="CF52"/>
  <c r="CG52"/>
  <c r="CH52"/>
  <c r="CI52"/>
  <c r="CJ52"/>
  <c r="CK52"/>
  <c r="CL52"/>
  <c r="CN52"/>
  <c r="CO52"/>
  <c r="CP52"/>
  <c r="CQ52"/>
  <c r="CS52"/>
  <c r="CT52"/>
  <c r="CU52"/>
  <c r="CW52"/>
  <c r="DF52"/>
  <c r="DG52"/>
  <c r="DH52"/>
  <c r="DI52"/>
  <c r="DJ52"/>
  <c r="DK52"/>
  <c r="DL52"/>
  <c r="CX52" s="1"/>
  <c r="DM52"/>
  <c r="DN52"/>
  <c r="DO52"/>
  <c r="DP52"/>
  <c r="DQ52"/>
  <c r="DR52"/>
  <c r="DS52"/>
  <c r="DT52"/>
  <c r="DU52"/>
  <c r="DV52"/>
  <c r="DW52"/>
  <c r="DX52"/>
  <c r="DY52"/>
  <c r="DZ52"/>
  <c r="EA52"/>
  <c r="EB52"/>
  <c r="EC52"/>
  <c r="ED52"/>
  <c r="EE52"/>
  <c r="EF52"/>
  <c r="EG52"/>
  <c r="EH52"/>
  <c r="EI52"/>
  <c r="EJ52"/>
  <c r="EK52"/>
  <c r="B53"/>
  <c r="E53"/>
  <c r="K53"/>
  <c r="L53"/>
  <c r="M53"/>
  <c r="N53"/>
  <c r="O53"/>
  <c r="P53"/>
  <c r="Q53"/>
  <c r="R53"/>
  <c r="S53"/>
  <c r="T53"/>
  <c r="U53"/>
  <c r="V53"/>
  <c r="W53"/>
  <c r="X53"/>
  <c r="Y53"/>
  <c r="Z53"/>
  <c r="AA53"/>
  <c r="AB53"/>
  <c r="AC53"/>
  <c r="AU53" s="1"/>
  <c r="AD53"/>
  <c r="AE53"/>
  <c r="AF53"/>
  <c r="AG53"/>
  <c r="AH53"/>
  <c r="AI53"/>
  <c r="AL53"/>
  <c r="AM53"/>
  <c r="AN53"/>
  <c r="AQ53"/>
  <c r="AW53"/>
  <c r="AY53"/>
  <c r="BA53"/>
  <c r="BB53"/>
  <c r="BC53"/>
  <c r="BE53"/>
  <c r="BG53"/>
  <c r="BH53"/>
  <c r="BJ53"/>
  <c r="BK53"/>
  <c r="BL53"/>
  <c r="BM53"/>
  <c r="BN53"/>
  <c r="BP53"/>
  <c r="BQ53"/>
  <c r="BR53"/>
  <c r="BS53"/>
  <c r="BT53"/>
  <c r="BU53"/>
  <c r="BV53"/>
  <c r="BW53"/>
  <c r="BX53"/>
  <c r="BY53"/>
  <c r="CB53" s="1"/>
  <c r="BZ53"/>
  <c r="CA53"/>
  <c r="CC53"/>
  <c r="CD53"/>
  <c r="CF53"/>
  <c r="CG53"/>
  <c r="CH53"/>
  <c r="CI53"/>
  <c r="CJ53"/>
  <c r="CK53"/>
  <c r="CL53"/>
  <c r="CN53"/>
  <c r="CO53"/>
  <c r="CR53" s="1"/>
  <c r="CP53"/>
  <c r="CQ53"/>
  <c r="CS53"/>
  <c r="CV53" s="1"/>
  <c r="CT53"/>
  <c r="CU53"/>
  <c r="CW53"/>
  <c r="DF53"/>
  <c r="DG53"/>
  <c r="DH53"/>
  <c r="DI53"/>
  <c r="DJ53"/>
  <c r="DK53"/>
  <c r="DL53"/>
  <c r="CX53" s="1"/>
  <c r="DM53"/>
  <c r="DN53"/>
  <c r="DO53"/>
  <c r="DP53"/>
  <c r="DQ53"/>
  <c r="DR53"/>
  <c r="DS53"/>
  <c r="DT53"/>
  <c r="DU53"/>
  <c r="DV53"/>
  <c r="DW53"/>
  <c r="DX53"/>
  <c r="DY53"/>
  <c r="DZ53"/>
  <c r="EA53"/>
  <c r="EB53"/>
  <c r="EC53"/>
  <c r="ED53"/>
  <c r="EE53"/>
  <c r="EF53"/>
  <c r="EG53"/>
  <c r="EH53"/>
  <c r="EI53"/>
  <c r="EJ53"/>
  <c r="EK53"/>
  <c r="B54"/>
  <c r="E54"/>
  <c r="K54"/>
  <c r="L54"/>
  <c r="AO54" s="1"/>
  <c r="M54"/>
  <c r="N54"/>
  <c r="O54"/>
  <c r="P54"/>
  <c r="Q54"/>
  <c r="R54"/>
  <c r="AQ54" s="1"/>
  <c r="S54"/>
  <c r="T54"/>
  <c r="AR54" s="1"/>
  <c r="U54"/>
  <c r="V54"/>
  <c r="W54"/>
  <c r="X54"/>
  <c r="AS54" s="1"/>
  <c r="Y54"/>
  <c r="Z54"/>
  <c r="AA54"/>
  <c r="AB54"/>
  <c r="AC54"/>
  <c r="AD54"/>
  <c r="AU54" s="1"/>
  <c r="AE54"/>
  <c r="AF54"/>
  <c r="AG54"/>
  <c r="AH54"/>
  <c r="AI54"/>
  <c r="AL54"/>
  <c r="AM54"/>
  <c r="AN54"/>
  <c r="AV54"/>
  <c r="AW54"/>
  <c r="AX54"/>
  <c r="AY54"/>
  <c r="BA54"/>
  <c r="BB54"/>
  <c r="BC54"/>
  <c r="BE54"/>
  <c r="BG54"/>
  <c r="BH54"/>
  <c r="BJ54"/>
  <c r="BK54"/>
  <c r="BL54"/>
  <c r="BM54"/>
  <c r="BN54"/>
  <c r="BP54"/>
  <c r="BQ54"/>
  <c r="BR54"/>
  <c r="BS54"/>
  <c r="BT54"/>
  <c r="BU54"/>
  <c r="BV54"/>
  <c r="BW54"/>
  <c r="BX54"/>
  <c r="BY54"/>
  <c r="BZ54"/>
  <c r="CA54"/>
  <c r="CC54"/>
  <c r="CD54"/>
  <c r="CM54" s="1"/>
  <c r="CF54"/>
  <c r="CE54" s="1"/>
  <c r="CG54"/>
  <c r="CH54"/>
  <c r="CI54"/>
  <c r="CJ54"/>
  <c r="CK54"/>
  <c r="CL54"/>
  <c r="CN54"/>
  <c r="CO54"/>
  <c r="CP54"/>
  <c r="CQ54"/>
  <c r="CS54"/>
  <c r="CT54"/>
  <c r="CU54"/>
  <c r="CW54"/>
  <c r="DF54"/>
  <c r="DG54"/>
  <c r="DH54"/>
  <c r="DI54"/>
  <c r="DJ54"/>
  <c r="DK54"/>
  <c r="DL54"/>
  <c r="CX54" s="1"/>
  <c r="DM54"/>
  <c r="DN54"/>
  <c r="DO54"/>
  <c r="DP54"/>
  <c r="DQ54"/>
  <c r="DR54"/>
  <c r="DS54"/>
  <c r="DT54"/>
  <c r="DU54"/>
  <c r="DV54"/>
  <c r="DW54"/>
  <c r="DX54"/>
  <c r="DY54"/>
  <c r="DZ54"/>
  <c r="EA54"/>
  <c r="EB54"/>
  <c r="EC54"/>
  <c r="ED54"/>
  <c r="EE54"/>
  <c r="EF54"/>
  <c r="EG54"/>
  <c r="EH54"/>
  <c r="EI54"/>
  <c r="EJ54"/>
  <c r="EK54"/>
  <c r="B55"/>
  <c r="E55"/>
  <c r="K55"/>
  <c r="L55"/>
  <c r="M55"/>
  <c r="N55"/>
  <c r="O55"/>
  <c r="AP55" s="1"/>
  <c r="P55"/>
  <c r="Q55"/>
  <c r="R55"/>
  <c r="S55"/>
  <c r="T55"/>
  <c r="U55"/>
  <c r="AR55" s="1"/>
  <c r="V55"/>
  <c r="W55"/>
  <c r="AS55" s="1"/>
  <c r="X55"/>
  <c r="Y55"/>
  <c r="Z55"/>
  <c r="AA55"/>
  <c r="AT55" s="1"/>
  <c r="AB55"/>
  <c r="AC55"/>
  <c r="AD55"/>
  <c r="AE55"/>
  <c r="AF55"/>
  <c r="AG55"/>
  <c r="AV55" s="1"/>
  <c r="AH55"/>
  <c r="AI55"/>
  <c r="AL55"/>
  <c r="AM55"/>
  <c r="AX55" s="1"/>
  <c r="AN55"/>
  <c r="AO55"/>
  <c r="AW55"/>
  <c r="AY55"/>
  <c r="BA55"/>
  <c r="BB55"/>
  <c r="BC55"/>
  <c r="BE55"/>
  <c r="BG55"/>
  <c r="BH55"/>
  <c r="BJ55"/>
  <c r="BK55"/>
  <c r="BL55"/>
  <c r="BM55"/>
  <c r="BN55"/>
  <c r="BP55"/>
  <c r="BQ55"/>
  <c r="BR55"/>
  <c r="BS55"/>
  <c r="BT55"/>
  <c r="BU55"/>
  <c r="BV55"/>
  <c r="BW55"/>
  <c r="BX55"/>
  <c r="BY55"/>
  <c r="CB55" s="1"/>
  <c r="BZ55"/>
  <c r="CA55"/>
  <c r="CC55"/>
  <c r="CD55"/>
  <c r="CF55"/>
  <c r="CG55"/>
  <c r="CH55"/>
  <c r="CI55"/>
  <c r="CJ55"/>
  <c r="CK55"/>
  <c r="CL55"/>
  <c r="CN55"/>
  <c r="CO55"/>
  <c r="CP55"/>
  <c r="CQ55"/>
  <c r="CS55"/>
  <c r="CT55"/>
  <c r="CU55"/>
  <c r="CW55"/>
  <c r="DF55"/>
  <c r="DG55"/>
  <c r="DH55"/>
  <c r="DI55"/>
  <c r="DJ55"/>
  <c r="DK55"/>
  <c r="DL55"/>
  <c r="CX55" s="1"/>
  <c r="DM55"/>
  <c r="DN55"/>
  <c r="DO55"/>
  <c r="DP55"/>
  <c r="DQ55"/>
  <c r="DR55"/>
  <c r="DS55"/>
  <c r="DT55"/>
  <c r="DU55"/>
  <c r="DV55"/>
  <c r="DW55"/>
  <c r="DX55"/>
  <c r="DY55"/>
  <c r="DZ55"/>
  <c r="EA55"/>
  <c r="EB55"/>
  <c r="EC55"/>
  <c r="ED55"/>
  <c r="EE55"/>
  <c r="EF55"/>
  <c r="EG55"/>
  <c r="EH55"/>
  <c r="EI55"/>
  <c r="EJ55"/>
  <c r="EK55"/>
  <c r="B56"/>
  <c r="E56"/>
  <c r="K56"/>
  <c r="L56"/>
  <c r="M56"/>
  <c r="N56"/>
  <c r="O56"/>
  <c r="P56"/>
  <c r="Q56"/>
  <c r="R56"/>
  <c r="S56"/>
  <c r="T56"/>
  <c r="U56"/>
  <c r="AR56" s="1"/>
  <c r="V56"/>
  <c r="W56"/>
  <c r="X56"/>
  <c r="Y56"/>
  <c r="Z56"/>
  <c r="AA56"/>
  <c r="AT56" s="1"/>
  <c r="AB56"/>
  <c r="AC56"/>
  <c r="AD56"/>
  <c r="AE56"/>
  <c r="AF56"/>
  <c r="AG56"/>
  <c r="AV56" s="1"/>
  <c r="AH56"/>
  <c r="AI56"/>
  <c r="AW56" s="1"/>
  <c r="AL56"/>
  <c r="AM56"/>
  <c r="AX56" s="1"/>
  <c r="AN56"/>
  <c r="AP56"/>
  <c r="AY56"/>
  <c r="BA56"/>
  <c r="BB56"/>
  <c r="AZ56" s="1"/>
  <c r="BC56"/>
  <c r="BE56"/>
  <c r="BG56"/>
  <c r="BH56"/>
  <c r="BJ56"/>
  <c r="BK56"/>
  <c r="BL56"/>
  <c r="BM56"/>
  <c r="BN56"/>
  <c r="BO56"/>
  <c r="BP56"/>
  <c r="BQ56"/>
  <c r="BR56"/>
  <c r="BS56"/>
  <c r="BT56"/>
  <c r="BU56"/>
  <c r="BV56"/>
  <c r="BW56"/>
  <c r="BX56"/>
  <c r="BY56"/>
  <c r="CB56" s="1"/>
  <c r="BZ56"/>
  <c r="CA56"/>
  <c r="CC56"/>
  <c r="CD56"/>
  <c r="CM56" s="1"/>
  <c r="CF56"/>
  <c r="CG56"/>
  <c r="CH56"/>
  <c r="CI56"/>
  <c r="CJ56"/>
  <c r="CK56"/>
  <c r="CL56"/>
  <c r="CN56"/>
  <c r="CO56"/>
  <c r="CP56"/>
  <c r="CQ56"/>
  <c r="CS56"/>
  <c r="CT56"/>
  <c r="CU56"/>
  <c r="CW56"/>
  <c r="DF56"/>
  <c r="DG56"/>
  <c r="DH56"/>
  <c r="DI56"/>
  <c r="DJ56"/>
  <c r="DK56"/>
  <c r="DL56"/>
  <c r="DM56"/>
  <c r="DN56"/>
  <c r="DO56"/>
  <c r="DP56"/>
  <c r="DQ56"/>
  <c r="DR56"/>
  <c r="DS56"/>
  <c r="DT56"/>
  <c r="DU56"/>
  <c r="DV56"/>
  <c r="DW56"/>
  <c r="DX56"/>
  <c r="DY56"/>
  <c r="DZ56"/>
  <c r="EA56"/>
  <c r="EB56"/>
  <c r="EC56"/>
  <c r="ED56"/>
  <c r="EE56"/>
  <c r="EF56"/>
  <c r="EG56"/>
  <c r="EH56"/>
  <c r="EI56"/>
  <c r="EJ56"/>
  <c r="EK56"/>
  <c r="B57"/>
  <c r="E57"/>
  <c r="K57"/>
  <c r="L57"/>
  <c r="AO57" s="1"/>
  <c r="M57"/>
  <c r="N57"/>
  <c r="O57"/>
  <c r="P57"/>
  <c r="Q57"/>
  <c r="R57"/>
  <c r="AQ57" s="1"/>
  <c r="S57"/>
  <c r="T57"/>
  <c r="AR57" s="1"/>
  <c r="U57"/>
  <c r="V57"/>
  <c r="W57"/>
  <c r="X57"/>
  <c r="AS57" s="1"/>
  <c r="Y57"/>
  <c r="Z57"/>
  <c r="AA57"/>
  <c r="AB57"/>
  <c r="AC57"/>
  <c r="AD57"/>
  <c r="AU57" s="1"/>
  <c r="AE57"/>
  <c r="AF57"/>
  <c r="AG57"/>
  <c r="AH57"/>
  <c r="AI57"/>
  <c r="AL57"/>
  <c r="AM57"/>
  <c r="AN57"/>
  <c r="AW57"/>
  <c r="AY57"/>
  <c r="BA57"/>
  <c r="BB57"/>
  <c r="BC57"/>
  <c r="BE57"/>
  <c r="BG57"/>
  <c r="BH57"/>
  <c r="BJ57"/>
  <c r="BO57" s="1"/>
  <c r="BK57"/>
  <c r="BL57"/>
  <c r="BM57"/>
  <c r="BN57"/>
  <c r="BP57"/>
  <c r="BQ57"/>
  <c r="BR57"/>
  <c r="BS57"/>
  <c r="BT57"/>
  <c r="BU57"/>
  <c r="BV57"/>
  <c r="BW57"/>
  <c r="BX57"/>
  <c r="BY57"/>
  <c r="BZ57"/>
  <c r="CA57"/>
  <c r="CC57"/>
  <c r="CD57"/>
  <c r="CF57"/>
  <c r="CE57" s="1"/>
  <c r="CG57"/>
  <c r="CH57"/>
  <c r="CI57"/>
  <c r="CJ57"/>
  <c r="CK57"/>
  <c r="CL57"/>
  <c r="CN57"/>
  <c r="CO57"/>
  <c r="CP57"/>
  <c r="CQ57"/>
  <c r="CS57"/>
  <c r="CT57"/>
  <c r="CU57"/>
  <c r="CW57"/>
  <c r="DF57"/>
  <c r="DG57"/>
  <c r="DH57"/>
  <c r="DI57"/>
  <c r="DJ57"/>
  <c r="DK57"/>
  <c r="DL57"/>
  <c r="DC57" s="1"/>
  <c r="DM57"/>
  <c r="DN57"/>
  <c r="DO57"/>
  <c r="DP57"/>
  <c r="DQ57"/>
  <c r="DR57"/>
  <c r="DS57"/>
  <c r="DT57"/>
  <c r="DU57"/>
  <c r="DV57"/>
  <c r="DW57"/>
  <c r="DX57"/>
  <c r="DY57"/>
  <c r="DZ57"/>
  <c r="EA57"/>
  <c r="EB57"/>
  <c r="EC57"/>
  <c r="ED57"/>
  <c r="EE57"/>
  <c r="EF57"/>
  <c r="EG57"/>
  <c r="EH57"/>
  <c r="EI57"/>
  <c r="EJ57"/>
  <c r="EK57"/>
  <c r="B58"/>
  <c r="E58"/>
  <c r="K58"/>
  <c r="L58"/>
  <c r="AO58" s="1"/>
  <c r="M58"/>
  <c r="N58"/>
  <c r="O58"/>
  <c r="P58"/>
  <c r="Q58"/>
  <c r="R58"/>
  <c r="AQ58" s="1"/>
  <c r="S58"/>
  <c r="T58"/>
  <c r="U58"/>
  <c r="V58"/>
  <c r="W58"/>
  <c r="X58"/>
  <c r="AS58" s="1"/>
  <c r="Y58"/>
  <c r="Z58"/>
  <c r="AA58"/>
  <c r="AB58"/>
  <c r="AC58"/>
  <c r="AD58"/>
  <c r="AE58"/>
  <c r="AF58"/>
  <c r="AG58"/>
  <c r="AH58"/>
  <c r="AI58"/>
  <c r="AL58"/>
  <c r="AM58"/>
  <c r="AN58"/>
  <c r="AP58"/>
  <c r="AR58"/>
  <c r="AU58"/>
  <c r="AW58"/>
  <c r="AY58"/>
  <c r="BA58"/>
  <c r="BB58"/>
  <c r="BC58"/>
  <c r="BE58"/>
  <c r="BG58"/>
  <c r="BH58"/>
  <c r="BJ58"/>
  <c r="BK58"/>
  <c r="BL58"/>
  <c r="BM58"/>
  <c r="BN58"/>
  <c r="BP58"/>
  <c r="BQ58"/>
  <c r="BR58"/>
  <c r="BS58"/>
  <c r="BT58"/>
  <c r="BU58"/>
  <c r="BV58"/>
  <c r="BW58"/>
  <c r="BX58"/>
  <c r="BY58"/>
  <c r="BZ58"/>
  <c r="CA58"/>
  <c r="CC58"/>
  <c r="CD58"/>
  <c r="CF58"/>
  <c r="CE58" s="1"/>
  <c r="CG58"/>
  <c r="CH58"/>
  <c r="CI58"/>
  <c r="CJ58"/>
  <c r="CK58"/>
  <c r="CL58"/>
  <c r="CN58"/>
  <c r="CO58"/>
  <c r="CR58" s="1"/>
  <c r="CP58"/>
  <c r="CQ58"/>
  <c r="CS58"/>
  <c r="CT58"/>
  <c r="CU58"/>
  <c r="CW58"/>
  <c r="DF58"/>
  <c r="DG58"/>
  <c r="DH58"/>
  <c r="DI58"/>
  <c r="DJ58"/>
  <c r="DK58"/>
  <c r="DL58"/>
  <c r="CY58" s="1"/>
  <c r="DM58"/>
  <c r="DN58"/>
  <c r="DO58"/>
  <c r="DP58"/>
  <c r="DQ58"/>
  <c r="DR58"/>
  <c r="DS58"/>
  <c r="DT58"/>
  <c r="DU58"/>
  <c r="DV58"/>
  <c r="DW58"/>
  <c r="DX58"/>
  <c r="DY58"/>
  <c r="DZ58"/>
  <c r="EA58"/>
  <c r="EB58"/>
  <c r="EC58"/>
  <c r="ED58"/>
  <c r="EE58"/>
  <c r="EF58"/>
  <c r="EG58"/>
  <c r="EH58"/>
  <c r="EI58"/>
  <c r="EJ58"/>
  <c r="EK58"/>
  <c r="B59"/>
  <c r="E59"/>
  <c r="K59"/>
  <c r="L59"/>
  <c r="M59"/>
  <c r="N59"/>
  <c r="O59"/>
  <c r="AP59" s="1"/>
  <c r="P59"/>
  <c r="Q59"/>
  <c r="R59"/>
  <c r="S59"/>
  <c r="T59"/>
  <c r="U59"/>
  <c r="AR59" s="1"/>
  <c r="V59"/>
  <c r="W59"/>
  <c r="X59"/>
  <c r="Y59"/>
  <c r="Z59"/>
  <c r="AA59"/>
  <c r="AT59" s="1"/>
  <c r="AB59"/>
  <c r="AC59"/>
  <c r="AD59"/>
  <c r="AE59"/>
  <c r="AF59"/>
  <c r="AG59"/>
  <c r="AV59" s="1"/>
  <c r="AH59"/>
  <c r="AI59"/>
  <c r="AL59"/>
  <c r="AM59"/>
  <c r="AX59" s="1"/>
  <c r="AN59"/>
  <c r="AO59"/>
  <c r="AQ59"/>
  <c r="AS59"/>
  <c r="AU59"/>
  <c r="AW59"/>
  <c r="AY59"/>
  <c r="BA59"/>
  <c r="BB59"/>
  <c r="AZ59" s="1"/>
  <c r="BC59"/>
  <c r="BE59"/>
  <c r="BG59"/>
  <c r="BH59"/>
  <c r="BJ59"/>
  <c r="BK59"/>
  <c r="BL59"/>
  <c r="BM59"/>
  <c r="BN59"/>
  <c r="BO59"/>
  <c r="BP59"/>
  <c r="BQ59"/>
  <c r="BR59"/>
  <c r="BS59"/>
  <c r="BT59"/>
  <c r="BU59"/>
  <c r="BV59"/>
  <c r="BW59"/>
  <c r="BX59"/>
  <c r="BY59"/>
  <c r="CB59" s="1"/>
  <c r="BZ59"/>
  <c r="CA59"/>
  <c r="CC59"/>
  <c r="CD59"/>
  <c r="CM59" s="1"/>
  <c r="CF59"/>
  <c r="CG59"/>
  <c r="CH59"/>
  <c r="CI59"/>
  <c r="CJ59"/>
  <c r="CK59"/>
  <c r="CL59"/>
  <c r="CN59"/>
  <c r="CO59"/>
  <c r="CP59"/>
  <c r="CQ59"/>
  <c r="CS59"/>
  <c r="CT59"/>
  <c r="CU59"/>
  <c r="CW59"/>
  <c r="DF59"/>
  <c r="DG59"/>
  <c r="DH59"/>
  <c r="DI59"/>
  <c r="DJ59"/>
  <c r="DK59"/>
  <c r="DL59"/>
  <c r="CX59" s="1"/>
  <c r="DM59"/>
  <c r="DN59"/>
  <c r="DO59"/>
  <c r="DP59"/>
  <c r="DQ59"/>
  <c r="DR59"/>
  <c r="DS59"/>
  <c r="DT59"/>
  <c r="DU59"/>
  <c r="DV59"/>
  <c r="DW59"/>
  <c r="DX59"/>
  <c r="DY59"/>
  <c r="DZ59"/>
  <c r="EA59"/>
  <c r="EB59"/>
  <c r="EC59"/>
  <c r="ED59"/>
  <c r="EE59"/>
  <c r="EF59"/>
  <c r="EG59"/>
  <c r="EH59"/>
  <c r="EI59"/>
  <c r="EJ59"/>
  <c r="EK59"/>
  <c r="B60"/>
  <c r="E60"/>
  <c r="K60"/>
  <c r="L60"/>
  <c r="AO60" s="1"/>
  <c r="M60"/>
  <c r="N60"/>
  <c r="O60"/>
  <c r="P60"/>
  <c r="Q60"/>
  <c r="R60"/>
  <c r="AQ60" s="1"/>
  <c r="S60"/>
  <c r="T60"/>
  <c r="U60"/>
  <c r="V60"/>
  <c r="W60"/>
  <c r="X60"/>
  <c r="AS60" s="1"/>
  <c r="Y60"/>
  <c r="Z60"/>
  <c r="AA60"/>
  <c r="AB60"/>
  <c r="AC60"/>
  <c r="AD60"/>
  <c r="AU60" s="1"/>
  <c r="AE60"/>
  <c r="AF60"/>
  <c r="AG60"/>
  <c r="AH60"/>
  <c r="AI60"/>
  <c r="AL60"/>
  <c r="AM60"/>
  <c r="AN60"/>
  <c r="AP60"/>
  <c r="AR60"/>
  <c r="AW60"/>
  <c r="AY60"/>
  <c r="BA60"/>
  <c r="BB60"/>
  <c r="BC60"/>
  <c r="BE60"/>
  <c r="BG60"/>
  <c r="BH60"/>
  <c r="BJ60"/>
  <c r="BK60"/>
  <c r="BL60"/>
  <c r="BM60"/>
  <c r="BN60"/>
  <c r="BP60"/>
  <c r="BQ60"/>
  <c r="BR60"/>
  <c r="BS60"/>
  <c r="BT60"/>
  <c r="BU60"/>
  <c r="BV60"/>
  <c r="BW60"/>
  <c r="BX60"/>
  <c r="BY60"/>
  <c r="CB60" s="1"/>
  <c r="BZ60"/>
  <c r="CA60"/>
  <c r="CC60"/>
  <c r="CD60"/>
  <c r="CF60"/>
  <c r="CG60"/>
  <c r="CH60"/>
  <c r="CI60"/>
  <c r="CJ60"/>
  <c r="CK60"/>
  <c r="CL60"/>
  <c r="CN60"/>
  <c r="CO60"/>
  <c r="CR60" s="1"/>
  <c r="CP60"/>
  <c r="CQ60"/>
  <c r="CS60"/>
  <c r="CV60" s="1"/>
  <c r="CT60"/>
  <c r="CU60"/>
  <c r="CW60"/>
  <c r="DF60"/>
  <c r="DG60"/>
  <c r="DH60"/>
  <c r="DI60"/>
  <c r="DJ60"/>
  <c r="DK60"/>
  <c r="DL60"/>
  <c r="CY60" s="1"/>
  <c r="DM60"/>
  <c r="DN60"/>
  <c r="DO60"/>
  <c r="DP60"/>
  <c r="DQ60"/>
  <c r="DR60"/>
  <c r="DS60"/>
  <c r="DT60"/>
  <c r="DU60"/>
  <c r="DV60"/>
  <c r="DW60"/>
  <c r="DX60"/>
  <c r="DY60"/>
  <c r="DZ60"/>
  <c r="EA60"/>
  <c r="EB60"/>
  <c r="EC60"/>
  <c r="ED60"/>
  <c r="EE60"/>
  <c r="EF60"/>
  <c r="EG60"/>
  <c r="EH60"/>
  <c r="EI60"/>
  <c r="EJ60"/>
  <c r="EK60"/>
  <c r="B61"/>
  <c r="E61"/>
  <c r="K61"/>
  <c r="L61"/>
  <c r="M61"/>
  <c r="N61"/>
  <c r="O61"/>
  <c r="AP61" s="1"/>
  <c r="P61"/>
  <c r="Q61"/>
  <c r="R61"/>
  <c r="S61"/>
  <c r="T61"/>
  <c r="U61"/>
  <c r="AR61" s="1"/>
  <c r="V61"/>
  <c r="W61"/>
  <c r="X61"/>
  <c r="Y61"/>
  <c r="Z61"/>
  <c r="AA61"/>
  <c r="AT61" s="1"/>
  <c r="AB61"/>
  <c r="AC61"/>
  <c r="AD61"/>
  <c r="AE61"/>
  <c r="AF61"/>
  <c r="AG61"/>
  <c r="AH61"/>
  <c r="AI61"/>
  <c r="AL61"/>
  <c r="AM61"/>
  <c r="AN61"/>
  <c r="AO61"/>
  <c r="AQ61"/>
  <c r="AS61"/>
  <c r="AW61"/>
  <c r="AY61"/>
  <c r="BA61"/>
  <c r="BB61"/>
  <c r="BC61"/>
  <c r="BE61"/>
  <c r="BG61"/>
  <c r="BH61"/>
  <c r="BJ61"/>
  <c r="BO61" s="1"/>
  <c r="BK61"/>
  <c r="BL61"/>
  <c r="BM61"/>
  <c r="BN61"/>
  <c r="BP61"/>
  <c r="BQ61"/>
  <c r="BR61"/>
  <c r="BS61"/>
  <c r="BT61"/>
  <c r="BU61"/>
  <c r="BV61"/>
  <c r="BW61"/>
  <c r="BX61"/>
  <c r="BY61"/>
  <c r="BZ61"/>
  <c r="CA61"/>
  <c r="CC61"/>
  <c r="CD61"/>
  <c r="CF61"/>
  <c r="CE61" s="1"/>
  <c r="CG61"/>
  <c r="CH61"/>
  <c r="CI61"/>
  <c r="CJ61"/>
  <c r="CK61"/>
  <c r="CL61"/>
  <c r="CN61"/>
  <c r="CO61"/>
  <c r="CP61"/>
  <c r="CQ61"/>
  <c r="CS61"/>
  <c r="CT61"/>
  <c r="CU61"/>
  <c r="CW61"/>
  <c r="DF61"/>
  <c r="DG61"/>
  <c r="DH61"/>
  <c r="DI61"/>
  <c r="DJ61"/>
  <c r="DK61"/>
  <c r="DL61"/>
  <c r="CX61" s="1"/>
  <c r="DM61"/>
  <c r="DN61"/>
  <c r="DO61"/>
  <c r="DP61"/>
  <c r="DQ61"/>
  <c r="DR61"/>
  <c r="DS61"/>
  <c r="DT61"/>
  <c r="DU61"/>
  <c r="DV61"/>
  <c r="DW61"/>
  <c r="DX61"/>
  <c r="DY61"/>
  <c r="DZ61"/>
  <c r="EA61"/>
  <c r="EB61"/>
  <c r="EC61"/>
  <c r="ED61"/>
  <c r="EE61"/>
  <c r="EF61"/>
  <c r="EG61"/>
  <c r="EH61"/>
  <c r="EI61"/>
  <c r="EJ61"/>
  <c r="EK61"/>
  <c r="B62"/>
  <c r="E62"/>
  <c r="K62"/>
  <c r="L62"/>
  <c r="M62"/>
  <c r="N62"/>
  <c r="O62"/>
  <c r="P62"/>
  <c r="Q62"/>
  <c r="R62"/>
  <c r="S62"/>
  <c r="T62"/>
  <c r="U62"/>
  <c r="AR62" s="1"/>
  <c r="V62"/>
  <c r="W62"/>
  <c r="X62"/>
  <c r="Y62"/>
  <c r="Z62"/>
  <c r="AA62"/>
  <c r="AB62"/>
  <c r="AC62"/>
  <c r="AD62"/>
  <c r="AE62"/>
  <c r="AF62"/>
  <c r="AG62"/>
  <c r="AV62" s="1"/>
  <c r="AH62"/>
  <c r="AI62"/>
  <c r="AL62"/>
  <c r="AM62"/>
  <c r="AX62" s="1"/>
  <c r="AN62"/>
  <c r="AP62"/>
  <c r="AT62"/>
  <c r="AW62"/>
  <c r="AY62"/>
  <c r="BA62"/>
  <c r="BB62"/>
  <c r="BC62"/>
  <c r="BE62"/>
  <c r="BG62"/>
  <c r="BH62"/>
  <c r="BJ62"/>
  <c r="BK62"/>
  <c r="BL62"/>
  <c r="BM62"/>
  <c r="BN62"/>
  <c r="BP62"/>
  <c r="BQ62"/>
  <c r="BR62"/>
  <c r="BS62"/>
  <c r="BT62"/>
  <c r="BU62"/>
  <c r="BV62"/>
  <c r="BW62"/>
  <c r="BX62"/>
  <c r="BY62"/>
  <c r="BZ62"/>
  <c r="CA62"/>
  <c r="CC62"/>
  <c r="CD62"/>
  <c r="CF62"/>
  <c r="CE62" s="1"/>
  <c r="CG62"/>
  <c r="CH62"/>
  <c r="CI62"/>
  <c r="CJ62"/>
  <c r="CK62"/>
  <c r="CL62"/>
  <c r="CN62"/>
  <c r="CO62"/>
  <c r="CR62" s="1"/>
  <c r="CP62"/>
  <c r="CQ62"/>
  <c r="CS62"/>
  <c r="CT62"/>
  <c r="CU62"/>
  <c r="CW62"/>
  <c r="DF62"/>
  <c r="DG62"/>
  <c r="DH62"/>
  <c r="DI62"/>
  <c r="DJ62"/>
  <c r="DK62"/>
  <c r="DL62"/>
  <c r="CY62" s="1"/>
  <c r="DM62"/>
  <c r="DN62"/>
  <c r="DO62"/>
  <c r="DP62"/>
  <c r="DQ62"/>
  <c r="DR62"/>
  <c r="DS62"/>
  <c r="DT62"/>
  <c r="DU62"/>
  <c r="DV62"/>
  <c r="DW62"/>
  <c r="DX62"/>
  <c r="DY62"/>
  <c r="DZ62"/>
  <c r="EA62"/>
  <c r="EB62"/>
  <c r="EC62"/>
  <c r="ED62"/>
  <c r="EE62"/>
  <c r="EF62"/>
  <c r="EG62"/>
  <c r="EH62"/>
  <c r="EI62"/>
  <c r="EJ62"/>
  <c r="EK62"/>
  <c r="B63"/>
  <c r="E63"/>
  <c r="K63"/>
  <c r="L63"/>
  <c r="M63"/>
  <c r="N63"/>
  <c r="O63"/>
  <c r="AP63" s="1"/>
  <c r="P63"/>
  <c r="Q63"/>
  <c r="AQ63" s="1"/>
  <c r="R63"/>
  <c r="S63"/>
  <c r="T63"/>
  <c r="U63"/>
  <c r="AR63" s="1"/>
  <c r="V63"/>
  <c r="W63"/>
  <c r="X63"/>
  <c r="Y63"/>
  <c r="Z63"/>
  <c r="AA63"/>
  <c r="AT63" s="1"/>
  <c r="AB63"/>
  <c r="AC63"/>
  <c r="AU63" s="1"/>
  <c r="AD63"/>
  <c r="AE63"/>
  <c r="AF63"/>
  <c r="AG63"/>
  <c r="AV63" s="1"/>
  <c r="AH63"/>
  <c r="AI63"/>
  <c r="AL63"/>
  <c r="AM63"/>
  <c r="AX63" s="1"/>
  <c r="AN63"/>
  <c r="AO63"/>
  <c r="AS63"/>
  <c r="AW63"/>
  <c r="AY63"/>
  <c r="BA63"/>
  <c r="BB63"/>
  <c r="BC63"/>
  <c r="BE63"/>
  <c r="BG63"/>
  <c r="BH63"/>
  <c r="BJ63"/>
  <c r="BK63"/>
  <c r="BL63"/>
  <c r="BM63"/>
  <c r="BN63"/>
  <c r="BP63"/>
  <c r="BQ63"/>
  <c r="BR63"/>
  <c r="BS63"/>
  <c r="BT63"/>
  <c r="BU63"/>
  <c r="BV63"/>
  <c r="BW63"/>
  <c r="BX63"/>
  <c r="BY63"/>
  <c r="BZ63"/>
  <c r="CA63"/>
  <c r="CC63"/>
  <c r="CD63"/>
  <c r="CF63"/>
  <c r="CE63" s="1"/>
  <c r="CG63"/>
  <c r="CH63"/>
  <c r="CI63"/>
  <c r="CJ63"/>
  <c r="CK63"/>
  <c r="CL63"/>
  <c r="CN63"/>
  <c r="CO63"/>
  <c r="CP63"/>
  <c r="CQ63"/>
  <c r="CS63"/>
  <c r="CT63"/>
  <c r="CU63"/>
  <c r="CW63"/>
  <c r="DF63"/>
  <c r="DG63"/>
  <c r="DH63"/>
  <c r="DI63"/>
  <c r="DJ63"/>
  <c r="DK63"/>
  <c r="DL63"/>
  <c r="DM63"/>
  <c r="DN63"/>
  <c r="DO63"/>
  <c r="DP63"/>
  <c r="DQ63"/>
  <c r="DR63"/>
  <c r="DS63"/>
  <c r="DT63"/>
  <c r="DU63"/>
  <c r="DV63"/>
  <c r="DW63"/>
  <c r="DX63"/>
  <c r="DY63"/>
  <c r="DZ63"/>
  <c r="EA63"/>
  <c r="EB63"/>
  <c r="EC63"/>
  <c r="ED63"/>
  <c r="EE63"/>
  <c r="EF63"/>
  <c r="EG63"/>
  <c r="EH63"/>
  <c r="EI63"/>
  <c r="EJ63"/>
  <c r="EK63"/>
  <c r="B64"/>
  <c r="E64"/>
  <c r="F64"/>
  <c r="H64"/>
  <c r="J64"/>
  <c r="K64"/>
  <c r="L64"/>
  <c r="AO64" s="1"/>
  <c r="M64"/>
  <c r="N64"/>
  <c r="O64"/>
  <c r="P64"/>
  <c r="Q64"/>
  <c r="R64"/>
  <c r="AQ64" s="1"/>
  <c r="S64"/>
  <c r="T64"/>
  <c r="U64"/>
  <c r="V64"/>
  <c r="W64"/>
  <c r="X64"/>
  <c r="AS64" s="1"/>
  <c r="Y64"/>
  <c r="Z64"/>
  <c r="AA64"/>
  <c r="AB64"/>
  <c r="AC64"/>
  <c r="AD64"/>
  <c r="AE64"/>
  <c r="AF64"/>
  <c r="AG64"/>
  <c r="AH64"/>
  <c r="AI64"/>
  <c r="AL64"/>
  <c r="AM64"/>
  <c r="AN64"/>
  <c r="AU64"/>
  <c r="AW64"/>
  <c r="AY64"/>
  <c r="BA64"/>
  <c r="BB64"/>
  <c r="BC64"/>
  <c r="BE64"/>
  <c r="BG64"/>
  <c r="BH64"/>
  <c r="BJ64"/>
  <c r="BK64"/>
  <c r="BL64"/>
  <c r="BM64"/>
  <c r="BN64"/>
  <c r="BO64"/>
  <c r="BP64"/>
  <c r="BQ64"/>
  <c r="BR64"/>
  <c r="BS64"/>
  <c r="BT64"/>
  <c r="BU64"/>
  <c r="BV64"/>
  <c r="BW64"/>
  <c r="BX64"/>
  <c r="BY64"/>
  <c r="CB64" s="1"/>
  <c r="BZ64"/>
  <c r="CA64"/>
  <c r="CC64"/>
  <c r="CD64"/>
  <c r="CF64"/>
  <c r="CG64"/>
  <c r="CH64"/>
  <c r="CI64"/>
  <c r="CJ64"/>
  <c r="CK64"/>
  <c r="CL64"/>
  <c r="CN64"/>
  <c r="CO64"/>
  <c r="CP64"/>
  <c r="CQ64"/>
  <c r="CR64"/>
  <c r="CS64"/>
  <c r="CT64"/>
  <c r="CU64"/>
  <c r="CV64"/>
  <c r="CW64"/>
  <c r="DF64"/>
  <c r="DG64"/>
  <c r="DH64"/>
  <c r="DI64"/>
  <c r="DJ64"/>
  <c r="DK64"/>
  <c r="DL64"/>
  <c r="CY64" s="1"/>
  <c r="DM64"/>
  <c r="DN64"/>
  <c r="DO64"/>
  <c r="DP64"/>
  <c r="DQ64"/>
  <c r="DR64"/>
  <c r="DS64"/>
  <c r="DT64"/>
  <c r="DU64"/>
  <c r="DV64"/>
  <c r="DW64"/>
  <c r="DX64"/>
  <c r="DY64"/>
  <c r="DZ64"/>
  <c r="EA64"/>
  <c r="EB64"/>
  <c r="EC64"/>
  <c r="ED64"/>
  <c r="EE64"/>
  <c r="EF64"/>
  <c r="EG64"/>
  <c r="EH64"/>
  <c r="EI64"/>
  <c r="EJ64"/>
  <c r="EK64"/>
  <c r="B65"/>
  <c r="E65"/>
  <c r="F65"/>
  <c r="H65"/>
  <c r="J65"/>
  <c r="K65"/>
  <c r="L65"/>
  <c r="AO65" s="1"/>
  <c r="M65"/>
  <c r="N65"/>
  <c r="O65"/>
  <c r="P65"/>
  <c r="Q65"/>
  <c r="R65"/>
  <c r="AQ65" s="1"/>
  <c r="S65"/>
  <c r="T65"/>
  <c r="AR65" s="1"/>
  <c r="U65"/>
  <c r="V65"/>
  <c r="W65"/>
  <c r="X65"/>
  <c r="AS65" s="1"/>
  <c r="Y65"/>
  <c r="Z65"/>
  <c r="AA65"/>
  <c r="AB65"/>
  <c r="AC65"/>
  <c r="AD65"/>
  <c r="AU65" s="1"/>
  <c r="AE65"/>
  <c r="AF65"/>
  <c r="AG65"/>
  <c r="AH65"/>
  <c r="AI65"/>
  <c r="AL65"/>
  <c r="AM65"/>
  <c r="AN65"/>
  <c r="AV65"/>
  <c r="AW65"/>
  <c r="AX65"/>
  <c r="AY65"/>
  <c r="BA65"/>
  <c r="BB65"/>
  <c r="BC65"/>
  <c r="BE65"/>
  <c r="BG65"/>
  <c r="BH65"/>
  <c r="BJ65"/>
  <c r="BK65"/>
  <c r="BL65"/>
  <c r="BM65"/>
  <c r="BN65"/>
  <c r="BP65"/>
  <c r="BQ65"/>
  <c r="BR65"/>
  <c r="BS65"/>
  <c r="BT65"/>
  <c r="BU65"/>
  <c r="BV65"/>
  <c r="BW65"/>
  <c r="BX65"/>
  <c r="BY65"/>
  <c r="BZ65"/>
  <c r="CA65"/>
  <c r="CC65"/>
  <c r="CD65"/>
  <c r="CM65" s="1"/>
  <c r="CF65"/>
  <c r="CG65"/>
  <c r="CH65"/>
  <c r="CI65"/>
  <c r="CJ65"/>
  <c r="CK65"/>
  <c r="CL65"/>
  <c r="CN65"/>
  <c r="CO65"/>
  <c r="CP65"/>
  <c r="CQ65"/>
  <c r="CS65"/>
  <c r="CT65"/>
  <c r="CU65"/>
  <c r="CW65"/>
  <c r="DF65"/>
  <c r="DG65"/>
  <c r="DH65"/>
  <c r="DI65"/>
  <c r="DJ65"/>
  <c r="DK65"/>
  <c r="DL65"/>
  <c r="CX65" s="1"/>
  <c r="DM65"/>
  <c r="DN65"/>
  <c r="DO65"/>
  <c r="DP65"/>
  <c r="DQ65"/>
  <c r="DR65"/>
  <c r="DS65"/>
  <c r="DT65"/>
  <c r="DU65"/>
  <c r="DV65"/>
  <c r="DW65"/>
  <c r="DX65"/>
  <c r="DY65"/>
  <c r="DZ65"/>
  <c r="EA65"/>
  <c r="EB65"/>
  <c r="EC65"/>
  <c r="ED65"/>
  <c r="EE65"/>
  <c r="EF65"/>
  <c r="EG65"/>
  <c r="EH65"/>
  <c r="EI65"/>
  <c r="EJ65"/>
  <c r="EK65"/>
  <c r="B66"/>
  <c r="E66"/>
  <c r="F66"/>
  <c r="H66"/>
  <c r="J66"/>
  <c r="K66"/>
  <c r="L66"/>
  <c r="AO66" s="1"/>
  <c r="M66"/>
  <c r="N66"/>
  <c r="O66"/>
  <c r="P66"/>
  <c r="Q66"/>
  <c r="R66"/>
  <c r="AQ66" s="1"/>
  <c r="S66"/>
  <c r="T66"/>
  <c r="U66"/>
  <c r="V66"/>
  <c r="W66"/>
  <c r="X66"/>
  <c r="AS66" s="1"/>
  <c r="Y66"/>
  <c r="Z66"/>
  <c r="AA66"/>
  <c r="AB66"/>
  <c r="AC66"/>
  <c r="AD66"/>
  <c r="AE66"/>
  <c r="AF66"/>
  <c r="AG66"/>
  <c r="AH66"/>
  <c r="AI66"/>
  <c r="AL66"/>
  <c r="AM66"/>
  <c r="AN66"/>
  <c r="AU66"/>
  <c r="AW66"/>
  <c r="AY66"/>
  <c r="BA66"/>
  <c r="BB66"/>
  <c r="AZ66" s="1"/>
  <c r="BC66"/>
  <c r="BE66"/>
  <c r="BG66"/>
  <c r="BH66"/>
  <c r="BJ66"/>
  <c r="BK66"/>
  <c r="BL66"/>
  <c r="BM66"/>
  <c r="BN66"/>
  <c r="BO66"/>
  <c r="BP66"/>
  <c r="BQ66"/>
  <c r="BR66"/>
  <c r="BS66"/>
  <c r="BT66"/>
  <c r="BU66"/>
  <c r="BV66"/>
  <c r="BW66"/>
  <c r="BX66"/>
  <c r="BY66"/>
  <c r="CB66" s="1"/>
  <c r="BZ66"/>
  <c r="CA66"/>
  <c r="CC66"/>
  <c r="CD66"/>
  <c r="CM66" s="1"/>
  <c r="CF66"/>
  <c r="CG66"/>
  <c r="CH66"/>
  <c r="CI66"/>
  <c r="CJ66"/>
  <c r="CK66"/>
  <c r="CL66"/>
  <c r="CN66"/>
  <c r="CO66"/>
  <c r="CP66"/>
  <c r="CQ66"/>
  <c r="CS66"/>
  <c r="CT66"/>
  <c r="CU66"/>
  <c r="CW66"/>
  <c r="DF66"/>
  <c r="DG66"/>
  <c r="DH66"/>
  <c r="DI66"/>
  <c r="DJ66"/>
  <c r="DK66"/>
  <c r="DL66"/>
  <c r="CY66" s="1"/>
  <c r="DM66"/>
  <c r="DN66"/>
  <c r="DO66"/>
  <c r="DP66"/>
  <c r="DQ66"/>
  <c r="DR66"/>
  <c r="DS66"/>
  <c r="DT66"/>
  <c r="DU66"/>
  <c r="DV66"/>
  <c r="DW66"/>
  <c r="DX66"/>
  <c r="DY66"/>
  <c r="DZ66"/>
  <c r="EA66"/>
  <c r="EB66"/>
  <c r="EC66"/>
  <c r="ED66"/>
  <c r="EE66"/>
  <c r="EF66"/>
  <c r="EG66"/>
  <c r="EH66"/>
  <c r="EI66"/>
  <c r="EJ66"/>
  <c r="EK66"/>
  <c r="B67"/>
  <c r="E67"/>
  <c r="F67"/>
  <c r="H67"/>
  <c r="J67"/>
  <c r="K67"/>
  <c r="L67"/>
  <c r="AO67" s="1"/>
  <c r="M67"/>
  <c r="N67"/>
  <c r="O67"/>
  <c r="P67"/>
  <c r="Q67"/>
  <c r="R67"/>
  <c r="AQ67" s="1"/>
  <c r="S67"/>
  <c r="T67"/>
  <c r="AR67" s="1"/>
  <c r="U67"/>
  <c r="V67"/>
  <c r="W67"/>
  <c r="X67"/>
  <c r="AS67" s="1"/>
  <c r="Y67"/>
  <c r="Z67"/>
  <c r="AA67"/>
  <c r="AB67"/>
  <c r="AC67"/>
  <c r="AD67"/>
  <c r="AU67" s="1"/>
  <c r="AE67"/>
  <c r="AF67"/>
  <c r="AG67"/>
  <c r="AH67"/>
  <c r="AI67"/>
  <c r="AL67"/>
  <c r="AM67"/>
  <c r="AN67"/>
  <c r="AV67"/>
  <c r="AW67"/>
  <c r="AX67"/>
  <c r="AY67"/>
  <c r="BA67"/>
  <c r="BB67"/>
  <c r="BC67"/>
  <c r="BE67"/>
  <c r="BG67"/>
  <c r="BH67"/>
  <c r="BJ67"/>
  <c r="BK67"/>
  <c r="BL67"/>
  <c r="BM67"/>
  <c r="BN67"/>
  <c r="BP67"/>
  <c r="BQ67"/>
  <c r="BR67"/>
  <c r="BS67"/>
  <c r="BT67"/>
  <c r="BU67"/>
  <c r="BV67"/>
  <c r="BW67"/>
  <c r="BX67"/>
  <c r="BY67"/>
  <c r="BZ67"/>
  <c r="CA67"/>
  <c r="CC67"/>
  <c r="CD67"/>
  <c r="CM67" s="1"/>
  <c r="CF67"/>
  <c r="CG67"/>
  <c r="CH67"/>
  <c r="CI67"/>
  <c r="CJ67"/>
  <c r="CK67"/>
  <c r="CL67"/>
  <c r="CN67"/>
  <c r="CO67"/>
  <c r="CP67"/>
  <c r="CQ67"/>
  <c r="CS67"/>
  <c r="CT67"/>
  <c r="CU67"/>
  <c r="CW67"/>
  <c r="DF67"/>
  <c r="DG67"/>
  <c r="DH67"/>
  <c r="DI67"/>
  <c r="DJ67"/>
  <c r="DK67"/>
  <c r="DL67"/>
  <c r="CX67" s="1"/>
  <c r="DM67"/>
  <c r="DN67"/>
  <c r="DO67"/>
  <c r="DP67"/>
  <c r="DQ67"/>
  <c r="DR67"/>
  <c r="DS67"/>
  <c r="DT67"/>
  <c r="DU67"/>
  <c r="DV67"/>
  <c r="DW67"/>
  <c r="DX67"/>
  <c r="DY67"/>
  <c r="DZ67"/>
  <c r="EA67"/>
  <c r="EB67"/>
  <c r="EC67"/>
  <c r="ED67"/>
  <c r="EE67"/>
  <c r="EF67"/>
  <c r="EG67"/>
  <c r="EH67"/>
  <c r="EI67"/>
  <c r="EJ67"/>
  <c r="EK67"/>
  <c r="B68"/>
  <c r="E68"/>
  <c r="F68"/>
  <c r="F69" s="1"/>
  <c r="F70" s="1"/>
  <c r="F71" s="1"/>
  <c r="F72" s="1"/>
  <c r="F73" s="1"/>
  <c r="F74" s="1"/>
  <c r="H68"/>
  <c r="H69" s="1"/>
  <c r="H70" s="1"/>
  <c r="H71" s="1"/>
  <c r="H72" s="1"/>
  <c r="H73" s="1"/>
  <c r="H74" s="1"/>
  <c r="J68"/>
  <c r="J69" s="1"/>
  <c r="J70" s="1"/>
  <c r="J71" s="1"/>
  <c r="J72" s="1"/>
  <c r="J73" s="1"/>
  <c r="J74" s="1"/>
  <c r="K68"/>
  <c r="L68"/>
  <c r="AO68" s="1"/>
  <c r="M68"/>
  <c r="N68"/>
  <c r="O68"/>
  <c r="P68"/>
  <c r="Q68"/>
  <c r="R68"/>
  <c r="AQ68" s="1"/>
  <c r="S68"/>
  <c r="T68"/>
  <c r="AR68" s="1"/>
  <c r="U68"/>
  <c r="V68"/>
  <c r="W68"/>
  <c r="X68"/>
  <c r="AS68" s="1"/>
  <c r="Y68"/>
  <c r="Z68"/>
  <c r="AA68"/>
  <c r="AB68"/>
  <c r="AC68"/>
  <c r="AD68"/>
  <c r="AU68" s="1"/>
  <c r="AE68"/>
  <c r="AF68"/>
  <c r="AG68"/>
  <c r="AH68"/>
  <c r="AI68"/>
  <c r="AL68"/>
  <c r="AM68"/>
  <c r="AN68"/>
  <c r="AV68"/>
  <c r="AW68"/>
  <c r="AX68"/>
  <c r="AY68"/>
  <c r="BA68"/>
  <c r="BB68"/>
  <c r="BC68"/>
  <c r="BC74" s="1"/>
  <c r="BE68"/>
  <c r="BG68"/>
  <c r="BH68"/>
  <c r="BJ68"/>
  <c r="BK68"/>
  <c r="BL68"/>
  <c r="BM68"/>
  <c r="BN68"/>
  <c r="BP68"/>
  <c r="BQ68"/>
  <c r="BR68"/>
  <c r="BS68"/>
  <c r="BT68"/>
  <c r="BU68"/>
  <c r="BV68"/>
  <c r="BW68"/>
  <c r="BX68"/>
  <c r="BY68"/>
  <c r="CB68" s="1"/>
  <c r="BZ68"/>
  <c r="CA68"/>
  <c r="CC68"/>
  <c r="CD68"/>
  <c r="CF68"/>
  <c r="CM68" s="1"/>
  <c r="CG68"/>
  <c r="CH68"/>
  <c r="CI68"/>
  <c r="CJ68"/>
  <c r="CK68"/>
  <c r="CL68"/>
  <c r="CN68"/>
  <c r="CO68"/>
  <c r="CP68"/>
  <c r="CQ68"/>
  <c r="CS68"/>
  <c r="CT68"/>
  <c r="CU68"/>
  <c r="CW68"/>
  <c r="DF68"/>
  <c r="DG68"/>
  <c r="DH68"/>
  <c r="DI68"/>
  <c r="DJ68"/>
  <c r="DK68"/>
  <c r="DL68"/>
  <c r="CY68" s="1"/>
  <c r="DM68"/>
  <c r="DN68"/>
  <c r="DO68"/>
  <c r="DP68"/>
  <c r="DQ68"/>
  <c r="DR68"/>
  <c r="DS68"/>
  <c r="DT68"/>
  <c r="DU68"/>
  <c r="DV68"/>
  <c r="DW68"/>
  <c r="DX68"/>
  <c r="DY68"/>
  <c r="DZ68"/>
  <c r="EA68"/>
  <c r="EB68"/>
  <c r="EC68"/>
  <c r="ED68"/>
  <c r="EE68"/>
  <c r="EF68"/>
  <c r="EG68"/>
  <c r="EH68"/>
  <c r="EI68"/>
  <c r="EJ68"/>
  <c r="EK68"/>
  <c r="B69"/>
  <c r="E69"/>
  <c r="G69"/>
  <c r="G70" s="1"/>
  <c r="G71" s="1"/>
  <c r="G72" s="1"/>
  <c r="G73" s="1"/>
  <c r="G74" s="1"/>
  <c r="K69"/>
  <c r="L69"/>
  <c r="M69"/>
  <c r="N69"/>
  <c r="O69"/>
  <c r="AP69" s="1"/>
  <c r="P69"/>
  <c r="Q69"/>
  <c r="R69"/>
  <c r="S69"/>
  <c r="T69"/>
  <c r="U69"/>
  <c r="V69"/>
  <c r="W69"/>
  <c r="X69"/>
  <c r="Y69"/>
  <c r="Z69"/>
  <c r="AA69"/>
  <c r="AT69" s="1"/>
  <c r="AB69"/>
  <c r="AC69"/>
  <c r="AD69"/>
  <c r="AE69"/>
  <c r="AF69"/>
  <c r="AG69"/>
  <c r="AH69"/>
  <c r="AI69"/>
  <c r="AL69"/>
  <c r="AM69"/>
  <c r="AX69" s="1"/>
  <c r="AN69"/>
  <c r="AO69"/>
  <c r="AS69"/>
  <c r="AW69"/>
  <c r="AY69"/>
  <c r="BA69"/>
  <c r="BB69"/>
  <c r="BC69"/>
  <c r="BE69"/>
  <c r="BG69"/>
  <c r="BH69"/>
  <c r="BJ69"/>
  <c r="BK69"/>
  <c r="BL69"/>
  <c r="BM69"/>
  <c r="BN69"/>
  <c r="BP69"/>
  <c r="BQ69"/>
  <c r="BR69"/>
  <c r="BR74" s="1"/>
  <c r="BS69"/>
  <c r="BT69"/>
  <c r="BT74" s="1"/>
  <c r="BU69"/>
  <c r="BV69"/>
  <c r="BV74" s="1"/>
  <c r="BW69"/>
  <c r="BX69"/>
  <c r="BX74" s="1"/>
  <c r="BY69"/>
  <c r="BZ69"/>
  <c r="BZ74" s="1"/>
  <c r="CA69"/>
  <c r="CC69"/>
  <c r="CC74" s="1"/>
  <c r="CD69"/>
  <c r="CF69"/>
  <c r="CE69" s="1"/>
  <c r="CG69"/>
  <c r="CH69"/>
  <c r="CH74" s="1"/>
  <c r="CI69"/>
  <c r="CJ69"/>
  <c r="CJ74" s="1"/>
  <c r="CK69"/>
  <c r="CL69"/>
  <c r="CL74" s="1"/>
  <c r="CN69"/>
  <c r="CO69"/>
  <c r="CO74" s="1"/>
  <c r="CP69"/>
  <c r="CQ69"/>
  <c r="CS69"/>
  <c r="CT69"/>
  <c r="CU69"/>
  <c r="CW69"/>
  <c r="DF69"/>
  <c r="DG69"/>
  <c r="DH69"/>
  <c r="DI69"/>
  <c r="DJ69"/>
  <c r="DK69"/>
  <c r="DL69"/>
  <c r="CX69" s="1"/>
  <c r="DM69"/>
  <c r="DN69"/>
  <c r="DO69"/>
  <c r="DP69"/>
  <c r="DQ69"/>
  <c r="DR69"/>
  <c r="DS69"/>
  <c r="DT69"/>
  <c r="DU69"/>
  <c r="DV69"/>
  <c r="DW69"/>
  <c r="DX69"/>
  <c r="DY69"/>
  <c r="DZ69"/>
  <c r="EA69"/>
  <c r="EB69"/>
  <c r="EC69"/>
  <c r="ED69"/>
  <c r="EE69"/>
  <c r="EF69"/>
  <c r="EG69"/>
  <c r="EH69"/>
  <c r="EI69"/>
  <c r="EJ69"/>
  <c r="EK69"/>
  <c r="B70"/>
  <c r="E70"/>
  <c r="K70"/>
  <c r="L70"/>
  <c r="AO70" s="1"/>
  <c r="M70"/>
  <c r="N70"/>
  <c r="O70"/>
  <c r="P70"/>
  <c r="Q70"/>
  <c r="R70"/>
  <c r="AQ70" s="1"/>
  <c r="S70"/>
  <c r="T70"/>
  <c r="AR70" s="1"/>
  <c r="U70"/>
  <c r="V70"/>
  <c r="W70"/>
  <c r="X70"/>
  <c r="AS70" s="1"/>
  <c r="Y70"/>
  <c r="Z70"/>
  <c r="AA70"/>
  <c r="AB70"/>
  <c r="AC70"/>
  <c r="AD70"/>
  <c r="AU70" s="1"/>
  <c r="AE70"/>
  <c r="AF70"/>
  <c r="AG70"/>
  <c r="AH70"/>
  <c r="AI70"/>
  <c r="AL70"/>
  <c r="AM70"/>
  <c r="AN70"/>
  <c r="AV70"/>
  <c r="AW70"/>
  <c r="AX70"/>
  <c r="AY70"/>
  <c r="BA70"/>
  <c r="BB70"/>
  <c r="BC70"/>
  <c r="BE70"/>
  <c r="BG70"/>
  <c r="BH70"/>
  <c r="BJ70"/>
  <c r="BK70"/>
  <c r="BL70"/>
  <c r="BM70"/>
  <c r="BN70"/>
  <c r="BP70"/>
  <c r="BQ70"/>
  <c r="BR70"/>
  <c r="BS70"/>
  <c r="BT70"/>
  <c r="BU70"/>
  <c r="BV70"/>
  <c r="BW70"/>
  <c r="BX70"/>
  <c r="BY70"/>
  <c r="CB70" s="1"/>
  <c r="BZ70"/>
  <c r="CA70"/>
  <c r="CC70"/>
  <c r="CD70"/>
  <c r="CF70"/>
  <c r="CM70" s="1"/>
  <c r="CG70"/>
  <c r="CH70"/>
  <c r="CI70"/>
  <c r="CJ70"/>
  <c r="CK70"/>
  <c r="CL70"/>
  <c r="CN70"/>
  <c r="CO70"/>
  <c r="CP70"/>
  <c r="CQ70"/>
  <c r="CS70"/>
  <c r="CS74" s="1"/>
  <c r="CT70"/>
  <c r="CU70"/>
  <c r="CU74" s="1"/>
  <c r="CW70"/>
  <c r="DF70"/>
  <c r="DG70"/>
  <c r="DH70"/>
  <c r="DI70"/>
  <c r="DJ70"/>
  <c r="DK70"/>
  <c r="DL70"/>
  <c r="CY70" s="1"/>
  <c r="DM70"/>
  <c r="DN70"/>
  <c r="DO70"/>
  <c r="DP70"/>
  <c r="DQ70"/>
  <c r="DR70"/>
  <c r="DS70"/>
  <c r="DT70"/>
  <c r="DU70"/>
  <c r="DV70"/>
  <c r="DW70"/>
  <c r="DX70"/>
  <c r="DY70"/>
  <c r="DZ70"/>
  <c r="EA70"/>
  <c r="EB70"/>
  <c r="EC70"/>
  <c r="ED70"/>
  <c r="EE70"/>
  <c r="EF70"/>
  <c r="EG70"/>
  <c r="EH70"/>
  <c r="EI70"/>
  <c r="EJ70"/>
  <c r="EK70"/>
  <c r="B71"/>
  <c r="E71"/>
  <c r="K71"/>
  <c r="L71"/>
  <c r="AO71" s="1"/>
  <c r="M71"/>
  <c r="N71"/>
  <c r="O71"/>
  <c r="P71"/>
  <c r="Q71"/>
  <c r="R71"/>
  <c r="AQ71" s="1"/>
  <c r="S71"/>
  <c r="T71"/>
  <c r="U71"/>
  <c r="V71"/>
  <c r="W71"/>
  <c r="X71"/>
  <c r="AS71" s="1"/>
  <c r="Y71"/>
  <c r="Z71"/>
  <c r="AA71"/>
  <c r="AB71"/>
  <c r="AC71"/>
  <c r="AD71"/>
  <c r="AU71" s="1"/>
  <c r="AE71"/>
  <c r="AF71"/>
  <c r="AG71"/>
  <c r="AH71"/>
  <c r="AI71"/>
  <c r="AL71"/>
  <c r="AM71"/>
  <c r="AN71"/>
  <c r="AR71"/>
  <c r="AV71"/>
  <c r="AW71"/>
  <c r="AX71"/>
  <c r="AY71"/>
  <c r="BA71"/>
  <c r="BB71"/>
  <c r="BC71"/>
  <c r="BE71"/>
  <c r="BG71"/>
  <c r="BH71"/>
  <c r="BJ71"/>
  <c r="BK71"/>
  <c r="BL71"/>
  <c r="BM71"/>
  <c r="BN71"/>
  <c r="BP71"/>
  <c r="BQ71"/>
  <c r="BR71"/>
  <c r="BS71"/>
  <c r="BT71"/>
  <c r="BU71"/>
  <c r="BV71"/>
  <c r="BW71"/>
  <c r="BX71"/>
  <c r="BY71"/>
  <c r="BZ71"/>
  <c r="CA71"/>
  <c r="CC71"/>
  <c r="CD71"/>
  <c r="CF71"/>
  <c r="CE71" s="1"/>
  <c r="CG71"/>
  <c r="CH71"/>
  <c r="CI71"/>
  <c r="CJ71"/>
  <c r="CK71"/>
  <c r="CL71"/>
  <c r="CN71"/>
  <c r="CO71"/>
  <c r="CP71"/>
  <c r="CQ71"/>
  <c r="CS71"/>
  <c r="CT71"/>
  <c r="CU71"/>
  <c r="CW71"/>
  <c r="DF71"/>
  <c r="DG71"/>
  <c r="DH71"/>
  <c r="DI71"/>
  <c r="DJ71"/>
  <c r="DK71"/>
  <c r="DL71"/>
  <c r="CX71" s="1"/>
  <c r="DM71"/>
  <c r="DN71"/>
  <c r="DO71"/>
  <c r="DP71"/>
  <c r="DQ71"/>
  <c r="DR71"/>
  <c r="DS71"/>
  <c r="DT71"/>
  <c r="DU71"/>
  <c r="DV71"/>
  <c r="DW71"/>
  <c r="DX71"/>
  <c r="DY71"/>
  <c r="DZ71"/>
  <c r="EA71"/>
  <c r="EB71"/>
  <c r="EC71"/>
  <c r="ED71"/>
  <c r="EE71"/>
  <c r="EF71"/>
  <c r="EG71"/>
  <c r="EH71"/>
  <c r="EI71"/>
  <c r="EJ71"/>
  <c r="EK71"/>
  <c r="B72"/>
  <c r="E72"/>
  <c r="K72"/>
  <c r="L72"/>
  <c r="M72"/>
  <c r="N72"/>
  <c r="O72"/>
  <c r="AP72" s="1"/>
  <c r="P72"/>
  <c r="Q72"/>
  <c r="R72"/>
  <c r="S72"/>
  <c r="T72"/>
  <c r="U72"/>
  <c r="AR72" s="1"/>
  <c r="V72"/>
  <c r="W72"/>
  <c r="X72"/>
  <c r="Y72"/>
  <c r="Z72"/>
  <c r="AA72"/>
  <c r="AT72" s="1"/>
  <c r="AB72"/>
  <c r="AC72"/>
  <c r="AD72"/>
  <c r="AE72"/>
  <c r="AF72"/>
  <c r="AG72"/>
  <c r="AV72" s="1"/>
  <c r="AH72"/>
  <c r="AI72"/>
  <c r="AL72"/>
  <c r="AM72"/>
  <c r="AX72" s="1"/>
  <c r="AN72"/>
  <c r="AO72"/>
  <c r="AS72"/>
  <c r="AW72"/>
  <c r="AY72"/>
  <c r="BA72"/>
  <c r="BB72"/>
  <c r="BC72"/>
  <c r="BE72"/>
  <c r="BG72"/>
  <c r="BH72"/>
  <c r="BJ72"/>
  <c r="BK72"/>
  <c r="BL72"/>
  <c r="BM72"/>
  <c r="BN72"/>
  <c r="BP72"/>
  <c r="BQ72"/>
  <c r="BR72"/>
  <c r="BS72"/>
  <c r="BT72"/>
  <c r="BU72"/>
  <c r="BV72"/>
  <c r="BW72"/>
  <c r="BX72"/>
  <c r="BY72"/>
  <c r="BZ72"/>
  <c r="CA72"/>
  <c r="CC72"/>
  <c r="CD72"/>
  <c r="CF72"/>
  <c r="CE72" s="1"/>
  <c r="CG72"/>
  <c r="CH72"/>
  <c r="CI72"/>
  <c r="CJ72"/>
  <c r="CK72"/>
  <c r="CL72"/>
  <c r="CN72"/>
  <c r="CO72"/>
  <c r="CP72"/>
  <c r="CQ72"/>
  <c r="CS72"/>
  <c r="CT72"/>
  <c r="CU72"/>
  <c r="CW72"/>
  <c r="DF72"/>
  <c r="DG72"/>
  <c r="DH72"/>
  <c r="DI72"/>
  <c r="DJ72"/>
  <c r="DK72"/>
  <c r="DL72"/>
  <c r="CY72" s="1"/>
  <c r="DM72"/>
  <c r="DM74" s="1"/>
  <c r="DN72"/>
  <c r="DO72"/>
  <c r="DO74" s="1"/>
  <c r="DP72"/>
  <c r="DQ72"/>
  <c r="DR72"/>
  <c r="DS72"/>
  <c r="DT72"/>
  <c r="DU72"/>
  <c r="DV72"/>
  <c r="DW72"/>
  <c r="DX72"/>
  <c r="DY72"/>
  <c r="DZ72"/>
  <c r="EA72"/>
  <c r="EB72"/>
  <c r="EC72"/>
  <c r="ED72"/>
  <c r="EE72"/>
  <c r="EF72"/>
  <c r="EG72"/>
  <c r="EH72"/>
  <c r="EI72"/>
  <c r="EJ72"/>
  <c r="EK72"/>
  <c r="EK74" s="1"/>
  <c r="B73"/>
  <c r="E73"/>
  <c r="K73"/>
  <c r="L73"/>
  <c r="AO73" s="1"/>
  <c r="M73"/>
  <c r="N73"/>
  <c r="O73"/>
  <c r="P73"/>
  <c r="P74" s="1"/>
  <c r="Q73"/>
  <c r="R73"/>
  <c r="AQ73" s="1"/>
  <c r="S73"/>
  <c r="T73"/>
  <c r="T74" s="1"/>
  <c r="U73"/>
  <c r="V73"/>
  <c r="V74" s="1"/>
  <c r="W73"/>
  <c r="X73"/>
  <c r="AS73" s="1"/>
  <c r="Y73"/>
  <c r="Z73"/>
  <c r="AA73"/>
  <c r="AB73"/>
  <c r="AB74" s="1"/>
  <c r="AC73"/>
  <c r="AD73"/>
  <c r="AU73" s="1"/>
  <c r="AE73"/>
  <c r="AF73"/>
  <c r="AF74" s="1"/>
  <c r="AG73"/>
  <c r="AH73"/>
  <c r="AH74" s="1"/>
  <c r="AI73"/>
  <c r="AL73"/>
  <c r="AL74" s="1"/>
  <c r="AM73"/>
  <c r="AN73"/>
  <c r="AN74" s="1"/>
  <c r="AV73"/>
  <c r="AW73"/>
  <c r="AX73"/>
  <c r="AY73"/>
  <c r="BA73"/>
  <c r="BB73"/>
  <c r="BC73"/>
  <c r="BE73"/>
  <c r="BG73"/>
  <c r="BH73"/>
  <c r="BJ73"/>
  <c r="BK73"/>
  <c r="BL73"/>
  <c r="BM73"/>
  <c r="BN73"/>
  <c r="BP73"/>
  <c r="BQ73"/>
  <c r="BR73"/>
  <c r="BS73"/>
  <c r="BT73"/>
  <c r="BU73"/>
  <c r="BV73"/>
  <c r="BW73"/>
  <c r="BX73"/>
  <c r="BY73"/>
  <c r="BZ73"/>
  <c r="CA73"/>
  <c r="CC73"/>
  <c r="CD73"/>
  <c r="CM73" s="1"/>
  <c r="CF73"/>
  <c r="CG73"/>
  <c r="CH73"/>
  <c r="CI73"/>
  <c r="CJ73"/>
  <c r="CK73"/>
  <c r="CL73"/>
  <c r="CN73"/>
  <c r="CO73"/>
  <c r="CP73"/>
  <c r="CQ73"/>
  <c r="CS73"/>
  <c r="CT73"/>
  <c r="CU73"/>
  <c r="CW73"/>
  <c r="DF73"/>
  <c r="DF74" s="1"/>
  <c r="DG73"/>
  <c r="DH73"/>
  <c r="DH74" s="1"/>
  <c r="DI73"/>
  <c r="DJ73"/>
  <c r="DJ74" s="1"/>
  <c r="DK73"/>
  <c r="DL73"/>
  <c r="CX73" s="1"/>
  <c r="DM73"/>
  <c r="DN73"/>
  <c r="DO73"/>
  <c r="DP73"/>
  <c r="DQ73"/>
  <c r="DR73"/>
  <c r="DS73"/>
  <c r="DT73"/>
  <c r="DU73"/>
  <c r="DV73"/>
  <c r="DW73"/>
  <c r="DX73"/>
  <c r="DY73"/>
  <c r="DZ73"/>
  <c r="EA73"/>
  <c r="EB73"/>
  <c r="EC73"/>
  <c r="ED73"/>
  <c r="EE73"/>
  <c r="EF73"/>
  <c r="EG73"/>
  <c r="EH73"/>
  <c r="EI73"/>
  <c r="EJ73"/>
  <c r="EK73"/>
  <c r="B74"/>
  <c r="E74"/>
  <c r="K74"/>
  <c r="O74"/>
  <c r="S74"/>
  <c r="W74"/>
  <c r="AA74"/>
  <c r="AE74"/>
  <c r="AI74"/>
  <c r="AJ74"/>
  <c r="AK74"/>
  <c r="AM74"/>
  <c r="AW74"/>
  <c r="AY74"/>
  <c r="BB74"/>
  <c r="BD74"/>
  <c r="BE74"/>
  <c r="BG74"/>
  <c r="BH74"/>
  <c r="BJ74"/>
  <c r="BK74"/>
  <c r="BL74"/>
  <c r="BM74"/>
  <c r="BN74"/>
  <c r="BS74"/>
  <c r="BU74"/>
  <c r="BW74"/>
  <c r="BY74"/>
  <c r="CA74"/>
  <c r="CD74"/>
  <c r="CG74"/>
  <c r="CI74"/>
  <c r="CK74"/>
  <c r="CN74"/>
  <c r="CP74"/>
  <c r="CT74"/>
  <c r="CW74"/>
  <c r="DG74"/>
  <c r="DI74"/>
  <c r="DK74"/>
  <c r="DN74"/>
  <c r="DP74"/>
  <c r="DQ74"/>
  <c r="DR74"/>
  <c r="DS74"/>
  <c r="DT74"/>
  <c r="DU74"/>
  <c r="DV74"/>
  <c r="DW74"/>
  <c r="DX74"/>
  <c r="DY74"/>
  <c r="DZ74"/>
  <c r="EA74"/>
  <c r="EB74"/>
  <c r="EC74"/>
  <c r="ED74"/>
  <c r="EE74"/>
  <c r="EF74"/>
  <c r="EG74"/>
  <c r="EH74"/>
  <c r="EI74"/>
  <c r="EJ74"/>
  <c r="CZ81" i="4"/>
  <c r="CV81"/>
  <c r="BX81"/>
  <c r="DS80"/>
  <c r="DR80"/>
  <c r="DQ80"/>
  <c r="DP80"/>
  <c r="DO80"/>
  <c r="CS80"/>
  <c r="AJ80"/>
  <c r="AI80"/>
  <c r="AH80"/>
  <c r="AG80"/>
  <c r="AP80" s="1"/>
  <c r="AE80"/>
  <c r="AC80"/>
  <c r="AB80"/>
  <c r="AN80" s="1"/>
  <c r="AA80"/>
  <c r="CE80" s="1"/>
  <c r="Z80"/>
  <c r="Y80"/>
  <c r="CA80" s="1"/>
  <c r="X80"/>
  <c r="BW80" s="1"/>
  <c r="W80"/>
  <c r="BS80" s="1"/>
  <c r="V80"/>
  <c r="BO80" s="1"/>
  <c r="U80"/>
  <c r="BK80" s="1"/>
  <c r="T80"/>
  <c r="S80"/>
  <c r="AM80" s="1"/>
  <c r="R80"/>
  <c r="CD80" s="1"/>
  <c r="Q80"/>
  <c r="P80"/>
  <c r="BZ80" s="1"/>
  <c r="O80"/>
  <c r="BV80" s="1"/>
  <c r="N80"/>
  <c r="BR80" s="1"/>
  <c r="M80"/>
  <c r="BN80" s="1"/>
  <c r="L80"/>
  <c r="BJ80" s="1"/>
  <c r="K80"/>
  <c r="J80"/>
  <c r="AL80" s="1"/>
  <c r="I80"/>
  <c r="CC80" s="1"/>
  <c r="H80"/>
  <c r="G80"/>
  <c r="BY80" s="1"/>
  <c r="F80"/>
  <c r="BU80" s="1"/>
  <c r="E80"/>
  <c r="BQ80" s="1"/>
  <c r="D80"/>
  <c r="BM80" s="1"/>
  <c r="C80"/>
  <c r="BI80" s="1"/>
  <c r="DS79"/>
  <c r="DR79"/>
  <c r="DQ79"/>
  <c r="DP79"/>
  <c r="DO79"/>
  <c r="CS79"/>
  <c r="AJ79"/>
  <c r="AI79"/>
  <c r="AH79"/>
  <c r="AG79"/>
  <c r="AE79"/>
  <c r="AC79"/>
  <c r="AB79"/>
  <c r="AN79" s="1"/>
  <c r="AA79"/>
  <c r="CE79" s="1"/>
  <c r="Z79"/>
  <c r="Y79"/>
  <c r="CA79" s="1"/>
  <c r="X79"/>
  <c r="BW79" s="1"/>
  <c r="W79"/>
  <c r="BS79" s="1"/>
  <c r="V79"/>
  <c r="BO79" s="1"/>
  <c r="U79"/>
  <c r="BK79" s="1"/>
  <c r="T79"/>
  <c r="S79"/>
  <c r="AM79" s="1"/>
  <c r="R79"/>
  <c r="CD79" s="1"/>
  <c r="Q79"/>
  <c r="P79"/>
  <c r="BZ79" s="1"/>
  <c r="O79"/>
  <c r="BV79" s="1"/>
  <c r="N79"/>
  <c r="BR79" s="1"/>
  <c r="M79"/>
  <c r="BN79" s="1"/>
  <c r="L79"/>
  <c r="BJ79" s="1"/>
  <c r="K79"/>
  <c r="J79"/>
  <c r="AL79" s="1"/>
  <c r="I79"/>
  <c r="CC79" s="1"/>
  <c r="H79"/>
  <c r="G79"/>
  <c r="BY79" s="1"/>
  <c r="F79"/>
  <c r="BU79" s="1"/>
  <c r="E79"/>
  <c r="BQ79" s="1"/>
  <c r="D79"/>
  <c r="BM79" s="1"/>
  <c r="C79"/>
  <c r="BI79" s="1"/>
  <c r="DS78"/>
  <c r="DR78"/>
  <c r="DQ78"/>
  <c r="DP78"/>
  <c r="DO78"/>
  <c r="CS78"/>
  <c r="AJ78"/>
  <c r="AI78"/>
  <c r="AH78"/>
  <c r="AG78"/>
  <c r="AP78" s="1"/>
  <c r="AE78"/>
  <c r="AC78"/>
  <c r="AB78"/>
  <c r="AN78" s="1"/>
  <c r="AA78"/>
  <c r="CE78" s="1"/>
  <c r="Z78"/>
  <c r="Y78"/>
  <c r="CA78" s="1"/>
  <c r="X78"/>
  <c r="BW78" s="1"/>
  <c r="W78"/>
  <c r="BS78" s="1"/>
  <c r="V78"/>
  <c r="BO78" s="1"/>
  <c r="U78"/>
  <c r="BK78" s="1"/>
  <c r="T78"/>
  <c r="S78"/>
  <c r="AM78" s="1"/>
  <c r="R78"/>
  <c r="CD78" s="1"/>
  <c r="Q78"/>
  <c r="P78"/>
  <c r="BZ78" s="1"/>
  <c r="O78"/>
  <c r="BV78" s="1"/>
  <c r="N78"/>
  <c r="BR78" s="1"/>
  <c r="M78"/>
  <c r="BN78" s="1"/>
  <c r="L78"/>
  <c r="BJ78" s="1"/>
  <c r="K78"/>
  <c r="J78"/>
  <c r="AL78" s="1"/>
  <c r="I78"/>
  <c r="CC78" s="1"/>
  <c r="H78"/>
  <c r="G78"/>
  <c r="BY78" s="1"/>
  <c r="F78"/>
  <c r="BU78" s="1"/>
  <c r="E78"/>
  <c r="BQ78" s="1"/>
  <c r="D78"/>
  <c r="BM78" s="1"/>
  <c r="C78"/>
  <c r="BI78" s="1"/>
  <c r="DS77"/>
  <c r="DR77"/>
  <c r="DQ77"/>
  <c r="DP77"/>
  <c r="DO77"/>
  <c r="CS77"/>
  <c r="AJ77"/>
  <c r="AI77"/>
  <c r="AH77"/>
  <c r="AG77"/>
  <c r="AE77"/>
  <c r="AC77"/>
  <c r="AB77"/>
  <c r="AN77" s="1"/>
  <c r="AA77"/>
  <c r="CE77" s="1"/>
  <c r="Z77"/>
  <c r="Y77"/>
  <c r="CA77" s="1"/>
  <c r="X77"/>
  <c r="BW77" s="1"/>
  <c r="W77"/>
  <c r="BS77" s="1"/>
  <c r="V77"/>
  <c r="BO77" s="1"/>
  <c r="U77"/>
  <c r="BK77" s="1"/>
  <c r="T77"/>
  <c r="S77"/>
  <c r="AM77" s="1"/>
  <c r="R77"/>
  <c r="CD77" s="1"/>
  <c r="Q77"/>
  <c r="P77"/>
  <c r="BZ77" s="1"/>
  <c r="O77"/>
  <c r="BV77" s="1"/>
  <c r="N77"/>
  <c r="BR77" s="1"/>
  <c r="M77"/>
  <c r="BN77" s="1"/>
  <c r="L77"/>
  <c r="BJ77" s="1"/>
  <c r="K77"/>
  <c r="J77"/>
  <c r="AL77" s="1"/>
  <c r="I77"/>
  <c r="CC77" s="1"/>
  <c r="H77"/>
  <c r="G77"/>
  <c r="BY77" s="1"/>
  <c r="F77"/>
  <c r="BU77" s="1"/>
  <c r="E77"/>
  <c r="BQ77" s="1"/>
  <c r="D77"/>
  <c r="BM77" s="1"/>
  <c r="C77"/>
  <c r="BI77" s="1"/>
  <c r="DS76"/>
  <c r="DR76"/>
  <c r="DQ76"/>
  <c r="DP76"/>
  <c r="DO76"/>
  <c r="CS76"/>
  <c r="AJ76"/>
  <c r="AI76"/>
  <c r="AH76"/>
  <c r="AG76"/>
  <c r="AE76"/>
  <c r="AC76"/>
  <c r="AB76"/>
  <c r="AN76" s="1"/>
  <c r="AA76"/>
  <c r="CE76" s="1"/>
  <c r="Z76"/>
  <c r="Y76"/>
  <c r="CA76" s="1"/>
  <c r="X76"/>
  <c r="BW76" s="1"/>
  <c r="W76"/>
  <c r="BS76" s="1"/>
  <c r="V76"/>
  <c r="BO76" s="1"/>
  <c r="U76"/>
  <c r="BK76" s="1"/>
  <c r="T76"/>
  <c r="S76"/>
  <c r="AM76" s="1"/>
  <c r="R76"/>
  <c r="CD76" s="1"/>
  <c r="Q76"/>
  <c r="P76"/>
  <c r="BZ76" s="1"/>
  <c r="O76"/>
  <c r="BV76" s="1"/>
  <c r="N76"/>
  <c r="BR76" s="1"/>
  <c r="M76"/>
  <c r="BN76" s="1"/>
  <c r="L76"/>
  <c r="BJ76" s="1"/>
  <c r="K76"/>
  <c r="J76"/>
  <c r="AL76" s="1"/>
  <c r="I76"/>
  <c r="CC76" s="1"/>
  <c r="H76"/>
  <c r="G76"/>
  <c r="BY76" s="1"/>
  <c r="F76"/>
  <c r="BU76" s="1"/>
  <c r="E76"/>
  <c r="BQ76" s="1"/>
  <c r="D76"/>
  <c r="BM76" s="1"/>
  <c r="C76"/>
  <c r="BI76" s="1"/>
  <c r="DS75"/>
  <c r="DR75"/>
  <c r="DQ75"/>
  <c r="DP75"/>
  <c r="DO75"/>
  <c r="CS75"/>
  <c r="AJ75"/>
  <c r="AI75"/>
  <c r="AH75"/>
  <c r="AG75"/>
  <c r="AE75"/>
  <c r="AC75"/>
  <c r="AB75"/>
  <c r="AN75" s="1"/>
  <c r="AA75"/>
  <c r="CE75" s="1"/>
  <c r="Z75"/>
  <c r="Y75"/>
  <c r="CA75" s="1"/>
  <c r="X75"/>
  <c r="BW75" s="1"/>
  <c r="W75"/>
  <c r="BS75" s="1"/>
  <c r="V75"/>
  <c r="BO75" s="1"/>
  <c r="U75"/>
  <c r="BK75" s="1"/>
  <c r="T75"/>
  <c r="S75"/>
  <c r="AM75" s="1"/>
  <c r="R75"/>
  <c r="CD75" s="1"/>
  <c r="Q75"/>
  <c r="P75"/>
  <c r="BZ75" s="1"/>
  <c r="O75"/>
  <c r="BV75" s="1"/>
  <c r="N75"/>
  <c r="BR75" s="1"/>
  <c r="M75"/>
  <c r="BN75" s="1"/>
  <c r="L75"/>
  <c r="BJ75" s="1"/>
  <c r="K75"/>
  <c r="J75"/>
  <c r="AL75" s="1"/>
  <c r="I75"/>
  <c r="CC75" s="1"/>
  <c r="H75"/>
  <c r="G75"/>
  <c r="BY75" s="1"/>
  <c r="F75"/>
  <c r="BU75" s="1"/>
  <c r="E75"/>
  <c r="BQ75" s="1"/>
  <c r="D75"/>
  <c r="BM75" s="1"/>
  <c r="C75"/>
  <c r="BI75" s="1"/>
  <c r="DS74"/>
  <c r="DR74"/>
  <c r="DQ74"/>
  <c r="DP74"/>
  <c r="DO74"/>
  <c r="CS74"/>
  <c r="AJ74"/>
  <c r="AI74"/>
  <c r="AH74"/>
  <c r="AG74"/>
  <c r="AE74"/>
  <c r="AC74"/>
  <c r="AB74"/>
  <c r="AN74" s="1"/>
  <c r="AA74"/>
  <c r="CE74" s="1"/>
  <c r="Z74"/>
  <c r="Y74"/>
  <c r="CA74" s="1"/>
  <c r="X74"/>
  <c r="BW74" s="1"/>
  <c r="W74"/>
  <c r="BS74" s="1"/>
  <c r="V74"/>
  <c r="BO74" s="1"/>
  <c r="U74"/>
  <c r="BK74" s="1"/>
  <c r="T74"/>
  <c r="S74"/>
  <c r="AM74" s="1"/>
  <c r="R74"/>
  <c r="CD74" s="1"/>
  <c r="Q74"/>
  <c r="P74"/>
  <c r="BZ74" s="1"/>
  <c r="O74"/>
  <c r="BV74" s="1"/>
  <c r="N74"/>
  <c r="BR74" s="1"/>
  <c r="M74"/>
  <c r="BN74" s="1"/>
  <c r="L74"/>
  <c r="BJ74" s="1"/>
  <c r="K74"/>
  <c r="J74"/>
  <c r="AL74" s="1"/>
  <c r="I74"/>
  <c r="CC74" s="1"/>
  <c r="H74"/>
  <c r="G74"/>
  <c r="BY74" s="1"/>
  <c r="F74"/>
  <c r="BU74" s="1"/>
  <c r="E74"/>
  <c r="BQ74" s="1"/>
  <c r="D74"/>
  <c r="BM74" s="1"/>
  <c r="C74"/>
  <c r="BI74" s="1"/>
  <c r="DS73"/>
  <c r="DR73"/>
  <c r="DQ73"/>
  <c r="DP73"/>
  <c r="DO73"/>
  <c r="CS73"/>
  <c r="AJ73"/>
  <c r="AI73"/>
  <c r="AH73"/>
  <c r="AG73"/>
  <c r="AE73"/>
  <c r="AC73"/>
  <c r="AB73"/>
  <c r="AN73" s="1"/>
  <c r="AA73"/>
  <c r="CE73" s="1"/>
  <c r="Z73"/>
  <c r="Y73"/>
  <c r="CA73" s="1"/>
  <c r="X73"/>
  <c r="BW73" s="1"/>
  <c r="W73"/>
  <c r="BS73" s="1"/>
  <c r="V73"/>
  <c r="BO73" s="1"/>
  <c r="U73"/>
  <c r="BK73" s="1"/>
  <c r="T73"/>
  <c r="S73"/>
  <c r="AM73" s="1"/>
  <c r="R73"/>
  <c r="CD73" s="1"/>
  <c r="Q73"/>
  <c r="P73"/>
  <c r="BZ73" s="1"/>
  <c r="O73"/>
  <c r="BV73" s="1"/>
  <c r="N73"/>
  <c r="BR73" s="1"/>
  <c r="M73"/>
  <c r="BN73" s="1"/>
  <c r="L73"/>
  <c r="BJ73" s="1"/>
  <c r="K73"/>
  <c r="J73"/>
  <c r="AL73" s="1"/>
  <c r="I73"/>
  <c r="CC73" s="1"/>
  <c r="H73"/>
  <c r="G73"/>
  <c r="BY73" s="1"/>
  <c r="F73"/>
  <c r="BU73" s="1"/>
  <c r="E73"/>
  <c r="BQ73" s="1"/>
  <c r="D73"/>
  <c r="BM73" s="1"/>
  <c r="C73"/>
  <c r="BI73" s="1"/>
  <c r="DS72"/>
  <c r="DR72"/>
  <c r="DQ72"/>
  <c r="DP72"/>
  <c r="DO72"/>
  <c r="CS72"/>
  <c r="AJ72"/>
  <c r="AI72"/>
  <c r="AH72"/>
  <c r="AG72"/>
  <c r="AE72"/>
  <c r="AC72"/>
  <c r="AB72"/>
  <c r="AN72" s="1"/>
  <c r="AA72"/>
  <c r="CE72" s="1"/>
  <c r="Z72"/>
  <c r="Y72"/>
  <c r="CA72" s="1"/>
  <c r="X72"/>
  <c r="BW72" s="1"/>
  <c r="W72"/>
  <c r="BS72" s="1"/>
  <c r="V72"/>
  <c r="BO72" s="1"/>
  <c r="U72"/>
  <c r="BK72" s="1"/>
  <c r="T72"/>
  <c r="S72"/>
  <c r="AM72" s="1"/>
  <c r="R72"/>
  <c r="CD72" s="1"/>
  <c r="Q72"/>
  <c r="P72"/>
  <c r="BZ72" s="1"/>
  <c r="O72"/>
  <c r="BV72" s="1"/>
  <c r="N72"/>
  <c r="BR72" s="1"/>
  <c r="M72"/>
  <c r="BN72" s="1"/>
  <c r="L72"/>
  <c r="BJ72" s="1"/>
  <c r="K72"/>
  <c r="J72"/>
  <c r="AL72" s="1"/>
  <c r="I72"/>
  <c r="CC72" s="1"/>
  <c r="H72"/>
  <c r="G72"/>
  <c r="BY72" s="1"/>
  <c r="F72"/>
  <c r="BU72" s="1"/>
  <c r="E72"/>
  <c r="BQ72" s="1"/>
  <c r="D72"/>
  <c r="BM72" s="1"/>
  <c r="C72"/>
  <c r="BI72" s="1"/>
  <c r="DS71"/>
  <c r="DR71"/>
  <c r="DQ71"/>
  <c r="DP71"/>
  <c r="DO71"/>
  <c r="CS71"/>
  <c r="AJ71"/>
  <c r="AI71"/>
  <c r="AH71"/>
  <c r="AG71"/>
  <c r="AP71" s="1"/>
  <c r="AE71"/>
  <c r="AC71"/>
  <c r="AB71"/>
  <c r="AN71" s="1"/>
  <c r="AA71"/>
  <c r="CE71" s="1"/>
  <c r="Z71"/>
  <c r="Y71"/>
  <c r="CA71" s="1"/>
  <c r="X71"/>
  <c r="BW71" s="1"/>
  <c r="W71"/>
  <c r="BS71" s="1"/>
  <c r="V71"/>
  <c r="BO71" s="1"/>
  <c r="U71"/>
  <c r="BK71" s="1"/>
  <c r="T71"/>
  <c r="S71"/>
  <c r="AM71" s="1"/>
  <c r="R71"/>
  <c r="CD71" s="1"/>
  <c r="Q71"/>
  <c r="P71"/>
  <c r="BZ71" s="1"/>
  <c r="O71"/>
  <c r="BV71" s="1"/>
  <c r="N71"/>
  <c r="BR71" s="1"/>
  <c r="M71"/>
  <c r="BN71" s="1"/>
  <c r="L71"/>
  <c r="BJ71" s="1"/>
  <c r="K71"/>
  <c r="J71"/>
  <c r="AL71" s="1"/>
  <c r="I71"/>
  <c r="CC71" s="1"/>
  <c r="H71"/>
  <c r="G71"/>
  <c r="BY71" s="1"/>
  <c r="F71"/>
  <c r="BU71" s="1"/>
  <c r="E71"/>
  <c r="BQ71" s="1"/>
  <c r="D71"/>
  <c r="BM71" s="1"/>
  <c r="C71"/>
  <c r="BI71" s="1"/>
  <c r="DS70"/>
  <c r="DR70"/>
  <c r="DQ70"/>
  <c r="DP70"/>
  <c r="DO70"/>
  <c r="CS70"/>
  <c r="AJ70"/>
  <c r="AI70"/>
  <c r="AH70"/>
  <c r="AG70"/>
  <c r="AE70"/>
  <c r="AC70"/>
  <c r="AB70"/>
  <c r="AN70" s="1"/>
  <c r="AA70"/>
  <c r="CE70" s="1"/>
  <c r="Z70"/>
  <c r="Y70"/>
  <c r="CA70" s="1"/>
  <c r="X70"/>
  <c r="BW70" s="1"/>
  <c r="W70"/>
  <c r="BS70" s="1"/>
  <c r="V70"/>
  <c r="BO70" s="1"/>
  <c r="U70"/>
  <c r="BK70" s="1"/>
  <c r="T70"/>
  <c r="S70"/>
  <c r="AM70" s="1"/>
  <c r="R70"/>
  <c r="CD70" s="1"/>
  <c r="Q70"/>
  <c r="P70"/>
  <c r="BZ70" s="1"/>
  <c r="O70"/>
  <c r="BV70" s="1"/>
  <c r="N70"/>
  <c r="BR70" s="1"/>
  <c r="M70"/>
  <c r="BN70" s="1"/>
  <c r="L70"/>
  <c r="BJ70" s="1"/>
  <c r="K70"/>
  <c r="J70"/>
  <c r="AL70" s="1"/>
  <c r="I70"/>
  <c r="CC70" s="1"/>
  <c r="H70"/>
  <c r="G70"/>
  <c r="BY70" s="1"/>
  <c r="F70"/>
  <c r="BU70" s="1"/>
  <c r="E70"/>
  <c r="BQ70" s="1"/>
  <c r="D70"/>
  <c r="BM70" s="1"/>
  <c r="C70"/>
  <c r="BI70" s="1"/>
  <c r="DS69"/>
  <c r="DR69"/>
  <c r="DQ69"/>
  <c r="DP69"/>
  <c r="DO69"/>
  <c r="CS69"/>
  <c r="AJ69"/>
  <c r="AI69"/>
  <c r="AH69"/>
  <c r="AG69"/>
  <c r="AE69"/>
  <c r="AC69"/>
  <c r="AB69"/>
  <c r="AN69" s="1"/>
  <c r="AA69"/>
  <c r="CE69" s="1"/>
  <c r="Z69"/>
  <c r="Y69"/>
  <c r="CA69" s="1"/>
  <c r="X69"/>
  <c r="BW69" s="1"/>
  <c r="W69"/>
  <c r="BS69" s="1"/>
  <c r="V69"/>
  <c r="BO69" s="1"/>
  <c r="U69"/>
  <c r="BK69" s="1"/>
  <c r="T69"/>
  <c r="S69"/>
  <c r="AM69" s="1"/>
  <c r="R69"/>
  <c r="CD69" s="1"/>
  <c r="Q69"/>
  <c r="P69"/>
  <c r="BZ69" s="1"/>
  <c r="O69"/>
  <c r="BV69" s="1"/>
  <c r="N69"/>
  <c r="BR69" s="1"/>
  <c r="M69"/>
  <c r="BN69" s="1"/>
  <c r="L69"/>
  <c r="BJ69" s="1"/>
  <c r="K69"/>
  <c r="J69"/>
  <c r="AL69" s="1"/>
  <c r="I69"/>
  <c r="CC69" s="1"/>
  <c r="H69"/>
  <c r="G69"/>
  <c r="BY69" s="1"/>
  <c r="F69"/>
  <c r="BU69" s="1"/>
  <c r="E69"/>
  <c r="BQ69" s="1"/>
  <c r="D69"/>
  <c r="BM69" s="1"/>
  <c r="C69"/>
  <c r="BI69" s="1"/>
  <c r="DS68"/>
  <c r="DR68"/>
  <c r="DQ68"/>
  <c r="DP68"/>
  <c r="DO68"/>
  <c r="CS68"/>
  <c r="AJ68"/>
  <c r="AI68"/>
  <c r="AH68"/>
  <c r="AG68"/>
  <c r="AP68" s="1"/>
  <c r="AE68"/>
  <c r="AC68"/>
  <c r="AB68"/>
  <c r="AN68" s="1"/>
  <c r="AA68"/>
  <c r="CE68" s="1"/>
  <c r="Z68"/>
  <c r="Y68"/>
  <c r="CA68" s="1"/>
  <c r="X68"/>
  <c r="BW68" s="1"/>
  <c r="W68"/>
  <c r="BS68" s="1"/>
  <c r="V68"/>
  <c r="BO68" s="1"/>
  <c r="U68"/>
  <c r="BK68" s="1"/>
  <c r="T68"/>
  <c r="S68"/>
  <c r="AM68" s="1"/>
  <c r="R68"/>
  <c r="CD68" s="1"/>
  <c r="Q68"/>
  <c r="P68"/>
  <c r="BZ68" s="1"/>
  <c r="O68"/>
  <c r="BV68" s="1"/>
  <c r="N68"/>
  <c r="BR68" s="1"/>
  <c r="M68"/>
  <c r="BN68" s="1"/>
  <c r="L68"/>
  <c r="BJ68" s="1"/>
  <c r="K68"/>
  <c r="J68"/>
  <c r="AL68" s="1"/>
  <c r="I68"/>
  <c r="CC68" s="1"/>
  <c r="H68"/>
  <c r="G68"/>
  <c r="BY68" s="1"/>
  <c r="F68"/>
  <c r="BU68" s="1"/>
  <c r="E68"/>
  <c r="BQ68" s="1"/>
  <c r="D68"/>
  <c r="BM68" s="1"/>
  <c r="C68"/>
  <c r="BI68" s="1"/>
  <c r="DS67"/>
  <c r="DR67"/>
  <c r="DQ67"/>
  <c r="DP67"/>
  <c r="DO67"/>
  <c r="CS67"/>
  <c r="AJ67"/>
  <c r="AI67"/>
  <c r="AH67"/>
  <c r="AG67"/>
  <c r="AP67" s="1"/>
  <c r="AE67"/>
  <c r="AC67"/>
  <c r="AB67"/>
  <c r="AN67" s="1"/>
  <c r="AA67"/>
  <c r="CE67" s="1"/>
  <c r="Z67"/>
  <c r="Y67"/>
  <c r="CA67" s="1"/>
  <c r="X67"/>
  <c r="BW67" s="1"/>
  <c r="W67"/>
  <c r="BS67" s="1"/>
  <c r="V67"/>
  <c r="BO67" s="1"/>
  <c r="U67"/>
  <c r="BK67" s="1"/>
  <c r="T67"/>
  <c r="S67"/>
  <c r="AM67" s="1"/>
  <c r="R67"/>
  <c r="CD67" s="1"/>
  <c r="Q67"/>
  <c r="P67"/>
  <c r="BZ67" s="1"/>
  <c r="O67"/>
  <c r="BV67" s="1"/>
  <c r="N67"/>
  <c r="BR67" s="1"/>
  <c r="M67"/>
  <c r="BN67" s="1"/>
  <c r="L67"/>
  <c r="BJ67" s="1"/>
  <c r="K67"/>
  <c r="J67"/>
  <c r="AL67" s="1"/>
  <c r="I67"/>
  <c r="CC67" s="1"/>
  <c r="H67"/>
  <c r="G67"/>
  <c r="BY67" s="1"/>
  <c r="F67"/>
  <c r="BU67" s="1"/>
  <c r="E67"/>
  <c r="BQ67" s="1"/>
  <c r="D67"/>
  <c r="BM67" s="1"/>
  <c r="C67"/>
  <c r="BI67" s="1"/>
  <c r="DS66"/>
  <c r="DR66"/>
  <c r="DQ66"/>
  <c r="DP66"/>
  <c r="DO66"/>
  <c r="CS66"/>
  <c r="AJ66"/>
  <c r="AI66"/>
  <c r="AH66"/>
  <c r="AG66"/>
  <c r="AP66" s="1"/>
  <c r="AE66"/>
  <c r="AC66"/>
  <c r="AB66"/>
  <c r="AN66" s="1"/>
  <c r="AA66"/>
  <c r="CE66" s="1"/>
  <c r="Z66"/>
  <c r="Y66"/>
  <c r="CA66" s="1"/>
  <c r="X66"/>
  <c r="BW66" s="1"/>
  <c r="W66"/>
  <c r="BS66" s="1"/>
  <c r="V66"/>
  <c r="BO66" s="1"/>
  <c r="U66"/>
  <c r="BK66" s="1"/>
  <c r="T66"/>
  <c r="S66"/>
  <c r="AM66" s="1"/>
  <c r="R66"/>
  <c r="CD66" s="1"/>
  <c r="Q66"/>
  <c r="P66"/>
  <c r="BZ66" s="1"/>
  <c r="O66"/>
  <c r="BV66" s="1"/>
  <c r="N66"/>
  <c r="BR66" s="1"/>
  <c r="M66"/>
  <c r="BN66" s="1"/>
  <c r="L66"/>
  <c r="BJ66" s="1"/>
  <c r="K66"/>
  <c r="J66"/>
  <c r="AL66" s="1"/>
  <c r="I66"/>
  <c r="CC66" s="1"/>
  <c r="H66"/>
  <c r="G66"/>
  <c r="BY66" s="1"/>
  <c r="F66"/>
  <c r="BU66" s="1"/>
  <c r="E66"/>
  <c r="BQ66" s="1"/>
  <c r="D66"/>
  <c r="BM66" s="1"/>
  <c r="C66"/>
  <c r="BI66" s="1"/>
  <c r="DS65"/>
  <c r="DR65"/>
  <c r="DQ65"/>
  <c r="DP65"/>
  <c r="DO65"/>
  <c r="CS65"/>
  <c r="AJ65"/>
  <c r="AI65"/>
  <c r="AH65"/>
  <c r="AG65"/>
  <c r="AE65"/>
  <c r="AC65"/>
  <c r="AB65"/>
  <c r="AN65" s="1"/>
  <c r="AA65"/>
  <c r="CE65" s="1"/>
  <c r="Z65"/>
  <c r="Y65"/>
  <c r="CA65" s="1"/>
  <c r="X65"/>
  <c r="BW65" s="1"/>
  <c r="W65"/>
  <c r="BS65" s="1"/>
  <c r="V65"/>
  <c r="BO65" s="1"/>
  <c r="U65"/>
  <c r="BK65" s="1"/>
  <c r="T65"/>
  <c r="S65"/>
  <c r="AM65" s="1"/>
  <c r="R65"/>
  <c r="CD65" s="1"/>
  <c r="Q65"/>
  <c r="P65"/>
  <c r="BZ65" s="1"/>
  <c r="O65"/>
  <c r="BV65" s="1"/>
  <c r="N65"/>
  <c r="BR65" s="1"/>
  <c r="M65"/>
  <c r="BN65" s="1"/>
  <c r="L65"/>
  <c r="BJ65" s="1"/>
  <c r="K65"/>
  <c r="J65"/>
  <c r="AL65" s="1"/>
  <c r="I65"/>
  <c r="CC65" s="1"/>
  <c r="H65"/>
  <c r="G65"/>
  <c r="BY65" s="1"/>
  <c r="F65"/>
  <c r="BU65" s="1"/>
  <c r="E65"/>
  <c r="BQ65" s="1"/>
  <c r="D65"/>
  <c r="BM65" s="1"/>
  <c r="C65"/>
  <c r="BI65" s="1"/>
  <c r="DS64"/>
  <c r="DR64"/>
  <c r="DQ64"/>
  <c r="DP64"/>
  <c r="DO64"/>
  <c r="CS64"/>
  <c r="AJ64"/>
  <c r="AI64"/>
  <c r="AH64"/>
  <c r="AG64"/>
  <c r="AE64"/>
  <c r="AC64"/>
  <c r="AB64"/>
  <c r="AN64" s="1"/>
  <c r="AA64"/>
  <c r="CE64" s="1"/>
  <c r="Z64"/>
  <c r="Y64"/>
  <c r="CA64" s="1"/>
  <c r="X64"/>
  <c r="BW64" s="1"/>
  <c r="W64"/>
  <c r="BS64" s="1"/>
  <c r="V64"/>
  <c r="BO64" s="1"/>
  <c r="U64"/>
  <c r="BK64" s="1"/>
  <c r="T64"/>
  <c r="S64"/>
  <c r="AM64" s="1"/>
  <c r="R64"/>
  <c r="CD64" s="1"/>
  <c r="Q64"/>
  <c r="P64"/>
  <c r="BZ64" s="1"/>
  <c r="O64"/>
  <c r="BV64" s="1"/>
  <c r="N64"/>
  <c r="BR64" s="1"/>
  <c r="M64"/>
  <c r="BN64" s="1"/>
  <c r="L64"/>
  <c r="BJ64" s="1"/>
  <c r="K64"/>
  <c r="J64"/>
  <c r="AL64" s="1"/>
  <c r="I64"/>
  <c r="CC64" s="1"/>
  <c r="H64"/>
  <c r="G64"/>
  <c r="BY64" s="1"/>
  <c r="F64"/>
  <c r="BU64" s="1"/>
  <c r="E64"/>
  <c r="BQ64" s="1"/>
  <c r="D64"/>
  <c r="BM64" s="1"/>
  <c r="C64"/>
  <c r="BI64" s="1"/>
  <c r="DS63"/>
  <c r="DR63"/>
  <c r="DQ63"/>
  <c r="DP63"/>
  <c r="DO63"/>
  <c r="CS63"/>
  <c r="AJ63"/>
  <c r="AI63"/>
  <c r="AH63"/>
  <c r="AG63"/>
  <c r="AE63"/>
  <c r="AC63"/>
  <c r="AB63"/>
  <c r="AN63" s="1"/>
  <c r="AA63"/>
  <c r="CE63" s="1"/>
  <c r="Z63"/>
  <c r="Y63"/>
  <c r="CA63" s="1"/>
  <c r="X63"/>
  <c r="BW63" s="1"/>
  <c r="W63"/>
  <c r="BS63" s="1"/>
  <c r="V63"/>
  <c r="BO63" s="1"/>
  <c r="U63"/>
  <c r="BK63" s="1"/>
  <c r="T63"/>
  <c r="S63"/>
  <c r="AM63" s="1"/>
  <c r="R63"/>
  <c r="CD63" s="1"/>
  <c r="Q63"/>
  <c r="P63"/>
  <c r="BZ63" s="1"/>
  <c r="O63"/>
  <c r="BV63" s="1"/>
  <c r="N63"/>
  <c r="BR63" s="1"/>
  <c r="M63"/>
  <c r="BN63" s="1"/>
  <c r="L63"/>
  <c r="BJ63" s="1"/>
  <c r="K63"/>
  <c r="J63"/>
  <c r="AL63" s="1"/>
  <c r="I63"/>
  <c r="CC63" s="1"/>
  <c r="H63"/>
  <c r="G63"/>
  <c r="BY63" s="1"/>
  <c r="F63"/>
  <c r="BU63" s="1"/>
  <c r="E63"/>
  <c r="BQ63" s="1"/>
  <c r="D63"/>
  <c r="BM63" s="1"/>
  <c r="C63"/>
  <c r="BI63" s="1"/>
  <c r="DS62"/>
  <c r="DR62"/>
  <c r="DQ62"/>
  <c r="DP62"/>
  <c r="DO62"/>
  <c r="CS62"/>
  <c r="AJ62"/>
  <c r="AI62"/>
  <c r="AH62"/>
  <c r="AG62"/>
  <c r="AP62" s="1"/>
  <c r="AE62"/>
  <c r="AC62"/>
  <c r="AB62"/>
  <c r="AN62" s="1"/>
  <c r="AA62"/>
  <c r="CE62" s="1"/>
  <c r="Z62"/>
  <c r="Y62"/>
  <c r="CA62" s="1"/>
  <c r="X62"/>
  <c r="BW62" s="1"/>
  <c r="W62"/>
  <c r="BS62" s="1"/>
  <c r="V62"/>
  <c r="BO62" s="1"/>
  <c r="U62"/>
  <c r="BK62" s="1"/>
  <c r="T62"/>
  <c r="S62"/>
  <c r="AM62" s="1"/>
  <c r="R62"/>
  <c r="CD62" s="1"/>
  <c r="Q62"/>
  <c r="P62"/>
  <c r="BZ62" s="1"/>
  <c r="O62"/>
  <c r="BV62" s="1"/>
  <c r="N62"/>
  <c r="BR62" s="1"/>
  <c r="M62"/>
  <c r="BN62" s="1"/>
  <c r="L62"/>
  <c r="BJ62" s="1"/>
  <c r="K62"/>
  <c r="J62"/>
  <c r="AL62" s="1"/>
  <c r="I62"/>
  <c r="CC62" s="1"/>
  <c r="H62"/>
  <c r="G62"/>
  <c r="BY62" s="1"/>
  <c r="F62"/>
  <c r="BU62" s="1"/>
  <c r="E62"/>
  <c r="BQ62" s="1"/>
  <c r="D62"/>
  <c r="BM62" s="1"/>
  <c r="C62"/>
  <c r="BI62" s="1"/>
  <c r="DS61"/>
  <c r="DR61"/>
  <c r="DQ61"/>
  <c r="DP61"/>
  <c r="DO61"/>
  <c r="CS61"/>
  <c r="AJ61"/>
  <c r="AI61"/>
  <c r="AH61"/>
  <c r="AG61"/>
  <c r="AP61" s="1"/>
  <c r="AE61"/>
  <c r="AC61"/>
  <c r="AB61"/>
  <c r="AN61" s="1"/>
  <c r="AA61"/>
  <c r="CE61" s="1"/>
  <c r="Z61"/>
  <c r="Y61"/>
  <c r="CA61" s="1"/>
  <c r="X61"/>
  <c r="BW61" s="1"/>
  <c r="W61"/>
  <c r="BS61" s="1"/>
  <c r="V61"/>
  <c r="BO61" s="1"/>
  <c r="U61"/>
  <c r="BK61" s="1"/>
  <c r="T61"/>
  <c r="S61"/>
  <c r="AM61" s="1"/>
  <c r="R61"/>
  <c r="CD61" s="1"/>
  <c r="Q61"/>
  <c r="P61"/>
  <c r="BZ61" s="1"/>
  <c r="O61"/>
  <c r="BV61" s="1"/>
  <c r="N61"/>
  <c r="BR61" s="1"/>
  <c r="M61"/>
  <c r="BN61" s="1"/>
  <c r="L61"/>
  <c r="BJ61" s="1"/>
  <c r="K61"/>
  <c r="J61"/>
  <c r="AL61" s="1"/>
  <c r="I61"/>
  <c r="CC61" s="1"/>
  <c r="H61"/>
  <c r="G61"/>
  <c r="BY61" s="1"/>
  <c r="F61"/>
  <c r="BU61" s="1"/>
  <c r="E61"/>
  <c r="BQ61" s="1"/>
  <c r="D61"/>
  <c r="BM61" s="1"/>
  <c r="C61"/>
  <c r="BI61" s="1"/>
  <c r="DS60"/>
  <c r="DR60"/>
  <c r="DQ60"/>
  <c r="DP60"/>
  <c r="DO60"/>
  <c r="CS60"/>
  <c r="AJ60"/>
  <c r="AI60"/>
  <c r="AH60"/>
  <c r="AG60"/>
  <c r="AE60"/>
  <c r="AC60"/>
  <c r="AB60"/>
  <c r="AN60" s="1"/>
  <c r="AA60"/>
  <c r="CE60" s="1"/>
  <c r="Z60"/>
  <c r="Y60"/>
  <c r="CA60" s="1"/>
  <c r="X60"/>
  <c r="BW60" s="1"/>
  <c r="W60"/>
  <c r="BS60" s="1"/>
  <c r="V60"/>
  <c r="BO60" s="1"/>
  <c r="U60"/>
  <c r="BK60" s="1"/>
  <c r="T60"/>
  <c r="S60"/>
  <c r="AM60" s="1"/>
  <c r="R60"/>
  <c r="CD60" s="1"/>
  <c r="Q60"/>
  <c r="P60"/>
  <c r="BZ60" s="1"/>
  <c r="O60"/>
  <c r="BV60" s="1"/>
  <c r="N60"/>
  <c r="BR60" s="1"/>
  <c r="M60"/>
  <c r="BN60" s="1"/>
  <c r="L60"/>
  <c r="BJ60" s="1"/>
  <c r="K60"/>
  <c r="J60"/>
  <c r="AL60" s="1"/>
  <c r="I60"/>
  <c r="CC60" s="1"/>
  <c r="H60"/>
  <c r="G60"/>
  <c r="BY60" s="1"/>
  <c r="F60"/>
  <c r="BU60" s="1"/>
  <c r="E60"/>
  <c r="BQ60" s="1"/>
  <c r="D60"/>
  <c r="BM60" s="1"/>
  <c r="C60"/>
  <c r="BI60" s="1"/>
  <c r="DS59"/>
  <c r="DR59"/>
  <c r="DQ59"/>
  <c r="DP59"/>
  <c r="DO59"/>
  <c r="CS59"/>
  <c r="AJ59"/>
  <c r="AI59"/>
  <c r="AH59"/>
  <c r="AG59"/>
  <c r="AP59" s="1"/>
  <c r="AE59"/>
  <c r="AC59"/>
  <c r="AB59"/>
  <c r="AN59" s="1"/>
  <c r="AA59"/>
  <c r="CE59" s="1"/>
  <c r="Z59"/>
  <c r="Y59"/>
  <c r="CA59" s="1"/>
  <c r="X59"/>
  <c r="BW59" s="1"/>
  <c r="W59"/>
  <c r="BS59" s="1"/>
  <c r="V59"/>
  <c r="BO59" s="1"/>
  <c r="U59"/>
  <c r="BK59" s="1"/>
  <c r="T59"/>
  <c r="S59"/>
  <c r="AM59" s="1"/>
  <c r="R59"/>
  <c r="CD59" s="1"/>
  <c r="Q59"/>
  <c r="P59"/>
  <c r="BZ59" s="1"/>
  <c r="O59"/>
  <c r="BV59" s="1"/>
  <c r="N59"/>
  <c r="BR59" s="1"/>
  <c r="M59"/>
  <c r="BN59" s="1"/>
  <c r="L59"/>
  <c r="BJ59" s="1"/>
  <c r="K59"/>
  <c r="J59"/>
  <c r="AL59" s="1"/>
  <c r="I59"/>
  <c r="CC59" s="1"/>
  <c r="H59"/>
  <c r="G59"/>
  <c r="BY59" s="1"/>
  <c r="F59"/>
  <c r="BU59" s="1"/>
  <c r="E59"/>
  <c r="BQ59" s="1"/>
  <c r="D59"/>
  <c r="BM59" s="1"/>
  <c r="C59"/>
  <c r="BI59" s="1"/>
  <c r="DS58"/>
  <c r="DR58"/>
  <c r="DQ58"/>
  <c r="DP58"/>
  <c r="DO58"/>
  <c r="CS58"/>
  <c r="AJ58"/>
  <c r="AI58"/>
  <c r="AH58"/>
  <c r="AG58"/>
  <c r="AE58"/>
  <c r="AC58"/>
  <c r="AB58"/>
  <c r="AN58" s="1"/>
  <c r="AA58"/>
  <c r="CE58" s="1"/>
  <c r="Z58"/>
  <c r="Y58"/>
  <c r="CA58" s="1"/>
  <c r="X58"/>
  <c r="BW58" s="1"/>
  <c r="W58"/>
  <c r="BS58" s="1"/>
  <c r="V58"/>
  <c r="BO58" s="1"/>
  <c r="U58"/>
  <c r="BK58" s="1"/>
  <c r="T58"/>
  <c r="S58"/>
  <c r="AM58" s="1"/>
  <c r="R58"/>
  <c r="CD58" s="1"/>
  <c r="Q58"/>
  <c r="P58"/>
  <c r="BZ58" s="1"/>
  <c r="O58"/>
  <c r="BV58" s="1"/>
  <c r="N58"/>
  <c r="BR58" s="1"/>
  <c r="M58"/>
  <c r="BN58" s="1"/>
  <c r="L58"/>
  <c r="BJ58" s="1"/>
  <c r="K58"/>
  <c r="J58"/>
  <c r="AL58" s="1"/>
  <c r="I58"/>
  <c r="CC58" s="1"/>
  <c r="H58"/>
  <c r="G58"/>
  <c r="BY58" s="1"/>
  <c r="F58"/>
  <c r="BU58" s="1"/>
  <c r="E58"/>
  <c r="BQ58" s="1"/>
  <c r="D58"/>
  <c r="BM58" s="1"/>
  <c r="C58"/>
  <c r="BI58" s="1"/>
  <c r="DS57"/>
  <c r="DR57"/>
  <c r="DQ57"/>
  <c r="DP57"/>
  <c r="DO57"/>
  <c r="CS57"/>
  <c r="AJ57"/>
  <c r="AI57"/>
  <c r="AH57"/>
  <c r="AG57"/>
  <c r="AP57" s="1"/>
  <c r="AE57"/>
  <c r="AC57"/>
  <c r="AB57"/>
  <c r="AN57" s="1"/>
  <c r="AA57"/>
  <c r="CE57" s="1"/>
  <c r="Z57"/>
  <c r="Y57"/>
  <c r="CA57" s="1"/>
  <c r="X57"/>
  <c r="BW57" s="1"/>
  <c r="W57"/>
  <c r="BS57" s="1"/>
  <c r="V57"/>
  <c r="BO57" s="1"/>
  <c r="U57"/>
  <c r="BK57" s="1"/>
  <c r="T57"/>
  <c r="S57"/>
  <c r="AM57" s="1"/>
  <c r="R57"/>
  <c r="CD57" s="1"/>
  <c r="Q57"/>
  <c r="P57"/>
  <c r="BZ57" s="1"/>
  <c r="O57"/>
  <c r="BV57" s="1"/>
  <c r="N57"/>
  <c r="BR57" s="1"/>
  <c r="M57"/>
  <c r="BN57" s="1"/>
  <c r="L57"/>
  <c r="BJ57" s="1"/>
  <c r="K57"/>
  <c r="J57"/>
  <c r="AL57" s="1"/>
  <c r="AO57" s="1"/>
  <c r="I57"/>
  <c r="CC57" s="1"/>
  <c r="H57"/>
  <c r="G57"/>
  <c r="BY57" s="1"/>
  <c r="F57"/>
  <c r="BU57" s="1"/>
  <c r="E57"/>
  <c r="BQ57" s="1"/>
  <c r="D57"/>
  <c r="BM57" s="1"/>
  <c r="C57"/>
  <c r="BI57" s="1"/>
  <c r="DS56"/>
  <c r="DR56"/>
  <c r="DQ56"/>
  <c r="DP56"/>
  <c r="DO56"/>
  <c r="CS56"/>
  <c r="AJ56"/>
  <c r="AI56"/>
  <c r="AH56"/>
  <c r="AG56"/>
  <c r="AE56"/>
  <c r="AC56"/>
  <c r="AB56"/>
  <c r="AN56" s="1"/>
  <c r="AA56"/>
  <c r="CE56" s="1"/>
  <c r="Z56"/>
  <c r="Y56"/>
  <c r="CA56" s="1"/>
  <c r="X56"/>
  <c r="BW56" s="1"/>
  <c r="W56"/>
  <c r="BS56" s="1"/>
  <c r="V56"/>
  <c r="BO56" s="1"/>
  <c r="U56"/>
  <c r="BK56" s="1"/>
  <c r="T56"/>
  <c r="S56"/>
  <c r="AM56" s="1"/>
  <c r="R56"/>
  <c r="CD56" s="1"/>
  <c r="Q56"/>
  <c r="P56"/>
  <c r="BZ56" s="1"/>
  <c r="O56"/>
  <c r="BV56" s="1"/>
  <c r="N56"/>
  <c r="BR56" s="1"/>
  <c r="M56"/>
  <c r="BN56" s="1"/>
  <c r="L56"/>
  <c r="BJ56" s="1"/>
  <c r="K56"/>
  <c r="J56"/>
  <c r="AL56" s="1"/>
  <c r="AO56" s="1"/>
  <c r="I56"/>
  <c r="CC56" s="1"/>
  <c r="H56"/>
  <c r="G56"/>
  <c r="BY56" s="1"/>
  <c r="F56"/>
  <c r="BU56" s="1"/>
  <c r="E56"/>
  <c r="BQ56" s="1"/>
  <c r="D56"/>
  <c r="BM56" s="1"/>
  <c r="C56"/>
  <c r="BI56" s="1"/>
  <c r="DS55"/>
  <c r="DR55"/>
  <c r="DQ55"/>
  <c r="DP55"/>
  <c r="DO55"/>
  <c r="CS55"/>
  <c r="AJ55"/>
  <c r="AI55"/>
  <c r="AH55"/>
  <c r="AG55"/>
  <c r="AE55"/>
  <c r="AC55"/>
  <c r="AB55"/>
  <c r="AN55" s="1"/>
  <c r="AA55"/>
  <c r="CE55" s="1"/>
  <c r="Z55"/>
  <c r="Y55"/>
  <c r="CA55" s="1"/>
  <c r="X55"/>
  <c r="BW55" s="1"/>
  <c r="W55"/>
  <c r="BS55" s="1"/>
  <c r="V55"/>
  <c r="BO55" s="1"/>
  <c r="U55"/>
  <c r="BK55" s="1"/>
  <c r="T55"/>
  <c r="S55"/>
  <c r="AM55" s="1"/>
  <c r="R55"/>
  <c r="CD55" s="1"/>
  <c r="Q55"/>
  <c r="P55"/>
  <c r="BZ55" s="1"/>
  <c r="O55"/>
  <c r="BV55" s="1"/>
  <c r="N55"/>
  <c r="BR55" s="1"/>
  <c r="M55"/>
  <c r="BN55" s="1"/>
  <c r="L55"/>
  <c r="BJ55" s="1"/>
  <c r="K55"/>
  <c r="J55"/>
  <c r="AL55" s="1"/>
  <c r="I55"/>
  <c r="CC55" s="1"/>
  <c r="H55"/>
  <c r="G55"/>
  <c r="BY55" s="1"/>
  <c r="F55"/>
  <c r="BU55" s="1"/>
  <c r="E55"/>
  <c r="BQ55" s="1"/>
  <c r="D55"/>
  <c r="BM55" s="1"/>
  <c r="C55"/>
  <c r="BI55" s="1"/>
  <c r="DS54"/>
  <c r="DR54"/>
  <c r="DQ54"/>
  <c r="DP54"/>
  <c r="DO54"/>
  <c r="CS54"/>
  <c r="AJ54"/>
  <c r="AI54"/>
  <c r="AH54"/>
  <c r="AG54"/>
  <c r="AE54"/>
  <c r="AC54"/>
  <c r="AB54"/>
  <c r="AN54" s="1"/>
  <c r="AA54"/>
  <c r="CE54" s="1"/>
  <c r="Z54"/>
  <c r="Y54"/>
  <c r="CA54" s="1"/>
  <c r="X54"/>
  <c r="BW54" s="1"/>
  <c r="W54"/>
  <c r="BS54" s="1"/>
  <c r="V54"/>
  <c r="BO54" s="1"/>
  <c r="U54"/>
  <c r="BK54" s="1"/>
  <c r="T54"/>
  <c r="S54"/>
  <c r="AM54" s="1"/>
  <c r="R54"/>
  <c r="CD54" s="1"/>
  <c r="Q54"/>
  <c r="P54"/>
  <c r="BZ54" s="1"/>
  <c r="O54"/>
  <c r="BV54" s="1"/>
  <c r="N54"/>
  <c r="BR54" s="1"/>
  <c r="M54"/>
  <c r="BN54" s="1"/>
  <c r="L54"/>
  <c r="BJ54" s="1"/>
  <c r="K54"/>
  <c r="J54"/>
  <c r="AL54" s="1"/>
  <c r="I54"/>
  <c r="CC54" s="1"/>
  <c r="H54"/>
  <c r="G54"/>
  <c r="BY54" s="1"/>
  <c r="F54"/>
  <c r="BU54" s="1"/>
  <c r="E54"/>
  <c r="BQ54" s="1"/>
  <c r="D54"/>
  <c r="BM54" s="1"/>
  <c r="C54"/>
  <c r="BI54" s="1"/>
  <c r="DS53"/>
  <c r="DR53"/>
  <c r="DQ53"/>
  <c r="DP53"/>
  <c r="DO53"/>
  <c r="CS53"/>
  <c r="AJ53"/>
  <c r="AI53"/>
  <c r="AH53"/>
  <c r="AG53"/>
  <c r="AE53"/>
  <c r="AC53"/>
  <c r="AB53"/>
  <c r="AN53" s="1"/>
  <c r="AA53"/>
  <c r="CE53" s="1"/>
  <c r="Z53"/>
  <c r="Y53"/>
  <c r="CA53" s="1"/>
  <c r="X53"/>
  <c r="BW53" s="1"/>
  <c r="W53"/>
  <c r="BS53" s="1"/>
  <c r="V53"/>
  <c r="BO53" s="1"/>
  <c r="U53"/>
  <c r="BK53" s="1"/>
  <c r="T53"/>
  <c r="S53"/>
  <c r="AM53" s="1"/>
  <c r="R53"/>
  <c r="CD53" s="1"/>
  <c r="Q53"/>
  <c r="P53"/>
  <c r="BZ53" s="1"/>
  <c r="O53"/>
  <c r="BV53" s="1"/>
  <c r="N53"/>
  <c r="BR53" s="1"/>
  <c r="M53"/>
  <c r="BN53" s="1"/>
  <c r="L53"/>
  <c r="BJ53" s="1"/>
  <c r="K53"/>
  <c r="J53"/>
  <c r="AL53" s="1"/>
  <c r="I53"/>
  <c r="CC53" s="1"/>
  <c r="H53"/>
  <c r="G53"/>
  <c r="BY53" s="1"/>
  <c r="F53"/>
  <c r="BU53" s="1"/>
  <c r="E53"/>
  <c r="BQ53" s="1"/>
  <c r="D53"/>
  <c r="BM53" s="1"/>
  <c r="C53"/>
  <c r="BI53" s="1"/>
  <c r="DS52"/>
  <c r="DR52"/>
  <c r="DQ52"/>
  <c r="DP52"/>
  <c r="DO52"/>
  <c r="CS52"/>
  <c r="AJ52"/>
  <c r="AI52"/>
  <c r="AH52"/>
  <c r="AG52"/>
  <c r="AP52" s="1"/>
  <c r="AE52"/>
  <c r="AC52"/>
  <c r="AB52"/>
  <c r="AN52" s="1"/>
  <c r="AA52"/>
  <c r="CE52" s="1"/>
  <c r="Z52"/>
  <c r="Y52"/>
  <c r="CA52" s="1"/>
  <c r="X52"/>
  <c r="BW52" s="1"/>
  <c r="W52"/>
  <c r="BS52" s="1"/>
  <c r="V52"/>
  <c r="BO52" s="1"/>
  <c r="U52"/>
  <c r="BK52" s="1"/>
  <c r="T52"/>
  <c r="S52"/>
  <c r="AM52" s="1"/>
  <c r="R52"/>
  <c r="CD52" s="1"/>
  <c r="Q52"/>
  <c r="P52"/>
  <c r="BZ52" s="1"/>
  <c r="O52"/>
  <c r="BV52" s="1"/>
  <c r="N52"/>
  <c r="BR52" s="1"/>
  <c r="M52"/>
  <c r="BN52" s="1"/>
  <c r="L52"/>
  <c r="BJ52" s="1"/>
  <c r="K52"/>
  <c r="J52"/>
  <c r="AL52" s="1"/>
  <c r="I52"/>
  <c r="CC52" s="1"/>
  <c r="H52"/>
  <c r="G52"/>
  <c r="BY52" s="1"/>
  <c r="F52"/>
  <c r="BU52" s="1"/>
  <c r="E52"/>
  <c r="BQ52" s="1"/>
  <c r="D52"/>
  <c r="BM52" s="1"/>
  <c r="C52"/>
  <c r="BI52" s="1"/>
  <c r="DS51"/>
  <c r="DR51"/>
  <c r="DQ51"/>
  <c r="DP51"/>
  <c r="DO51"/>
  <c r="CS51"/>
  <c r="AJ51"/>
  <c r="AI51"/>
  <c r="AH51"/>
  <c r="AG51"/>
  <c r="AE51"/>
  <c r="AC51"/>
  <c r="AB51"/>
  <c r="AN51" s="1"/>
  <c r="AA51"/>
  <c r="CE51" s="1"/>
  <c r="Z51"/>
  <c r="Y51"/>
  <c r="CA51" s="1"/>
  <c r="X51"/>
  <c r="BW51" s="1"/>
  <c r="W51"/>
  <c r="BS51" s="1"/>
  <c r="V51"/>
  <c r="BO51" s="1"/>
  <c r="U51"/>
  <c r="BK51" s="1"/>
  <c r="T51"/>
  <c r="S51"/>
  <c r="AM51" s="1"/>
  <c r="R51"/>
  <c r="CD51" s="1"/>
  <c r="Q51"/>
  <c r="P51"/>
  <c r="BZ51" s="1"/>
  <c r="O51"/>
  <c r="BV51" s="1"/>
  <c r="N51"/>
  <c r="BR51" s="1"/>
  <c r="M51"/>
  <c r="BN51" s="1"/>
  <c r="L51"/>
  <c r="BJ51" s="1"/>
  <c r="K51"/>
  <c r="J51"/>
  <c r="AL51" s="1"/>
  <c r="I51"/>
  <c r="CC51" s="1"/>
  <c r="H51"/>
  <c r="G51"/>
  <c r="BY51" s="1"/>
  <c r="F51"/>
  <c r="BU51" s="1"/>
  <c r="E51"/>
  <c r="BQ51" s="1"/>
  <c r="D51"/>
  <c r="BM51" s="1"/>
  <c r="C51"/>
  <c r="BI51" s="1"/>
  <c r="DS50"/>
  <c r="DR50"/>
  <c r="DQ50"/>
  <c r="DP50"/>
  <c r="DO50"/>
  <c r="CS50"/>
  <c r="AJ50"/>
  <c r="AI50"/>
  <c r="AH50"/>
  <c r="AG50"/>
  <c r="AE50"/>
  <c r="AC50"/>
  <c r="AB50"/>
  <c r="AN50" s="1"/>
  <c r="AA50"/>
  <c r="CE50" s="1"/>
  <c r="Z50"/>
  <c r="Y50"/>
  <c r="CA50" s="1"/>
  <c r="X50"/>
  <c r="BW50" s="1"/>
  <c r="W50"/>
  <c r="BS50" s="1"/>
  <c r="V50"/>
  <c r="BO50" s="1"/>
  <c r="U50"/>
  <c r="BK50" s="1"/>
  <c r="T50"/>
  <c r="S50"/>
  <c r="AM50" s="1"/>
  <c r="R50"/>
  <c r="CD50" s="1"/>
  <c r="Q50"/>
  <c r="P50"/>
  <c r="BZ50" s="1"/>
  <c r="O50"/>
  <c r="BV50" s="1"/>
  <c r="N50"/>
  <c r="BR50" s="1"/>
  <c r="M50"/>
  <c r="BN50" s="1"/>
  <c r="L50"/>
  <c r="BJ50" s="1"/>
  <c r="K50"/>
  <c r="J50"/>
  <c r="AL50" s="1"/>
  <c r="I50"/>
  <c r="CC50" s="1"/>
  <c r="H50"/>
  <c r="G50"/>
  <c r="BY50" s="1"/>
  <c r="F50"/>
  <c r="BU50" s="1"/>
  <c r="E50"/>
  <c r="BQ50" s="1"/>
  <c r="D50"/>
  <c r="BM50" s="1"/>
  <c r="C50"/>
  <c r="BI50" s="1"/>
  <c r="DS49"/>
  <c r="DR49"/>
  <c r="DQ49"/>
  <c r="DP49"/>
  <c r="DO49"/>
  <c r="CS49"/>
  <c r="AJ49"/>
  <c r="AI49"/>
  <c r="AH49"/>
  <c r="AG49"/>
  <c r="AE49"/>
  <c r="AC49"/>
  <c r="AB49"/>
  <c r="AN49" s="1"/>
  <c r="AA49"/>
  <c r="CE49" s="1"/>
  <c r="Z49"/>
  <c r="Y49"/>
  <c r="CA49" s="1"/>
  <c r="X49"/>
  <c r="BW49" s="1"/>
  <c r="W49"/>
  <c r="BS49" s="1"/>
  <c r="V49"/>
  <c r="BO49" s="1"/>
  <c r="U49"/>
  <c r="BK49" s="1"/>
  <c r="T49"/>
  <c r="S49"/>
  <c r="AM49" s="1"/>
  <c r="R49"/>
  <c r="CD49" s="1"/>
  <c r="Q49"/>
  <c r="P49"/>
  <c r="BZ49" s="1"/>
  <c r="O49"/>
  <c r="BV49" s="1"/>
  <c r="N49"/>
  <c r="BR49" s="1"/>
  <c r="M49"/>
  <c r="BN49" s="1"/>
  <c r="L49"/>
  <c r="BJ49" s="1"/>
  <c r="K49"/>
  <c r="J49"/>
  <c r="AL49" s="1"/>
  <c r="I49"/>
  <c r="CC49" s="1"/>
  <c r="H49"/>
  <c r="G49"/>
  <c r="BY49" s="1"/>
  <c r="F49"/>
  <c r="BU49" s="1"/>
  <c r="E49"/>
  <c r="BQ49" s="1"/>
  <c r="D49"/>
  <c r="BM49" s="1"/>
  <c r="C49"/>
  <c r="BI49" s="1"/>
  <c r="DS48"/>
  <c r="DR48"/>
  <c r="DQ48"/>
  <c r="DP48"/>
  <c r="DO48"/>
  <c r="CS48"/>
  <c r="AJ48"/>
  <c r="AI48"/>
  <c r="AH48"/>
  <c r="AG48"/>
  <c r="AE48"/>
  <c r="AC48"/>
  <c r="AB48"/>
  <c r="AN48" s="1"/>
  <c r="AA48"/>
  <c r="CE48" s="1"/>
  <c r="Z48"/>
  <c r="Y48"/>
  <c r="CA48" s="1"/>
  <c r="X48"/>
  <c r="BW48" s="1"/>
  <c r="W48"/>
  <c r="BS48" s="1"/>
  <c r="V48"/>
  <c r="BO48" s="1"/>
  <c r="U48"/>
  <c r="BK48" s="1"/>
  <c r="T48"/>
  <c r="S48"/>
  <c r="AM48" s="1"/>
  <c r="R48"/>
  <c r="CD48" s="1"/>
  <c r="Q48"/>
  <c r="P48"/>
  <c r="BZ48" s="1"/>
  <c r="O48"/>
  <c r="BV48" s="1"/>
  <c r="N48"/>
  <c r="BR48" s="1"/>
  <c r="M48"/>
  <c r="BN48" s="1"/>
  <c r="L48"/>
  <c r="BJ48" s="1"/>
  <c r="K48"/>
  <c r="J48"/>
  <c r="AL48" s="1"/>
  <c r="I48"/>
  <c r="CC48" s="1"/>
  <c r="H48"/>
  <c r="G48"/>
  <c r="BY48" s="1"/>
  <c r="F48"/>
  <c r="BU48" s="1"/>
  <c r="E48"/>
  <c r="BQ48" s="1"/>
  <c r="D48"/>
  <c r="BM48" s="1"/>
  <c r="C48"/>
  <c r="BI48" s="1"/>
  <c r="DS47"/>
  <c r="DR47"/>
  <c r="DQ47"/>
  <c r="DP47"/>
  <c r="DO47"/>
  <c r="CS47"/>
  <c r="AJ47"/>
  <c r="AI47"/>
  <c r="AH47"/>
  <c r="AG47"/>
  <c r="AP47" s="1"/>
  <c r="AE47"/>
  <c r="AC47"/>
  <c r="AB47"/>
  <c r="AN47" s="1"/>
  <c r="AA47"/>
  <c r="CE47" s="1"/>
  <c r="Z47"/>
  <c r="Y47"/>
  <c r="CA47" s="1"/>
  <c r="X47"/>
  <c r="BW47" s="1"/>
  <c r="W47"/>
  <c r="BS47" s="1"/>
  <c r="V47"/>
  <c r="BO47" s="1"/>
  <c r="U47"/>
  <c r="BK47" s="1"/>
  <c r="T47"/>
  <c r="S47"/>
  <c r="AM47" s="1"/>
  <c r="R47"/>
  <c r="CD47" s="1"/>
  <c r="Q47"/>
  <c r="P47"/>
  <c r="BZ47" s="1"/>
  <c r="O47"/>
  <c r="BV47" s="1"/>
  <c r="N47"/>
  <c r="BR47" s="1"/>
  <c r="M47"/>
  <c r="BN47" s="1"/>
  <c r="L47"/>
  <c r="BJ47" s="1"/>
  <c r="K47"/>
  <c r="J47"/>
  <c r="AL47" s="1"/>
  <c r="I47"/>
  <c r="CC47" s="1"/>
  <c r="H47"/>
  <c r="G47"/>
  <c r="BY47" s="1"/>
  <c r="F47"/>
  <c r="BU47" s="1"/>
  <c r="E47"/>
  <c r="BQ47" s="1"/>
  <c r="D47"/>
  <c r="BM47" s="1"/>
  <c r="C47"/>
  <c r="BI47" s="1"/>
  <c r="DS46"/>
  <c r="DR46"/>
  <c r="DQ46"/>
  <c r="DP46"/>
  <c r="DO46"/>
  <c r="CS46"/>
  <c r="AJ46"/>
  <c r="AI46"/>
  <c r="AH46"/>
  <c r="AG46"/>
  <c r="AE46"/>
  <c r="AC46"/>
  <c r="AB46"/>
  <c r="AN46" s="1"/>
  <c r="AA46"/>
  <c r="CE46" s="1"/>
  <c r="Z46"/>
  <c r="Y46"/>
  <c r="CA46" s="1"/>
  <c r="X46"/>
  <c r="BW46" s="1"/>
  <c r="W46"/>
  <c r="BS46" s="1"/>
  <c r="V46"/>
  <c r="BO46" s="1"/>
  <c r="U46"/>
  <c r="BK46" s="1"/>
  <c r="T46"/>
  <c r="S46"/>
  <c r="AM46" s="1"/>
  <c r="R46"/>
  <c r="CD46" s="1"/>
  <c r="Q46"/>
  <c r="P46"/>
  <c r="BZ46" s="1"/>
  <c r="O46"/>
  <c r="BV46" s="1"/>
  <c r="N46"/>
  <c r="BR46" s="1"/>
  <c r="M46"/>
  <c r="BN46" s="1"/>
  <c r="L46"/>
  <c r="BJ46" s="1"/>
  <c r="K46"/>
  <c r="J46"/>
  <c r="AL46" s="1"/>
  <c r="I46"/>
  <c r="CC46" s="1"/>
  <c r="H46"/>
  <c r="G46"/>
  <c r="BY46" s="1"/>
  <c r="F46"/>
  <c r="BU46" s="1"/>
  <c r="E46"/>
  <c r="BQ46" s="1"/>
  <c r="D46"/>
  <c r="BM46" s="1"/>
  <c r="C46"/>
  <c r="BI46" s="1"/>
  <c r="DS45"/>
  <c r="DR45"/>
  <c r="DQ45"/>
  <c r="DP45"/>
  <c r="DO45"/>
  <c r="CS45"/>
  <c r="AJ45"/>
  <c r="AI45"/>
  <c r="AH45"/>
  <c r="AG45"/>
  <c r="AE45"/>
  <c r="AC45"/>
  <c r="AB45"/>
  <c r="AN45" s="1"/>
  <c r="AA45"/>
  <c r="CE45" s="1"/>
  <c r="Z45"/>
  <c r="Y45"/>
  <c r="CA45" s="1"/>
  <c r="X45"/>
  <c r="BW45" s="1"/>
  <c r="W45"/>
  <c r="BS45" s="1"/>
  <c r="V45"/>
  <c r="BO45" s="1"/>
  <c r="U45"/>
  <c r="BK45" s="1"/>
  <c r="T45"/>
  <c r="S45"/>
  <c r="AM45" s="1"/>
  <c r="R45"/>
  <c r="CD45" s="1"/>
  <c r="Q45"/>
  <c r="P45"/>
  <c r="BZ45" s="1"/>
  <c r="O45"/>
  <c r="BV45" s="1"/>
  <c r="N45"/>
  <c r="BR45" s="1"/>
  <c r="M45"/>
  <c r="BN45" s="1"/>
  <c r="L45"/>
  <c r="BJ45" s="1"/>
  <c r="K45"/>
  <c r="J45"/>
  <c r="AL45" s="1"/>
  <c r="I45"/>
  <c r="CC45" s="1"/>
  <c r="H45"/>
  <c r="G45"/>
  <c r="BY45" s="1"/>
  <c r="F45"/>
  <c r="BU45" s="1"/>
  <c r="E45"/>
  <c r="BQ45" s="1"/>
  <c r="D45"/>
  <c r="BM45" s="1"/>
  <c r="C45"/>
  <c r="BI45" s="1"/>
  <c r="DS44"/>
  <c r="DR44"/>
  <c r="DQ44"/>
  <c r="DP44"/>
  <c r="DO44"/>
  <c r="CS44"/>
  <c r="AJ44"/>
  <c r="AI44"/>
  <c r="AH44"/>
  <c r="AG44"/>
  <c r="AP44" s="1"/>
  <c r="AE44"/>
  <c r="AC44"/>
  <c r="AB44"/>
  <c r="AN44" s="1"/>
  <c r="AA44"/>
  <c r="CE44" s="1"/>
  <c r="Z44"/>
  <c r="Y44"/>
  <c r="CA44" s="1"/>
  <c r="X44"/>
  <c r="BW44" s="1"/>
  <c r="W44"/>
  <c r="BS44" s="1"/>
  <c r="V44"/>
  <c r="BO44" s="1"/>
  <c r="U44"/>
  <c r="BK44" s="1"/>
  <c r="T44"/>
  <c r="S44"/>
  <c r="AM44" s="1"/>
  <c r="R44"/>
  <c r="CD44" s="1"/>
  <c r="Q44"/>
  <c r="P44"/>
  <c r="BZ44" s="1"/>
  <c r="O44"/>
  <c r="BV44" s="1"/>
  <c r="N44"/>
  <c r="BR44" s="1"/>
  <c r="M44"/>
  <c r="BN44" s="1"/>
  <c r="L44"/>
  <c r="BJ44" s="1"/>
  <c r="K44"/>
  <c r="J44"/>
  <c r="AL44" s="1"/>
  <c r="I44"/>
  <c r="CC44" s="1"/>
  <c r="H44"/>
  <c r="G44"/>
  <c r="BY44" s="1"/>
  <c r="F44"/>
  <c r="BU44" s="1"/>
  <c r="E44"/>
  <c r="BQ44" s="1"/>
  <c r="D44"/>
  <c r="BM44" s="1"/>
  <c r="C44"/>
  <c r="BI44" s="1"/>
  <c r="DS43"/>
  <c r="DR43"/>
  <c r="DQ43"/>
  <c r="DP43"/>
  <c r="DO43"/>
  <c r="CS43"/>
  <c r="AJ43"/>
  <c r="AI43"/>
  <c r="AH43"/>
  <c r="AG43"/>
  <c r="AE43"/>
  <c r="AC43"/>
  <c r="AB43"/>
  <c r="AN43" s="1"/>
  <c r="AA43"/>
  <c r="CE43" s="1"/>
  <c r="Z43"/>
  <c r="Y43"/>
  <c r="CA43" s="1"/>
  <c r="X43"/>
  <c r="BW43" s="1"/>
  <c r="W43"/>
  <c r="BS43" s="1"/>
  <c r="V43"/>
  <c r="BO43" s="1"/>
  <c r="U43"/>
  <c r="BK43" s="1"/>
  <c r="T43"/>
  <c r="S43"/>
  <c r="AM43" s="1"/>
  <c r="R43"/>
  <c r="CD43" s="1"/>
  <c r="Q43"/>
  <c r="P43"/>
  <c r="BZ43" s="1"/>
  <c r="O43"/>
  <c r="BV43" s="1"/>
  <c r="N43"/>
  <c r="BR43" s="1"/>
  <c r="M43"/>
  <c r="BN43" s="1"/>
  <c r="L43"/>
  <c r="BJ43" s="1"/>
  <c r="K43"/>
  <c r="J43"/>
  <c r="AL43" s="1"/>
  <c r="I43"/>
  <c r="CC43" s="1"/>
  <c r="H43"/>
  <c r="G43"/>
  <c r="BY43" s="1"/>
  <c r="F43"/>
  <c r="BU43" s="1"/>
  <c r="E43"/>
  <c r="BQ43" s="1"/>
  <c r="D43"/>
  <c r="BM43" s="1"/>
  <c r="C43"/>
  <c r="BI43" s="1"/>
  <c r="DS42"/>
  <c r="DR42"/>
  <c r="DQ42"/>
  <c r="DP42"/>
  <c r="DO42"/>
  <c r="CS42"/>
  <c r="AJ42"/>
  <c r="AI42"/>
  <c r="AH42"/>
  <c r="AG42"/>
  <c r="AE42"/>
  <c r="AC42"/>
  <c r="AB42"/>
  <c r="AN42" s="1"/>
  <c r="AA42"/>
  <c r="CE42" s="1"/>
  <c r="Z42"/>
  <c r="Y42"/>
  <c r="CA42" s="1"/>
  <c r="X42"/>
  <c r="BW42" s="1"/>
  <c r="W42"/>
  <c r="BS42" s="1"/>
  <c r="V42"/>
  <c r="BO42" s="1"/>
  <c r="U42"/>
  <c r="BK42" s="1"/>
  <c r="T42"/>
  <c r="S42"/>
  <c r="AM42" s="1"/>
  <c r="R42"/>
  <c r="CD42" s="1"/>
  <c r="Q42"/>
  <c r="P42"/>
  <c r="BZ42" s="1"/>
  <c r="O42"/>
  <c r="BV42" s="1"/>
  <c r="N42"/>
  <c r="BR42" s="1"/>
  <c r="M42"/>
  <c r="BN42" s="1"/>
  <c r="L42"/>
  <c r="BJ42" s="1"/>
  <c r="K42"/>
  <c r="J42"/>
  <c r="AL42" s="1"/>
  <c r="I42"/>
  <c r="CC42" s="1"/>
  <c r="H42"/>
  <c r="G42"/>
  <c r="BY42" s="1"/>
  <c r="F42"/>
  <c r="BU42" s="1"/>
  <c r="E42"/>
  <c r="BQ42" s="1"/>
  <c r="D42"/>
  <c r="BM42" s="1"/>
  <c r="C42"/>
  <c r="BI42" s="1"/>
  <c r="DS41"/>
  <c r="DR41"/>
  <c r="DQ41"/>
  <c r="DP41"/>
  <c r="DO41"/>
  <c r="CS41"/>
  <c r="AJ41"/>
  <c r="AI41"/>
  <c r="AH41"/>
  <c r="AG41"/>
  <c r="AP41" s="1"/>
  <c r="AE41"/>
  <c r="AC41"/>
  <c r="AB41"/>
  <c r="AN41" s="1"/>
  <c r="AA41"/>
  <c r="CE41" s="1"/>
  <c r="Z41"/>
  <c r="Y41"/>
  <c r="CA41" s="1"/>
  <c r="X41"/>
  <c r="BW41" s="1"/>
  <c r="W41"/>
  <c r="BS41" s="1"/>
  <c r="V41"/>
  <c r="BO41" s="1"/>
  <c r="U41"/>
  <c r="BK41" s="1"/>
  <c r="T41"/>
  <c r="S41"/>
  <c r="AM41" s="1"/>
  <c r="R41"/>
  <c r="CD41" s="1"/>
  <c r="Q41"/>
  <c r="P41"/>
  <c r="BZ41" s="1"/>
  <c r="O41"/>
  <c r="BV41" s="1"/>
  <c r="N41"/>
  <c r="BR41" s="1"/>
  <c r="M41"/>
  <c r="BN41" s="1"/>
  <c r="L41"/>
  <c r="BJ41" s="1"/>
  <c r="K41"/>
  <c r="J41"/>
  <c r="AL41" s="1"/>
  <c r="I41"/>
  <c r="CC41" s="1"/>
  <c r="H41"/>
  <c r="G41"/>
  <c r="BY41" s="1"/>
  <c r="F41"/>
  <c r="BU41" s="1"/>
  <c r="E41"/>
  <c r="BQ41" s="1"/>
  <c r="D41"/>
  <c r="BM41" s="1"/>
  <c r="C41"/>
  <c r="BI41" s="1"/>
  <c r="DS40"/>
  <c r="DR40"/>
  <c r="DQ40"/>
  <c r="DP40"/>
  <c r="DO40"/>
  <c r="CS40"/>
  <c r="AJ40"/>
  <c r="AI40"/>
  <c r="AH40"/>
  <c r="AG40"/>
  <c r="AE40"/>
  <c r="AC40"/>
  <c r="AB40"/>
  <c r="AN40" s="1"/>
  <c r="AA40"/>
  <c r="CE40" s="1"/>
  <c r="Z40"/>
  <c r="Y40"/>
  <c r="CA40" s="1"/>
  <c r="X40"/>
  <c r="BW40" s="1"/>
  <c r="W40"/>
  <c r="BS40" s="1"/>
  <c r="V40"/>
  <c r="BO40" s="1"/>
  <c r="U40"/>
  <c r="BK40" s="1"/>
  <c r="T40"/>
  <c r="S40"/>
  <c r="AM40" s="1"/>
  <c r="R40"/>
  <c r="CD40" s="1"/>
  <c r="Q40"/>
  <c r="P40"/>
  <c r="BZ40" s="1"/>
  <c r="O40"/>
  <c r="BV40" s="1"/>
  <c r="N40"/>
  <c r="BR40" s="1"/>
  <c r="M40"/>
  <c r="BN40" s="1"/>
  <c r="L40"/>
  <c r="BJ40" s="1"/>
  <c r="K40"/>
  <c r="J40"/>
  <c r="AL40" s="1"/>
  <c r="I40"/>
  <c r="CC40" s="1"/>
  <c r="H40"/>
  <c r="G40"/>
  <c r="BY40" s="1"/>
  <c r="F40"/>
  <c r="BU40" s="1"/>
  <c r="E40"/>
  <c r="BQ40" s="1"/>
  <c r="D40"/>
  <c r="BM40" s="1"/>
  <c r="C40"/>
  <c r="BI40" s="1"/>
  <c r="DS39"/>
  <c r="DR39"/>
  <c r="DQ39"/>
  <c r="DP39"/>
  <c r="DO39"/>
  <c r="CS39"/>
  <c r="AJ39"/>
  <c r="AI39"/>
  <c r="AH39"/>
  <c r="AG39"/>
  <c r="AE39"/>
  <c r="AC39"/>
  <c r="AB39"/>
  <c r="AN39" s="1"/>
  <c r="AA39"/>
  <c r="CE39" s="1"/>
  <c r="Z39"/>
  <c r="Y39"/>
  <c r="CA39" s="1"/>
  <c r="X39"/>
  <c r="BW39" s="1"/>
  <c r="W39"/>
  <c r="BS39" s="1"/>
  <c r="V39"/>
  <c r="BO39" s="1"/>
  <c r="U39"/>
  <c r="BK39" s="1"/>
  <c r="T39"/>
  <c r="S39"/>
  <c r="AM39" s="1"/>
  <c r="R39"/>
  <c r="CD39" s="1"/>
  <c r="Q39"/>
  <c r="P39"/>
  <c r="BZ39" s="1"/>
  <c r="O39"/>
  <c r="BV39" s="1"/>
  <c r="N39"/>
  <c r="BR39" s="1"/>
  <c r="M39"/>
  <c r="BN39" s="1"/>
  <c r="L39"/>
  <c r="BJ39" s="1"/>
  <c r="K39"/>
  <c r="J39"/>
  <c r="AL39" s="1"/>
  <c r="I39"/>
  <c r="CC39" s="1"/>
  <c r="H39"/>
  <c r="G39"/>
  <c r="BY39" s="1"/>
  <c r="F39"/>
  <c r="BU39" s="1"/>
  <c r="E39"/>
  <c r="BQ39" s="1"/>
  <c r="D39"/>
  <c r="BM39" s="1"/>
  <c r="C39"/>
  <c r="BI39" s="1"/>
  <c r="DS38"/>
  <c r="DR38"/>
  <c r="DQ38"/>
  <c r="DP38"/>
  <c r="DO38"/>
  <c r="CS38"/>
  <c r="AJ38"/>
  <c r="AI38"/>
  <c r="AH38"/>
  <c r="AG38"/>
  <c r="AP38" s="1"/>
  <c r="AE38"/>
  <c r="AC38"/>
  <c r="AB38"/>
  <c r="AN38" s="1"/>
  <c r="AA38"/>
  <c r="CE38" s="1"/>
  <c r="Z38"/>
  <c r="Y38"/>
  <c r="CA38" s="1"/>
  <c r="X38"/>
  <c r="BW38" s="1"/>
  <c r="W38"/>
  <c r="BS38" s="1"/>
  <c r="V38"/>
  <c r="BO38" s="1"/>
  <c r="U38"/>
  <c r="BK38" s="1"/>
  <c r="T38"/>
  <c r="S38"/>
  <c r="AM38" s="1"/>
  <c r="R38"/>
  <c r="CD38" s="1"/>
  <c r="Q38"/>
  <c r="P38"/>
  <c r="BZ38" s="1"/>
  <c r="O38"/>
  <c r="BV38" s="1"/>
  <c r="N38"/>
  <c r="BR38" s="1"/>
  <c r="M38"/>
  <c r="BN38" s="1"/>
  <c r="L38"/>
  <c r="BJ38" s="1"/>
  <c r="K38"/>
  <c r="J38"/>
  <c r="AL38" s="1"/>
  <c r="I38"/>
  <c r="CC38" s="1"/>
  <c r="H38"/>
  <c r="G38"/>
  <c r="BY38" s="1"/>
  <c r="F38"/>
  <c r="BU38" s="1"/>
  <c r="E38"/>
  <c r="BQ38" s="1"/>
  <c r="D38"/>
  <c r="BM38" s="1"/>
  <c r="C38"/>
  <c r="BI38" s="1"/>
  <c r="DS37"/>
  <c r="DR37"/>
  <c r="DQ37"/>
  <c r="DP37"/>
  <c r="DO37"/>
  <c r="CS37"/>
  <c r="AJ37"/>
  <c r="AI37"/>
  <c r="AH37"/>
  <c r="AG37"/>
  <c r="AP37" s="1"/>
  <c r="AE37"/>
  <c r="AC37"/>
  <c r="AB37"/>
  <c r="AN37" s="1"/>
  <c r="AA37"/>
  <c r="CE37" s="1"/>
  <c r="Z37"/>
  <c r="Y37"/>
  <c r="CA37" s="1"/>
  <c r="X37"/>
  <c r="BW37" s="1"/>
  <c r="W37"/>
  <c r="BS37" s="1"/>
  <c r="V37"/>
  <c r="BO37" s="1"/>
  <c r="U37"/>
  <c r="BK37" s="1"/>
  <c r="T37"/>
  <c r="S37"/>
  <c r="AM37" s="1"/>
  <c r="R37"/>
  <c r="CD37" s="1"/>
  <c r="Q37"/>
  <c r="P37"/>
  <c r="BZ37" s="1"/>
  <c r="O37"/>
  <c r="BV37" s="1"/>
  <c r="N37"/>
  <c r="BR37" s="1"/>
  <c r="M37"/>
  <c r="BN37" s="1"/>
  <c r="L37"/>
  <c r="BJ37" s="1"/>
  <c r="K37"/>
  <c r="J37"/>
  <c r="AL37" s="1"/>
  <c r="AO37" s="1"/>
  <c r="I37"/>
  <c r="CC37" s="1"/>
  <c r="H37"/>
  <c r="G37"/>
  <c r="BY37" s="1"/>
  <c r="F37"/>
  <c r="BU37" s="1"/>
  <c r="E37"/>
  <c r="BQ37" s="1"/>
  <c r="D37"/>
  <c r="BM37" s="1"/>
  <c r="C37"/>
  <c r="BI37" s="1"/>
  <c r="DS36"/>
  <c r="DR36"/>
  <c r="DQ36"/>
  <c r="DP36"/>
  <c r="DO36"/>
  <c r="CS36"/>
  <c r="AJ36"/>
  <c r="AI36"/>
  <c r="AH36"/>
  <c r="AG36"/>
  <c r="AE36"/>
  <c r="AC36"/>
  <c r="AB36"/>
  <c r="AN36" s="1"/>
  <c r="AA36"/>
  <c r="CE36" s="1"/>
  <c r="Z36"/>
  <c r="Y36"/>
  <c r="CA36" s="1"/>
  <c r="X36"/>
  <c r="BW36" s="1"/>
  <c r="W36"/>
  <c r="BS36" s="1"/>
  <c r="V36"/>
  <c r="BO36" s="1"/>
  <c r="U36"/>
  <c r="BK36" s="1"/>
  <c r="T36"/>
  <c r="S36"/>
  <c r="AM36" s="1"/>
  <c r="R36"/>
  <c r="CD36" s="1"/>
  <c r="Q36"/>
  <c r="P36"/>
  <c r="BZ36" s="1"/>
  <c r="O36"/>
  <c r="BV36" s="1"/>
  <c r="N36"/>
  <c r="BR36" s="1"/>
  <c r="M36"/>
  <c r="BN36" s="1"/>
  <c r="L36"/>
  <c r="BJ36" s="1"/>
  <c r="K36"/>
  <c r="J36"/>
  <c r="AL36" s="1"/>
  <c r="AO36" s="1"/>
  <c r="I36"/>
  <c r="CC36" s="1"/>
  <c r="H36"/>
  <c r="G36"/>
  <c r="BY36" s="1"/>
  <c r="F36"/>
  <c r="BU36" s="1"/>
  <c r="E36"/>
  <c r="BQ36" s="1"/>
  <c r="D36"/>
  <c r="BM36" s="1"/>
  <c r="C36"/>
  <c r="BI36" s="1"/>
  <c r="DS35"/>
  <c r="DR35"/>
  <c r="DQ35"/>
  <c r="DP35"/>
  <c r="DO35"/>
  <c r="CS35"/>
  <c r="AJ35"/>
  <c r="AI35"/>
  <c r="AH35"/>
  <c r="AG35"/>
  <c r="AE35"/>
  <c r="AC35"/>
  <c r="AB35"/>
  <c r="AN35" s="1"/>
  <c r="AA35"/>
  <c r="CE35" s="1"/>
  <c r="Z35"/>
  <c r="Y35"/>
  <c r="CA35" s="1"/>
  <c r="X35"/>
  <c r="BW35" s="1"/>
  <c r="W35"/>
  <c r="BS35" s="1"/>
  <c r="V35"/>
  <c r="BO35" s="1"/>
  <c r="U35"/>
  <c r="BK35" s="1"/>
  <c r="T35"/>
  <c r="S35"/>
  <c r="AM35" s="1"/>
  <c r="R35"/>
  <c r="CD35" s="1"/>
  <c r="Q35"/>
  <c r="P35"/>
  <c r="BZ35" s="1"/>
  <c r="O35"/>
  <c r="BV35" s="1"/>
  <c r="N35"/>
  <c r="BR35" s="1"/>
  <c r="M35"/>
  <c r="BN35" s="1"/>
  <c r="L35"/>
  <c r="BJ35" s="1"/>
  <c r="K35"/>
  <c r="J35"/>
  <c r="AL35" s="1"/>
  <c r="AO35" s="1"/>
  <c r="I35"/>
  <c r="CC35" s="1"/>
  <c r="H35"/>
  <c r="G35"/>
  <c r="BY35" s="1"/>
  <c r="F35"/>
  <c r="BU35" s="1"/>
  <c r="E35"/>
  <c r="BQ35" s="1"/>
  <c r="D35"/>
  <c r="BM35" s="1"/>
  <c r="C35"/>
  <c r="BI35" s="1"/>
  <c r="DS34"/>
  <c r="DR34"/>
  <c r="DQ34"/>
  <c r="DP34"/>
  <c r="DO34"/>
  <c r="CS34"/>
  <c r="AJ34"/>
  <c r="AI34"/>
  <c r="AH34"/>
  <c r="AG34"/>
  <c r="AE34"/>
  <c r="AC34"/>
  <c r="AB34"/>
  <c r="AN34" s="1"/>
  <c r="AA34"/>
  <c r="CE34" s="1"/>
  <c r="Z34"/>
  <c r="Y34"/>
  <c r="CA34" s="1"/>
  <c r="X34"/>
  <c r="BW34" s="1"/>
  <c r="W34"/>
  <c r="BS34" s="1"/>
  <c r="V34"/>
  <c r="BO34" s="1"/>
  <c r="U34"/>
  <c r="BK34" s="1"/>
  <c r="T34"/>
  <c r="S34"/>
  <c r="AM34" s="1"/>
  <c r="R34"/>
  <c r="CD34" s="1"/>
  <c r="Q34"/>
  <c r="P34"/>
  <c r="BZ34" s="1"/>
  <c r="O34"/>
  <c r="BV34" s="1"/>
  <c r="N34"/>
  <c r="BR34" s="1"/>
  <c r="M34"/>
  <c r="BN34" s="1"/>
  <c r="L34"/>
  <c r="BJ34" s="1"/>
  <c r="K34"/>
  <c r="J34"/>
  <c r="AL34" s="1"/>
  <c r="AO34" s="1"/>
  <c r="I34"/>
  <c r="CC34" s="1"/>
  <c r="H34"/>
  <c r="G34"/>
  <c r="BY34" s="1"/>
  <c r="F34"/>
  <c r="BU34" s="1"/>
  <c r="E34"/>
  <c r="BQ34" s="1"/>
  <c r="D34"/>
  <c r="BM34" s="1"/>
  <c r="C34"/>
  <c r="BI34" s="1"/>
  <c r="DS33"/>
  <c r="DR33"/>
  <c r="DQ33"/>
  <c r="DP33"/>
  <c r="DO33"/>
  <c r="CS33"/>
  <c r="AJ33"/>
  <c r="AI33"/>
  <c r="AH33"/>
  <c r="AG33"/>
  <c r="AP33" s="1"/>
  <c r="AE33"/>
  <c r="AC33"/>
  <c r="AB33"/>
  <c r="AN33" s="1"/>
  <c r="AA33"/>
  <c r="CE33" s="1"/>
  <c r="Z33"/>
  <c r="Y33"/>
  <c r="CA33" s="1"/>
  <c r="X33"/>
  <c r="BW33" s="1"/>
  <c r="W33"/>
  <c r="BS33" s="1"/>
  <c r="V33"/>
  <c r="BO33" s="1"/>
  <c r="U33"/>
  <c r="BK33" s="1"/>
  <c r="T33"/>
  <c r="S33"/>
  <c r="AM33" s="1"/>
  <c r="R33"/>
  <c r="CD33" s="1"/>
  <c r="Q33"/>
  <c r="P33"/>
  <c r="BZ33" s="1"/>
  <c r="O33"/>
  <c r="BV33" s="1"/>
  <c r="N33"/>
  <c r="BR33" s="1"/>
  <c r="M33"/>
  <c r="BN33" s="1"/>
  <c r="L33"/>
  <c r="BJ33" s="1"/>
  <c r="K33"/>
  <c r="J33"/>
  <c r="AL33" s="1"/>
  <c r="AO33" s="1"/>
  <c r="I33"/>
  <c r="CC33" s="1"/>
  <c r="H33"/>
  <c r="G33"/>
  <c r="BY33" s="1"/>
  <c r="F33"/>
  <c r="BU33" s="1"/>
  <c r="E33"/>
  <c r="BQ33" s="1"/>
  <c r="D33"/>
  <c r="BM33" s="1"/>
  <c r="C33"/>
  <c r="BI33" s="1"/>
  <c r="DS32"/>
  <c r="DR32"/>
  <c r="DQ32"/>
  <c r="DP32"/>
  <c r="DO32"/>
  <c r="CS32"/>
  <c r="AJ32"/>
  <c r="AI32"/>
  <c r="AH32"/>
  <c r="AG32"/>
  <c r="AE32"/>
  <c r="AC32"/>
  <c r="AB32"/>
  <c r="AN32" s="1"/>
  <c r="AA32"/>
  <c r="CE32" s="1"/>
  <c r="Z32"/>
  <c r="Y32"/>
  <c r="CA32" s="1"/>
  <c r="X32"/>
  <c r="BW32" s="1"/>
  <c r="W32"/>
  <c r="BS32" s="1"/>
  <c r="V32"/>
  <c r="BO32" s="1"/>
  <c r="U32"/>
  <c r="BK32" s="1"/>
  <c r="T32"/>
  <c r="S32"/>
  <c r="AM32" s="1"/>
  <c r="R32"/>
  <c r="CD32" s="1"/>
  <c r="Q32"/>
  <c r="P32"/>
  <c r="BZ32" s="1"/>
  <c r="O32"/>
  <c r="BV32" s="1"/>
  <c r="N32"/>
  <c r="BR32" s="1"/>
  <c r="M32"/>
  <c r="BN32" s="1"/>
  <c r="L32"/>
  <c r="BJ32" s="1"/>
  <c r="K32"/>
  <c r="J32"/>
  <c r="AL32" s="1"/>
  <c r="AO32" s="1"/>
  <c r="I32"/>
  <c r="CC32" s="1"/>
  <c r="H32"/>
  <c r="G32"/>
  <c r="BY32" s="1"/>
  <c r="F32"/>
  <c r="BU32" s="1"/>
  <c r="E32"/>
  <c r="BQ32" s="1"/>
  <c r="D32"/>
  <c r="BM32" s="1"/>
  <c r="C32"/>
  <c r="BI32" s="1"/>
  <c r="DS31"/>
  <c r="DR31"/>
  <c r="DQ31"/>
  <c r="DP31"/>
  <c r="DO31"/>
  <c r="CS31"/>
  <c r="AJ31"/>
  <c r="AI31"/>
  <c r="AH31"/>
  <c r="AG31"/>
  <c r="AE31"/>
  <c r="AC31"/>
  <c r="AB31"/>
  <c r="AN31" s="1"/>
  <c r="AA31"/>
  <c r="CE31" s="1"/>
  <c r="Z31"/>
  <c r="Y31"/>
  <c r="CA31" s="1"/>
  <c r="X31"/>
  <c r="BW31" s="1"/>
  <c r="W31"/>
  <c r="BS31" s="1"/>
  <c r="V31"/>
  <c r="BO31" s="1"/>
  <c r="U31"/>
  <c r="BK31" s="1"/>
  <c r="T31"/>
  <c r="S31"/>
  <c r="AM31" s="1"/>
  <c r="R31"/>
  <c r="CD31" s="1"/>
  <c r="Q31"/>
  <c r="P31"/>
  <c r="BZ31" s="1"/>
  <c r="O31"/>
  <c r="BV31" s="1"/>
  <c r="N31"/>
  <c r="BR31" s="1"/>
  <c r="M31"/>
  <c r="BN31" s="1"/>
  <c r="L31"/>
  <c r="BJ31" s="1"/>
  <c r="K31"/>
  <c r="J31"/>
  <c r="AL31" s="1"/>
  <c r="AO31" s="1"/>
  <c r="I31"/>
  <c r="CC31" s="1"/>
  <c r="H31"/>
  <c r="G31"/>
  <c r="BY31" s="1"/>
  <c r="F31"/>
  <c r="BU31" s="1"/>
  <c r="E31"/>
  <c r="BQ31" s="1"/>
  <c r="D31"/>
  <c r="BM31" s="1"/>
  <c r="C31"/>
  <c r="BI31" s="1"/>
  <c r="DS30"/>
  <c r="DR30"/>
  <c r="DQ30"/>
  <c r="DP30"/>
  <c r="DO30"/>
  <c r="CS30"/>
  <c r="AJ30"/>
  <c r="AI30"/>
  <c r="AH30"/>
  <c r="AG30"/>
  <c r="AE30"/>
  <c r="AC30"/>
  <c r="AB30"/>
  <c r="AN30" s="1"/>
  <c r="AA30"/>
  <c r="CE30" s="1"/>
  <c r="Z30"/>
  <c r="Y30"/>
  <c r="CA30" s="1"/>
  <c r="X30"/>
  <c r="BW30" s="1"/>
  <c r="W30"/>
  <c r="BS30" s="1"/>
  <c r="V30"/>
  <c r="BO30" s="1"/>
  <c r="U30"/>
  <c r="BK30" s="1"/>
  <c r="T30"/>
  <c r="S30"/>
  <c r="AM30" s="1"/>
  <c r="R30"/>
  <c r="CD30" s="1"/>
  <c r="Q30"/>
  <c r="P30"/>
  <c r="BZ30" s="1"/>
  <c r="O30"/>
  <c r="BV30" s="1"/>
  <c r="N30"/>
  <c r="BR30" s="1"/>
  <c r="M30"/>
  <c r="BN30" s="1"/>
  <c r="L30"/>
  <c r="BJ30" s="1"/>
  <c r="K30"/>
  <c r="J30"/>
  <c r="AL30" s="1"/>
  <c r="AO30" s="1"/>
  <c r="I30"/>
  <c r="CC30" s="1"/>
  <c r="H30"/>
  <c r="G30"/>
  <c r="BY30" s="1"/>
  <c r="F30"/>
  <c r="BU30" s="1"/>
  <c r="E30"/>
  <c r="BQ30" s="1"/>
  <c r="D30"/>
  <c r="BM30" s="1"/>
  <c r="C30"/>
  <c r="BI30" s="1"/>
  <c r="DS29"/>
  <c r="DR29"/>
  <c r="DQ29"/>
  <c r="DP29"/>
  <c r="DO29"/>
  <c r="CS29"/>
  <c r="AJ29"/>
  <c r="AI29"/>
  <c r="AH29"/>
  <c r="AG29"/>
  <c r="AE29"/>
  <c r="AC29"/>
  <c r="AB29"/>
  <c r="AN29" s="1"/>
  <c r="AA29"/>
  <c r="CE29" s="1"/>
  <c r="Z29"/>
  <c r="Y29"/>
  <c r="CA29" s="1"/>
  <c r="X29"/>
  <c r="BW29" s="1"/>
  <c r="W29"/>
  <c r="BS29" s="1"/>
  <c r="V29"/>
  <c r="BO29" s="1"/>
  <c r="U29"/>
  <c r="BK29" s="1"/>
  <c r="T29"/>
  <c r="S29"/>
  <c r="AM29" s="1"/>
  <c r="R29"/>
  <c r="CD29" s="1"/>
  <c r="Q29"/>
  <c r="P29"/>
  <c r="BZ29" s="1"/>
  <c r="O29"/>
  <c r="BV29" s="1"/>
  <c r="N29"/>
  <c r="BR29" s="1"/>
  <c r="M29"/>
  <c r="BN29" s="1"/>
  <c r="L29"/>
  <c r="BJ29" s="1"/>
  <c r="K29"/>
  <c r="J29"/>
  <c r="AL29" s="1"/>
  <c r="AO29" s="1"/>
  <c r="I29"/>
  <c r="CC29" s="1"/>
  <c r="H29"/>
  <c r="G29"/>
  <c r="BY29" s="1"/>
  <c r="F29"/>
  <c r="BU29" s="1"/>
  <c r="E29"/>
  <c r="BQ29" s="1"/>
  <c r="D29"/>
  <c r="BM29" s="1"/>
  <c r="C29"/>
  <c r="BI29" s="1"/>
  <c r="DS28"/>
  <c r="DR28"/>
  <c r="DQ28"/>
  <c r="DP28"/>
  <c r="DO28"/>
  <c r="CS28"/>
  <c r="AJ28"/>
  <c r="AI28"/>
  <c r="AH28"/>
  <c r="AG28"/>
  <c r="AE28"/>
  <c r="AC28"/>
  <c r="AB28"/>
  <c r="AN28" s="1"/>
  <c r="AA28"/>
  <c r="CE28" s="1"/>
  <c r="Z28"/>
  <c r="Y28"/>
  <c r="CA28" s="1"/>
  <c r="X28"/>
  <c r="BW28" s="1"/>
  <c r="W28"/>
  <c r="BS28" s="1"/>
  <c r="V28"/>
  <c r="BO28" s="1"/>
  <c r="U28"/>
  <c r="BK28" s="1"/>
  <c r="T28"/>
  <c r="S28"/>
  <c r="AM28" s="1"/>
  <c r="R28"/>
  <c r="CD28" s="1"/>
  <c r="Q28"/>
  <c r="P28"/>
  <c r="BZ28" s="1"/>
  <c r="O28"/>
  <c r="BV28" s="1"/>
  <c r="N28"/>
  <c r="BR28" s="1"/>
  <c r="M28"/>
  <c r="BN28" s="1"/>
  <c r="L28"/>
  <c r="BJ28" s="1"/>
  <c r="K28"/>
  <c r="J28"/>
  <c r="AL28" s="1"/>
  <c r="AO28" s="1"/>
  <c r="I28"/>
  <c r="CC28" s="1"/>
  <c r="H28"/>
  <c r="G28"/>
  <c r="BY28" s="1"/>
  <c r="F28"/>
  <c r="BU28" s="1"/>
  <c r="E28"/>
  <c r="BQ28" s="1"/>
  <c r="D28"/>
  <c r="BM28" s="1"/>
  <c r="C28"/>
  <c r="BI28" s="1"/>
  <c r="DS27"/>
  <c r="DR27"/>
  <c r="DQ27"/>
  <c r="DP27"/>
  <c r="DO27"/>
  <c r="CS27"/>
  <c r="AJ27"/>
  <c r="AI27"/>
  <c r="AH27"/>
  <c r="AG27"/>
  <c r="AE27"/>
  <c r="AC27"/>
  <c r="AB27"/>
  <c r="AN27" s="1"/>
  <c r="AA27"/>
  <c r="CE27" s="1"/>
  <c r="Z27"/>
  <c r="Y27"/>
  <c r="CA27" s="1"/>
  <c r="X27"/>
  <c r="BW27" s="1"/>
  <c r="W27"/>
  <c r="BS27" s="1"/>
  <c r="V27"/>
  <c r="BO27" s="1"/>
  <c r="U27"/>
  <c r="BK27" s="1"/>
  <c r="T27"/>
  <c r="S27"/>
  <c r="AM27" s="1"/>
  <c r="R27"/>
  <c r="CD27" s="1"/>
  <c r="Q27"/>
  <c r="P27"/>
  <c r="BZ27" s="1"/>
  <c r="O27"/>
  <c r="BV27" s="1"/>
  <c r="N27"/>
  <c r="BR27" s="1"/>
  <c r="M27"/>
  <c r="BN27" s="1"/>
  <c r="L27"/>
  <c r="BJ27" s="1"/>
  <c r="K27"/>
  <c r="J27"/>
  <c r="AL27" s="1"/>
  <c r="AO27" s="1"/>
  <c r="I27"/>
  <c r="CC27" s="1"/>
  <c r="H27"/>
  <c r="G27"/>
  <c r="BY27" s="1"/>
  <c r="F27"/>
  <c r="BU27" s="1"/>
  <c r="E27"/>
  <c r="BQ27" s="1"/>
  <c r="D27"/>
  <c r="BM27" s="1"/>
  <c r="C27"/>
  <c r="BI27" s="1"/>
  <c r="DS26"/>
  <c r="DR26"/>
  <c r="DQ26"/>
  <c r="DP26"/>
  <c r="DO26"/>
  <c r="CS26"/>
  <c r="AJ26"/>
  <c r="AI26"/>
  <c r="AH26"/>
  <c r="AG26"/>
  <c r="AE26"/>
  <c r="AC26"/>
  <c r="AB26"/>
  <c r="AN26" s="1"/>
  <c r="AA26"/>
  <c r="CE26" s="1"/>
  <c r="Z26"/>
  <c r="Y26"/>
  <c r="CA26" s="1"/>
  <c r="X26"/>
  <c r="BW26" s="1"/>
  <c r="W26"/>
  <c r="BS26" s="1"/>
  <c r="V26"/>
  <c r="BO26" s="1"/>
  <c r="U26"/>
  <c r="BK26" s="1"/>
  <c r="T26"/>
  <c r="S26"/>
  <c r="AM26" s="1"/>
  <c r="R26"/>
  <c r="CD26" s="1"/>
  <c r="Q26"/>
  <c r="P26"/>
  <c r="BZ26" s="1"/>
  <c r="O26"/>
  <c r="BV26" s="1"/>
  <c r="N26"/>
  <c r="BR26" s="1"/>
  <c r="M26"/>
  <c r="BN26" s="1"/>
  <c r="L26"/>
  <c r="BJ26" s="1"/>
  <c r="K26"/>
  <c r="J26"/>
  <c r="AL26" s="1"/>
  <c r="AO26" s="1"/>
  <c r="I26"/>
  <c r="CC26" s="1"/>
  <c r="H26"/>
  <c r="G26"/>
  <c r="BY26" s="1"/>
  <c r="F26"/>
  <c r="BU26" s="1"/>
  <c r="E26"/>
  <c r="BQ26" s="1"/>
  <c r="D26"/>
  <c r="BM26" s="1"/>
  <c r="C26"/>
  <c r="BI26" s="1"/>
  <c r="DS25"/>
  <c r="DR25"/>
  <c r="DQ25"/>
  <c r="DQ5" s="1"/>
  <c r="DP25"/>
  <c r="DO25"/>
  <c r="CS25"/>
  <c r="AJ25"/>
  <c r="AI25"/>
  <c r="AH25"/>
  <c r="AG25"/>
  <c r="AP25" s="1"/>
  <c r="AE25"/>
  <c r="AC25"/>
  <c r="AB25"/>
  <c r="AN25" s="1"/>
  <c r="AA25"/>
  <c r="CE25" s="1"/>
  <c r="Z25"/>
  <c r="Y25"/>
  <c r="CA25" s="1"/>
  <c r="X25"/>
  <c r="BW25" s="1"/>
  <c r="W25"/>
  <c r="BS25" s="1"/>
  <c r="V25"/>
  <c r="BO25" s="1"/>
  <c r="U25"/>
  <c r="BK25" s="1"/>
  <c r="T25"/>
  <c r="S25"/>
  <c r="AM25" s="1"/>
  <c r="R25"/>
  <c r="CD25" s="1"/>
  <c r="Q25"/>
  <c r="P25"/>
  <c r="BZ25" s="1"/>
  <c r="O25"/>
  <c r="BV25" s="1"/>
  <c r="N25"/>
  <c r="BR25" s="1"/>
  <c r="M25"/>
  <c r="BN25" s="1"/>
  <c r="L25"/>
  <c r="BJ25" s="1"/>
  <c r="K25"/>
  <c r="J25"/>
  <c r="AL25" s="1"/>
  <c r="AO25" s="1"/>
  <c r="I25"/>
  <c r="CC25" s="1"/>
  <c r="H25"/>
  <c r="G25"/>
  <c r="BY25" s="1"/>
  <c r="F25"/>
  <c r="BU25" s="1"/>
  <c r="E25"/>
  <c r="BQ25" s="1"/>
  <c r="D25"/>
  <c r="BM25" s="1"/>
  <c r="C25"/>
  <c r="BI25" s="1"/>
  <c r="DS24"/>
  <c r="DR24"/>
  <c r="DQ24"/>
  <c r="DP24"/>
  <c r="DO24"/>
  <c r="CS24"/>
  <c r="AJ24"/>
  <c r="AI24"/>
  <c r="AH24"/>
  <c r="AG24"/>
  <c r="AE24"/>
  <c r="AC24"/>
  <c r="AB24"/>
  <c r="AN24" s="1"/>
  <c r="AA24"/>
  <c r="CE24" s="1"/>
  <c r="Z24"/>
  <c r="Y24"/>
  <c r="CA24" s="1"/>
  <c r="X24"/>
  <c r="BW24" s="1"/>
  <c r="W24"/>
  <c r="BS24" s="1"/>
  <c r="V24"/>
  <c r="BO24" s="1"/>
  <c r="U24"/>
  <c r="BK24" s="1"/>
  <c r="T24"/>
  <c r="S24"/>
  <c r="AM24" s="1"/>
  <c r="R24"/>
  <c r="CD24" s="1"/>
  <c r="Q24"/>
  <c r="P24"/>
  <c r="BZ24" s="1"/>
  <c r="O24"/>
  <c r="BV24" s="1"/>
  <c r="N24"/>
  <c r="BR24" s="1"/>
  <c r="M24"/>
  <c r="BN24" s="1"/>
  <c r="L24"/>
  <c r="BJ24" s="1"/>
  <c r="K24"/>
  <c r="J24"/>
  <c r="AL24" s="1"/>
  <c r="AO24" s="1"/>
  <c r="I24"/>
  <c r="CC24" s="1"/>
  <c r="H24"/>
  <c r="G24"/>
  <c r="BY24" s="1"/>
  <c r="F24"/>
  <c r="BU24" s="1"/>
  <c r="E24"/>
  <c r="BQ24" s="1"/>
  <c r="D24"/>
  <c r="BM24" s="1"/>
  <c r="C24"/>
  <c r="BI24" s="1"/>
  <c r="DS23"/>
  <c r="DR23"/>
  <c r="DQ23"/>
  <c r="DP23"/>
  <c r="DO23"/>
  <c r="CS23"/>
  <c r="AJ23"/>
  <c r="AI23"/>
  <c r="AH23"/>
  <c r="AG23"/>
  <c r="AE23"/>
  <c r="AC23"/>
  <c r="AB23"/>
  <c r="AN23" s="1"/>
  <c r="AA23"/>
  <c r="CE23" s="1"/>
  <c r="Z23"/>
  <c r="Y23"/>
  <c r="CA23" s="1"/>
  <c r="X23"/>
  <c r="BW23" s="1"/>
  <c r="W23"/>
  <c r="BS23" s="1"/>
  <c r="V23"/>
  <c r="BO23" s="1"/>
  <c r="U23"/>
  <c r="BK23" s="1"/>
  <c r="T23"/>
  <c r="S23"/>
  <c r="AM23" s="1"/>
  <c r="R23"/>
  <c r="CD23" s="1"/>
  <c r="Q23"/>
  <c r="P23"/>
  <c r="BZ23" s="1"/>
  <c r="O23"/>
  <c r="BV23" s="1"/>
  <c r="N23"/>
  <c r="BR23" s="1"/>
  <c r="M23"/>
  <c r="BN23" s="1"/>
  <c r="L23"/>
  <c r="BJ23" s="1"/>
  <c r="K23"/>
  <c r="J23"/>
  <c r="AL23" s="1"/>
  <c r="AO23" s="1"/>
  <c r="I23"/>
  <c r="CC23" s="1"/>
  <c r="H23"/>
  <c r="G23"/>
  <c r="BY23" s="1"/>
  <c r="F23"/>
  <c r="BU23" s="1"/>
  <c r="E23"/>
  <c r="BQ23" s="1"/>
  <c r="D23"/>
  <c r="BM23" s="1"/>
  <c r="C23"/>
  <c r="BI23" s="1"/>
  <c r="DS22"/>
  <c r="DR22"/>
  <c r="DQ22"/>
  <c r="DP22"/>
  <c r="DO22"/>
  <c r="CS22"/>
  <c r="AJ22"/>
  <c r="AI22"/>
  <c r="AH22"/>
  <c r="AG22"/>
  <c r="AE22"/>
  <c r="AC22"/>
  <c r="AB22"/>
  <c r="AN22" s="1"/>
  <c r="AA22"/>
  <c r="CE22" s="1"/>
  <c r="Z22"/>
  <c r="Y22"/>
  <c r="CA22" s="1"/>
  <c r="X22"/>
  <c r="BW22" s="1"/>
  <c r="W22"/>
  <c r="BS22" s="1"/>
  <c r="V22"/>
  <c r="BO22" s="1"/>
  <c r="U22"/>
  <c r="BK22" s="1"/>
  <c r="T22"/>
  <c r="S22"/>
  <c r="AM22" s="1"/>
  <c r="R22"/>
  <c r="CD22" s="1"/>
  <c r="Q22"/>
  <c r="P22"/>
  <c r="BZ22" s="1"/>
  <c r="O22"/>
  <c r="BV22" s="1"/>
  <c r="N22"/>
  <c r="BR22" s="1"/>
  <c r="M22"/>
  <c r="BN22" s="1"/>
  <c r="L22"/>
  <c r="BJ22" s="1"/>
  <c r="K22"/>
  <c r="J22"/>
  <c r="AL22" s="1"/>
  <c r="I22"/>
  <c r="CC22" s="1"/>
  <c r="H22"/>
  <c r="G22"/>
  <c r="BY22" s="1"/>
  <c r="F22"/>
  <c r="BU22" s="1"/>
  <c r="E22"/>
  <c r="BQ22" s="1"/>
  <c r="D22"/>
  <c r="BM22" s="1"/>
  <c r="C22"/>
  <c r="BI22" s="1"/>
  <c r="DS21"/>
  <c r="DR21"/>
  <c r="DQ21"/>
  <c r="DP21"/>
  <c r="DO21"/>
  <c r="CS21"/>
  <c r="AJ21"/>
  <c r="AI21"/>
  <c r="AH21"/>
  <c r="AG21"/>
  <c r="AP21" s="1"/>
  <c r="AE21"/>
  <c r="AC21"/>
  <c r="AB21"/>
  <c r="AN21" s="1"/>
  <c r="AA21"/>
  <c r="CE21" s="1"/>
  <c r="Z21"/>
  <c r="Y21"/>
  <c r="CA21" s="1"/>
  <c r="X21"/>
  <c r="BW21" s="1"/>
  <c r="W21"/>
  <c r="BS21" s="1"/>
  <c r="V21"/>
  <c r="BO21" s="1"/>
  <c r="U21"/>
  <c r="BK21" s="1"/>
  <c r="T21"/>
  <c r="S21"/>
  <c r="AM21" s="1"/>
  <c r="R21"/>
  <c r="CD21" s="1"/>
  <c r="Q21"/>
  <c r="P21"/>
  <c r="BZ21" s="1"/>
  <c r="O21"/>
  <c r="BV21" s="1"/>
  <c r="N21"/>
  <c r="BR21" s="1"/>
  <c r="M21"/>
  <c r="BN21" s="1"/>
  <c r="L21"/>
  <c r="BJ21" s="1"/>
  <c r="K21"/>
  <c r="J21"/>
  <c r="AL21" s="1"/>
  <c r="I21"/>
  <c r="CC21" s="1"/>
  <c r="H21"/>
  <c r="G21"/>
  <c r="BY21" s="1"/>
  <c r="F21"/>
  <c r="BU21" s="1"/>
  <c r="E21"/>
  <c r="BQ21" s="1"/>
  <c r="D21"/>
  <c r="BM21" s="1"/>
  <c r="C21"/>
  <c r="BI21" s="1"/>
  <c r="DS20"/>
  <c r="DR20"/>
  <c r="DQ20"/>
  <c r="DP20"/>
  <c r="DO20"/>
  <c r="CS20"/>
  <c r="AJ20"/>
  <c r="AI20"/>
  <c r="AH20"/>
  <c r="AG20"/>
  <c r="AE20"/>
  <c r="AC20"/>
  <c r="AB20"/>
  <c r="AN20" s="1"/>
  <c r="AA20"/>
  <c r="CE20" s="1"/>
  <c r="Z20"/>
  <c r="Y20"/>
  <c r="CA20" s="1"/>
  <c r="X20"/>
  <c r="BW20" s="1"/>
  <c r="W20"/>
  <c r="BS20" s="1"/>
  <c r="V20"/>
  <c r="BO20" s="1"/>
  <c r="U20"/>
  <c r="BK20" s="1"/>
  <c r="T20"/>
  <c r="S20"/>
  <c r="AM20" s="1"/>
  <c r="R20"/>
  <c r="CD20" s="1"/>
  <c r="Q20"/>
  <c r="P20"/>
  <c r="BZ20" s="1"/>
  <c r="O20"/>
  <c r="BV20" s="1"/>
  <c r="N20"/>
  <c r="BR20" s="1"/>
  <c r="M20"/>
  <c r="BN20" s="1"/>
  <c r="L20"/>
  <c r="BJ20" s="1"/>
  <c r="K20"/>
  <c r="J20"/>
  <c r="AL20" s="1"/>
  <c r="I20"/>
  <c r="CC20" s="1"/>
  <c r="H20"/>
  <c r="G20"/>
  <c r="BY20" s="1"/>
  <c r="F20"/>
  <c r="BU20" s="1"/>
  <c r="E20"/>
  <c r="BQ20" s="1"/>
  <c r="D20"/>
  <c r="BM20" s="1"/>
  <c r="C20"/>
  <c r="BI20" s="1"/>
  <c r="DS19"/>
  <c r="DR19"/>
  <c r="DQ19"/>
  <c r="DP19"/>
  <c r="DO19"/>
  <c r="CS19"/>
  <c r="AJ19"/>
  <c r="AI19"/>
  <c r="AH19"/>
  <c r="AG19"/>
  <c r="AE19"/>
  <c r="AC19"/>
  <c r="AB19"/>
  <c r="AN19" s="1"/>
  <c r="AA19"/>
  <c r="CE19" s="1"/>
  <c r="Z19"/>
  <c r="Y19"/>
  <c r="CA19" s="1"/>
  <c r="X19"/>
  <c r="BW19" s="1"/>
  <c r="W19"/>
  <c r="BS19" s="1"/>
  <c r="V19"/>
  <c r="BO19" s="1"/>
  <c r="U19"/>
  <c r="BK19" s="1"/>
  <c r="T19"/>
  <c r="S19"/>
  <c r="AM19" s="1"/>
  <c r="R19"/>
  <c r="CD19" s="1"/>
  <c r="Q19"/>
  <c r="P19"/>
  <c r="BZ19" s="1"/>
  <c r="O19"/>
  <c r="BV19" s="1"/>
  <c r="N19"/>
  <c r="BR19" s="1"/>
  <c r="M19"/>
  <c r="BN19" s="1"/>
  <c r="L19"/>
  <c r="BJ19" s="1"/>
  <c r="K19"/>
  <c r="J19"/>
  <c r="AL19" s="1"/>
  <c r="I19"/>
  <c r="CC19" s="1"/>
  <c r="H19"/>
  <c r="G19"/>
  <c r="BY19" s="1"/>
  <c r="F19"/>
  <c r="BU19" s="1"/>
  <c r="E19"/>
  <c r="BQ19" s="1"/>
  <c r="D19"/>
  <c r="BM19" s="1"/>
  <c r="C19"/>
  <c r="BI19" s="1"/>
  <c r="DS18"/>
  <c r="DR18"/>
  <c r="DQ18"/>
  <c r="DP18"/>
  <c r="DO18"/>
  <c r="CS18"/>
  <c r="AJ18"/>
  <c r="AI18"/>
  <c r="AH18"/>
  <c r="AG18"/>
  <c r="AE18"/>
  <c r="AC18"/>
  <c r="AB18"/>
  <c r="AN18" s="1"/>
  <c r="AA18"/>
  <c r="CE18" s="1"/>
  <c r="Z18"/>
  <c r="Y18"/>
  <c r="CA18" s="1"/>
  <c r="X18"/>
  <c r="BW18" s="1"/>
  <c r="W18"/>
  <c r="BS18" s="1"/>
  <c r="V18"/>
  <c r="BO18" s="1"/>
  <c r="U18"/>
  <c r="BK18" s="1"/>
  <c r="T18"/>
  <c r="S18"/>
  <c r="AM18" s="1"/>
  <c r="R18"/>
  <c r="CD18" s="1"/>
  <c r="Q18"/>
  <c r="P18"/>
  <c r="BZ18" s="1"/>
  <c r="O18"/>
  <c r="BV18" s="1"/>
  <c r="N18"/>
  <c r="BR18" s="1"/>
  <c r="M18"/>
  <c r="BN18" s="1"/>
  <c r="L18"/>
  <c r="BJ18" s="1"/>
  <c r="K18"/>
  <c r="J18"/>
  <c r="AL18" s="1"/>
  <c r="I18"/>
  <c r="CC18" s="1"/>
  <c r="H18"/>
  <c r="G18"/>
  <c r="BY18" s="1"/>
  <c r="F18"/>
  <c r="BU18" s="1"/>
  <c r="E18"/>
  <c r="BQ18" s="1"/>
  <c r="D18"/>
  <c r="BM18" s="1"/>
  <c r="C18"/>
  <c r="BI18" s="1"/>
  <c r="DS17"/>
  <c r="DR17"/>
  <c r="DQ17"/>
  <c r="DP17"/>
  <c r="DO17"/>
  <c r="CS17"/>
  <c r="AJ17"/>
  <c r="AI17"/>
  <c r="AH17"/>
  <c r="AG17"/>
  <c r="AE17"/>
  <c r="AC17"/>
  <c r="AB17"/>
  <c r="AN17" s="1"/>
  <c r="AA17"/>
  <c r="CE17" s="1"/>
  <c r="Z17"/>
  <c r="Y17"/>
  <c r="CA17" s="1"/>
  <c r="X17"/>
  <c r="BW17" s="1"/>
  <c r="W17"/>
  <c r="BS17" s="1"/>
  <c r="V17"/>
  <c r="BO17" s="1"/>
  <c r="U17"/>
  <c r="BK17" s="1"/>
  <c r="T17"/>
  <c r="S17"/>
  <c r="AM17" s="1"/>
  <c r="R17"/>
  <c r="CD17" s="1"/>
  <c r="Q17"/>
  <c r="P17"/>
  <c r="BZ17" s="1"/>
  <c r="O17"/>
  <c r="BV17" s="1"/>
  <c r="N17"/>
  <c r="BR17" s="1"/>
  <c r="M17"/>
  <c r="BN17" s="1"/>
  <c r="L17"/>
  <c r="BJ17" s="1"/>
  <c r="K17"/>
  <c r="J17"/>
  <c r="AL17" s="1"/>
  <c r="AO17" s="1"/>
  <c r="I17"/>
  <c r="CC17" s="1"/>
  <c r="H17"/>
  <c r="G17"/>
  <c r="BY17" s="1"/>
  <c r="F17"/>
  <c r="BU17" s="1"/>
  <c r="E17"/>
  <c r="BQ17" s="1"/>
  <c r="D17"/>
  <c r="BM17" s="1"/>
  <c r="C17"/>
  <c r="BI17" s="1"/>
  <c r="DS16"/>
  <c r="DR16"/>
  <c r="DQ16"/>
  <c r="DP16"/>
  <c r="DO16"/>
  <c r="CS16"/>
  <c r="AJ16"/>
  <c r="AI16"/>
  <c r="AH16"/>
  <c r="AG16"/>
  <c r="AE16"/>
  <c r="AC16"/>
  <c r="AB16"/>
  <c r="AN16" s="1"/>
  <c r="AA16"/>
  <c r="CE16" s="1"/>
  <c r="Z16"/>
  <c r="Y16"/>
  <c r="CA16" s="1"/>
  <c r="X16"/>
  <c r="BW16" s="1"/>
  <c r="W16"/>
  <c r="BS16" s="1"/>
  <c r="V16"/>
  <c r="BO16" s="1"/>
  <c r="U16"/>
  <c r="BK16" s="1"/>
  <c r="T16"/>
  <c r="S16"/>
  <c r="AM16" s="1"/>
  <c r="R16"/>
  <c r="CD16" s="1"/>
  <c r="Q16"/>
  <c r="P16"/>
  <c r="BZ16" s="1"/>
  <c r="O16"/>
  <c r="BV16" s="1"/>
  <c r="N16"/>
  <c r="BR16" s="1"/>
  <c r="M16"/>
  <c r="BN16" s="1"/>
  <c r="L16"/>
  <c r="BJ16" s="1"/>
  <c r="K16"/>
  <c r="J16"/>
  <c r="AL16" s="1"/>
  <c r="AO16" s="1"/>
  <c r="I16"/>
  <c r="CC16" s="1"/>
  <c r="H16"/>
  <c r="G16"/>
  <c r="BY16" s="1"/>
  <c r="F16"/>
  <c r="BU16" s="1"/>
  <c r="E16"/>
  <c r="BQ16" s="1"/>
  <c r="D16"/>
  <c r="BM16" s="1"/>
  <c r="C16"/>
  <c r="BI16" s="1"/>
  <c r="DS15"/>
  <c r="DR15"/>
  <c r="DQ15"/>
  <c r="DP15"/>
  <c r="DO15"/>
  <c r="CS15"/>
  <c r="AJ15"/>
  <c r="AI15"/>
  <c r="AH15"/>
  <c r="AG15"/>
  <c r="AE15"/>
  <c r="AC15"/>
  <c r="AB15"/>
  <c r="AN15" s="1"/>
  <c r="AA15"/>
  <c r="CE15" s="1"/>
  <c r="Z15"/>
  <c r="Y15"/>
  <c r="CA15" s="1"/>
  <c r="X15"/>
  <c r="BW15" s="1"/>
  <c r="W15"/>
  <c r="BS15" s="1"/>
  <c r="V15"/>
  <c r="BO15" s="1"/>
  <c r="U15"/>
  <c r="BK15" s="1"/>
  <c r="T15"/>
  <c r="S15"/>
  <c r="AM15" s="1"/>
  <c r="R15"/>
  <c r="CD15" s="1"/>
  <c r="Q15"/>
  <c r="P15"/>
  <c r="BZ15" s="1"/>
  <c r="O15"/>
  <c r="BV15" s="1"/>
  <c r="N15"/>
  <c r="BR15" s="1"/>
  <c r="M15"/>
  <c r="BN15" s="1"/>
  <c r="L15"/>
  <c r="BJ15" s="1"/>
  <c r="K15"/>
  <c r="J15"/>
  <c r="AL15" s="1"/>
  <c r="AO15" s="1"/>
  <c r="I15"/>
  <c r="CC15" s="1"/>
  <c r="H15"/>
  <c r="G15"/>
  <c r="BY15" s="1"/>
  <c r="F15"/>
  <c r="BU15" s="1"/>
  <c r="E15"/>
  <c r="BQ15" s="1"/>
  <c r="D15"/>
  <c r="BM15" s="1"/>
  <c r="C15"/>
  <c r="BI15" s="1"/>
  <c r="DS14"/>
  <c r="DR14"/>
  <c r="DQ14"/>
  <c r="DP14"/>
  <c r="DO14"/>
  <c r="CS14"/>
  <c r="AJ14"/>
  <c r="AI14"/>
  <c r="AH14"/>
  <c r="AG14"/>
  <c r="AE14"/>
  <c r="AC14"/>
  <c r="AB14"/>
  <c r="AN14" s="1"/>
  <c r="AA14"/>
  <c r="CE14" s="1"/>
  <c r="Z14"/>
  <c r="Y14"/>
  <c r="CA14" s="1"/>
  <c r="X14"/>
  <c r="BW14" s="1"/>
  <c r="W14"/>
  <c r="BS14" s="1"/>
  <c r="V14"/>
  <c r="BO14" s="1"/>
  <c r="U14"/>
  <c r="BK14" s="1"/>
  <c r="T14"/>
  <c r="S14"/>
  <c r="AM14" s="1"/>
  <c r="R14"/>
  <c r="CD14" s="1"/>
  <c r="Q14"/>
  <c r="P14"/>
  <c r="BZ14" s="1"/>
  <c r="O14"/>
  <c r="BV14" s="1"/>
  <c r="N14"/>
  <c r="BR14" s="1"/>
  <c r="M14"/>
  <c r="BN14" s="1"/>
  <c r="L14"/>
  <c r="BJ14" s="1"/>
  <c r="K14"/>
  <c r="J14"/>
  <c r="AL14" s="1"/>
  <c r="AO14" s="1"/>
  <c r="I14"/>
  <c r="CC14" s="1"/>
  <c r="H14"/>
  <c r="G14"/>
  <c r="BY14" s="1"/>
  <c r="F14"/>
  <c r="BU14" s="1"/>
  <c r="E14"/>
  <c r="BQ14" s="1"/>
  <c r="D14"/>
  <c r="BM14" s="1"/>
  <c r="C14"/>
  <c r="BI14" s="1"/>
  <c r="DS13"/>
  <c r="DR13"/>
  <c r="DQ13"/>
  <c r="DP13"/>
  <c r="DO13"/>
  <c r="CS13"/>
  <c r="AJ13"/>
  <c r="AI13"/>
  <c r="AH13"/>
  <c r="AG13"/>
  <c r="AP13" s="1"/>
  <c r="AE13"/>
  <c r="AC13"/>
  <c r="AB13"/>
  <c r="AN13" s="1"/>
  <c r="AA13"/>
  <c r="CE13" s="1"/>
  <c r="Z13"/>
  <c r="Y13"/>
  <c r="CA13" s="1"/>
  <c r="X13"/>
  <c r="BW13" s="1"/>
  <c r="W13"/>
  <c r="BS13" s="1"/>
  <c r="V13"/>
  <c r="BO13" s="1"/>
  <c r="U13"/>
  <c r="BK13" s="1"/>
  <c r="T13"/>
  <c r="S13"/>
  <c r="AM13" s="1"/>
  <c r="R13"/>
  <c r="CD13" s="1"/>
  <c r="Q13"/>
  <c r="P13"/>
  <c r="BZ13" s="1"/>
  <c r="O13"/>
  <c r="BV13" s="1"/>
  <c r="N13"/>
  <c r="BR13" s="1"/>
  <c r="M13"/>
  <c r="BN13" s="1"/>
  <c r="L13"/>
  <c r="BJ13" s="1"/>
  <c r="K13"/>
  <c r="J13"/>
  <c r="AL13" s="1"/>
  <c r="AO13" s="1"/>
  <c r="I13"/>
  <c r="CC13" s="1"/>
  <c r="H13"/>
  <c r="G13"/>
  <c r="BY13" s="1"/>
  <c r="F13"/>
  <c r="BU13" s="1"/>
  <c r="E13"/>
  <c r="BQ13" s="1"/>
  <c r="D13"/>
  <c r="BM13" s="1"/>
  <c r="C13"/>
  <c r="BI13" s="1"/>
  <c r="DS12"/>
  <c r="DR12"/>
  <c r="DQ12"/>
  <c r="DP12"/>
  <c r="DO12"/>
  <c r="CS12"/>
  <c r="AJ12"/>
  <c r="AI12"/>
  <c r="AH12"/>
  <c r="AG12"/>
  <c r="AE12"/>
  <c r="AC12"/>
  <c r="AB12"/>
  <c r="AN12" s="1"/>
  <c r="AA12"/>
  <c r="CE12" s="1"/>
  <c r="Z12"/>
  <c r="Y12"/>
  <c r="CA12" s="1"/>
  <c r="X12"/>
  <c r="BW12" s="1"/>
  <c r="W12"/>
  <c r="BS12" s="1"/>
  <c r="V12"/>
  <c r="BO12" s="1"/>
  <c r="U12"/>
  <c r="BK12" s="1"/>
  <c r="T12"/>
  <c r="S12"/>
  <c r="AM12" s="1"/>
  <c r="R12"/>
  <c r="CD12" s="1"/>
  <c r="Q12"/>
  <c r="P12"/>
  <c r="BZ12" s="1"/>
  <c r="O12"/>
  <c r="BV12" s="1"/>
  <c r="N12"/>
  <c r="BR12" s="1"/>
  <c r="M12"/>
  <c r="BN12" s="1"/>
  <c r="L12"/>
  <c r="BJ12" s="1"/>
  <c r="K12"/>
  <c r="J12"/>
  <c r="AL12" s="1"/>
  <c r="AO12" s="1"/>
  <c r="I12"/>
  <c r="CC12" s="1"/>
  <c r="H12"/>
  <c r="G12"/>
  <c r="BY12" s="1"/>
  <c r="F12"/>
  <c r="BU12" s="1"/>
  <c r="E12"/>
  <c r="BQ12" s="1"/>
  <c r="D12"/>
  <c r="BM12" s="1"/>
  <c r="C12"/>
  <c r="BI12" s="1"/>
  <c r="DS11"/>
  <c r="DR11"/>
  <c r="DQ11"/>
  <c r="DP11"/>
  <c r="DO11"/>
  <c r="CS11"/>
  <c r="AJ11"/>
  <c r="AI11"/>
  <c r="AH11"/>
  <c r="AG11"/>
  <c r="AE11"/>
  <c r="AC11"/>
  <c r="AB11"/>
  <c r="AN11" s="1"/>
  <c r="AA11"/>
  <c r="CE11" s="1"/>
  <c r="Z11"/>
  <c r="Y11"/>
  <c r="CA11" s="1"/>
  <c r="X11"/>
  <c r="BW11" s="1"/>
  <c r="W11"/>
  <c r="BS11" s="1"/>
  <c r="V11"/>
  <c r="BO11" s="1"/>
  <c r="U11"/>
  <c r="BK11" s="1"/>
  <c r="T11"/>
  <c r="S11"/>
  <c r="AM11" s="1"/>
  <c r="R11"/>
  <c r="CD11" s="1"/>
  <c r="Q11"/>
  <c r="P11"/>
  <c r="BZ11" s="1"/>
  <c r="O11"/>
  <c r="BV11" s="1"/>
  <c r="N11"/>
  <c r="BR11" s="1"/>
  <c r="M11"/>
  <c r="BN11" s="1"/>
  <c r="L11"/>
  <c r="BJ11" s="1"/>
  <c r="K11"/>
  <c r="J11"/>
  <c r="AL11" s="1"/>
  <c r="AO11" s="1"/>
  <c r="I11"/>
  <c r="CC11" s="1"/>
  <c r="H11"/>
  <c r="G11"/>
  <c r="BY11" s="1"/>
  <c r="F11"/>
  <c r="BU11" s="1"/>
  <c r="E11"/>
  <c r="BQ11" s="1"/>
  <c r="D11"/>
  <c r="BM11" s="1"/>
  <c r="C11"/>
  <c r="BI11" s="1"/>
  <c r="DS10"/>
  <c r="DR10"/>
  <c r="DQ10"/>
  <c r="DP10"/>
  <c r="DO10"/>
  <c r="CS10"/>
  <c r="AJ10"/>
  <c r="AI10"/>
  <c r="AH10"/>
  <c r="AG10"/>
  <c r="AE10"/>
  <c r="AC10"/>
  <c r="AB10"/>
  <c r="AN10" s="1"/>
  <c r="AA10"/>
  <c r="CE10" s="1"/>
  <c r="Z10"/>
  <c r="Y10"/>
  <c r="CA10" s="1"/>
  <c r="X10"/>
  <c r="BW10" s="1"/>
  <c r="W10"/>
  <c r="BS10" s="1"/>
  <c r="V10"/>
  <c r="BO10" s="1"/>
  <c r="U10"/>
  <c r="BK10" s="1"/>
  <c r="T10"/>
  <c r="S10"/>
  <c r="AM10" s="1"/>
  <c r="R10"/>
  <c r="CD10" s="1"/>
  <c r="Q10"/>
  <c r="P10"/>
  <c r="BZ10" s="1"/>
  <c r="O10"/>
  <c r="BV10" s="1"/>
  <c r="N10"/>
  <c r="BR10" s="1"/>
  <c r="M10"/>
  <c r="BN10" s="1"/>
  <c r="L10"/>
  <c r="BJ10" s="1"/>
  <c r="K10"/>
  <c r="J10"/>
  <c r="AL10" s="1"/>
  <c r="AO10" s="1"/>
  <c r="I10"/>
  <c r="CC10" s="1"/>
  <c r="H10"/>
  <c r="G10"/>
  <c r="BY10" s="1"/>
  <c r="F10"/>
  <c r="BU10" s="1"/>
  <c r="E10"/>
  <c r="BQ10" s="1"/>
  <c r="D10"/>
  <c r="BM10" s="1"/>
  <c r="C10"/>
  <c r="BI10" s="1"/>
  <c r="DS9"/>
  <c r="DS81" s="1"/>
  <c r="DR9"/>
  <c r="DR81" s="1"/>
  <c r="DQ9"/>
  <c r="DQ81" s="1"/>
  <c r="DP9"/>
  <c r="DP81" s="1"/>
  <c r="DO9"/>
  <c r="DO81" s="1"/>
  <c r="CS9"/>
  <c r="CS81" s="1"/>
  <c r="AJ9"/>
  <c r="AI9"/>
  <c r="AH9"/>
  <c r="AG9"/>
  <c r="AE9"/>
  <c r="AE81" s="1"/>
  <c r="AC9"/>
  <c r="AC81" s="1"/>
  <c r="AB9"/>
  <c r="AB81" s="1"/>
  <c r="AA9"/>
  <c r="AA81" s="1"/>
  <c r="Z9"/>
  <c r="Z81" s="1"/>
  <c r="Y9"/>
  <c r="Y81" s="1"/>
  <c r="X9"/>
  <c r="X81" s="1"/>
  <c r="W9"/>
  <c r="W81" s="1"/>
  <c r="V9"/>
  <c r="V81" s="1"/>
  <c r="U9"/>
  <c r="U81" s="1"/>
  <c r="T9"/>
  <c r="T81" s="1"/>
  <c r="S9"/>
  <c r="S81" s="1"/>
  <c r="R9"/>
  <c r="R81" s="1"/>
  <c r="Q9"/>
  <c r="Q81" s="1"/>
  <c r="P9"/>
  <c r="P81" s="1"/>
  <c r="O9"/>
  <c r="O81" s="1"/>
  <c r="N9"/>
  <c r="N81" s="1"/>
  <c r="M9"/>
  <c r="M81" s="1"/>
  <c r="L9"/>
  <c r="L81" s="1"/>
  <c r="M83" s="1"/>
  <c r="K9"/>
  <c r="K81" s="1"/>
  <c r="J9"/>
  <c r="J81" s="1"/>
  <c r="I9"/>
  <c r="I81" s="1"/>
  <c r="H9"/>
  <c r="H81" s="1"/>
  <c r="G9"/>
  <c r="G81" s="1"/>
  <c r="F9"/>
  <c r="F81" s="1"/>
  <c r="E9"/>
  <c r="E81" s="1"/>
  <c r="D9"/>
  <c r="D81" s="1"/>
  <c r="C9"/>
  <c r="C81" s="1"/>
  <c r="BE6"/>
  <c r="BD6"/>
  <c r="BH53" s="1"/>
  <c r="BC6"/>
  <c r="C5"/>
  <c r="U5" s="1"/>
  <c r="E2" i="3"/>
  <c r="F2"/>
  <c r="F3" s="1"/>
  <c r="F4" s="1"/>
  <c r="F5" s="1"/>
  <c r="F6" s="1"/>
  <c r="F7" s="1"/>
  <c r="F8" s="1"/>
  <c r="F9" s="1"/>
  <c r="F10" s="1"/>
  <c r="F11" s="1"/>
  <c r="F12" s="1"/>
  <c r="F13" s="1"/>
  <c r="F14" s="1"/>
  <c r="F15" s="1"/>
  <c r="F16" s="1"/>
  <c r="F17" s="1"/>
  <c r="F18" s="1"/>
  <c r="F19" s="1"/>
  <c r="F20" s="1"/>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G2"/>
  <c r="H2"/>
  <c r="H3" s="1"/>
  <c r="H4" s="1"/>
  <c r="H5" s="1"/>
  <c r="H6" s="1"/>
  <c r="H7" s="1"/>
  <c r="H8" s="1"/>
  <c r="H9" s="1"/>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 r="H50" s="1"/>
  <c r="H51" s="1"/>
  <c r="H52" s="1"/>
  <c r="H53" s="1"/>
  <c r="H54" s="1"/>
  <c r="H55" s="1"/>
  <c r="H56" s="1"/>
  <c r="H57" s="1"/>
  <c r="H58" s="1"/>
  <c r="H59" s="1"/>
  <c r="H60" s="1"/>
  <c r="H61" s="1"/>
  <c r="H62" s="1"/>
  <c r="H63" s="1"/>
  <c r="H64" s="1"/>
  <c r="H65" s="1"/>
  <c r="H66" s="1"/>
  <c r="H67" s="1"/>
  <c r="H68" s="1"/>
  <c r="H69" s="1"/>
  <c r="H70" s="1"/>
  <c r="H71" s="1"/>
  <c r="H72" s="1"/>
  <c r="H73" s="1"/>
  <c r="H74" s="1"/>
  <c r="I2"/>
  <c r="J2"/>
  <c r="J3" s="1"/>
  <c r="J4" s="1"/>
  <c r="J5" s="1"/>
  <c r="J6" s="1"/>
  <c r="J7" s="1"/>
  <c r="J8" s="1"/>
  <c r="J9" s="1"/>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J40" s="1"/>
  <c r="J41" s="1"/>
  <c r="J42" s="1"/>
  <c r="J43" s="1"/>
  <c r="J44" s="1"/>
  <c r="J45" s="1"/>
  <c r="J46" s="1"/>
  <c r="J47" s="1"/>
  <c r="J48" s="1"/>
  <c r="J49" s="1"/>
  <c r="J50" s="1"/>
  <c r="J51" s="1"/>
  <c r="J52" s="1"/>
  <c r="J53" s="1"/>
  <c r="J54" s="1"/>
  <c r="J55" s="1"/>
  <c r="J56" s="1"/>
  <c r="J57" s="1"/>
  <c r="J58" s="1"/>
  <c r="J59" s="1"/>
  <c r="J60" s="1"/>
  <c r="J61" s="1"/>
  <c r="J62" s="1"/>
  <c r="J63" s="1"/>
  <c r="J64" s="1"/>
  <c r="J65" s="1"/>
  <c r="J66" s="1"/>
  <c r="J67" s="1"/>
  <c r="J68" s="1"/>
  <c r="J69" s="1"/>
  <c r="J70" s="1"/>
  <c r="J71" s="1"/>
  <c r="J72" s="1"/>
  <c r="J73" s="1"/>
  <c r="J74" s="1"/>
  <c r="K2"/>
  <c r="L2"/>
  <c r="M2"/>
  <c r="N2"/>
  <c r="O2"/>
  <c r="P2"/>
  <c r="AC2" s="1"/>
  <c r="Q2"/>
  <c r="R2"/>
  <c r="AE2" s="1"/>
  <c r="S2"/>
  <c r="T2"/>
  <c r="AG2" s="1"/>
  <c r="U2"/>
  <c r="V2"/>
  <c r="W2"/>
  <c r="X2"/>
  <c r="Y2"/>
  <c r="Z2"/>
  <c r="AA2"/>
  <c r="AB2"/>
  <c r="AD2"/>
  <c r="AF2"/>
  <c r="AH2"/>
  <c r="AI2"/>
  <c r="AJ2"/>
  <c r="AK2"/>
  <c r="AL2"/>
  <c r="AM2"/>
  <c r="AN2"/>
  <c r="AO2" s="1"/>
  <c r="AP2"/>
  <c r="AQ2"/>
  <c r="AS2"/>
  <c r="AT2"/>
  <c r="AV2"/>
  <c r="AW2"/>
  <c r="AX2"/>
  <c r="AY2"/>
  <c r="AZ2"/>
  <c r="BA2"/>
  <c r="BB2"/>
  <c r="BC2"/>
  <c r="BD2"/>
  <c r="BE2"/>
  <c r="BF2"/>
  <c r="BG2"/>
  <c r="BH2"/>
  <c r="BJ2"/>
  <c r="BK2"/>
  <c r="BM2"/>
  <c r="BL2" s="1"/>
  <c r="BN2"/>
  <c r="BO2"/>
  <c r="BP2"/>
  <c r="BR2"/>
  <c r="BS2"/>
  <c r="BT2"/>
  <c r="BU2"/>
  <c r="BQ2" s="1"/>
  <c r="BV2"/>
  <c r="BW2"/>
  <c r="BX2"/>
  <c r="BX4" s="1"/>
  <c r="BZ2"/>
  <c r="CA2"/>
  <c r="CB2"/>
  <c r="CD2"/>
  <c r="CM2"/>
  <c r="CN2"/>
  <c r="CO2"/>
  <c r="CP2"/>
  <c r="CQ2"/>
  <c r="CR2"/>
  <c r="CS2"/>
  <c r="CE2" s="1"/>
  <c r="CT2"/>
  <c r="CU2"/>
  <c r="CV2"/>
  <c r="CW2"/>
  <c r="CX2"/>
  <c r="CY2"/>
  <c r="CZ2"/>
  <c r="DA2"/>
  <c r="DB2"/>
  <c r="DC2"/>
  <c r="DD2"/>
  <c r="DE2"/>
  <c r="DF2"/>
  <c r="DG2"/>
  <c r="DH2"/>
  <c r="DI2"/>
  <c r="DJ2"/>
  <c r="DK2"/>
  <c r="DL2"/>
  <c r="DM2"/>
  <c r="DN2"/>
  <c r="DO2"/>
  <c r="DP2"/>
  <c r="DQ2"/>
  <c r="DR2"/>
  <c r="DS2"/>
  <c r="DT2"/>
  <c r="DZ2"/>
  <c r="EA2"/>
  <c r="EB2"/>
  <c r="EE2"/>
  <c r="EF2"/>
  <c r="EG2"/>
  <c r="DW2" s="1"/>
  <c r="EH2"/>
  <c r="DX2" s="1"/>
  <c r="EJ2"/>
  <c r="EK2"/>
  <c r="EL2"/>
  <c r="EM2"/>
  <c r="EN2"/>
  <c r="ES2"/>
  <c r="B3"/>
  <c r="E3"/>
  <c r="G3"/>
  <c r="I3"/>
  <c r="K3"/>
  <c r="L3"/>
  <c r="M3"/>
  <c r="N3"/>
  <c r="O3"/>
  <c r="P3"/>
  <c r="Q3"/>
  <c r="R3"/>
  <c r="S3"/>
  <c r="T3"/>
  <c r="U3"/>
  <c r="V3"/>
  <c r="W3"/>
  <c r="X3"/>
  <c r="Y3"/>
  <c r="Z3"/>
  <c r="AA3"/>
  <c r="AH3" s="1"/>
  <c r="AB3"/>
  <c r="AD3"/>
  <c r="AI3"/>
  <c r="AJ3"/>
  <c r="AK3"/>
  <c r="AL3"/>
  <c r="AM3"/>
  <c r="AN3"/>
  <c r="AP3"/>
  <c r="AQ3"/>
  <c r="AS3"/>
  <c r="AT3"/>
  <c r="AV3"/>
  <c r="AW3"/>
  <c r="AX3"/>
  <c r="AY3"/>
  <c r="AZ3"/>
  <c r="BA3"/>
  <c r="BB3"/>
  <c r="BC3"/>
  <c r="BD3"/>
  <c r="BE3"/>
  <c r="BF3"/>
  <c r="BG3"/>
  <c r="BH3"/>
  <c r="BJ3"/>
  <c r="BK3"/>
  <c r="EO3" s="1"/>
  <c r="BM3"/>
  <c r="BL3" s="1"/>
  <c r="BN3"/>
  <c r="BO3"/>
  <c r="BP3"/>
  <c r="BR3"/>
  <c r="BS3"/>
  <c r="BT3"/>
  <c r="BU3"/>
  <c r="BQ3" s="1"/>
  <c r="BV3"/>
  <c r="BW3"/>
  <c r="BX3"/>
  <c r="BZ3"/>
  <c r="CA3"/>
  <c r="CB3"/>
  <c r="CD3"/>
  <c r="CM3"/>
  <c r="CN3"/>
  <c r="CO3"/>
  <c r="CP3"/>
  <c r="CQ3"/>
  <c r="CR3"/>
  <c r="CS3"/>
  <c r="CE3" s="1"/>
  <c r="CT3"/>
  <c r="CU3"/>
  <c r="CV3"/>
  <c r="CW3"/>
  <c r="CX3"/>
  <c r="CY3"/>
  <c r="CZ3"/>
  <c r="DA3"/>
  <c r="DB3"/>
  <c r="DC3"/>
  <c r="DD3"/>
  <c r="DE3"/>
  <c r="DF3"/>
  <c r="DG3"/>
  <c r="DH3"/>
  <c r="DI3"/>
  <c r="DJ3"/>
  <c r="DK3"/>
  <c r="DL3"/>
  <c r="DM3"/>
  <c r="DN3"/>
  <c r="DO3"/>
  <c r="DP3"/>
  <c r="DQ3"/>
  <c r="DR3"/>
  <c r="DS3"/>
  <c r="DT3"/>
  <c r="DZ3"/>
  <c r="EA3"/>
  <c r="EB3"/>
  <c r="EE3"/>
  <c r="EF3"/>
  <c r="EG3"/>
  <c r="DW3" s="1"/>
  <c r="EH3"/>
  <c r="DX3" s="1"/>
  <c r="EJ3"/>
  <c r="EK3"/>
  <c r="EL3"/>
  <c r="EM3"/>
  <c r="EN3"/>
  <c r="ES3"/>
  <c r="B4"/>
  <c r="E4"/>
  <c r="G4"/>
  <c r="G5" s="1"/>
  <c r="G6" s="1"/>
  <c r="G7" s="1"/>
  <c r="G8" s="1"/>
  <c r="G9" s="1"/>
  <c r="G10" s="1"/>
  <c r="G11" s="1"/>
  <c r="G12" s="1"/>
  <c r="G13" s="1"/>
  <c r="G14" s="1"/>
  <c r="G15" s="1"/>
  <c r="G16" s="1"/>
  <c r="G17" s="1"/>
  <c r="G18" s="1"/>
  <c r="G19" s="1"/>
  <c r="G20" s="1"/>
  <c r="G21" s="1"/>
  <c r="G22" s="1"/>
  <c r="G23" s="1"/>
  <c r="G24" s="1"/>
  <c r="G25" s="1"/>
  <c r="G26" s="1"/>
  <c r="G27" s="1"/>
  <c r="G28" s="1"/>
  <c r="G29" s="1"/>
  <c r="G30" s="1"/>
  <c r="G31" s="1"/>
  <c r="G32" s="1"/>
  <c r="G33" s="1"/>
  <c r="G34" s="1"/>
  <c r="G35" s="1"/>
  <c r="G36" s="1"/>
  <c r="G37" s="1"/>
  <c r="G38" s="1"/>
  <c r="G39" s="1"/>
  <c r="G40" s="1"/>
  <c r="G41" s="1"/>
  <c r="G42" s="1"/>
  <c r="G43" s="1"/>
  <c r="G44" s="1"/>
  <c r="G45" s="1"/>
  <c r="G46" s="1"/>
  <c r="G47" s="1"/>
  <c r="G48" s="1"/>
  <c r="G49" s="1"/>
  <c r="G50" s="1"/>
  <c r="G51" s="1"/>
  <c r="G52" s="1"/>
  <c r="G53" s="1"/>
  <c r="G54" s="1"/>
  <c r="G55" s="1"/>
  <c r="G56" s="1"/>
  <c r="G57" s="1"/>
  <c r="G58" s="1"/>
  <c r="G59" s="1"/>
  <c r="G60" s="1"/>
  <c r="G61" s="1"/>
  <c r="G62" s="1"/>
  <c r="G63" s="1"/>
  <c r="G64" s="1"/>
  <c r="G65" s="1"/>
  <c r="G66" s="1"/>
  <c r="G67" s="1"/>
  <c r="G68" s="1"/>
  <c r="G69" s="1"/>
  <c r="G70" s="1"/>
  <c r="G71" s="1"/>
  <c r="G72" s="1"/>
  <c r="G73" s="1"/>
  <c r="G74" s="1"/>
  <c r="I4"/>
  <c r="I5" s="1"/>
  <c r="I6" s="1"/>
  <c r="I7" s="1"/>
  <c r="I8" s="1"/>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K4"/>
  <c r="L4"/>
  <c r="M4"/>
  <c r="N4"/>
  <c r="O4"/>
  <c r="P4"/>
  <c r="Q4"/>
  <c r="R4"/>
  <c r="S4"/>
  <c r="T4"/>
  <c r="U4"/>
  <c r="V4"/>
  <c r="W4"/>
  <c r="X4"/>
  <c r="Y4"/>
  <c r="Z4"/>
  <c r="AA4"/>
  <c r="AB4"/>
  <c r="AH4"/>
  <c r="AI4"/>
  <c r="AJ4"/>
  <c r="AK4"/>
  <c r="AL4"/>
  <c r="AM4"/>
  <c r="AN4"/>
  <c r="AP4"/>
  <c r="AQ4"/>
  <c r="AS4"/>
  <c r="AT4"/>
  <c r="AV4"/>
  <c r="AW4"/>
  <c r="AX4"/>
  <c r="AY4"/>
  <c r="AZ4"/>
  <c r="BA4"/>
  <c r="BB4"/>
  <c r="BC4"/>
  <c r="BD4"/>
  <c r="BE4"/>
  <c r="BF4"/>
  <c r="BG4"/>
  <c r="BH4"/>
  <c r="BJ4"/>
  <c r="BK4"/>
  <c r="BL4"/>
  <c r="BM4"/>
  <c r="BN4"/>
  <c r="BO4"/>
  <c r="BP4"/>
  <c r="BR4"/>
  <c r="BS4"/>
  <c r="BT4"/>
  <c r="BU4"/>
  <c r="BQ4" s="1"/>
  <c r="BV4"/>
  <c r="BW4"/>
  <c r="BZ4"/>
  <c r="CA4"/>
  <c r="CB4"/>
  <c r="CD4"/>
  <c r="CM4"/>
  <c r="CN4"/>
  <c r="CO4"/>
  <c r="CP4"/>
  <c r="CQ4"/>
  <c r="CR4"/>
  <c r="CS4"/>
  <c r="CE4" s="1"/>
  <c r="CT4"/>
  <c r="CU4"/>
  <c r="CV4"/>
  <c r="CW4"/>
  <c r="CX4"/>
  <c r="CY4"/>
  <c r="CZ4"/>
  <c r="DA4"/>
  <c r="DB4"/>
  <c r="DC4"/>
  <c r="DD4"/>
  <c r="DE4"/>
  <c r="DF4"/>
  <c r="DG4"/>
  <c r="DH4"/>
  <c r="DI4"/>
  <c r="DJ4"/>
  <c r="DK4"/>
  <c r="DL4"/>
  <c r="DM4"/>
  <c r="DN4"/>
  <c r="DO4"/>
  <c r="DP4"/>
  <c r="DQ4"/>
  <c r="DR4"/>
  <c r="DS4"/>
  <c r="DT4"/>
  <c r="DZ4"/>
  <c r="EA4"/>
  <c r="EB4"/>
  <c r="EE4"/>
  <c r="EF4"/>
  <c r="EG4"/>
  <c r="DW4" s="1"/>
  <c r="EH4"/>
  <c r="DX4" s="1"/>
  <c r="EJ4"/>
  <c r="EK4"/>
  <c r="EL4"/>
  <c r="EM4"/>
  <c r="EN4"/>
  <c r="EO4"/>
  <c r="ES4"/>
  <c r="B5"/>
  <c r="E5"/>
  <c r="K5"/>
  <c r="L5"/>
  <c r="M5"/>
  <c r="N5"/>
  <c r="O5"/>
  <c r="P5"/>
  <c r="Q5"/>
  <c r="R5"/>
  <c r="S5"/>
  <c r="T5"/>
  <c r="U5"/>
  <c r="V5"/>
  <c r="W5"/>
  <c r="X5"/>
  <c r="Y5"/>
  <c r="Z5"/>
  <c r="AH5" s="1"/>
  <c r="AA5"/>
  <c r="AB5"/>
  <c r="AI5"/>
  <c r="AJ5"/>
  <c r="AK5"/>
  <c r="AL5"/>
  <c r="AM5"/>
  <c r="AN5"/>
  <c r="AP5"/>
  <c r="AQ5"/>
  <c r="AS5"/>
  <c r="AT5"/>
  <c r="AV5"/>
  <c r="AW5"/>
  <c r="AX5"/>
  <c r="AY5"/>
  <c r="AZ5"/>
  <c r="BA5"/>
  <c r="BB5"/>
  <c r="BC5"/>
  <c r="BD5"/>
  <c r="BE5"/>
  <c r="BF5"/>
  <c r="BG5"/>
  <c r="BH5"/>
  <c r="BJ5"/>
  <c r="BK5"/>
  <c r="EO5" s="1"/>
  <c r="BM5"/>
  <c r="BL5" s="1"/>
  <c r="BN5"/>
  <c r="BO5"/>
  <c r="BP5"/>
  <c r="BR5"/>
  <c r="BS5"/>
  <c r="BT5"/>
  <c r="BU5"/>
  <c r="BQ5" s="1"/>
  <c r="BV5"/>
  <c r="BW5"/>
  <c r="BX5"/>
  <c r="BZ5"/>
  <c r="CA5"/>
  <c r="CB5"/>
  <c r="CD5"/>
  <c r="CM5"/>
  <c r="CN5"/>
  <c r="CO5"/>
  <c r="CP5"/>
  <c r="CQ5"/>
  <c r="CR5"/>
  <c r="CS5"/>
  <c r="CE5" s="1"/>
  <c r="CT5"/>
  <c r="CU5"/>
  <c r="CV5"/>
  <c r="CW5"/>
  <c r="CX5"/>
  <c r="CY5"/>
  <c r="CZ5"/>
  <c r="DA5"/>
  <c r="DB5"/>
  <c r="DC5"/>
  <c r="DD5"/>
  <c r="DE5"/>
  <c r="DF5"/>
  <c r="DG5"/>
  <c r="DH5"/>
  <c r="DI5"/>
  <c r="DJ5"/>
  <c r="DK5"/>
  <c r="DL5"/>
  <c r="DM5"/>
  <c r="DN5"/>
  <c r="DO5"/>
  <c r="DP5"/>
  <c r="DQ5"/>
  <c r="DR5"/>
  <c r="DS5"/>
  <c r="DT5"/>
  <c r="DZ5"/>
  <c r="EA5"/>
  <c r="EB5"/>
  <c r="EE5"/>
  <c r="EF5"/>
  <c r="EG5"/>
  <c r="DW5" s="1"/>
  <c r="EH5"/>
  <c r="DX5" s="1"/>
  <c r="EJ5"/>
  <c r="EK5"/>
  <c r="EL5"/>
  <c r="EM5"/>
  <c r="EN5"/>
  <c r="ES5"/>
  <c r="B6"/>
  <c r="E6"/>
  <c r="K6"/>
  <c r="L6"/>
  <c r="M6"/>
  <c r="N6"/>
  <c r="O6"/>
  <c r="P6"/>
  <c r="Q6"/>
  <c r="R6"/>
  <c r="S6"/>
  <c r="T6"/>
  <c r="U6"/>
  <c r="V6"/>
  <c r="W6"/>
  <c r="X6"/>
  <c r="Y6"/>
  <c r="Z6"/>
  <c r="AA6"/>
  <c r="AB6"/>
  <c r="AH6"/>
  <c r="AI6"/>
  <c r="AJ6"/>
  <c r="AK6"/>
  <c r="AL6"/>
  <c r="AM6"/>
  <c r="AN6"/>
  <c r="AP6"/>
  <c r="AQ6"/>
  <c r="AS6"/>
  <c r="AT6"/>
  <c r="AV6"/>
  <c r="AW6"/>
  <c r="AX6"/>
  <c r="AY6"/>
  <c r="AZ6"/>
  <c r="BA6"/>
  <c r="BB6"/>
  <c r="BC6"/>
  <c r="BD6"/>
  <c r="BE6"/>
  <c r="BF6"/>
  <c r="BG6"/>
  <c r="BH6"/>
  <c r="BJ6"/>
  <c r="BK6"/>
  <c r="BL6"/>
  <c r="BM6"/>
  <c r="BN6"/>
  <c r="BO6"/>
  <c r="BP6"/>
  <c r="BR6"/>
  <c r="BS6"/>
  <c r="BT6"/>
  <c r="BU6"/>
  <c r="BQ6" s="1"/>
  <c r="BV6"/>
  <c r="BW6"/>
  <c r="BZ6"/>
  <c r="CA6"/>
  <c r="CB6"/>
  <c r="CD6"/>
  <c r="CM6"/>
  <c r="CN6"/>
  <c r="CO6"/>
  <c r="CP6"/>
  <c r="CQ6"/>
  <c r="CR6"/>
  <c r="CS6"/>
  <c r="CE6" s="1"/>
  <c r="CT6"/>
  <c r="CU6"/>
  <c r="CV6"/>
  <c r="CW6"/>
  <c r="CX6"/>
  <c r="CY6"/>
  <c r="CZ6"/>
  <c r="DA6"/>
  <c r="DB6"/>
  <c r="DC6"/>
  <c r="DD6"/>
  <c r="DE6"/>
  <c r="DF6"/>
  <c r="DG6"/>
  <c r="DH6"/>
  <c r="DI6"/>
  <c r="DJ6"/>
  <c r="DK6"/>
  <c r="DL6"/>
  <c r="DM6"/>
  <c r="DN6"/>
  <c r="DO6"/>
  <c r="DP6"/>
  <c r="DQ6"/>
  <c r="DR6"/>
  <c r="DS6"/>
  <c r="DT6"/>
  <c r="DZ6"/>
  <c r="EA6"/>
  <c r="EB6"/>
  <c r="EE6"/>
  <c r="EF6"/>
  <c r="EG6"/>
  <c r="DW6" s="1"/>
  <c r="EH6"/>
  <c r="DX6" s="1"/>
  <c r="EJ6"/>
  <c r="EK6"/>
  <c r="EL6"/>
  <c r="EM6"/>
  <c r="EN6"/>
  <c r="EO6"/>
  <c r="ES6"/>
  <c r="B7"/>
  <c r="E7"/>
  <c r="K7"/>
  <c r="L7"/>
  <c r="M7"/>
  <c r="N7"/>
  <c r="O7"/>
  <c r="P7"/>
  <c r="Q7"/>
  <c r="R7"/>
  <c r="S7"/>
  <c r="T7"/>
  <c r="U7"/>
  <c r="V7"/>
  <c r="W7"/>
  <c r="X7"/>
  <c r="Y7"/>
  <c r="Z7"/>
  <c r="AA7"/>
  <c r="AB7"/>
  <c r="AI7"/>
  <c r="AJ7"/>
  <c r="AK7"/>
  <c r="AL7"/>
  <c r="AM7"/>
  <c r="AN7"/>
  <c r="AP7"/>
  <c r="AQ7"/>
  <c r="AS7"/>
  <c r="AT7"/>
  <c r="AV7"/>
  <c r="AW7"/>
  <c r="AX7"/>
  <c r="AY7"/>
  <c r="AZ7"/>
  <c r="BA7"/>
  <c r="BB7"/>
  <c r="BC7"/>
  <c r="BD7"/>
  <c r="BE7"/>
  <c r="BF7"/>
  <c r="BG7"/>
  <c r="BH7"/>
  <c r="BJ7"/>
  <c r="BK7"/>
  <c r="BM7"/>
  <c r="BL7" s="1"/>
  <c r="BN7"/>
  <c r="BO7"/>
  <c r="BP7"/>
  <c r="BR7"/>
  <c r="BS7"/>
  <c r="BT7"/>
  <c r="BU7"/>
  <c r="BQ7" s="1"/>
  <c r="BV7"/>
  <c r="BW7"/>
  <c r="BX7"/>
  <c r="BZ7"/>
  <c r="CA7"/>
  <c r="CB7"/>
  <c r="CD7"/>
  <c r="CM7"/>
  <c r="CN7"/>
  <c r="CO7"/>
  <c r="CP7"/>
  <c r="CQ7"/>
  <c r="CR7"/>
  <c r="CS7"/>
  <c r="CE7" s="1"/>
  <c r="CT7"/>
  <c r="CU7"/>
  <c r="CV7"/>
  <c r="CW7"/>
  <c r="CX7"/>
  <c r="CY7"/>
  <c r="CZ7"/>
  <c r="DA7"/>
  <c r="DB7"/>
  <c r="DC7"/>
  <c r="DD7"/>
  <c r="DE7"/>
  <c r="DF7"/>
  <c r="DG7"/>
  <c r="DH7"/>
  <c r="DI7"/>
  <c r="DJ7"/>
  <c r="DK7"/>
  <c r="DL7"/>
  <c r="DM7"/>
  <c r="DN7"/>
  <c r="DO7"/>
  <c r="DP7"/>
  <c r="DQ7"/>
  <c r="DR7"/>
  <c r="DS7"/>
  <c r="DT7"/>
  <c r="DZ7"/>
  <c r="EA7"/>
  <c r="EB7"/>
  <c r="EE7"/>
  <c r="EF7"/>
  <c r="EG7"/>
  <c r="DW7" s="1"/>
  <c r="EH7"/>
  <c r="DX7" s="1"/>
  <c r="EJ7"/>
  <c r="EK7"/>
  <c r="EL7"/>
  <c r="EM7"/>
  <c r="EN7"/>
  <c r="ES7"/>
  <c r="B8"/>
  <c r="E8"/>
  <c r="K8"/>
  <c r="L8"/>
  <c r="AD8" s="1"/>
  <c r="M8"/>
  <c r="N8"/>
  <c r="O8"/>
  <c r="P8"/>
  <c r="Q8"/>
  <c r="R8"/>
  <c r="S8"/>
  <c r="T8"/>
  <c r="U8"/>
  <c r="V8"/>
  <c r="W8"/>
  <c r="X8"/>
  <c r="Y8"/>
  <c r="Z8"/>
  <c r="AA8"/>
  <c r="AB8"/>
  <c r="AI8"/>
  <c r="AJ8"/>
  <c r="AK8"/>
  <c r="AL8"/>
  <c r="AM8"/>
  <c r="AN8"/>
  <c r="AP8"/>
  <c r="AQ8"/>
  <c r="AS8"/>
  <c r="AT8"/>
  <c r="AV8"/>
  <c r="AW8"/>
  <c r="AX8"/>
  <c r="AY8"/>
  <c r="AZ8"/>
  <c r="BA8"/>
  <c r="BB8"/>
  <c r="BC8"/>
  <c r="BD8"/>
  <c r="BE8"/>
  <c r="BF8"/>
  <c r="BG8"/>
  <c r="BH8"/>
  <c r="BJ8"/>
  <c r="BK8"/>
  <c r="BM8"/>
  <c r="BN8"/>
  <c r="BO8"/>
  <c r="BP8"/>
  <c r="BR8"/>
  <c r="BS8"/>
  <c r="BT8"/>
  <c r="BU8"/>
  <c r="BQ8" s="1"/>
  <c r="BV8"/>
  <c r="BW8"/>
  <c r="BZ8"/>
  <c r="CA8"/>
  <c r="CB8"/>
  <c r="CD8"/>
  <c r="CM8"/>
  <c r="CN8"/>
  <c r="CO8"/>
  <c r="CP8"/>
  <c r="CQ8"/>
  <c r="CR8"/>
  <c r="CS8"/>
  <c r="CE8" s="1"/>
  <c r="CT8"/>
  <c r="CU8"/>
  <c r="CV8"/>
  <c r="CW8"/>
  <c r="CX8"/>
  <c r="CY8"/>
  <c r="CZ8"/>
  <c r="DA8"/>
  <c r="DB8"/>
  <c r="DC8"/>
  <c r="DD8"/>
  <c r="DE8"/>
  <c r="DF8"/>
  <c r="DG8"/>
  <c r="DH8"/>
  <c r="DI8"/>
  <c r="DJ8"/>
  <c r="DK8"/>
  <c r="DL8"/>
  <c r="DM8"/>
  <c r="DN8"/>
  <c r="DO8"/>
  <c r="DP8"/>
  <c r="DQ8"/>
  <c r="DR8"/>
  <c r="DS8"/>
  <c r="DT8"/>
  <c r="DZ8"/>
  <c r="EA8"/>
  <c r="EB8"/>
  <c r="EE8"/>
  <c r="EF8"/>
  <c r="EG8"/>
  <c r="DW8" s="1"/>
  <c r="EH8"/>
  <c r="DX8" s="1"/>
  <c r="EJ8"/>
  <c r="EK8"/>
  <c r="EL8"/>
  <c r="EM8"/>
  <c r="EN8"/>
  <c r="EO8"/>
  <c r="ES8"/>
  <c r="B9"/>
  <c r="E9"/>
  <c r="K9"/>
  <c r="L9"/>
  <c r="AD9" s="1"/>
  <c r="M9"/>
  <c r="N9"/>
  <c r="O9"/>
  <c r="P9"/>
  <c r="Q9"/>
  <c r="R9"/>
  <c r="S9"/>
  <c r="T9"/>
  <c r="U9"/>
  <c r="V9"/>
  <c r="W9"/>
  <c r="X9"/>
  <c r="Y9"/>
  <c r="Z9"/>
  <c r="AA9"/>
  <c r="AB9"/>
  <c r="AI9"/>
  <c r="AJ9"/>
  <c r="AK9"/>
  <c r="AL9"/>
  <c r="AM9"/>
  <c r="AN9"/>
  <c r="AP9"/>
  <c r="AQ9"/>
  <c r="AS9"/>
  <c r="AT9"/>
  <c r="AV9"/>
  <c r="AW9"/>
  <c r="AX9"/>
  <c r="AY9"/>
  <c r="AZ9"/>
  <c r="BA9"/>
  <c r="BB9"/>
  <c r="BC9"/>
  <c r="BD9"/>
  <c r="BE9"/>
  <c r="BF9"/>
  <c r="BG9"/>
  <c r="BH9"/>
  <c r="BJ9"/>
  <c r="BK9"/>
  <c r="BM9"/>
  <c r="BN9"/>
  <c r="BO9"/>
  <c r="BP9"/>
  <c r="BR9"/>
  <c r="BS9"/>
  <c r="BT9"/>
  <c r="BU9"/>
  <c r="BQ9" s="1"/>
  <c r="BV9"/>
  <c r="BW9"/>
  <c r="BZ9"/>
  <c r="CA9"/>
  <c r="CB9"/>
  <c r="CD9"/>
  <c r="CM9"/>
  <c r="CN9"/>
  <c r="CO9"/>
  <c r="CP9"/>
  <c r="CQ9"/>
  <c r="CR9"/>
  <c r="CS9"/>
  <c r="CE9" s="1"/>
  <c r="CT9"/>
  <c r="CU9"/>
  <c r="CV9"/>
  <c r="CW9"/>
  <c r="CX9"/>
  <c r="CY9"/>
  <c r="CZ9"/>
  <c r="DA9"/>
  <c r="DB9"/>
  <c r="DC9"/>
  <c r="DD9"/>
  <c r="DE9"/>
  <c r="DF9"/>
  <c r="DG9"/>
  <c r="DH9"/>
  <c r="DI9"/>
  <c r="DJ9"/>
  <c r="DK9"/>
  <c r="DL9"/>
  <c r="DM9"/>
  <c r="DN9"/>
  <c r="DO9"/>
  <c r="DP9"/>
  <c r="DQ9"/>
  <c r="DR9"/>
  <c r="DS9"/>
  <c r="DT9"/>
  <c r="DZ9"/>
  <c r="EA9"/>
  <c r="EB9"/>
  <c r="EE9"/>
  <c r="EF9"/>
  <c r="EG9"/>
  <c r="DW9" s="1"/>
  <c r="EH9"/>
  <c r="DX9" s="1"/>
  <c r="EJ9"/>
  <c r="EK9"/>
  <c r="EL9"/>
  <c r="EM9"/>
  <c r="EN9"/>
  <c r="EO9"/>
  <c r="ES9"/>
  <c r="B10"/>
  <c r="E10"/>
  <c r="K10"/>
  <c r="L10"/>
  <c r="AD10" s="1"/>
  <c r="M10"/>
  <c r="N10"/>
  <c r="O10"/>
  <c r="P10"/>
  <c r="Q10"/>
  <c r="R10"/>
  <c r="S10"/>
  <c r="T10"/>
  <c r="U10"/>
  <c r="V10"/>
  <c r="W10"/>
  <c r="X10"/>
  <c r="Y10"/>
  <c r="Z10"/>
  <c r="AA10"/>
  <c r="AB10"/>
  <c r="AI10"/>
  <c r="AJ10"/>
  <c r="AK10"/>
  <c r="AL10"/>
  <c r="AM10"/>
  <c r="AN10"/>
  <c r="AP10"/>
  <c r="AQ10"/>
  <c r="AS10"/>
  <c r="AT10"/>
  <c r="AV10"/>
  <c r="AW10"/>
  <c r="AX10"/>
  <c r="AY10"/>
  <c r="AZ10"/>
  <c r="BA10"/>
  <c r="BB10"/>
  <c r="BC10"/>
  <c r="BD10"/>
  <c r="BE10"/>
  <c r="BF10"/>
  <c r="BG10"/>
  <c r="BH10"/>
  <c r="BJ10"/>
  <c r="BK10"/>
  <c r="BM10"/>
  <c r="BN10"/>
  <c r="BO10"/>
  <c r="BP10"/>
  <c r="BR10"/>
  <c r="BS10"/>
  <c r="BT10"/>
  <c r="BU10"/>
  <c r="BQ10" s="1"/>
  <c r="BV10"/>
  <c r="BW10"/>
  <c r="BZ10"/>
  <c r="CA10"/>
  <c r="CB10"/>
  <c r="CD10"/>
  <c r="CM10"/>
  <c r="CN10"/>
  <c r="CO10"/>
  <c r="CP10"/>
  <c r="CQ10"/>
  <c r="CR10"/>
  <c r="CS10"/>
  <c r="CE10" s="1"/>
  <c r="CT10"/>
  <c r="CU10"/>
  <c r="CV10"/>
  <c r="CW10"/>
  <c r="CX10"/>
  <c r="CY10"/>
  <c r="CZ10"/>
  <c r="DA10"/>
  <c r="DB10"/>
  <c r="DC10"/>
  <c r="DD10"/>
  <c r="DE10"/>
  <c r="DF10"/>
  <c r="DG10"/>
  <c r="DH10"/>
  <c r="DI10"/>
  <c r="DJ10"/>
  <c r="DK10"/>
  <c r="DL10"/>
  <c r="DM10"/>
  <c r="DN10"/>
  <c r="DO10"/>
  <c r="DP10"/>
  <c r="DQ10"/>
  <c r="DR10"/>
  <c r="DS10"/>
  <c r="DT10"/>
  <c r="DZ10"/>
  <c r="EA10"/>
  <c r="EB10"/>
  <c r="EE10"/>
  <c r="EF10"/>
  <c r="EG10"/>
  <c r="DW10" s="1"/>
  <c r="EH10"/>
  <c r="DX10" s="1"/>
  <c r="EJ10"/>
  <c r="EK10"/>
  <c r="EL10"/>
  <c r="EM10"/>
  <c r="EN10"/>
  <c r="EO10"/>
  <c r="ES10"/>
  <c r="B11"/>
  <c r="E11"/>
  <c r="K11"/>
  <c r="L11"/>
  <c r="M11"/>
  <c r="N11"/>
  <c r="O11"/>
  <c r="P11"/>
  <c r="AC11" s="1"/>
  <c r="Q11"/>
  <c r="R11"/>
  <c r="S11"/>
  <c r="T11"/>
  <c r="U11"/>
  <c r="V11"/>
  <c r="W11"/>
  <c r="X11"/>
  <c r="Y11"/>
  <c r="Z11"/>
  <c r="AA11"/>
  <c r="AB11"/>
  <c r="AG11"/>
  <c r="AI11"/>
  <c r="AJ11"/>
  <c r="AK11"/>
  <c r="AL11"/>
  <c r="AM11"/>
  <c r="AN11"/>
  <c r="AP11"/>
  <c r="AQ11"/>
  <c r="AS11"/>
  <c r="AT11"/>
  <c r="AV11"/>
  <c r="AW11"/>
  <c r="AX11"/>
  <c r="AY11"/>
  <c r="AZ11"/>
  <c r="BA11"/>
  <c r="BB11"/>
  <c r="BC11"/>
  <c r="BD11"/>
  <c r="BE11"/>
  <c r="BF11"/>
  <c r="BG11"/>
  <c r="BH11"/>
  <c r="BJ11"/>
  <c r="BK11"/>
  <c r="BM11"/>
  <c r="BL11" s="1"/>
  <c r="BN11"/>
  <c r="BO11"/>
  <c r="BP11"/>
  <c r="BR11"/>
  <c r="BS11"/>
  <c r="BT11"/>
  <c r="BU11"/>
  <c r="BQ11" s="1"/>
  <c r="BV11"/>
  <c r="BY11" s="1"/>
  <c r="BW11"/>
  <c r="BX11"/>
  <c r="BZ11"/>
  <c r="CA11"/>
  <c r="CB11"/>
  <c r="CD11"/>
  <c r="CM11"/>
  <c r="CN11"/>
  <c r="CO11"/>
  <c r="CP11"/>
  <c r="CQ11"/>
  <c r="CR11"/>
  <c r="CS11"/>
  <c r="CF11" s="1"/>
  <c r="CT11"/>
  <c r="CU11"/>
  <c r="CV11"/>
  <c r="CW11"/>
  <c r="CX11"/>
  <c r="CY11"/>
  <c r="CZ11"/>
  <c r="DA11"/>
  <c r="DB11"/>
  <c r="DC11"/>
  <c r="DD11"/>
  <c r="DE11"/>
  <c r="DF11"/>
  <c r="DG11"/>
  <c r="DH11"/>
  <c r="DI11"/>
  <c r="DJ11"/>
  <c r="DK11"/>
  <c r="DL11"/>
  <c r="DM11"/>
  <c r="DN11"/>
  <c r="DO11"/>
  <c r="DP11"/>
  <c r="DQ11"/>
  <c r="DR11"/>
  <c r="DS11"/>
  <c r="DT11"/>
  <c r="DZ11"/>
  <c r="EA11"/>
  <c r="EB11"/>
  <c r="EE11"/>
  <c r="EF11"/>
  <c r="DV11" s="1"/>
  <c r="EG11"/>
  <c r="DW11" s="1"/>
  <c r="EH11"/>
  <c r="DX11" s="1"/>
  <c r="EJ11"/>
  <c r="EK11"/>
  <c r="EL11"/>
  <c r="EM11"/>
  <c r="EN11"/>
  <c r="ES11"/>
  <c r="B12"/>
  <c r="E12"/>
  <c r="K12"/>
  <c r="L12"/>
  <c r="M12"/>
  <c r="N12"/>
  <c r="O12"/>
  <c r="P12"/>
  <c r="AC12" s="1"/>
  <c r="Q12"/>
  <c r="R12"/>
  <c r="S12"/>
  <c r="T12"/>
  <c r="U12"/>
  <c r="V12"/>
  <c r="W12"/>
  <c r="X12"/>
  <c r="Y12"/>
  <c r="Z12"/>
  <c r="AA12"/>
  <c r="AB12"/>
  <c r="AG12"/>
  <c r="AI12"/>
  <c r="AJ12"/>
  <c r="AK12"/>
  <c r="AL12"/>
  <c r="AM12"/>
  <c r="AN12"/>
  <c r="AP12"/>
  <c r="AQ12"/>
  <c r="AS12"/>
  <c r="AT12"/>
  <c r="AV12"/>
  <c r="AW12"/>
  <c r="AX12"/>
  <c r="AY12"/>
  <c r="AZ12"/>
  <c r="BA12"/>
  <c r="BB12"/>
  <c r="BC12"/>
  <c r="BD12"/>
  <c r="BE12"/>
  <c r="BF12"/>
  <c r="BG12"/>
  <c r="BH12"/>
  <c r="BJ12"/>
  <c r="BK12"/>
  <c r="BM12"/>
  <c r="BL12" s="1"/>
  <c r="BN12"/>
  <c r="BO12"/>
  <c r="BP12"/>
  <c r="BR12"/>
  <c r="BS12"/>
  <c r="BT12"/>
  <c r="BU12"/>
  <c r="BQ12" s="1"/>
  <c r="BV12"/>
  <c r="BY12" s="1"/>
  <c r="BW12"/>
  <c r="BX12"/>
  <c r="BZ12"/>
  <c r="CA12"/>
  <c r="CB12"/>
  <c r="CD12"/>
  <c r="CM12"/>
  <c r="CN12"/>
  <c r="CO12"/>
  <c r="CP12"/>
  <c r="CQ12"/>
  <c r="CR12"/>
  <c r="CS12"/>
  <c r="CE12" s="1"/>
  <c r="CT12"/>
  <c r="CU12"/>
  <c r="CV12"/>
  <c r="CW12"/>
  <c r="CX12"/>
  <c r="CY12"/>
  <c r="CZ12"/>
  <c r="DA12"/>
  <c r="DB12"/>
  <c r="DC12"/>
  <c r="DD12"/>
  <c r="DE12"/>
  <c r="DF12"/>
  <c r="DG12"/>
  <c r="DH12"/>
  <c r="DI12"/>
  <c r="DJ12"/>
  <c r="DK12"/>
  <c r="DL12"/>
  <c r="DM12"/>
  <c r="DN12"/>
  <c r="DO12"/>
  <c r="DP12"/>
  <c r="DQ12"/>
  <c r="DR12"/>
  <c r="DS12"/>
  <c r="DT12"/>
  <c r="DZ12"/>
  <c r="EA12"/>
  <c r="EB12"/>
  <c r="EE12"/>
  <c r="EF12"/>
  <c r="DV12" s="1"/>
  <c r="EG12"/>
  <c r="DW12" s="1"/>
  <c r="EH12"/>
  <c r="DX12" s="1"/>
  <c r="EJ12"/>
  <c r="EK12"/>
  <c r="EL12"/>
  <c r="EM12"/>
  <c r="EN12"/>
  <c r="EO12"/>
  <c r="ES12"/>
  <c r="B13"/>
  <c r="E13"/>
  <c r="K13"/>
  <c r="L13"/>
  <c r="M13"/>
  <c r="N13"/>
  <c r="AF13" s="1"/>
  <c r="O13"/>
  <c r="P13"/>
  <c r="Q13"/>
  <c r="R13"/>
  <c r="S13"/>
  <c r="T13"/>
  <c r="U13"/>
  <c r="V13"/>
  <c r="W13"/>
  <c r="X13"/>
  <c r="Y13"/>
  <c r="Z13"/>
  <c r="AA13"/>
  <c r="AB13"/>
  <c r="AI13"/>
  <c r="AJ13"/>
  <c r="AK13"/>
  <c r="AL13"/>
  <c r="AM13"/>
  <c r="AN13"/>
  <c r="AP13"/>
  <c r="AQ13"/>
  <c r="AS13"/>
  <c r="AT13"/>
  <c r="AV13"/>
  <c r="AW13"/>
  <c r="AX13"/>
  <c r="AY13"/>
  <c r="AZ13"/>
  <c r="BA13"/>
  <c r="BB13"/>
  <c r="BC13"/>
  <c r="BD13"/>
  <c r="BE13"/>
  <c r="BF13"/>
  <c r="BG13"/>
  <c r="BH13"/>
  <c r="BJ13"/>
  <c r="BK13"/>
  <c r="EO13" s="1"/>
  <c r="BM13"/>
  <c r="BN13"/>
  <c r="BO13"/>
  <c r="BP13"/>
  <c r="BR13"/>
  <c r="BS13"/>
  <c r="BT13"/>
  <c r="BU13"/>
  <c r="BQ13" s="1"/>
  <c r="BV13"/>
  <c r="BW13"/>
  <c r="BZ13"/>
  <c r="CA13"/>
  <c r="CB13"/>
  <c r="CD13"/>
  <c r="CL13"/>
  <c r="CM13"/>
  <c r="CN13"/>
  <c r="CO13"/>
  <c r="CP13"/>
  <c r="CQ13"/>
  <c r="CR13"/>
  <c r="CS13"/>
  <c r="CE13" s="1"/>
  <c r="CT13"/>
  <c r="CU13"/>
  <c r="CV13"/>
  <c r="CW13"/>
  <c r="CX13"/>
  <c r="CY13"/>
  <c r="CZ13"/>
  <c r="DA13"/>
  <c r="DB13"/>
  <c r="DC13"/>
  <c r="DD13"/>
  <c r="DE13"/>
  <c r="DF13"/>
  <c r="DG13"/>
  <c r="DH13"/>
  <c r="DI13"/>
  <c r="DJ13"/>
  <c r="DK13"/>
  <c r="DL13"/>
  <c r="DM13"/>
  <c r="DN13"/>
  <c r="DO13"/>
  <c r="DP13"/>
  <c r="DQ13"/>
  <c r="DR13"/>
  <c r="DS13"/>
  <c r="DT13"/>
  <c r="DZ13"/>
  <c r="EA13"/>
  <c r="EB13"/>
  <c r="EE13"/>
  <c r="EF13"/>
  <c r="DV13" s="1"/>
  <c r="EG13"/>
  <c r="DW13" s="1"/>
  <c r="EH13"/>
  <c r="DX13" s="1"/>
  <c r="EJ13"/>
  <c r="EK13"/>
  <c r="EL13"/>
  <c r="EM13"/>
  <c r="EN13"/>
  <c r="ES13"/>
  <c r="B14"/>
  <c r="E14"/>
  <c r="K14"/>
  <c r="L14"/>
  <c r="M14"/>
  <c r="N14"/>
  <c r="O14"/>
  <c r="P14"/>
  <c r="Q14"/>
  <c r="R14"/>
  <c r="S14"/>
  <c r="T14"/>
  <c r="U14"/>
  <c r="V14"/>
  <c r="W14"/>
  <c r="X14"/>
  <c r="Y14"/>
  <c r="Z14"/>
  <c r="AA14"/>
  <c r="AB14"/>
  <c r="AF14"/>
  <c r="AI14"/>
  <c r="AJ14"/>
  <c r="AK14"/>
  <c r="AL14"/>
  <c r="AM14"/>
  <c r="AN14"/>
  <c r="AP14"/>
  <c r="AQ14"/>
  <c r="AS14"/>
  <c r="AT14"/>
  <c r="AV14"/>
  <c r="AW14"/>
  <c r="AX14"/>
  <c r="AY14"/>
  <c r="AZ14"/>
  <c r="BA14"/>
  <c r="BB14"/>
  <c r="BC14"/>
  <c r="BD14"/>
  <c r="BE14"/>
  <c r="BF14"/>
  <c r="BG14"/>
  <c r="BH14"/>
  <c r="BJ14"/>
  <c r="BK14"/>
  <c r="BM14"/>
  <c r="BL14" s="1"/>
  <c r="BN14"/>
  <c r="BO14"/>
  <c r="BP14"/>
  <c r="BR14"/>
  <c r="BS14"/>
  <c r="BT14"/>
  <c r="BU14"/>
  <c r="BQ14" s="1"/>
  <c r="BV14"/>
  <c r="BY14" s="1"/>
  <c r="BW14"/>
  <c r="BX14"/>
  <c r="BZ14"/>
  <c r="CA14"/>
  <c r="CB14"/>
  <c r="CD14"/>
  <c r="CM14"/>
  <c r="CN14"/>
  <c r="CO14"/>
  <c r="CP14"/>
  <c r="CQ14"/>
  <c r="CR14"/>
  <c r="CS14"/>
  <c r="CE14" s="1"/>
  <c r="CT14"/>
  <c r="CU14"/>
  <c r="CV14"/>
  <c r="CW14"/>
  <c r="CX14"/>
  <c r="CY14"/>
  <c r="CZ14"/>
  <c r="DA14"/>
  <c r="DB14"/>
  <c r="DC14"/>
  <c r="DD14"/>
  <c r="DE14"/>
  <c r="DF14"/>
  <c r="DG14"/>
  <c r="DH14"/>
  <c r="DI14"/>
  <c r="DJ14"/>
  <c r="DK14"/>
  <c r="DL14"/>
  <c r="DM14"/>
  <c r="DN14"/>
  <c r="DO14"/>
  <c r="DP14"/>
  <c r="DQ14"/>
  <c r="DR14"/>
  <c r="DS14"/>
  <c r="DT14"/>
  <c r="DZ14"/>
  <c r="EA14"/>
  <c r="EB14"/>
  <c r="EE14"/>
  <c r="EF14"/>
  <c r="DV14" s="1"/>
  <c r="EG14"/>
  <c r="DW14" s="1"/>
  <c r="EH14"/>
  <c r="DX14" s="1"/>
  <c r="EJ14"/>
  <c r="EK14"/>
  <c r="EL14"/>
  <c r="EM14"/>
  <c r="EN14"/>
  <c r="EO14"/>
  <c r="ES14"/>
  <c r="B15"/>
  <c r="E15"/>
  <c r="K15"/>
  <c r="L15"/>
  <c r="M15"/>
  <c r="N15"/>
  <c r="AF15" s="1"/>
  <c r="O15"/>
  <c r="P15"/>
  <c r="Q15"/>
  <c r="R15"/>
  <c r="S15"/>
  <c r="T15"/>
  <c r="U15"/>
  <c r="V15"/>
  <c r="W15"/>
  <c r="X15"/>
  <c r="Y15"/>
  <c r="Z15"/>
  <c r="AA15"/>
  <c r="AB15"/>
  <c r="AI15"/>
  <c r="AJ15"/>
  <c r="AK15"/>
  <c r="AL15"/>
  <c r="AM15"/>
  <c r="AN15"/>
  <c r="AP15"/>
  <c r="AQ15"/>
  <c r="AS15"/>
  <c r="AT15"/>
  <c r="AV15"/>
  <c r="AW15"/>
  <c r="AX15"/>
  <c r="AY15"/>
  <c r="AZ15"/>
  <c r="BA15"/>
  <c r="BB15"/>
  <c r="BC15"/>
  <c r="BD15"/>
  <c r="BE15"/>
  <c r="BF15"/>
  <c r="BG15"/>
  <c r="BH15"/>
  <c r="BJ15"/>
  <c r="BK15"/>
  <c r="EO15" s="1"/>
  <c r="BM15"/>
  <c r="BN15"/>
  <c r="BO15"/>
  <c r="BP15"/>
  <c r="BR15"/>
  <c r="BS15"/>
  <c r="BT15"/>
  <c r="BU15"/>
  <c r="BQ15" s="1"/>
  <c r="BV15"/>
  <c r="BW15"/>
  <c r="BZ15"/>
  <c r="CA15"/>
  <c r="CB15"/>
  <c r="CD15"/>
  <c r="CL15"/>
  <c r="CM15"/>
  <c r="CN15"/>
  <c r="CO15"/>
  <c r="CP15"/>
  <c r="CQ15"/>
  <c r="CR15"/>
  <c r="CS15"/>
  <c r="CE15" s="1"/>
  <c r="CT15"/>
  <c r="CU15"/>
  <c r="CV15"/>
  <c r="CW15"/>
  <c r="CX15"/>
  <c r="CY15"/>
  <c r="CZ15"/>
  <c r="DA15"/>
  <c r="DB15"/>
  <c r="DC15"/>
  <c r="DD15"/>
  <c r="DE15"/>
  <c r="DF15"/>
  <c r="DG15"/>
  <c r="DH15"/>
  <c r="DI15"/>
  <c r="DJ15"/>
  <c r="DK15"/>
  <c r="DL15"/>
  <c r="DM15"/>
  <c r="DN15"/>
  <c r="DO15"/>
  <c r="DP15"/>
  <c r="DQ15"/>
  <c r="DR15"/>
  <c r="DS15"/>
  <c r="DT15"/>
  <c r="DZ15"/>
  <c r="EA15"/>
  <c r="EB15"/>
  <c r="EE15"/>
  <c r="EF15"/>
  <c r="DV15" s="1"/>
  <c r="EG15"/>
  <c r="DW15" s="1"/>
  <c r="EH15"/>
  <c r="DX15" s="1"/>
  <c r="EJ15"/>
  <c r="EK15"/>
  <c r="EL15"/>
  <c r="EM15"/>
  <c r="EN15"/>
  <c r="ES15"/>
  <c r="B16"/>
  <c r="E16"/>
  <c r="K16"/>
  <c r="L16"/>
  <c r="M16"/>
  <c r="N16"/>
  <c r="O16"/>
  <c r="P16"/>
  <c r="Q16"/>
  <c r="R16"/>
  <c r="S16"/>
  <c r="T16"/>
  <c r="U16"/>
  <c r="V16"/>
  <c r="W16"/>
  <c r="X16"/>
  <c r="Y16"/>
  <c r="Z16"/>
  <c r="AA16"/>
  <c r="AB16"/>
  <c r="AF16"/>
  <c r="AI16"/>
  <c r="AJ16"/>
  <c r="AK16"/>
  <c r="AL16"/>
  <c r="AM16"/>
  <c r="AN16"/>
  <c r="AP16"/>
  <c r="AQ16"/>
  <c r="AS16"/>
  <c r="AT16"/>
  <c r="AV16"/>
  <c r="AW16"/>
  <c r="AX16"/>
  <c r="AY16"/>
  <c r="AZ16"/>
  <c r="BA16"/>
  <c r="BB16"/>
  <c r="BC16"/>
  <c r="BD16"/>
  <c r="BE16"/>
  <c r="BF16"/>
  <c r="BG16"/>
  <c r="BH16"/>
  <c r="BJ16"/>
  <c r="BK16"/>
  <c r="BM16"/>
  <c r="BL16" s="1"/>
  <c r="BN16"/>
  <c r="BO16"/>
  <c r="BP16"/>
  <c r="BR16"/>
  <c r="BS16"/>
  <c r="BT16"/>
  <c r="BU16"/>
  <c r="BQ16" s="1"/>
  <c r="BV16"/>
  <c r="BY16" s="1"/>
  <c r="BW16"/>
  <c r="BX16"/>
  <c r="BZ16"/>
  <c r="CA16"/>
  <c r="CB16"/>
  <c r="CD16"/>
  <c r="CM16"/>
  <c r="CN16"/>
  <c r="CO16"/>
  <c r="CP16"/>
  <c r="CQ16"/>
  <c r="CR16"/>
  <c r="CS16"/>
  <c r="CE16" s="1"/>
  <c r="CT16"/>
  <c r="CU16"/>
  <c r="CV16"/>
  <c r="CW16"/>
  <c r="CX16"/>
  <c r="CY16"/>
  <c r="CZ16"/>
  <c r="DA16"/>
  <c r="DB16"/>
  <c r="DC16"/>
  <c r="DD16"/>
  <c r="DE16"/>
  <c r="DF16"/>
  <c r="DG16"/>
  <c r="DH16"/>
  <c r="DI16"/>
  <c r="DJ16"/>
  <c r="DK16"/>
  <c r="DL16"/>
  <c r="DM16"/>
  <c r="DN16"/>
  <c r="DO16"/>
  <c r="DP16"/>
  <c r="DQ16"/>
  <c r="DR16"/>
  <c r="DS16"/>
  <c r="DT16"/>
  <c r="DZ16"/>
  <c r="EA16"/>
  <c r="EB16"/>
  <c r="EE16"/>
  <c r="EF16"/>
  <c r="DV16" s="1"/>
  <c r="EG16"/>
  <c r="DW16" s="1"/>
  <c r="EH16"/>
  <c r="DX16" s="1"/>
  <c r="EJ16"/>
  <c r="EK16"/>
  <c r="EL16"/>
  <c r="EM16"/>
  <c r="EN16"/>
  <c r="EO16"/>
  <c r="ES16"/>
  <c r="B17"/>
  <c r="E17"/>
  <c r="K17"/>
  <c r="L17"/>
  <c r="M17"/>
  <c r="N17"/>
  <c r="AF17" s="1"/>
  <c r="O17"/>
  <c r="P17"/>
  <c r="Q17"/>
  <c r="R17"/>
  <c r="S17"/>
  <c r="T17"/>
  <c r="U17"/>
  <c r="V17"/>
  <c r="W17"/>
  <c r="X17"/>
  <c r="Y17"/>
  <c r="Z17"/>
  <c r="AA17"/>
  <c r="AB17"/>
  <c r="AI17"/>
  <c r="AJ17"/>
  <c r="AK17"/>
  <c r="AL17"/>
  <c r="AM17"/>
  <c r="AN17"/>
  <c r="AP17"/>
  <c r="AQ17"/>
  <c r="AS17"/>
  <c r="AT17"/>
  <c r="AV17"/>
  <c r="AW17"/>
  <c r="AX17"/>
  <c r="AY17"/>
  <c r="AZ17"/>
  <c r="BA17"/>
  <c r="BB17"/>
  <c r="BC17"/>
  <c r="BD17"/>
  <c r="BE17"/>
  <c r="BF17"/>
  <c r="BG17"/>
  <c r="BH17"/>
  <c r="BJ17"/>
  <c r="BK17"/>
  <c r="EO17" s="1"/>
  <c r="BM17"/>
  <c r="BN17"/>
  <c r="BO17"/>
  <c r="BP17"/>
  <c r="BR17"/>
  <c r="BS17"/>
  <c r="BT17"/>
  <c r="BU17"/>
  <c r="BQ17" s="1"/>
  <c r="BV17"/>
  <c r="BW17"/>
  <c r="BZ17"/>
  <c r="CA17"/>
  <c r="CB17"/>
  <c r="CD17"/>
  <c r="CL17"/>
  <c r="CM17"/>
  <c r="CN17"/>
  <c r="CO17"/>
  <c r="CP17"/>
  <c r="CQ17"/>
  <c r="CR17"/>
  <c r="CS17"/>
  <c r="CE17" s="1"/>
  <c r="CT17"/>
  <c r="CU17"/>
  <c r="CV17"/>
  <c r="CW17"/>
  <c r="CX17"/>
  <c r="CY17"/>
  <c r="CZ17"/>
  <c r="DA17"/>
  <c r="DB17"/>
  <c r="DC17"/>
  <c r="DD17"/>
  <c r="DE17"/>
  <c r="DF17"/>
  <c r="DG17"/>
  <c r="DH17"/>
  <c r="DI17"/>
  <c r="DJ17"/>
  <c r="DK17"/>
  <c r="DL17"/>
  <c r="DM17"/>
  <c r="DN17"/>
  <c r="DO17"/>
  <c r="DP17"/>
  <c r="DQ17"/>
  <c r="DR17"/>
  <c r="DS17"/>
  <c r="DT17"/>
  <c r="DZ17"/>
  <c r="EA17"/>
  <c r="EB17"/>
  <c r="EE17"/>
  <c r="EF17"/>
  <c r="DV17" s="1"/>
  <c r="EG17"/>
  <c r="DW17" s="1"/>
  <c r="EH17"/>
  <c r="DX17" s="1"/>
  <c r="EJ17"/>
  <c r="EK17"/>
  <c r="EL17"/>
  <c r="EM17"/>
  <c r="EN17"/>
  <c r="ES17"/>
  <c r="B18"/>
  <c r="E18"/>
  <c r="K18"/>
  <c r="L18"/>
  <c r="M18"/>
  <c r="N18"/>
  <c r="O18"/>
  <c r="P18"/>
  <c r="Q18"/>
  <c r="R18"/>
  <c r="S18"/>
  <c r="AF18" s="1"/>
  <c r="T18"/>
  <c r="U18"/>
  <c r="V18"/>
  <c r="W18"/>
  <c r="X18"/>
  <c r="Y18"/>
  <c r="Z18"/>
  <c r="AA18"/>
  <c r="AH18" s="1"/>
  <c r="AB18"/>
  <c r="AD18"/>
  <c r="AI18"/>
  <c r="AJ18"/>
  <c r="AK18"/>
  <c r="AL18"/>
  <c r="AM18"/>
  <c r="AN18"/>
  <c r="AP18"/>
  <c r="AQ18"/>
  <c r="AS18"/>
  <c r="AT18"/>
  <c r="AV18"/>
  <c r="AW18"/>
  <c r="AX18"/>
  <c r="AY18"/>
  <c r="AZ18"/>
  <c r="BA18"/>
  <c r="BB18"/>
  <c r="BC18"/>
  <c r="BD18"/>
  <c r="BE18"/>
  <c r="BF18"/>
  <c r="BG18"/>
  <c r="BH18"/>
  <c r="BJ18"/>
  <c r="BK18"/>
  <c r="EO18" s="1"/>
  <c r="BM18"/>
  <c r="BL18" s="1"/>
  <c r="BN18"/>
  <c r="BO18"/>
  <c r="BP18"/>
  <c r="BR18"/>
  <c r="BS18"/>
  <c r="BT18"/>
  <c r="BU18"/>
  <c r="BQ18" s="1"/>
  <c r="BV18"/>
  <c r="BW18"/>
  <c r="BX18"/>
  <c r="BZ18"/>
  <c r="CA18"/>
  <c r="CB18"/>
  <c r="CD18"/>
  <c r="CM18"/>
  <c r="CN18"/>
  <c r="CO18"/>
  <c r="CP18"/>
  <c r="CQ18"/>
  <c r="CR18"/>
  <c r="CS18"/>
  <c r="CF18" s="1"/>
  <c r="CT18"/>
  <c r="CU18"/>
  <c r="CV18"/>
  <c r="CW18"/>
  <c r="CX18"/>
  <c r="CY18"/>
  <c r="CZ18"/>
  <c r="DA18"/>
  <c r="DB18"/>
  <c r="DC18"/>
  <c r="DD18"/>
  <c r="DE18"/>
  <c r="DF18"/>
  <c r="DG18"/>
  <c r="DH18"/>
  <c r="DI18"/>
  <c r="DJ18"/>
  <c r="DK18"/>
  <c r="DL18"/>
  <c r="DM18"/>
  <c r="DN18"/>
  <c r="DO18"/>
  <c r="DP18"/>
  <c r="DQ18"/>
  <c r="DR18"/>
  <c r="DS18"/>
  <c r="DT18"/>
  <c r="DZ18"/>
  <c r="EA18"/>
  <c r="EB18"/>
  <c r="EE18"/>
  <c r="EF18"/>
  <c r="DV18" s="1"/>
  <c r="EG18"/>
  <c r="DW18" s="1"/>
  <c r="EH18"/>
  <c r="DX18" s="1"/>
  <c r="EJ18"/>
  <c r="EK18"/>
  <c r="EL18"/>
  <c r="EM18"/>
  <c r="EN18"/>
  <c r="ES18"/>
  <c r="B19"/>
  <c r="E19"/>
  <c r="K19"/>
  <c r="L19"/>
  <c r="M19"/>
  <c r="N19"/>
  <c r="O19"/>
  <c r="P19"/>
  <c r="AC19" s="1"/>
  <c r="Q19"/>
  <c r="R19"/>
  <c r="S19"/>
  <c r="T19"/>
  <c r="U19"/>
  <c r="V19"/>
  <c r="W19"/>
  <c r="X19"/>
  <c r="Y19"/>
  <c r="Z19"/>
  <c r="AA19"/>
  <c r="AB19"/>
  <c r="AG19"/>
  <c r="AI19"/>
  <c r="AJ19"/>
  <c r="AK19"/>
  <c r="AL19"/>
  <c r="AM19"/>
  <c r="AN19"/>
  <c r="AP19"/>
  <c r="AQ19"/>
  <c r="AS19"/>
  <c r="AT19"/>
  <c r="AV19"/>
  <c r="AW19"/>
  <c r="AX19"/>
  <c r="AY19"/>
  <c r="AZ19"/>
  <c r="BA19"/>
  <c r="BB19"/>
  <c r="BC19"/>
  <c r="BD19"/>
  <c r="BE19"/>
  <c r="BF19"/>
  <c r="BG19"/>
  <c r="BH19"/>
  <c r="BJ19"/>
  <c r="BK19"/>
  <c r="BM19"/>
  <c r="BN19"/>
  <c r="BO19"/>
  <c r="BP19"/>
  <c r="BR19"/>
  <c r="BS19"/>
  <c r="BT19"/>
  <c r="BU19"/>
  <c r="BQ19" s="1"/>
  <c r="BV19"/>
  <c r="BW19"/>
  <c r="BX19"/>
  <c r="BZ19"/>
  <c r="CA19"/>
  <c r="CB19"/>
  <c r="CD19"/>
  <c r="CM19"/>
  <c r="CN19"/>
  <c r="CO19"/>
  <c r="CP19"/>
  <c r="CQ19"/>
  <c r="CR19"/>
  <c r="CS19"/>
  <c r="CF19" s="1"/>
  <c r="CT19"/>
  <c r="CU19"/>
  <c r="CV19"/>
  <c r="CW19"/>
  <c r="CX19"/>
  <c r="CY19"/>
  <c r="CZ19"/>
  <c r="DA19"/>
  <c r="DB19"/>
  <c r="DC19"/>
  <c r="DD19"/>
  <c r="DE19"/>
  <c r="DF19"/>
  <c r="DG19"/>
  <c r="DH19"/>
  <c r="DI19"/>
  <c r="DJ19"/>
  <c r="DK19"/>
  <c r="DL19"/>
  <c r="DM19"/>
  <c r="DN19"/>
  <c r="DO19"/>
  <c r="DP19"/>
  <c r="DQ19"/>
  <c r="DR19"/>
  <c r="DS19"/>
  <c r="DT19"/>
  <c r="DZ19"/>
  <c r="EA19"/>
  <c r="EB19"/>
  <c r="EE19"/>
  <c r="EF19"/>
  <c r="DV19" s="1"/>
  <c r="EG19"/>
  <c r="DW19" s="1"/>
  <c r="EH19"/>
  <c r="DX19" s="1"/>
  <c r="EJ19"/>
  <c r="EK19"/>
  <c r="EL19"/>
  <c r="EM19"/>
  <c r="EN19"/>
  <c r="ES19"/>
  <c r="B20"/>
  <c r="E20"/>
  <c r="K20"/>
  <c r="K74" s="1"/>
  <c r="L20"/>
  <c r="M20"/>
  <c r="M74" s="1"/>
  <c r="N20"/>
  <c r="O20"/>
  <c r="O74" s="1"/>
  <c r="P20"/>
  <c r="Q20"/>
  <c r="Q74" s="1"/>
  <c r="R20"/>
  <c r="S20"/>
  <c r="S74" s="1"/>
  <c r="T20"/>
  <c r="U20"/>
  <c r="U74" s="1"/>
  <c r="V20"/>
  <c r="W20"/>
  <c r="W74" s="1"/>
  <c r="X20"/>
  <c r="Y20"/>
  <c r="Y74" s="1"/>
  <c r="Z20"/>
  <c r="AA20"/>
  <c r="AA74" s="1"/>
  <c r="AB20"/>
  <c r="AE20"/>
  <c r="AI20"/>
  <c r="AJ20"/>
  <c r="AK20"/>
  <c r="AL20"/>
  <c r="AM20"/>
  <c r="AN20"/>
  <c r="AP20"/>
  <c r="AQ20"/>
  <c r="AS20"/>
  <c r="AT20"/>
  <c r="AT74" s="1"/>
  <c r="AV20"/>
  <c r="AW20"/>
  <c r="AX20"/>
  <c r="AY20"/>
  <c r="AY74" s="1"/>
  <c r="AZ20"/>
  <c r="BA20"/>
  <c r="BB20"/>
  <c r="BC20"/>
  <c r="BC74" s="1"/>
  <c r="BD20"/>
  <c r="BE20"/>
  <c r="BF20"/>
  <c r="BG20"/>
  <c r="BG74" s="1"/>
  <c r="BH20"/>
  <c r="BJ20"/>
  <c r="BK20"/>
  <c r="BM20"/>
  <c r="EO20" s="1"/>
  <c r="BN20"/>
  <c r="BO20"/>
  <c r="BP20"/>
  <c r="BR20"/>
  <c r="BR74" s="1"/>
  <c r="BS20"/>
  <c r="BT20"/>
  <c r="BU20"/>
  <c r="BQ20" s="1"/>
  <c r="BV20"/>
  <c r="BV74" s="1"/>
  <c r="BW20"/>
  <c r="BX20"/>
  <c r="BZ20"/>
  <c r="CA20"/>
  <c r="CB20"/>
  <c r="CD20"/>
  <c r="CM20"/>
  <c r="CN20"/>
  <c r="CO20"/>
  <c r="CP20"/>
  <c r="CQ20"/>
  <c r="CR20"/>
  <c r="CS20"/>
  <c r="CF20" s="1"/>
  <c r="CT20"/>
  <c r="CU20"/>
  <c r="CV20"/>
  <c r="CV74" s="1"/>
  <c r="CW20"/>
  <c r="CX20"/>
  <c r="CY20"/>
  <c r="CZ20"/>
  <c r="DA20"/>
  <c r="DB20"/>
  <c r="DC20"/>
  <c r="DD20"/>
  <c r="DE20"/>
  <c r="DF20"/>
  <c r="DG20"/>
  <c r="DH20"/>
  <c r="DI20"/>
  <c r="DJ20"/>
  <c r="DK20"/>
  <c r="DL20"/>
  <c r="DM20"/>
  <c r="DN20"/>
  <c r="DO20"/>
  <c r="DP20"/>
  <c r="DQ20"/>
  <c r="DR20"/>
  <c r="DR74" s="1"/>
  <c r="DS20"/>
  <c r="DT20"/>
  <c r="DZ20"/>
  <c r="EC20" s="1"/>
  <c r="EA20"/>
  <c r="EB20"/>
  <c r="EE20"/>
  <c r="EE74" s="1"/>
  <c r="EF20"/>
  <c r="DV20" s="1"/>
  <c r="EG20"/>
  <c r="DW20" s="1"/>
  <c r="EH20"/>
  <c r="DX20" s="1"/>
  <c r="EJ20"/>
  <c r="EJ74" s="1"/>
  <c r="EK20"/>
  <c r="EL20"/>
  <c r="EL74" s="1"/>
  <c r="EM20"/>
  <c r="EN20"/>
  <c r="EN74" s="1"/>
  <c r="ES20"/>
  <c r="B21"/>
  <c r="E21"/>
  <c r="K21"/>
  <c r="L21"/>
  <c r="M21"/>
  <c r="N21"/>
  <c r="O21"/>
  <c r="P21"/>
  <c r="Q21"/>
  <c r="R21"/>
  <c r="AE21" s="1"/>
  <c r="S21"/>
  <c r="T21"/>
  <c r="U21"/>
  <c r="V21"/>
  <c r="W21"/>
  <c r="X21"/>
  <c r="Y21"/>
  <c r="Z21"/>
  <c r="AA21"/>
  <c r="AB21"/>
  <c r="AI21"/>
  <c r="AI74" s="1"/>
  <c r="AJ21"/>
  <c r="AK21"/>
  <c r="AL21"/>
  <c r="AM21"/>
  <c r="AM74" s="1"/>
  <c r="AN21"/>
  <c r="AP21"/>
  <c r="AQ21"/>
  <c r="AS21"/>
  <c r="AT21"/>
  <c r="AV21"/>
  <c r="AW21"/>
  <c r="AX21"/>
  <c r="AY21"/>
  <c r="AZ21"/>
  <c r="BA21"/>
  <c r="BB21"/>
  <c r="BC21"/>
  <c r="BD21"/>
  <c r="BE21"/>
  <c r="BF21"/>
  <c r="BG21"/>
  <c r="BH21"/>
  <c r="BJ21"/>
  <c r="BK21"/>
  <c r="BM21"/>
  <c r="BN21"/>
  <c r="BO21"/>
  <c r="BP21"/>
  <c r="BR21"/>
  <c r="BS21"/>
  <c r="BT21"/>
  <c r="BU21"/>
  <c r="BQ21" s="1"/>
  <c r="BV21"/>
  <c r="BW21"/>
  <c r="BZ21"/>
  <c r="CA21"/>
  <c r="CB21"/>
  <c r="CB74" s="1"/>
  <c r="CD21"/>
  <c r="CM21"/>
  <c r="CM74" s="1"/>
  <c r="CN21"/>
  <c r="CO21"/>
  <c r="CP21"/>
  <c r="CQ21"/>
  <c r="CQ74" s="1"/>
  <c r="CR21"/>
  <c r="CS21"/>
  <c r="CF21" s="1"/>
  <c r="CT21"/>
  <c r="CU21"/>
  <c r="CV21"/>
  <c r="CW21"/>
  <c r="CX21"/>
  <c r="CY21"/>
  <c r="CZ21"/>
  <c r="DA21"/>
  <c r="DB21"/>
  <c r="DC21"/>
  <c r="DD21"/>
  <c r="DE21"/>
  <c r="DF21"/>
  <c r="DG21"/>
  <c r="DH21"/>
  <c r="DI21"/>
  <c r="DJ21"/>
  <c r="DK21"/>
  <c r="DL21"/>
  <c r="DM21"/>
  <c r="DN21"/>
  <c r="DO21"/>
  <c r="DP21"/>
  <c r="DQ21"/>
  <c r="DR21"/>
  <c r="DS21"/>
  <c r="DT21"/>
  <c r="DZ21"/>
  <c r="EA21"/>
  <c r="EB21"/>
  <c r="EE21"/>
  <c r="EF21"/>
  <c r="DV21" s="1"/>
  <c r="EG21"/>
  <c r="DW21" s="1"/>
  <c r="EH21"/>
  <c r="DX21" s="1"/>
  <c r="EJ21"/>
  <c r="EK21"/>
  <c r="EL21"/>
  <c r="EM21"/>
  <c r="EN21"/>
  <c r="ES21"/>
  <c r="B22"/>
  <c r="E22"/>
  <c r="K22"/>
  <c r="L22"/>
  <c r="M22"/>
  <c r="N22"/>
  <c r="O22"/>
  <c r="P22"/>
  <c r="AC22" s="1"/>
  <c r="Q22"/>
  <c r="R22"/>
  <c r="S22"/>
  <c r="T22"/>
  <c r="AG22" s="1"/>
  <c r="U22"/>
  <c r="V22"/>
  <c r="W22"/>
  <c r="X22"/>
  <c r="Y22"/>
  <c r="Z22"/>
  <c r="AA22"/>
  <c r="AB22"/>
  <c r="AI22"/>
  <c r="AJ22"/>
  <c r="AK22"/>
  <c r="AL22"/>
  <c r="AM22"/>
  <c r="AN22"/>
  <c r="AP22"/>
  <c r="AQ22"/>
  <c r="AS22"/>
  <c r="AT22"/>
  <c r="AV22"/>
  <c r="AW22"/>
  <c r="AX22"/>
  <c r="AY22"/>
  <c r="AZ22"/>
  <c r="BA22"/>
  <c r="BB22"/>
  <c r="BC22"/>
  <c r="BD22"/>
  <c r="BE22"/>
  <c r="BF22"/>
  <c r="BG22"/>
  <c r="BH22"/>
  <c r="BJ22"/>
  <c r="BK22"/>
  <c r="BM22"/>
  <c r="BN22"/>
  <c r="BO22"/>
  <c r="BP22"/>
  <c r="BR22"/>
  <c r="BS22"/>
  <c r="BT22"/>
  <c r="BU22"/>
  <c r="BQ22" s="1"/>
  <c r="BV22"/>
  <c r="BW22"/>
  <c r="BZ22"/>
  <c r="CA22"/>
  <c r="CB22"/>
  <c r="CD22"/>
  <c r="CM22"/>
  <c r="CN22"/>
  <c r="CO22"/>
  <c r="CP22"/>
  <c r="CQ22"/>
  <c r="CR22"/>
  <c r="CS22"/>
  <c r="CF22" s="1"/>
  <c r="CT22"/>
  <c r="CU22"/>
  <c r="CV22"/>
  <c r="CW22"/>
  <c r="CX22"/>
  <c r="CY22"/>
  <c r="CZ22"/>
  <c r="DA22"/>
  <c r="DB22"/>
  <c r="DC22"/>
  <c r="DD22"/>
  <c r="DE22"/>
  <c r="DF22"/>
  <c r="DG22"/>
  <c r="DH22"/>
  <c r="DI22"/>
  <c r="DJ22"/>
  <c r="DK22"/>
  <c r="DL22"/>
  <c r="DM22"/>
  <c r="DN22"/>
  <c r="DO22"/>
  <c r="DP22"/>
  <c r="DQ22"/>
  <c r="DR22"/>
  <c r="DS22"/>
  <c r="DT22"/>
  <c r="DZ22"/>
  <c r="EA22"/>
  <c r="EB22"/>
  <c r="EE22"/>
  <c r="EF22"/>
  <c r="DV22" s="1"/>
  <c r="EG22"/>
  <c r="DW22" s="1"/>
  <c r="EH22"/>
  <c r="DX22" s="1"/>
  <c r="EJ22"/>
  <c r="EK22"/>
  <c r="EL22"/>
  <c r="EM22"/>
  <c r="EN22"/>
  <c r="ES22"/>
  <c r="B23"/>
  <c r="E23"/>
  <c r="K23"/>
  <c r="L23"/>
  <c r="M23"/>
  <c r="N23"/>
  <c r="O23"/>
  <c r="P23"/>
  <c r="AC23" s="1"/>
  <c r="Q23"/>
  <c r="R23"/>
  <c r="AE23" s="1"/>
  <c r="S23"/>
  <c r="T23"/>
  <c r="AG23" s="1"/>
  <c r="U23"/>
  <c r="V23"/>
  <c r="W23"/>
  <c r="X23"/>
  <c r="Y23"/>
  <c r="Z23"/>
  <c r="AA23"/>
  <c r="AB23"/>
  <c r="AI23"/>
  <c r="AJ23"/>
  <c r="AK23"/>
  <c r="AL23"/>
  <c r="AM23"/>
  <c r="AN23"/>
  <c r="AP23"/>
  <c r="AQ23"/>
  <c r="AS23"/>
  <c r="AT23"/>
  <c r="AV23"/>
  <c r="AW23"/>
  <c r="AX23"/>
  <c r="AY23"/>
  <c r="AZ23"/>
  <c r="BA23"/>
  <c r="BB23"/>
  <c r="BC23"/>
  <c r="BD23"/>
  <c r="BE23"/>
  <c r="BF23"/>
  <c r="BI23" s="1"/>
  <c r="BG23"/>
  <c r="BH23"/>
  <c r="BJ23"/>
  <c r="BK23"/>
  <c r="BM23"/>
  <c r="BN23"/>
  <c r="BO23"/>
  <c r="BP23"/>
  <c r="BR23"/>
  <c r="BS23"/>
  <c r="BT23"/>
  <c r="BU23"/>
  <c r="BQ23" s="1"/>
  <c r="BV23"/>
  <c r="BY23" s="1"/>
  <c r="BW23"/>
  <c r="BX23"/>
  <c r="BZ23"/>
  <c r="CC23" s="1"/>
  <c r="CA23"/>
  <c r="CB23"/>
  <c r="CD23"/>
  <c r="CM23"/>
  <c r="CN23"/>
  <c r="CO23"/>
  <c r="CP23"/>
  <c r="CQ23"/>
  <c r="CR23"/>
  <c r="CS23"/>
  <c r="CF23" s="1"/>
  <c r="CT23"/>
  <c r="CU23"/>
  <c r="CV23"/>
  <c r="CW23"/>
  <c r="CX23"/>
  <c r="CY23"/>
  <c r="CZ23"/>
  <c r="DA23"/>
  <c r="DB23"/>
  <c r="DC23"/>
  <c r="DD23"/>
  <c r="DE23"/>
  <c r="DF23"/>
  <c r="DG23"/>
  <c r="DH23"/>
  <c r="DI23"/>
  <c r="DJ23"/>
  <c r="DK23"/>
  <c r="DL23"/>
  <c r="DM23"/>
  <c r="DN23"/>
  <c r="DO23"/>
  <c r="DP23"/>
  <c r="DQ23"/>
  <c r="DR23"/>
  <c r="DU23" s="1"/>
  <c r="DS23"/>
  <c r="DT23"/>
  <c r="DZ23"/>
  <c r="EA23"/>
  <c r="EB23"/>
  <c r="EE23"/>
  <c r="EF23"/>
  <c r="DV23" s="1"/>
  <c r="EG23"/>
  <c r="DW23" s="1"/>
  <c r="EH23"/>
  <c r="DX23" s="1"/>
  <c r="EJ23"/>
  <c r="EK23"/>
  <c r="EL23"/>
  <c r="EM23"/>
  <c r="EN23"/>
  <c r="ES23"/>
  <c r="B24"/>
  <c r="E24"/>
  <c r="K24"/>
  <c r="L24"/>
  <c r="M24"/>
  <c r="N24"/>
  <c r="O24"/>
  <c r="P24"/>
  <c r="Q24"/>
  <c r="R24"/>
  <c r="AE24" s="1"/>
  <c r="S24"/>
  <c r="T24"/>
  <c r="U24"/>
  <c r="V24"/>
  <c r="W24"/>
  <c r="X24"/>
  <c r="Y24"/>
  <c r="Z24"/>
  <c r="AA24"/>
  <c r="AB24"/>
  <c r="AI24"/>
  <c r="AJ24"/>
  <c r="AK24"/>
  <c r="AL24"/>
  <c r="AM24"/>
  <c r="AN24"/>
  <c r="AP24"/>
  <c r="AQ24"/>
  <c r="AS24"/>
  <c r="AT24"/>
  <c r="AV24"/>
  <c r="AW24"/>
  <c r="AX24"/>
  <c r="AY24"/>
  <c r="AZ24"/>
  <c r="BA24"/>
  <c r="BB24"/>
  <c r="BC24"/>
  <c r="BD24"/>
  <c r="BE24"/>
  <c r="BF24"/>
  <c r="BG24"/>
  <c r="BH24"/>
  <c r="BJ24"/>
  <c r="BK24"/>
  <c r="BM24"/>
  <c r="BN24"/>
  <c r="BO24"/>
  <c r="BP24"/>
  <c r="BR24"/>
  <c r="BS24"/>
  <c r="BT24"/>
  <c r="BU24"/>
  <c r="BQ24" s="1"/>
  <c r="BV24"/>
  <c r="BW24"/>
  <c r="BZ24"/>
  <c r="CA24"/>
  <c r="CB24"/>
  <c r="CD24"/>
  <c r="CM24"/>
  <c r="CN24"/>
  <c r="CO24"/>
  <c r="CP24"/>
  <c r="CQ24"/>
  <c r="CR24"/>
  <c r="CS24"/>
  <c r="CF24" s="1"/>
  <c r="CT24"/>
  <c r="CU24"/>
  <c r="CV24"/>
  <c r="CW24"/>
  <c r="CX24"/>
  <c r="CY24"/>
  <c r="CZ24"/>
  <c r="DA24"/>
  <c r="DB24"/>
  <c r="DC24"/>
  <c r="DD24"/>
  <c r="DE24"/>
  <c r="DF24"/>
  <c r="DG24"/>
  <c r="DH24"/>
  <c r="DI24"/>
  <c r="DJ24"/>
  <c r="DK24"/>
  <c r="DL24"/>
  <c r="DM24"/>
  <c r="DN24"/>
  <c r="DO24"/>
  <c r="DP24"/>
  <c r="DQ24"/>
  <c r="DR24"/>
  <c r="DS24"/>
  <c r="DT24"/>
  <c r="DZ24"/>
  <c r="EA24"/>
  <c r="EB24"/>
  <c r="EE24"/>
  <c r="EF24"/>
  <c r="DV24" s="1"/>
  <c r="EG24"/>
  <c r="DW24" s="1"/>
  <c r="EH24"/>
  <c r="DX24" s="1"/>
  <c r="EJ24"/>
  <c r="EK24"/>
  <c r="EL24"/>
  <c r="EM24"/>
  <c r="EN24"/>
  <c r="ES24"/>
  <c r="B25"/>
  <c r="E25"/>
  <c r="K25"/>
  <c r="L25"/>
  <c r="M25"/>
  <c r="N25"/>
  <c r="O25"/>
  <c r="P25"/>
  <c r="AC25" s="1"/>
  <c r="Q25"/>
  <c r="R25"/>
  <c r="AE25" s="1"/>
  <c r="S25"/>
  <c r="T25"/>
  <c r="AG25" s="1"/>
  <c r="U25"/>
  <c r="V25"/>
  <c r="W25"/>
  <c r="X25"/>
  <c r="Y25"/>
  <c r="Z25"/>
  <c r="AA25"/>
  <c r="AB25"/>
  <c r="AI25"/>
  <c r="AJ25"/>
  <c r="AK25"/>
  <c r="AL25"/>
  <c r="AM25"/>
  <c r="AN25"/>
  <c r="AP25"/>
  <c r="AQ25"/>
  <c r="AS25"/>
  <c r="AT25"/>
  <c r="AV25"/>
  <c r="AW25"/>
  <c r="AX25"/>
  <c r="AY25"/>
  <c r="AZ25"/>
  <c r="BA25"/>
  <c r="BB25"/>
  <c r="BC25"/>
  <c r="BD25"/>
  <c r="BE25"/>
  <c r="BF25"/>
  <c r="BI25" s="1"/>
  <c r="BG25"/>
  <c r="BH25"/>
  <c r="BJ25"/>
  <c r="BK25"/>
  <c r="BM25"/>
  <c r="BN25"/>
  <c r="BO25"/>
  <c r="BP25"/>
  <c r="BR25"/>
  <c r="BS25"/>
  <c r="BT25"/>
  <c r="BU25"/>
  <c r="BQ25" s="1"/>
  <c r="BV25"/>
  <c r="BY25" s="1"/>
  <c r="BW25"/>
  <c r="BX25"/>
  <c r="BZ25"/>
  <c r="CC25" s="1"/>
  <c r="CA25"/>
  <c r="CB25"/>
  <c r="CD25"/>
  <c r="CM25"/>
  <c r="CN25"/>
  <c r="CO25"/>
  <c r="CP25"/>
  <c r="CQ25"/>
  <c r="CR25"/>
  <c r="CS25"/>
  <c r="CF25" s="1"/>
  <c r="CT25"/>
  <c r="CU25"/>
  <c r="CV25"/>
  <c r="CW25"/>
  <c r="CX25"/>
  <c r="CY25"/>
  <c r="CZ25"/>
  <c r="DA25"/>
  <c r="DB25"/>
  <c r="DC25"/>
  <c r="DD25"/>
  <c r="DE25"/>
  <c r="DF25"/>
  <c r="DG25"/>
  <c r="DH25"/>
  <c r="DI25"/>
  <c r="DJ25"/>
  <c r="DK25"/>
  <c r="DL25"/>
  <c r="DM25"/>
  <c r="DN25"/>
  <c r="DO25"/>
  <c r="DP25"/>
  <c r="DQ25"/>
  <c r="DR25"/>
  <c r="DU25" s="1"/>
  <c r="DS25"/>
  <c r="DT25"/>
  <c r="DZ25"/>
  <c r="EA25"/>
  <c r="EB25"/>
  <c r="EE25"/>
  <c r="EF25"/>
  <c r="DV25" s="1"/>
  <c r="EG25"/>
  <c r="DW25" s="1"/>
  <c r="EH25"/>
  <c r="DX25" s="1"/>
  <c r="EJ25"/>
  <c r="EK25"/>
  <c r="EL25"/>
  <c r="EM25"/>
  <c r="EN25"/>
  <c r="ES25"/>
  <c r="B26"/>
  <c r="E26"/>
  <c r="K26"/>
  <c r="L26"/>
  <c r="M26"/>
  <c r="N26"/>
  <c r="O26"/>
  <c r="P26"/>
  <c r="AC26" s="1"/>
  <c r="Q26"/>
  <c r="R26"/>
  <c r="S26"/>
  <c r="T26"/>
  <c r="U26"/>
  <c r="V26"/>
  <c r="W26"/>
  <c r="X26"/>
  <c r="Y26"/>
  <c r="Z26"/>
  <c r="AA26"/>
  <c r="AB26"/>
  <c r="AI26"/>
  <c r="AJ26"/>
  <c r="AK26"/>
  <c r="AL26"/>
  <c r="AM26"/>
  <c r="AN26"/>
  <c r="AP26"/>
  <c r="AQ26"/>
  <c r="AS26"/>
  <c r="AT26"/>
  <c r="AV26"/>
  <c r="AW26"/>
  <c r="AX26"/>
  <c r="AY26"/>
  <c r="AZ26"/>
  <c r="BA26"/>
  <c r="BB26"/>
  <c r="BC26"/>
  <c r="BD26"/>
  <c r="BE26"/>
  <c r="BF26"/>
  <c r="BG26"/>
  <c r="BH26"/>
  <c r="BJ26"/>
  <c r="BK26"/>
  <c r="BM26"/>
  <c r="BN26"/>
  <c r="BO26"/>
  <c r="BP26"/>
  <c r="BR26"/>
  <c r="BS26"/>
  <c r="BT26"/>
  <c r="BU26"/>
  <c r="BQ26" s="1"/>
  <c r="BV26"/>
  <c r="BW26"/>
  <c r="BZ26"/>
  <c r="CA26"/>
  <c r="CB26"/>
  <c r="CD26"/>
  <c r="CM26"/>
  <c r="CN26"/>
  <c r="CO26"/>
  <c r="CP26"/>
  <c r="CQ26"/>
  <c r="CR26"/>
  <c r="CS26"/>
  <c r="CK26" s="1"/>
  <c r="CT26"/>
  <c r="CU26"/>
  <c r="CV26"/>
  <c r="CW26"/>
  <c r="CX26"/>
  <c r="CY26"/>
  <c r="CZ26"/>
  <c r="DA26"/>
  <c r="DB26"/>
  <c r="DC26"/>
  <c r="DD26"/>
  <c r="DE26"/>
  <c r="DF26"/>
  <c r="DG26"/>
  <c r="DH26"/>
  <c r="DI26"/>
  <c r="DJ26"/>
  <c r="DK26"/>
  <c r="DL26"/>
  <c r="DM26"/>
  <c r="DN26"/>
  <c r="DO26"/>
  <c r="DP26"/>
  <c r="DQ26"/>
  <c r="DR26"/>
  <c r="DS26"/>
  <c r="DT26"/>
  <c r="DW26"/>
  <c r="DZ26"/>
  <c r="EA26"/>
  <c r="EA74" s="1"/>
  <c r="EB26"/>
  <c r="EC26"/>
  <c r="EE26"/>
  <c r="EF26"/>
  <c r="EG26"/>
  <c r="EH26"/>
  <c r="DX26" s="1"/>
  <c r="EJ26"/>
  <c r="EK26"/>
  <c r="EL26"/>
  <c r="EM26"/>
  <c r="EN26"/>
  <c r="ES26"/>
  <c r="B27"/>
  <c r="E27"/>
  <c r="K27"/>
  <c r="L27"/>
  <c r="M27"/>
  <c r="N27"/>
  <c r="O27"/>
  <c r="P27"/>
  <c r="AC27" s="1"/>
  <c r="Q27"/>
  <c r="R27"/>
  <c r="S27"/>
  <c r="T27"/>
  <c r="U27"/>
  <c r="V27"/>
  <c r="W27"/>
  <c r="X27"/>
  <c r="Y27"/>
  <c r="Z27"/>
  <c r="AA27"/>
  <c r="AB27"/>
  <c r="AI27"/>
  <c r="AJ27"/>
  <c r="AK27"/>
  <c r="AL27"/>
  <c r="AM27"/>
  <c r="AN27"/>
  <c r="AP27"/>
  <c r="AQ27"/>
  <c r="AS27"/>
  <c r="AT27"/>
  <c r="AV27"/>
  <c r="AW27"/>
  <c r="AX27"/>
  <c r="AY27"/>
  <c r="AZ27"/>
  <c r="BA27"/>
  <c r="BB27"/>
  <c r="BC27"/>
  <c r="BD27"/>
  <c r="BE27"/>
  <c r="BF27"/>
  <c r="BG27"/>
  <c r="BH27"/>
  <c r="BJ27"/>
  <c r="BK27"/>
  <c r="BO27"/>
  <c r="BP27"/>
  <c r="BR27"/>
  <c r="BS27"/>
  <c r="BQ27"/>
  <c r="BV27"/>
  <c r="BW27"/>
  <c r="BZ27"/>
  <c r="CA27"/>
  <c r="CB27"/>
  <c r="CD27"/>
  <c r="CL27"/>
  <c r="CM27"/>
  <c r="CN27"/>
  <c r="CO27"/>
  <c r="CP27"/>
  <c r="CQ27"/>
  <c r="CR27"/>
  <c r="CS27"/>
  <c r="CE27" s="1"/>
  <c r="CT27"/>
  <c r="CU27"/>
  <c r="CV27"/>
  <c r="CW27"/>
  <c r="CX27"/>
  <c r="CY27"/>
  <c r="CZ27"/>
  <c r="DA27"/>
  <c r="DB27"/>
  <c r="DC27"/>
  <c r="DD27"/>
  <c r="DE27"/>
  <c r="DF27"/>
  <c r="DG27"/>
  <c r="DH27"/>
  <c r="DI27"/>
  <c r="DJ27"/>
  <c r="DK27"/>
  <c r="DL27"/>
  <c r="DM27"/>
  <c r="DN27"/>
  <c r="DO27"/>
  <c r="DP27"/>
  <c r="DQ27"/>
  <c r="DR27"/>
  <c r="DS27"/>
  <c r="DT27"/>
  <c r="DZ27"/>
  <c r="EA27"/>
  <c r="EB27"/>
  <c r="EE27"/>
  <c r="EF27"/>
  <c r="DV27" s="1"/>
  <c r="EG27"/>
  <c r="DW27" s="1"/>
  <c r="EH27"/>
  <c r="DX27" s="1"/>
  <c r="EJ27"/>
  <c r="EK27"/>
  <c r="EL27"/>
  <c r="EM27"/>
  <c r="EN27"/>
  <c r="ES27"/>
  <c r="B28"/>
  <c r="E28"/>
  <c r="K28"/>
  <c r="L28"/>
  <c r="M28"/>
  <c r="N28"/>
  <c r="O28"/>
  <c r="P28"/>
  <c r="Q28"/>
  <c r="R28"/>
  <c r="S28"/>
  <c r="T28"/>
  <c r="U28"/>
  <c r="V28"/>
  <c r="W28"/>
  <c r="X28"/>
  <c r="Y28"/>
  <c r="Z28"/>
  <c r="AA28"/>
  <c r="AB28"/>
  <c r="AI28"/>
  <c r="AJ28"/>
  <c r="AK28"/>
  <c r="AL28"/>
  <c r="AM28"/>
  <c r="AN28"/>
  <c r="AP28"/>
  <c r="AQ28"/>
  <c r="AS28"/>
  <c r="AT28"/>
  <c r="AV28"/>
  <c r="AW28"/>
  <c r="AX28"/>
  <c r="AY28"/>
  <c r="AZ28"/>
  <c r="BA28"/>
  <c r="BB28"/>
  <c r="BC28"/>
  <c r="BD28"/>
  <c r="BE28"/>
  <c r="BF28"/>
  <c r="BG28"/>
  <c r="BH28"/>
  <c r="BJ28"/>
  <c r="BK28"/>
  <c r="BM28"/>
  <c r="EO28" s="1"/>
  <c r="BN28"/>
  <c r="BO28"/>
  <c r="BP28"/>
  <c r="BR28"/>
  <c r="BS28"/>
  <c r="BT28"/>
  <c r="BU28"/>
  <c r="BQ28" s="1"/>
  <c r="BV28"/>
  <c r="BW28"/>
  <c r="BX28"/>
  <c r="BZ28"/>
  <c r="CA28"/>
  <c r="CB28"/>
  <c r="CD28"/>
  <c r="CM28"/>
  <c r="CN28"/>
  <c r="CO28"/>
  <c r="CP28"/>
  <c r="CQ28"/>
  <c r="CR28"/>
  <c r="CS28"/>
  <c r="CE28" s="1"/>
  <c r="CT28"/>
  <c r="CU28"/>
  <c r="CV28"/>
  <c r="CW28"/>
  <c r="CX28"/>
  <c r="CY28"/>
  <c r="CZ28"/>
  <c r="DA28"/>
  <c r="DB28"/>
  <c r="DC28"/>
  <c r="DD28"/>
  <c r="DE28"/>
  <c r="DF28"/>
  <c r="DG28"/>
  <c r="DH28"/>
  <c r="DI28"/>
  <c r="DJ28"/>
  <c r="DK28"/>
  <c r="DL28"/>
  <c r="DM28"/>
  <c r="DN28"/>
  <c r="DO28"/>
  <c r="DP28"/>
  <c r="DQ28"/>
  <c r="DR28"/>
  <c r="DS28"/>
  <c r="DT28"/>
  <c r="DZ28"/>
  <c r="EA28"/>
  <c r="EB28"/>
  <c r="EE28"/>
  <c r="EF28"/>
  <c r="DV28" s="1"/>
  <c r="EG28"/>
  <c r="DW28" s="1"/>
  <c r="EH28"/>
  <c r="DX28" s="1"/>
  <c r="EJ28"/>
  <c r="EK28"/>
  <c r="EL28"/>
  <c r="EM28"/>
  <c r="EN28"/>
  <c r="ES28"/>
  <c r="B29"/>
  <c r="E29"/>
  <c r="K29"/>
  <c r="L29"/>
  <c r="M29"/>
  <c r="N29"/>
  <c r="O29"/>
  <c r="P29"/>
  <c r="AC29" s="1"/>
  <c r="Q29"/>
  <c r="R29"/>
  <c r="AE29" s="1"/>
  <c r="S29"/>
  <c r="T29"/>
  <c r="AG29" s="1"/>
  <c r="U29"/>
  <c r="V29"/>
  <c r="W29"/>
  <c r="X29"/>
  <c r="Y29"/>
  <c r="Z29"/>
  <c r="AA29"/>
  <c r="AB29"/>
  <c r="AI29"/>
  <c r="AJ29"/>
  <c r="AK29"/>
  <c r="AL29"/>
  <c r="AM29"/>
  <c r="AN29"/>
  <c r="AP29"/>
  <c r="AQ29"/>
  <c r="AS29"/>
  <c r="AT29"/>
  <c r="AV29"/>
  <c r="AW29"/>
  <c r="AX29"/>
  <c r="AY29"/>
  <c r="AZ29"/>
  <c r="BA29"/>
  <c r="BB29"/>
  <c r="BC29"/>
  <c r="BD29"/>
  <c r="BE29"/>
  <c r="BF29"/>
  <c r="BG29"/>
  <c r="BH29"/>
  <c r="BJ29"/>
  <c r="BK29"/>
  <c r="BM29"/>
  <c r="EO29" s="1"/>
  <c r="BN29"/>
  <c r="BO29"/>
  <c r="BP29"/>
  <c r="BR29"/>
  <c r="BS29"/>
  <c r="BT29"/>
  <c r="BU29"/>
  <c r="BQ29" s="1"/>
  <c r="BV29"/>
  <c r="BY29" s="1"/>
  <c r="BW29"/>
  <c r="BX29"/>
  <c r="BZ29"/>
  <c r="CA29"/>
  <c r="CB29"/>
  <c r="CD29"/>
  <c r="CM29"/>
  <c r="CN29"/>
  <c r="CO29"/>
  <c r="CP29"/>
  <c r="CQ29"/>
  <c r="CR29"/>
  <c r="CS29"/>
  <c r="CE29" s="1"/>
  <c r="CT29"/>
  <c r="CU29"/>
  <c r="CV29"/>
  <c r="CW29"/>
  <c r="CX29"/>
  <c r="CY29"/>
  <c r="CZ29"/>
  <c r="DA29"/>
  <c r="DB29"/>
  <c r="DC29"/>
  <c r="DD29"/>
  <c r="DE29"/>
  <c r="DF29"/>
  <c r="DG29"/>
  <c r="DH29"/>
  <c r="DI29"/>
  <c r="DJ29"/>
  <c r="DK29"/>
  <c r="DL29"/>
  <c r="DM29"/>
  <c r="DN29"/>
  <c r="DO29"/>
  <c r="DP29"/>
  <c r="DQ29"/>
  <c r="DR29"/>
  <c r="DS29"/>
  <c r="DT29"/>
  <c r="DZ29"/>
  <c r="EA29"/>
  <c r="EB29"/>
  <c r="EE29"/>
  <c r="EF29"/>
  <c r="DV29" s="1"/>
  <c r="EG29"/>
  <c r="DW29" s="1"/>
  <c r="EH29"/>
  <c r="DX29" s="1"/>
  <c r="EJ29"/>
  <c r="EK29"/>
  <c r="EL29"/>
  <c r="EM29"/>
  <c r="EN29"/>
  <c r="ES29"/>
  <c r="B30"/>
  <c r="E30"/>
  <c r="K30"/>
  <c r="L30"/>
  <c r="M30"/>
  <c r="N30"/>
  <c r="O30"/>
  <c r="P30"/>
  <c r="Q30"/>
  <c r="R30"/>
  <c r="S30"/>
  <c r="T30"/>
  <c r="U30"/>
  <c r="V30"/>
  <c r="W30"/>
  <c r="X30"/>
  <c r="Y30"/>
  <c r="Z30"/>
  <c r="AA30"/>
  <c r="AB30"/>
  <c r="AI30"/>
  <c r="AJ30"/>
  <c r="AK30"/>
  <c r="AL30"/>
  <c r="AM30"/>
  <c r="AN30"/>
  <c r="AP30"/>
  <c r="AQ30"/>
  <c r="AS30"/>
  <c r="AT30"/>
  <c r="AV30"/>
  <c r="AW30"/>
  <c r="AX30"/>
  <c r="AY30"/>
  <c r="AZ30"/>
  <c r="BA30"/>
  <c r="BB30"/>
  <c r="BC30"/>
  <c r="BD30"/>
  <c r="BE30"/>
  <c r="BF30"/>
  <c r="BG30"/>
  <c r="BH30"/>
  <c r="BJ30"/>
  <c r="BK30"/>
  <c r="BM30"/>
  <c r="EO30" s="1"/>
  <c r="BN30"/>
  <c r="BO30"/>
  <c r="BP30"/>
  <c r="BR30"/>
  <c r="BS30"/>
  <c r="BT30"/>
  <c r="BU30"/>
  <c r="BQ30" s="1"/>
  <c r="BV30"/>
  <c r="BW30"/>
  <c r="BX30"/>
  <c r="BZ30"/>
  <c r="CA30"/>
  <c r="CB30"/>
  <c r="CD30"/>
  <c r="CM30"/>
  <c r="CN30"/>
  <c r="CO30"/>
  <c r="CP30"/>
  <c r="CQ30"/>
  <c r="CR30"/>
  <c r="CS30"/>
  <c r="CE30" s="1"/>
  <c r="CT30"/>
  <c r="CU30"/>
  <c r="CV30"/>
  <c r="CW30"/>
  <c r="CX30"/>
  <c r="CY30"/>
  <c r="CZ30"/>
  <c r="DA30"/>
  <c r="DB30"/>
  <c r="DC30"/>
  <c r="DD30"/>
  <c r="DE30"/>
  <c r="DF30"/>
  <c r="DG30"/>
  <c r="DH30"/>
  <c r="DI30"/>
  <c r="DJ30"/>
  <c r="DK30"/>
  <c r="DL30"/>
  <c r="DM30"/>
  <c r="DN30"/>
  <c r="DO30"/>
  <c r="DP30"/>
  <c r="DQ30"/>
  <c r="DR30"/>
  <c r="DS30"/>
  <c r="DT30"/>
  <c r="DZ30"/>
  <c r="EA30"/>
  <c r="EB30"/>
  <c r="EE30"/>
  <c r="EF30"/>
  <c r="DV30" s="1"/>
  <c r="EG30"/>
  <c r="DW30" s="1"/>
  <c r="EH30"/>
  <c r="DX30" s="1"/>
  <c r="EJ30"/>
  <c r="EK30"/>
  <c r="EL30"/>
  <c r="EM30"/>
  <c r="EN30"/>
  <c r="ES30"/>
  <c r="B31"/>
  <c r="E31"/>
  <c r="K31"/>
  <c r="L31"/>
  <c r="M31"/>
  <c r="N31"/>
  <c r="O31"/>
  <c r="P31"/>
  <c r="AC31" s="1"/>
  <c r="Q31"/>
  <c r="R31"/>
  <c r="AE31" s="1"/>
  <c r="S31"/>
  <c r="T31"/>
  <c r="AG31" s="1"/>
  <c r="U31"/>
  <c r="V31"/>
  <c r="W31"/>
  <c r="X31"/>
  <c r="Y31"/>
  <c r="Z31"/>
  <c r="AA31"/>
  <c r="AB31"/>
  <c r="AI31"/>
  <c r="AJ31"/>
  <c r="AK31"/>
  <c r="AL31"/>
  <c r="AM31"/>
  <c r="AN31"/>
  <c r="AP31"/>
  <c r="AQ31"/>
  <c r="AS31"/>
  <c r="AT31"/>
  <c r="AV31"/>
  <c r="AW31"/>
  <c r="AX31"/>
  <c r="AY31"/>
  <c r="AZ31"/>
  <c r="BA31"/>
  <c r="BB31"/>
  <c r="BC31"/>
  <c r="BD31"/>
  <c r="BE31"/>
  <c r="BF31"/>
  <c r="BG31"/>
  <c r="BH31"/>
  <c r="BJ31"/>
  <c r="BK31"/>
  <c r="BM31"/>
  <c r="EO31" s="1"/>
  <c r="BN31"/>
  <c r="BO31"/>
  <c r="BP31"/>
  <c r="BR31"/>
  <c r="BS31"/>
  <c r="BT31"/>
  <c r="BU31"/>
  <c r="BQ31" s="1"/>
  <c r="BV31"/>
  <c r="BY31" s="1"/>
  <c r="BW31"/>
  <c r="BX31"/>
  <c r="BZ31"/>
  <c r="CA31"/>
  <c r="CB31"/>
  <c r="CD31"/>
  <c r="CM31"/>
  <c r="CN31"/>
  <c r="CO31"/>
  <c r="CP31"/>
  <c r="CQ31"/>
  <c r="CR31"/>
  <c r="CS31"/>
  <c r="CE31" s="1"/>
  <c r="CT31"/>
  <c r="CU31"/>
  <c r="CV31"/>
  <c r="CW31"/>
  <c r="CX31"/>
  <c r="CY31"/>
  <c r="CZ31"/>
  <c r="DA31"/>
  <c r="DB31"/>
  <c r="DC31"/>
  <c r="DD31"/>
  <c r="DE31"/>
  <c r="DF31"/>
  <c r="DG31"/>
  <c r="DH31"/>
  <c r="DI31"/>
  <c r="DJ31"/>
  <c r="DK31"/>
  <c r="DL31"/>
  <c r="DM31"/>
  <c r="DN31"/>
  <c r="DO31"/>
  <c r="DP31"/>
  <c r="DQ31"/>
  <c r="DR31"/>
  <c r="DS31"/>
  <c r="DT31"/>
  <c r="DZ31"/>
  <c r="EA31"/>
  <c r="EB31"/>
  <c r="EE31"/>
  <c r="EF31"/>
  <c r="DV31" s="1"/>
  <c r="EG31"/>
  <c r="DW31" s="1"/>
  <c r="EH31"/>
  <c r="DX31" s="1"/>
  <c r="EJ31"/>
  <c r="EK31"/>
  <c r="EL31"/>
  <c r="EM31"/>
  <c r="EN31"/>
  <c r="ES31"/>
  <c r="B32"/>
  <c r="E32"/>
  <c r="K32"/>
  <c r="L32"/>
  <c r="M32"/>
  <c r="N32"/>
  <c r="O32"/>
  <c r="P32"/>
  <c r="Q32"/>
  <c r="R32"/>
  <c r="S32"/>
  <c r="T32"/>
  <c r="U32"/>
  <c r="V32"/>
  <c r="W32"/>
  <c r="X32"/>
  <c r="Y32"/>
  <c r="Z32"/>
  <c r="AA32"/>
  <c r="AB32"/>
  <c r="AI32"/>
  <c r="AJ32"/>
  <c r="AK32"/>
  <c r="AL32"/>
  <c r="AM32"/>
  <c r="AN32"/>
  <c r="AP32"/>
  <c r="AQ32"/>
  <c r="AS32"/>
  <c r="AT32"/>
  <c r="AV32"/>
  <c r="AW32"/>
  <c r="AX32"/>
  <c r="AY32"/>
  <c r="AZ32"/>
  <c r="BA32"/>
  <c r="BB32"/>
  <c r="BC32"/>
  <c r="BD32"/>
  <c r="BE32"/>
  <c r="BF32"/>
  <c r="BG32"/>
  <c r="BH32"/>
  <c r="BJ32"/>
  <c r="BK32"/>
  <c r="BM32"/>
  <c r="EO32" s="1"/>
  <c r="BN32"/>
  <c r="BO32"/>
  <c r="BP32"/>
  <c r="BR32"/>
  <c r="BS32"/>
  <c r="BT32"/>
  <c r="BU32"/>
  <c r="BQ32" s="1"/>
  <c r="BV32"/>
  <c r="BW32"/>
  <c r="BX32"/>
  <c r="BZ32"/>
  <c r="CA32"/>
  <c r="CB32"/>
  <c r="CD32"/>
  <c r="CM32"/>
  <c r="CN32"/>
  <c r="CO32"/>
  <c r="CP32"/>
  <c r="CQ32"/>
  <c r="CR32"/>
  <c r="CS32"/>
  <c r="CE32" s="1"/>
  <c r="CT32"/>
  <c r="CU32"/>
  <c r="CV32"/>
  <c r="CW32"/>
  <c r="CX32"/>
  <c r="CY32"/>
  <c r="CZ32"/>
  <c r="DA32"/>
  <c r="DB32"/>
  <c r="DC32"/>
  <c r="DD32"/>
  <c r="DE32"/>
  <c r="DF32"/>
  <c r="DG32"/>
  <c r="DH32"/>
  <c r="DI32"/>
  <c r="DJ32"/>
  <c r="DK32"/>
  <c r="DL32"/>
  <c r="DM32"/>
  <c r="DN32"/>
  <c r="DO32"/>
  <c r="DP32"/>
  <c r="DQ32"/>
  <c r="DR32"/>
  <c r="DS32"/>
  <c r="DT32"/>
  <c r="DZ32"/>
  <c r="EA32"/>
  <c r="EB32"/>
  <c r="EE32"/>
  <c r="EF32"/>
  <c r="DV32" s="1"/>
  <c r="EG32"/>
  <c r="DW32" s="1"/>
  <c r="EH32"/>
  <c r="DX32" s="1"/>
  <c r="EJ32"/>
  <c r="EK32"/>
  <c r="EL32"/>
  <c r="EM32"/>
  <c r="EN32"/>
  <c r="ES32"/>
  <c r="B33"/>
  <c r="E33"/>
  <c r="K33"/>
  <c r="L33"/>
  <c r="M33"/>
  <c r="N33"/>
  <c r="O33"/>
  <c r="P33"/>
  <c r="AC33" s="1"/>
  <c r="Q33"/>
  <c r="R33"/>
  <c r="AE33" s="1"/>
  <c r="S33"/>
  <c r="T33"/>
  <c r="AG33" s="1"/>
  <c r="U33"/>
  <c r="V33"/>
  <c r="W33"/>
  <c r="X33"/>
  <c r="Y33"/>
  <c r="Z33"/>
  <c r="AA33"/>
  <c r="AB33"/>
  <c r="AI33"/>
  <c r="AJ33"/>
  <c r="AK33"/>
  <c r="AL33"/>
  <c r="AM33"/>
  <c r="AN33"/>
  <c r="AP33"/>
  <c r="AQ33"/>
  <c r="AS33"/>
  <c r="AT33"/>
  <c r="AV33"/>
  <c r="AW33"/>
  <c r="AX33"/>
  <c r="AY33"/>
  <c r="AZ33"/>
  <c r="BA33"/>
  <c r="BB33"/>
  <c r="BC33"/>
  <c r="BD33"/>
  <c r="BE33"/>
  <c r="BF33"/>
  <c r="BG33"/>
  <c r="BH33"/>
  <c r="BJ33"/>
  <c r="BK33"/>
  <c r="BM33"/>
  <c r="EO33" s="1"/>
  <c r="BN33"/>
  <c r="BO33"/>
  <c r="BP33"/>
  <c r="BR33"/>
  <c r="BS33"/>
  <c r="BT33"/>
  <c r="BU33"/>
  <c r="BQ33" s="1"/>
  <c r="BV33"/>
  <c r="BY33" s="1"/>
  <c r="BW33"/>
  <c r="BX33"/>
  <c r="BZ33"/>
  <c r="CA33"/>
  <c r="CB33"/>
  <c r="CD33"/>
  <c r="CM33"/>
  <c r="CN33"/>
  <c r="CO33"/>
  <c r="CP33"/>
  <c r="CQ33"/>
  <c r="CR33"/>
  <c r="CS33"/>
  <c r="CE33" s="1"/>
  <c r="CT33"/>
  <c r="CU33"/>
  <c r="CV33"/>
  <c r="CW33"/>
  <c r="CX33"/>
  <c r="CY33"/>
  <c r="CZ33"/>
  <c r="DA33"/>
  <c r="DB33"/>
  <c r="DC33"/>
  <c r="DD33"/>
  <c r="DE33"/>
  <c r="DF33"/>
  <c r="DG33"/>
  <c r="DH33"/>
  <c r="DI33"/>
  <c r="DJ33"/>
  <c r="DK33"/>
  <c r="DL33"/>
  <c r="DM33"/>
  <c r="DN33"/>
  <c r="DO33"/>
  <c r="DP33"/>
  <c r="DQ33"/>
  <c r="DR33"/>
  <c r="DS33"/>
  <c r="DT33"/>
  <c r="DZ33"/>
  <c r="EA33"/>
  <c r="EB33"/>
  <c r="EE33"/>
  <c r="EF33"/>
  <c r="DV33" s="1"/>
  <c r="EG33"/>
  <c r="DW33" s="1"/>
  <c r="EH33"/>
  <c r="DX33" s="1"/>
  <c r="EJ33"/>
  <c r="EK33"/>
  <c r="EL33"/>
  <c r="EM33"/>
  <c r="EN33"/>
  <c r="ES33"/>
  <c r="B34"/>
  <c r="E34"/>
  <c r="K34"/>
  <c r="L34"/>
  <c r="M34"/>
  <c r="N34"/>
  <c r="O34"/>
  <c r="P34"/>
  <c r="Q34"/>
  <c r="R34"/>
  <c r="S34"/>
  <c r="T34"/>
  <c r="U34"/>
  <c r="V34"/>
  <c r="W34"/>
  <c r="X34"/>
  <c r="Y34"/>
  <c r="Z34"/>
  <c r="AA34"/>
  <c r="AB34"/>
  <c r="AI34"/>
  <c r="AJ34"/>
  <c r="AK34"/>
  <c r="AL34"/>
  <c r="AM34"/>
  <c r="AN34"/>
  <c r="AP34"/>
  <c r="AQ34"/>
  <c r="AS34"/>
  <c r="AT34"/>
  <c r="AV34"/>
  <c r="AW34"/>
  <c r="AX34"/>
  <c r="AY34"/>
  <c r="AZ34"/>
  <c r="BA34"/>
  <c r="BB34"/>
  <c r="BC34"/>
  <c r="BD34"/>
  <c r="BE34"/>
  <c r="BF34"/>
  <c r="BG34"/>
  <c r="BH34"/>
  <c r="BJ34"/>
  <c r="BK34"/>
  <c r="BM34"/>
  <c r="EO34" s="1"/>
  <c r="BN34"/>
  <c r="BO34"/>
  <c r="BP34"/>
  <c r="BR34"/>
  <c r="BS34"/>
  <c r="BT34"/>
  <c r="BU34"/>
  <c r="BQ34" s="1"/>
  <c r="BV34"/>
  <c r="BW34"/>
  <c r="BX34"/>
  <c r="BZ34"/>
  <c r="CA34"/>
  <c r="CB34"/>
  <c r="CD34"/>
  <c r="CM34"/>
  <c r="CN34"/>
  <c r="CO34"/>
  <c r="CP34"/>
  <c r="CQ34"/>
  <c r="CR34"/>
  <c r="CS34"/>
  <c r="CE34" s="1"/>
  <c r="CT34"/>
  <c r="CU34"/>
  <c r="CV34"/>
  <c r="CW34"/>
  <c r="CX34"/>
  <c r="CY34"/>
  <c r="CZ34"/>
  <c r="DA34"/>
  <c r="DB34"/>
  <c r="DC34"/>
  <c r="DD34"/>
  <c r="DE34"/>
  <c r="DF34"/>
  <c r="DG34"/>
  <c r="DH34"/>
  <c r="DI34"/>
  <c r="DJ34"/>
  <c r="DK34"/>
  <c r="DL34"/>
  <c r="DM34"/>
  <c r="DN34"/>
  <c r="DO34"/>
  <c r="DP34"/>
  <c r="DQ34"/>
  <c r="DR34"/>
  <c r="DS34"/>
  <c r="DT34"/>
  <c r="DZ34"/>
  <c r="EA34"/>
  <c r="EB34"/>
  <c r="EE34"/>
  <c r="EF34"/>
  <c r="DV34" s="1"/>
  <c r="EG34"/>
  <c r="DW34" s="1"/>
  <c r="EH34"/>
  <c r="DX34" s="1"/>
  <c r="EJ34"/>
  <c r="EK34"/>
  <c r="EL34"/>
  <c r="EM34"/>
  <c r="EN34"/>
  <c r="ES34"/>
  <c r="B35"/>
  <c r="E35"/>
  <c r="K35"/>
  <c r="L35"/>
  <c r="M35"/>
  <c r="N35"/>
  <c r="O35"/>
  <c r="P35"/>
  <c r="AC35" s="1"/>
  <c r="Q35"/>
  <c r="R35"/>
  <c r="AE35" s="1"/>
  <c r="S35"/>
  <c r="T35"/>
  <c r="AG35" s="1"/>
  <c r="U35"/>
  <c r="V35"/>
  <c r="W35"/>
  <c r="X35"/>
  <c r="Y35"/>
  <c r="Z35"/>
  <c r="AA35"/>
  <c r="AB35"/>
  <c r="AI35"/>
  <c r="AJ35"/>
  <c r="AK35"/>
  <c r="AL35"/>
  <c r="AM35"/>
  <c r="AN35"/>
  <c r="AP35"/>
  <c r="AQ35"/>
  <c r="AS35"/>
  <c r="AT35"/>
  <c r="AV35"/>
  <c r="AW35"/>
  <c r="AX35"/>
  <c r="AY35"/>
  <c r="AZ35"/>
  <c r="BA35"/>
  <c r="BB35"/>
  <c r="BC35"/>
  <c r="BD35"/>
  <c r="BE35"/>
  <c r="BF35"/>
  <c r="BG35"/>
  <c r="BH35"/>
  <c r="BJ35"/>
  <c r="BK35"/>
  <c r="BM35"/>
  <c r="EO35" s="1"/>
  <c r="BN35"/>
  <c r="BO35"/>
  <c r="BP35"/>
  <c r="BR35"/>
  <c r="BS35"/>
  <c r="BT35"/>
  <c r="BU35"/>
  <c r="BQ35" s="1"/>
  <c r="BV35"/>
  <c r="BY35" s="1"/>
  <c r="BW35"/>
  <c r="BX35"/>
  <c r="BZ35"/>
  <c r="CA35"/>
  <c r="CB35"/>
  <c r="CD35"/>
  <c r="CM35"/>
  <c r="CN35"/>
  <c r="CO35"/>
  <c r="CP35"/>
  <c r="CQ35"/>
  <c r="CR35"/>
  <c r="CS35"/>
  <c r="CE35" s="1"/>
  <c r="CT35"/>
  <c r="CU35"/>
  <c r="CV35"/>
  <c r="CW35"/>
  <c r="CX35"/>
  <c r="CY35"/>
  <c r="CZ35"/>
  <c r="DA35"/>
  <c r="DB35"/>
  <c r="DC35"/>
  <c r="DD35"/>
  <c r="DE35"/>
  <c r="DF35"/>
  <c r="DG35"/>
  <c r="DH35"/>
  <c r="DI35"/>
  <c r="DJ35"/>
  <c r="DK35"/>
  <c r="DL35"/>
  <c r="DM35"/>
  <c r="DN35"/>
  <c r="DO35"/>
  <c r="DP35"/>
  <c r="DQ35"/>
  <c r="DR35"/>
  <c r="DS35"/>
  <c r="DT35"/>
  <c r="DZ35"/>
  <c r="EA35"/>
  <c r="EB35"/>
  <c r="EE35"/>
  <c r="EF35"/>
  <c r="DV35" s="1"/>
  <c r="EG35"/>
  <c r="DW35" s="1"/>
  <c r="EH35"/>
  <c r="DX35" s="1"/>
  <c r="EJ35"/>
  <c r="EK35"/>
  <c r="EL35"/>
  <c r="EM35"/>
  <c r="EN35"/>
  <c r="ES35"/>
  <c r="B36"/>
  <c r="E36"/>
  <c r="K36"/>
  <c r="L36"/>
  <c r="M36"/>
  <c r="N36"/>
  <c r="AF36" s="1"/>
  <c r="O36"/>
  <c r="P36"/>
  <c r="Q36"/>
  <c r="R36"/>
  <c r="S36"/>
  <c r="T36"/>
  <c r="U36"/>
  <c r="V36"/>
  <c r="W36"/>
  <c r="X36"/>
  <c r="Y36"/>
  <c r="Z36"/>
  <c r="AA36"/>
  <c r="AB36"/>
  <c r="AI36"/>
  <c r="AJ36"/>
  <c r="AK36"/>
  <c r="AL36"/>
  <c r="AM36"/>
  <c r="AN36"/>
  <c r="AP36"/>
  <c r="AQ36"/>
  <c r="AS36"/>
  <c r="AT36"/>
  <c r="AV36"/>
  <c r="AW36"/>
  <c r="AX36"/>
  <c r="AY36"/>
  <c r="AZ36"/>
  <c r="BA36"/>
  <c r="BB36"/>
  <c r="BC36"/>
  <c r="BD36"/>
  <c r="BE36"/>
  <c r="BF36"/>
  <c r="BG36"/>
  <c r="BH36"/>
  <c r="BJ36"/>
  <c r="BK36"/>
  <c r="EO36" s="1"/>
  <c r="BM36"/>
  <c r="BL36" s="1"/>
  <c r="BN36"/>
  <c r="BO36"/>
  <c r="BP36"/>
  <c r="BR36"/>
  <c r="BS36"/>
  <c r="BT36"/>
  <c r="BU36"/>
  <c r="BQ36" s="1"/>
  <c r="BV36"/>
  <c r="BW36"/>
  <c r="BX36"/>
  <c r="BZ36"/>
  <c r="CA36"/>
  <c r="CB36"/>
  <c r="CD36"/>
  <c r="CM36"/>
  <c r="CN36"/>
  <c r="CO36"/>
  <c r="CP36"/>
  <c r="CQ36"/>
  <c r="CR36"/>
  <c r="CS36"/>
  <c r="CF36" s="1"/>
  <c r="CT36"/>
  <c r="CU36"/>
  <c r="CV36"/>
  <c r="CW36"/>
  <c r="CX36"/>
  <c r="CY36"/>
  <c r="CZ36"/>
  <c r="DA36"/>
  <c r="DB36"/>
  <c r="DC36"/>
  <c r="DD36"/>
  <c r="DE36"/>
  <c r="DF36"/>
  <c r="DG36"/>
  <c r="DH36"/>
  <c r="DI36"/>
  <c r="DJ36"/>
  <c r="DK36"/>
  <c r="DL36"/>
  <c r="DM36"/>
  <c r="DN36"/>
  <c r="DO36"/>
  <c r="DP36"/>
  <c r="DQ36"/>
  <c r="DR36"/>
  <c r="DU36" s="1"/>
  <c r="DS36"/>
  <c r="DT36"/>
  <c r="DZ36"/>
  <c r="EC36" s="1"/>
  <c r="EA36"/>
  <c r="EB36"/>
  <c r="EE36"/>
  <c r="EF36"/>
  <c r="DV36" s="1"/>
  <c r="EG36"/>
  <c r="DW36" s="1"/>
  <c r="EH36"/>
  <c r="DX36" s="1"/>
  <c r="EJ36"/>
  <c r="EK36"/>
  <c r="EL36"/>
  <c r="EM36"/>
  <c r="EN36"/>
  <c r="ES36"/>
  <c r="B37"/>
  <c r="E37"/>
  <c r="K37"/>
  <c r="L37"/>
  <c r="AD37" s="1"/>
  <c r="M37"/>
  <c r="N37"/>
  <c r="AF37" s="1"/>
  <c r="O37"/>
  <c r="P37"/>
  <c r="AC37" s="1"/>
  <c r="Q37"/>
  <c r="R37"/>
  <c r="AE37" s="1"/>
  <c r="S37"/>
  <c r="T37"/>
  <c r="AG37" s="1"/>
  <c r="U37"/>
  <c r="V37"/>
  <c r="W37"/>
  <c r="X37"/>
  <c r="Y37"/>
  <c r="Z37"/>
  <c r="AA37"/>
  <c r="AB37"/>
  <c r="AI37"/>
  <c r="AJ37"/>
  <c r="AK37"/>
  <c r="AL37"/>
  <c r="AM37"/>
  <c r="AN37"/>
  <c r="AP37"/>
  <c r="AQ37"/>
  <c r="AS37"/>
  <c r="AT37"/>
  <c r="AV37"/>
  <c r="AW37"/>
  <c r="AX37"/>
  <c r="AY37"/>
  <c r="AZ37"/>
  <c r="BA37"/>
  <c r="BB37"/>
  <c r="BC37"/>
  <c r="BD37"/>
  <c r="BE37"/>
  <c r="BF37"/>
  <c r="BG37"/>
  <c r="BH37"/>
  <c r="BJ37"/>
  <c r="BK37"/>
  <c r="BM37"/>
  <c r="BN37"/>
  <c r="BO37"/>
  <c r="BP37"/>
  <c r="BR37"/>
  <c r="BS37"/>
  <c r="BT37"/>
  <c r="BU37"/>
  <c r="BQ37" s="1"/>
  <c r="BV37"/>
  <c r="BW37"/>
  <c r="BZ37"/>
  <c r="CA37"/>
  <c r="CB37"/>
  <c r="CD37"/>
  <c r="CM37"/>
  <c r="CN37"/>
  <c r="CO37"/>
  <c r="CP37"/>
  <c r="CQ37"/>
  <c r="CR37"/>
  <c r="CS37"/>
  <c r="CF37" s="1"/>
  <c r="CT37"/>
  <c r="CU37"/>
  <c r="CV37"/>
  <c r="CW37"/>
  <c r="CX37"/>
  <c r="CY37"/>
  <c r="CZ37"/>
  <c r="DA37"/>
  <c r="DB37"/>
  <c r="DC37"/>
  <c r="DD37"/>
  <c r="DE37"/>
  <c r="DF37"/>
  <c r="DG37"/>
  <c r="DH37"/>
  <c r="DI37"/>
  <c r="DJ37"/>
  <c r="DK37"/>
  <c r="DL37"/>
  <c r="DM37"/>
  <c r="DN37"/>
  <c r="DO37"/>
  <c r="DP37"/>
  <c r="DQ37"/>
  <c r="DR37"/>
  <c r="DS37"/>
  <c r="DT37"/>
  <c r="DZ37"/>
  <c r="EA37"/>
  <c r="EB37"/>
  <c r="EE37"/>
  <c r="EF37"/>
  <c r="DV37" s="1"/>
  <c r="EG37"/>
  <c r="DW37" s="1"/>
  <c r="EH37"/>
  <c r="DX37" s="1"/>
  <c r="EJ37"/>
  <c r="EK37"/>
  <c r="EL37"/>
  <c r="EM37"/>
  <c r="EN37"/>
  <c r="ES37"/>
  <c r="B38"/>
  <c r="E38"/>
  <c r="K38"/>
  <c r="L38"/>
  <c r="AD38" s="1"/>
  <c r="M38"/>
  <c r="N38"/>
  <c r="O38"/>
  <c r="P38"/>
  <c r="Q38"/>
  <c r="R38"/>
  <c r="S38"/>
  <c r="T38"/>
  <c r="U38"/>
  <c r="V38"/>
  <c r="W38"/>
  <c r="X38"/>
  <c r="Y38"/>
  <c r="Z38"/>
  <c r="AA38"/>
  <c r="AB38"/>
  <c r="AI38"/>
  <c r="AJ38"/>
  <c r="AK38"/>
  <c r="AL38"/>
  <c r="AM38"/>
  <c r="AN38"/>
  <c r="AO38"/>
  <c r="AP38"/>
  <c r="AQ38"/>
  <c r="AS38"/>
  <c r="AT38"/>
  <c r="AV38"/>
  <c r="AW38"/>
  <c r="AX38"/>
  <c r="AY38"/>
  <c r="AZ38"/>
  <c r="BA38"/>
  <c r="BB38"/>
  <c r="BC38"/>
  <c r="BD38"/>
  <c r="BE38"/>
  <c r="BF38"/>
  <c r="BG38"/>
  <c r="BH38"/>
  <c r="BI38"/>
  <c r="BJ38"/>
  <c r="BK38"/>
  <c r="EO38" s="1"/>
  <c r="BM38"/>
  <c r="BN38"/>
  <c r="BO38"/>
  <c r="BP38"/>
  <c r="BR38"/>
  <c r="BS38"/>
  <c r="BT38"/>
  <c r="BU38"/>
  <c r="BQ38" s="1"/>
  <c r="BV38"/>
  <c r="BW38"/>
  <c r="BY38"/>
  <c r="BZ38"/>
  <c r="CA38"/>
  <c r="CB38"/>
  <c r="CC38"/>
  <c r="CD38"/>
  <c r="CM38"/>
  <c r="CN38"/>
  <c r="CO38"/>
  <c r="CP38"/>
  <c r="CQ38"/>
  <c r="CR38"/>
  <c r="CS38"/>
  <c r="CF38" s="1"/>
  <c r="CT38"/>
  <c r="CU38"/>
  <c r="CV38"/>
  <c r="CW38"/>
  <c r="CX38"/>
  <c r="CY38"/>
  <c r="CZ38"/>
  <c r="DA38"/>
  <c r="DB38"/>
  <c r="DC38"/>
  <c r="DD38"/>
  <c r="DE38"/>
  <c r="DF38"/>
  <c r="DG38"/>
  <c r="DH38"/>
  <c r="DI38"/>
  <c r="DJ38"/>
  <c r="DK38"/>
  <c r="DL38"/>
  <c r="DM38"/>
  <c r="DN38"/>
  <c r="DO38"/>
  <c r="DP38"/>
  <c r="DQ38"/>
  <c r="DR38"/>
  <c r="DS38"/>
  <c r="DT38"/>
  <c r="DU38"/>
  <c r="DZ38"/>
  <c r="EA38"/>
  <c r="EB38"/>
  <c r="EE38"/>
  <c r="EF38"/>
  <c r="DV38" s="1"/>
  <c r="EG38"/>
  <c r="DW38" s="1"/>
  <c r="EH38"/>
  <c r="DX38" s="1"/>
  <c r="EJ38"/>
  <c r="EK38"/>
  <c r="EL38"/>
  <c r="EM38"/>
  <c r="EN38"/>
  <c r="ES38"/>
  <c r="B39"/>
  <c r="E39"/>
  <c r="K39"/>
  <c r="L39"/>
  <c r="M39"/>
  <c r="N39"/>
  <c r="O39"/>
  <c r="P39"/>
  <c r="Q39"/>
  <c r="AD39" s="1"/>
  <c r="R39"/>
  <c r="S39"/>
  <c r="AF39" s="1"/>
  <c r="T39"/>
  <c r="U39"/>
  <c r="V39"/>
  <c r="W39"/>
  <c r="X39"/>
  <c r="Y39"/>
  <c r="Z39"/>
  <c r="AA39"/>
  <c r="AH39" s="1"/>
  <c r="AB39"/>
  <c r="AC39"/>
  <c r="AI39"/>
  <c r="AJ39"/>
  <c r="AK39"/>
  <c r="AL39"/>
  <c r="AM39"/>
  <c r="AN39"/>
  <c r="AP39"/>
  <c r="AQ39"/>
  <c r="AS39"/>
  <c r="AT39"/>
  <c r="AV39"/>
  <c r="AW39"/>
  <c r="AX39"/>
  <c r="AY39"/>
  <c r="AZ39"/>
  <c r="BA39"/>
  <c r="BB39"/>
  <c r="BC39"/>
  <c r="BD39"/>
  <c r="BE39"/>
  <c r="BF39"/>
  <c r="BG39"/>
  <c r="BH39"/>
  <c r="BJ39"/>
  <c r="BK39"/>
  <c r="BM39"/>
  <c r="BL39" s="1"/>
  <c r="BN39"/>
  <c r="BO39"/>
  <c r="BP39"/>
  <c r="BR39"/>
  <c r="BS39"/>
  <c r="BT39"/>
  <c r="BU39"/>
  <c r="BQ39" s="1"/>
  <c r="BV39"/>
  <c r="BY39" s="1"/>
  <c r="BW39"/>
  <c r="BX39"/>
  <c r="BZ39"/>
  <c r="CA39"/>
  <c r="CB39"/>
  <c r="CD39"/>
  <c r="CM39"/>
  <c r="CN39"/>
  <c r="CO39"/>
  <c r="CP39"/>
  <c r="CQ39"/>
  <c r="CR39"/>
  <c r="CS39"/>
  <c r="CF39" s="1"/>
  <c r="CT39"/>
  <c r="CU39"/>
  <c r="CV39"/>
  <c r="CW39"/>
  <c r="CX39"/>
  <c r="CY39"/>
  <c r="CZ39"/>
  <c r="DA39"/>
  <c r="DB39"/>
  <c r="DC39"/>
  <c r="DD39"/>
  <c r="DE39"/>
  <c r="DF39"/>
  <c r="DG39"/>
  <c r="DH39"/>
  <c r="DI39"/>
  <c r="DJ39"/>
  <c r="DK39"/>
  <c r="DL39"/>
  <c r="DM39"/>
  <c r="DN39"/>
  <c r="DO39"/>
  <c r="DP39"/>
  <c r="DQ39"/>
  <c r="DR39"/>
  <c r="DS39"/>
  <c r="DT39"/>
  <c r="DZ39"/>
  <c r="EA39"/>
  <c r="EB39"/>
  <c r="EE39"/>
  <c r="EF39"/>
  <c r="DV39" s="1"/>
  <c r="EG39"/>
  <c r="DW39" s="1"/>
  <c r="EH39"/>
  <c r="DX39" s="1"/>
  <c r="EJ39"/>
  <c r="EK39"/>
  <c r="EL39"/>
  <c r="EM39"/>
  <c r="EN39"/>
  <c r="ES39"/>
  <c r="B40"/>
  <c r="E40"/>
  <c r="K40"/>
  <c r="L40"/>
  <c r="M40"/>
  <c r="N40"/>
  <c r="O40"/>
  <c r="P40"/>
  <c r="Q40"/>
  <c r="R40"/>
  <c r="S40"/>
  <c r="T40"/>
  <c r="U40"/>
  <c r="V40"/>
  <c r="W40"/>
  <c r="X40"/>
  <c r="Y40"/>
  <c r="Z40"/>
  <c r="AA40"/>
  <c r="AB40"/>
  <c r="AI40"/>
  <c r="AJ40"/>
  <c r="AK40"/>
  <c r="AL40"/>
  <c r="AM40"/>
  <c r="AN40"/>
  <c r="AO40"/>
  <c r="AP40"/>
  <c r="AQ40"/>
  <c r="AS40"/>
  <c r="AT40"/>
  <c r="AV40"/>
  <c r="AW40"/>
  <c r="AX40"/>
  <c r="AY40"/>
  <c r="AZ40"/>
  <c r="BA40"/>
  <c r="BB40"/>
  <c r="BC40"/>
  <c r="BD40"/>
  <c r="BE40"/>
  <c r="BF40"/>
  <c r="BG40"/>
  <c r="BH40"/>
  <c r="BI40"/>
  <c r="BJ40"/>
  <c r="BK40"/>
  <c r="EO40" s="1"/>
  <c r="BM40"/>
  <c r="BN40"/>
  <c r="BO40"/>
  <c r="BP40"/>
  <c r="BR40"/>
  <c r="BS40"/>
  <c r="BT40"/>
  <c r="BU40"/>
  <c r="BQ40" s="1"/>
  <c r="BV40"/>
  <c r="BW40"/>
  <c r="BY40"/>
  <c r="BZ40"/>
  <c r="CA40"/>
  <c r="CB40"/>
  <c r="CC40"/>
  <c r="CD40"/>
  <c r="CM40"/>
  <c r="CN40"/>
  <c r="CO40"/>
  <c r="CP40"/>
  <c r="CQ40"/>
  <c r="CR40"/>
  <c r="CS40"/>
  <c r="CF40" s="1"/>
  <c r="CT40"/>
  <c r="CU40"/>
  <c r="CV40"/>
  <c r="CW40"/>
  <c r="CX40"/>
  <c r="CY40"/>
  <c r="CZ40"/>
  <c r="DA40"/>
  <c r="DB40"/>
  <c r="DC40"/>
  <c r="DD40"/>
  <c r="DE40"/>
  <c r="DF40"/>
  <c r="DG40"/>
  <c r="DH40"/>
  <c r="DI40"/>
  <c r="DJ40"/>
  <c r="DK40"/>
  <c r="DL40"/>
  <c r="DM40"/>
  <c r="DN40"/>
  <c r="DO40"/>
  <c r="DP40"/>
  <c r="DQ40"/>
  <c r="DR40"/>
  <c r="DS40"/>
  <c r="DT40"/>
  <c r="DU40"/>
  <c r="DZ40"/>
  <c r="EA40"/>
  <c r="EB40"/>
  <c r="EE40"/>
  <c r="EF40"/>
  <c r="DV40" s="1"/>
  <c r="EG40"/>
  <c r="DW40" s="1"/>
  <c r="EH40"/>
  <c r="DX40" s="1"/>
  <c r="EJ40"/>
  <c r="EK40"/>
  <c r="EL40"/>
  <c r="EM40"/>
  <c r="EN40"/>
  <c r="ES40"/>
  <c r="B41"/>
  <c r="E41"/>
  <c r="K41"/>
  <c r="L41"/>
  <c r="M41"/>
  <c r="N41"/>
  <c r="O41"/>
  <c r="P41"/>
  <c r="Q41"/>
  <c r="AD41" s="1"/>
  <c r="R41"/>
  <c r="S41"/>
  <c r="AF41" s="1"/>
  <c r="T41"/>
  <c r="U41"/>
  <c r="V41"/>
  <c r="W41"/>
  <c r="X41"/>
  <c r="Y41"/>
  <c r="Z41"/>
  <c r="AA41"/>
  <c r="AH41" s="1"/>
  <c r="AB41"/>
  <c r="AC41"/>
  <c r="AI41"/>
  <c r="AJ41"/>
  <c r="AK41"/>
  <c r="AL41"/>
  <c r="AM41"/>
  <c r="AN41"/>
  <c r="AP41"/>
  <c r="AQ41"/>
  <c r="AS41"/>
  <c r="AT41"/>
  <c r="AV41"/>
  <c r="AW41"/>
  <c r="AX41"/>
  <c r="AY41"/>
  <c r="AZ41"/>
  <c r="BA41"/>
  <c r="BB41"/>
  <c r="BC41"/>
  <c r="BD41"/>
  <c r="BE41"/>
  <c r="BF41"/>
  <c r="BG41"/>
  <c r="BH41"/>
  <c r="BJ41"/>
  <c r="BK41"/>
  <c r="BM41"/>
  <c r="BL41" s="1"/>
  <c r="BN41"/>
  <c r="BO41"/>
  <c r="BP41"/>
  <c r="BR41"/>
  <c r="BS41"/>
  <c r="BT41"/>
  <c r="BU41"/>
  <c r="BQ41" s="1"/>
  <c r="BV41"/>
  <c r="BY41" s="1"/>
  <c r="BW41"/>
  <c r="BX41"/>
  <c r="BZ41"/>
  <c r="CA41"/>
  <c r="CB41"/>
  <c r="CD41"/>
  <c r="CM41"/>
  <c r="CN41"/>
  <c r="CO41"/>
  <c r="CP41"/>
  <c r="CQ41"/>
  <c r="CR41"/>
  <c r="CS41"/>
  <c r="CF41" s="1"/>
  <c r="CT41"/>
  <c r="CU41"/>
  <c r="CV41"/>
  <c r="CW41"/>
  <c r="CX41"/>
  <c r="CY41"/>
  <c r="CZ41"/>
  <c r="DA41"/>
  <c r="DB41"/>
  <c r="DC41"/>
  <c r="DD41"/>
  <c r="DE41"/>
  <c r="DF41"/>
  <c r="DG41"/>
  <c r="DH41"/>
  <c r="DI41"/>
  <c r="DJ41"/>
  <c r="DK41"/>
  <c r="DL41"/>
  <c r="DM41"/>
  <c r="DN41"/>
  <c r="DO41"/>
  <c r="DP41"/>
  <c r="DQ41"/>
  <c r="DR41"/>
  <c r="DS41"/>
  <c r="DT41"/>
  <c r="DZ41"/>
  <c r="EA41"/>
  <c r="EB41"/>
  <c r="EE41"/>
  <c r="EF41"/>
  <c r="DV41" s="1"/>
  <c r="EG41"/>
  <c r="DW41" s="1"/>
  <c r="EH41"/>
  <c r="DX41" s="1"/>
  <c r="EJ41"/>
  <c r="EK41"/>
  <c r="EL41"/>
  <c r="EM41"/>
  <c r="EN41"/>
  <c r="ES41"/>
  <c r="B42"/>
  <c r="E42"/>
  <c r="K42"/>
  <c r="L42"/>
  <c r="M42"/>
  <c r="N42"/>
  <c r="O42"/>
  <c r="P42"/>
  <c r="AC42" s="1"/>
  <c r="Q42"/>
  <c r="R42"/>
  <c r="S42"/>
  <c r="T42"/>
  <c r="AG42" s="1"/>
  <c r="U42"/>
  <c r="V42"/>
  <c r="W42"/>
  <c r="X42"/>
  <c r="Y42"/>
  <c r="Z42"/>
  <c r="AA42"/>
  <c r="AB42"/>
  <c r="AI42"/>
  <c r="AJ42"/>
  <c r="AK42"/>
  <c r="AL42"/>
  <c r="AM42"/>
  <c r="AN42"/>
  <c r="AP42"/>
  <c r="AQ42"/>
  <c r="AS42"/>
  <c r="AT42"/>
  <c r="AV42"/>
  <c r="AW42"/>
  <c r="AX42"/>
  <c r="AY42"/>
  <c r="AZ42"/>
  <c r="BA42"/>
  <c r="BB42"/>
  <c r="BC42"/>
  <c r="BD42"/>
  <c r="BE42"/>
  <c r="BF42"/>
  <c r="BG42"/>
  <c r="BH42"/>
  <c r="BJ42"/>
  <c r="BK42"/>
  <c r="BM42"/>
  <c r="BN42"/>
  <c r="BO42"/>
  <c r="BP42"/>
  <c r="BR42"/>
  <c r="BS42"/>
  <c r="BT42"/>
  <c r="BU42"/>
  <c r="BQ42" s="1"/>
  <c r="BV42"/>
  <c r="BW42"/>
  <c r="BZ42"/>
  <c r="CA42"/>
  <c r="CB42"/>
  <c r="CD42"/>
  <c r="CM42"/>
  <c r="CN42"/>
  <c r="CO42"/>
  <c r="CP42"/>
  <c r="CQ42"/>
  <c r="CR42"/>
  <c r="CS42"/>
  <c r="CF42" s="1"/>
  <c r="CT42"/>
  <c r="CU42"/>
  <c r="CV42"/>
  <c r="CW42"/>
  <c r="CX42"/>
  <c r="CY42"/>
  <c r="CZ42"/>
  <c r="DA42"/>
  <c r="DB42"/>
  <c r="DC42"/>
  <c r="DD42"/>
  <c r="DE42"/>
  <c r="DF42"/>
  <c r="DG42"/>
  <c r="DH42"/>
  <c r="DI42"/>
  <c r="DJ42"/>
  <c r="DK42"/>
  <c r="DL42"/>
  <c r="DM42"/>
  <c r="DN42"/>
  <c r="DO42"/>
  <c r="DP42"/>
  <c r="DQ42"/>
  <c r="DR42"/>
  <c r="DS42"/>
  <c r="DT42"/>
  <c r="DZ42"/>
  <c r="EA42"/>
  <c r="EB42"/>
  <c r="EE42"/>
  <c r="EF42"/>
  <c r="DV42" s="1"/>
  <c r="EG42"/>
  <c r="DW42" s="1"/>
  <c r="EH42"/>
  <c r="DX42" s="1"/>
  <c r="EJ42"/>
  <c r="EK42"/>
  <c r="EL42"/>
  <c r="EM42"/>
  <c r="EN42"/>
  <c r="ES42"/>
  <c r="B43"/>
  <c r="E43"/>
  <c r="K43"/>
  <c r="L43"/>
  <c r="M43"/>
  <c r="N43"/>
  <c r="O43"/>
  <c r="P43"/>
  <c r="AC43" s="1"/>
  <c r="Q43"/>
  <c r="R43"/>
  <c r="S43"/>
  <c r="T43"/>
  <c r="U43"/>
  <c r="V43"/>
  <c r="W43"/>
  <c r="X43"/>
  <c r="Y43"/>
  <c r="Z43"/>
  <c r="AA43"/>
  <c r="AB43"/>
  <c r="AI43"/>
  <c r="AJ43"/>
  <c r="AK43"/>
  <c r="AL43"/>
  <c r="AM43"/>
  <c r="AN43"/>
  <c r="AP43"/>
  <c r="AQ43"/>
  <c r="AS43"/>
  <c r="AT43"/>
  <c r="AV43"/>
  <c r="AW43"/>
  <c r="AX43"/>
  <c r="AY43"/>
  <c r="AZ43"/>
  <c r="BA43"/>
  <c r="BB43"/>
  <c r="BC43"/>
  <c r="BD43"/>
  <c r="BE43"/>
  <c r="BF43"/>
  <c r="BG43"/>
  <c r="BH43"/>
  <c r="BJ43"/>
  <c r="BK43"/>
  <c r="BM43"/>
  <c r="BN43"/>
  <c r="BO43"/>
  <c r="BP43"/>
  <c r="BR43"/>
  <c r="BS43"/>
  <c r="BT43"/>
  <c r="BU43"/>
  <c r="BQ43" s="1"/>
  <c r="BV43"/>
  <c r="BW43"/>
  <c r="BZ43"/>
  <c r="CA43"/>
  <c r="CB43"/>
  <c r="CD43"/>
  <c r="CM43"/>
  <c r="CN43"/>
  <c r="CO43"/>
  <c r="CP43"/>
  <c r="CQ43"/>
  <c r="CR43"/>
  <c r="CS43"/>
  <c r="CF43" s="1"/>
  <c r="CT43"/>
  <c r="CU43"/>
  <c r="CV43"/>
  <c r="CW43"/>
  <c r="CX43"/>
  <c r="CY43"/>
  <c r="CZ43"/>
  <c r="DA43"/>
  <c r="DB43"/>
  <c r="DC43"/>
  <c r="DD43"/>
  <c r="DE43"/>
  <c r="DF43"/>
  <c r="DG43"/>
  <c r="DH43"/>
  <c r="DI43"/>
  <c r="DJ43"/>
  <c r="DK43"/>
  <c r="DL43"/>
  <c r="DM43"/>
  <c r="DN43"/>
  <c r="DO43"/>
  <c r="DP43"/>
  <c r="DQ43"/>
  <c r="DR43"/>
  <c r="DS43"/>
  <c r="DT43"/>
  <c r="DZ43"/>
  <c r="EC43" s="1"/>
  <c r="EA43"/>
  <c r="EB43"/>
  <c r="EE43"/>
  <c r="EF43"/>
  <c r="DV43" s="1"/>
  <c r="EG43"/>
  <c r="DW43" s="1"/>
  <c r="EH43"/>
  <c r="DX43" s="1"/>
  <c r="EJ43"/>
  <c r="EK43"/>
  <c r="EL43"/>
  <c r="EM43"/>
  <c r="EN43"/>
  <c r="ES43"/>
  <c r="B44"/>
  <c r="E44"/>
  <c r="K44"/>
  <c r="L44"/>
  <c r="M44"/>
  <c r="N44"/>
  <c r="O44"/>
  <c r="P44"/>
  <c r="AC44" s="1"/>
  <c r="Q44"/>
  <c r="R44"/>
  <c r="S44"/>
  <c r="T44"/>
  <c r="U44"/>
  <c r="V44"/>
  <c r="W44"/>
  <c r="X44"/>
  <c r="Y44"/>
  <c r="Z44"/>
  <c r="AA44"/>
  <c r="AB44"/>
  <c r="AI44"/>
  <c r="AJ44"/>
  <c r="AK44"/>
  <c r="AL44"/>
  <c r="AM44"/>
  <c r="AN44"/>
  <c r="AP44"/>
  <c r="AQ44"/>
  <c r="AS44"/>
  <c r="AT44"/>
  <c r="AV44"/>
  <c r="AW44"/>
  <c r="AX44"/>
  <c r="AY44"/>
  <c r="AZ44"/>
  <c r="BA44"/>
  <c r="BB44"/>
  <c r="BC44"/>
  <c r="BD44"/>
  <c r="BE44"/>
  <c r="BF44"/>
  <c r="BG44"/>
  <c r="BH44"/>
  <c r="BJ44"/>
  <c r="BK44"/>
  <c r="BM44"/>
  <c r="BN44"/>
  <c r="BO44"/>
  <c r="BP44"/>
  <c r="BR44"/>
  <c r="BS44"/>
  <c r="BT44"/>
  <c r="BU44"/>
  <c r="BQ44" s="1"/>
  <c r="BV44"/>
  <c r="BW44"/>
  <c r="BZ44"/>
  <c r="CA44"/>
  <c r="CB44"/>
  <c r="CD44"/>
  <c r="CM44"/>
  <c r="CN44"/>
  <c r="CO44"/>
  <c r="CP44"/>
  <c r="CQ44"/>
  <c r="CR44"/>
  <c r="CS44"/>
  <c r="CF44" s="1"/>
  <c r="CT44"/>
  <c r="CU44"/>
  <c r="CV44"/>
  <c r="CW44"/>
  <c r="CX44"/>
  <c r="CY44"/>
  <c r="CZ44"/>
  <c r="DA44"/>
  <c r="DB44"/>
  <c r="DC44"/>
  <c r="DD44"/>
  <c r="DE44"/>
  <c r="DF44"/>
  <c r="DG44"/>
  <c r="DH44"/>
  <c r="DI44"/>
  <c r="DJ44"/>
  <c r="DK44"/>
  <c r="DL44"/>
  <c r="DM44"/>
  <c r="DN44"/>
  <c r="DO44"/>
  <c r="DP44"/>
  <c r="DQ44"/>
  <c r="DR44"/>
  <c r="DS44"/>
  <c r="DT44"/>
  <c r="DW44"/>
  <c r="DZ44"/>
  <c r="EA44"/>
  <c r="EC44" s="1"/>
  <c r="EB44"/>
  <c r="EE44"/>
  <c r="EF44"/>
  <c r="DV44" s="1"/>
  <c r="EG44"/>
  <c r="EH44"/>
  <c r="DX44" s="1"/>
  <c r="EJ44"/>
  <c r="EK44"/>
  <c r="EL44"/>
  <c r="EM44"/>
  <c r="EN44"/>
  <c r="ES44"/>
  <c r="B45"/>
  <c r="E45"/>
  <c r="K45"/>
  <c r="L45"/>
  <c r="M45"/>
  <c r="N45"/>
  <c r="O45"/>
  <c r="P45"/>
  <c r="AC45" s="1"/>
  <c r="Q45"/>
  <c r="R45"/>
  <c r="S45"/>
  <c r="T45"/>
  <c r="U45"/>
  <c r="V45"/>
  <c r="W45"/>
  <c r="X45"/>
  <c r="Y45"/>
  <c r="Z45"/>
  <c r="AA45"/>
  <c r="AB45"/>
  <c r="AI45"/>
  <c r="AJ45"/>
  <c r="AK45"/>
  <c r="AL45"/>
  <c r="AM45"/>
  <c r="AN45"/>
  <c r="AP45"/>
  <c r="AQ45"/>
  <c r="AS45"/>
  <c r="AT45"/>
  <c r="AV45"/>
  <c r="AW45"/>
  <c r="AX45"/>
  <c r="AY45"/>
  <c r="AZ45"/>
  <c r="BA45"/>
  <c r="BB45"/>
  <c r="BC45"/>
  <c r="BD45"/>
  <c r="BE45"/>
  <c r="BF45"/>
  <c r="BG45"/>
  <c r="BH45"/>
  <c r="BJ45"/>
  <c r="BK45"/>
  <c r="BM45"/>
  <c r="BN45"/>
  <c r="BO45"/>
  <c r="BP45"/>
  <c r="BR45"/>
  <c r="BS45"/>
  <c r="BT45"/>
  <c r="BU45"/>
  <c r="BQ45" s="1"/>
  <c r="BV45"/>
  <c r="BW45"/>
  <c r="BX45"/>
  <c r="BZ45"/>
  <c r="CA45"/>
  <c r="CB45"/>
  <c r="CD45"/>
  <c r="CM45"/>
  <c r="CN45"/>
  <c r="CO45"/>
  <c r="CP45"/>
  <c r="CQ45"/>
  <c r="CR45"/>
  <c r="CS45"/>
  <c r="CF45" s="1"/>
  <c r="CT45"/>
  <c r="CU45"/>
  <c r="CV45"/>
  <c r="CW45"/>
  <c r="CX45"/>
  <c r="CY45"/>
  <c r="CZ45"/>
  <c r="DA45"/>
  <c r="DB45"/>
  <c r="DC45"/>
  <c r="DD45"/>
  <c r="DE45"/>
  <c r="DF45"/>
  <c r="DG45"/>
  <c r="DH45"/>
  <c r="DI45"/>
  <c r="DJ45"/>
  <c r="DK45"/>
  <c r="DL45"/>
  <c r="DM45"/>
  <c r="DN45"/>
  <c r="DO45"/>
  <c r="DP45"/>
  <c r="DQ45"/>
  <c r="DR45"/>
  <c r="DS45"/>
  <c r="DT45"/>
  <c r="DZ45"/>
  <c r="EC45" s="1"/>
  <c r="EA45"/>
  <c r="EB45"/>
  <c r="EE45"/>
  <c r="EF45"/>
  <c r="DV45" s="1"/>
  <c r="EG45"/>
  <c r="DW45" s="1"/>
  <c r="EH45"/>
  <c r="DX45" s="1"/>
  <c r="EJ45"/>
  <c r="EK45"/>
  <c r="EL45"/>
  <c r="EM45"/>
  <c r="EN45"/>
  <c r="ES45"/>
  <c r="B46"/>
  <c r="E46"/>
  <c r="K46"/>
  <c r="L46"/>
  <c r="M46"/>
  <c r="N46"/>
  <c r="O46"/>
  <c r="P46"/>
  <c r="Q46"/>
  <c r="R46"/>
  <c r="S46"/>
  <c r="T46"/>
  <c r="U46"/>
  <c r="V46"/>
  <c r="W46"/>
  <c r="X46"/>
  <c r="Y46"/>
  <c r="Z46"/>
  <c r="AA46"/>
  <c r="AB46"/>
  <c r="AG46"/>
  <c r="AI46"/>
  <c r="AJ46"/>
  <c r="AK46"/>
  <c r="AL46"/>
  <c r="AM46"/>
  <c r="AN46"/>
  <c r="AP46"/>
  <c r="AQ46"/>
  <c r="AS46"/>
  <c r="AT46"/>
  <c r="AV46"/>
  <c r="AW46"/>
  <c r="AX46"/>
  <c r="AY46"/>
  <c r="AZ46"/>
  <c r="BA46"/>
  <c r="BB46"/>
  <c r="BC46"/>
  <c r="BD46"/>
  <c r="BE46"/>
  <c r="BF46"/>
  <c r="BG46"/>
  <c r="BH46"/>
  <c r="BJ46"/>
  <c r="BK46"/>
  <c r="BM46"/>
  <c r="BL46" s="1"/>
  <c r="BN46"/>
  <c r="BO46"/>
  <c r="BP46"/>
  <c r="BR46"/>
  <c r="BS46"/>
  <c r="BT46"/>
  <c r="BU46"/>
  <c r="BQ46" s="1"/>
  <c r="BV46"/>
  <c r="BY46" s="1"/>
  <c r="BW46"/>
  <c r="BX46"/>
  <c r="BZ46"/>
  <c r="CA46"/>
  <c r="CB46"/>
  <c r="CD46"/>
  <c r="CM46"/>
  <c r="CN46"/>
  <c r="CO46"/>
  <c r="CP46"/>
  <c r="CQ46"/>
  <c r="CR46"/>
  <c r="CS46"/>
  <c r="CF46" s="1"/>
  <c r="CT46"/>
  <c r="CU46"/>
  <c r="CV46"/>
  <c r="CW46"/>
  <c r="CX46"/>
  <c r="CY46"/>
  <c r="CZ46"/>
  <c r="DA46"/>
  <c r="DB46"/>
  <c r="DC46"/>
  <c r="DD46"/>
  <c r="DE46"/>
  <c r="DF46"/>
  <c r="DG46"/>
  <c r="DH46"/>
  <c r="DI46"/>
  <c r="DJ46"/>
  <c r="DK46"/>
  <c r="DL46"/>
  <c r="DM46"/>
  <c r="DN46"/>
  <c r="DO46"/>
  <c r="DP46"/>
  <c r="DQ46"/>
  <c r="DR46"/>
  <c r="DS46"/>
  <c r="DT46"/>
  <c r="DZ46"/>
  <c r="EA46"/>
  <c r="EB46"/>
  <c r="EE46"/>
  <c r="EF46"/>
  <c r="DV46" s="1"/>
  <c r="EG46"/>
  <c r="DW46" s="1"/>
  <c r="EH46"/>
  <c r="DX46" s="1"/>
  <c r="EJ46"/>
  <c r="EK46"/>
  <c r="EL46"/>
  <c r="EM46"/>
  <c r="EN46"/>
  <c r="ES46"/>
  <c r="B47"/>
  <c r="E47"/>
  <c r="K47"/>
  <c r="L47"/>
  <c r="M47"/>
  <c r="N47"/>
  <c r="O47"/>
  <c r="P47"/>
  <c r="Q47"/>
  <c r="AD47" s="1"/>
  <c r="R47"/>
  <c r="S47"/>
  <c r="AF47" s="1"/>
  <c r="T47"/>
  <c r="U47"/>
  <c r="V47"/>
  <c r="W47"/>
  <c r="X47"/>
  <c r="Y47"/>
  <c r="Z47"/>
  <c r="AA47"/>
  <c r="AH47" s="1"/>
  <c r="AB47"/>
  <c r="AC47"/>
  <c r="AI47"/>
  <c r="AJ47"/>
  <c r="AK47"/>
  <c r="AL47"/>
  <c r="AM47"/>
  <c r="AN47"/>
  <c r="AP47"/>
  <c r="AQ47"/>
  <c r="AS47"/>
  <c r="AT47"/>
  <c r="AV47"/>
  <c r="AW47"/>
  <c r="AX47"/>
  <c r="AY47"/>
  <c r="AZ47"/>
  <c r="BA47"/>
  <c r="BB47"/>
  <c r="BC47"/>
  <c r="BD47"/>
  <c r="BE47"/>
  <c r="BF47"/>
  <c r="BG47"/>
  <c r="BH47"/>
  <c r="BJ47"/>
  <c r="BK47"/>
  <c r="BM47"/>
  <c r="BN47"/>
  <c r="BO47"/>
  <c r="BP47"/>
  <c r="BR47"/>
  <c r="BS47"/>
  <c r="BT47"/>
  <c r="BU47"/>
  <c r="BQ47" s="1"/>
  <c r="BV47"/>
  <c r="BY47" s="1"/>
  <c r="BW47"/>
  <c r="BX47"/>
  <c r="BZ47"/>
  <c r="CA47"/>
  <c r="CB47"/>
  <c r="CD47"/>
  <c r="CM47"/>
  <c r="CN47"/>
  <c r="CO47"/>
  <c r="CP47"/>
  <c r="CQ47"/>
  <c r="CR47"/>
  <c r="CS47"/>
  <c r="CF47" s="1"/>
  <c r="CT47"/>
  <c r="CU47"/>
  <c r="CV47"/>
  <c r="CW47"/>
  <c r="CX47"/>
  <c r="CY47"/>
  <c r="CZ47"/>
  <c r="DA47"/>
  <c r="DB47"/>
  <c r="DC47"/>
  <c r="DD47"/>
  <c r="DE47"/>
  <c r="DF47"/>
  <c r="DG47"/>
  <c r="DH47"/>
  <c r="DI47"/>
  <c r="DJ47"/>
  <c r="DK47"/>
  <c r="DL47"/>
  <c r="DM47"/>
  <c r="DN47"/>
  <c r="DO47"/>
  <c r="DP47"/>
  <c r="DQ47"/>
  <c r="DR47"/>
  <c r="DU47" s="1"/>
  <c r="DS47"/>
  <c r="DT47"/>
  <c r="DZ47"/>
  <c r="EA47"/>
  <c r="EB47"/>
  <c r="EE47"/>
  <c r="EF47"/>
  <c r="EG47"/>
  <c r="DW47" s="1"/>
  <c r="EH47"/>
  <c r="DX47" s="1"/>
  <c r="EJ47"/>
  <c r="EK47"/>
  <c r="EL47"/>
  <c r="EM47"/>
  <c r="EN47"/>
  <c r="ES47"/>
  <c r="B48"/>
  <c r="E48"/>
  <c r="K48"/>
  <c r="L48"/>
  <c r="M48"/>
  <c r="N48"/>
  <c r="O48"/>
  <c r="P48"/>
  <c r="Q48"/>
  <c r="R48"/>
  <c r="S48"/>
  <c r="T48"/>
  <c r="U48"/>
  <c r="V48"/>
  <c r="W48"/>
  <c r="X48"/>
  <c r="Y48"/>
  <c r="Z48"/>
  <c r="AA48"/>
  <c r="AB48"/>
  <c r="AE48"/>
  <c r="AI48"/>
  <c r="AJ48"/>
  <c r="AK48"/>
  <c r="AL48"/>
  <c r="AM48"/>
  <c r="AN48"/>
  <c r="AP48"/>
  <c r="AQ48"/>
  <c r="AS48"/>
  <c r="AT48"/>
  <c r="AV48"/>
  <c r="AW48"/>
  <c r="AX48"/>
  <c r="AY48"/>
  <c r="AZ48"/>
  <c r="BA48"/>
  <c r="BB48"/>
  <c r="BC48"/>
  <c r="BD48"/>
  <c r="BE48"/>
  <c r="BF48"/>
  <c r="BG48"/>
  <c r="BH48"/>
  <c r="BJ48"/>
  <c r="BK48"/>
  <c r="BM48"/>
  <c r="BN48"/>
  <c r="BO48"/>
  <c r="BP48"/>
  <c r="BR48"/>
  <c r="BS48"/>
  <c r="BT48"/>
  <c r="BU48"/>
  <c r="BQ48" s="1"/>
  <c r="BV48"/>
  <c r="BY48" s="1"/>
  <c r="BW48"/>
  <c r="BX48"/>
  <c r="BZ48"/>
  <c r="CA48"/>
  <c r="CB48"/>
  <c r="CD48"/>
  <c r="CM48"/>
  <c r="CN48"/>
  <c r="CO48"/>
  <c r="CP48"/>
  <c r="CQ48"/>
  <c r="CR48"/>
  <c r="CS48"/>
  <c r="CG48" s="1"/>
  <c r="CT48"/>
  <c r="CU48"/>
  <c r="CV48"/>
  <c r="CW48"/>
  <c r="CX48"/>
  <c r="CY48"/>
  <c r="CZ48"/>
  <c r="DA48"/>
  <c r="DB48"/>
  <c r="DC48"/>
  <c r="DD48"/>
  <c r="DE48"/>
  <c r="DF48"/>
  <c r="DG48"/>
  <c r="DH48"/>
  <c r="DI48"/>
  <c r="DJ48"/>
  <c r="DK48"/>
  <c r="DL48"/>
  <c r="DM48"/>
  <c r="DN48"/>
  <c r="DO48"/>
  <c r="DP48"/>
  <c r="DQ48"/>
  <c r="DR48"/>
  <c r="DU48" s="1"/>
  <c r="DS48"/>
  <c r="DT48"/>
  <c r="DZ48"/>
  <c r="EA48"/>
  <c r="EB48"/>
  <c r="EE48"/>
  <c r="EF48"/>
  <c r="DV48" s="1"/>
  <c r="EG48"/>
  <c r="DW48" s="1"/>
  <c r="EH48"/>
  <c r="DX48" s="1"/>
  <c r="EJ48"/>
  <c r="EK48"/>
  <c r="EL48"/>
  <c r="EM48"/>
  <c r="EN48"/>
  <c r="ES48"/>
  <c r="B49"/>
  <c r="E49"/>
  <c r="K49"/>
  <c r="L49"/>
  <c r="M49"/>
  <c r="N49"/>
  <c r="O49"/>
  <c r="P49"/>
  <c r="Q49"/>
  <c r="R49"/>
  <c r="S49"/>
  <c r="T49"/>
  <c r="U49"/>
  <c r="V49"/>
  <c r="W49"/>
  <c r="X49"/>
  <c r="Y49"/>
  <c r="Z49"/>
  <c r="AA49"/>
  <c r="AB49"/>
  <c r="AH49"/>
  <c r="AI49"/>
  <c r="AJ49"/>
  <c r="AK49"/>
  <c r="AL49"/>
  <c r="AM49"/>
  <c r="AN49"/>
  <c r="AP49"/>
  <c r="AQ49"/>
  <c r="AS49"/>
  <c r="AT49"/>
  <c r="AV49"/>
  <c r="AW49"/>
  <c r="AX49"/>
  <c r="AY49"/>
  <c r="AZ49"/>
  <c r="BA49"/>
  <c r="BB49"/>
  <c r="BC49"/>
  <c r="BD49"/>
  <c r="BE49"/>
  <c r="BF49"/>
  <c r="BG49"/>
  <c r="BH49"/>
  <c r="BJ49"/>
  <c r="BK49"/>
  <c r="BL49"/>
  <c r="BM49"/>
  <c r="BN49"/>
  <c r="BO49"/>
  <c r="BP49"/>
  <c r="BR49"/>
  <c r="BS49"/>
  <c r="BT49"/>
  <c r="BU49"/>
  <c r="BQ49" s="1"/>
  <c r="BV49"/>
  <c r="BW49"/>
  <c r="BZ49"/>
  <c r="CA49"/>
  <c r="CB49"/>
  <c r="CD49"/>
  <c r="CM49"/>
  <c r="CN49"/>
  <c r="CO49"/>
  <c r="CP49"/>
  <c r="CQ49"/>
  <c r="CR49"/>
  <c r="CS49"/>
  <c r="CE49" s="1"/>
  <c r="CT49"/>
  <c r="CU49"/>
  <c r="CV49"/>
  <c r="CW49"/>
  <c r="CX49"/>
  <c r="CY49"/>
  <c r="CZ49"/>
  <c r="DA49"/>
  <c r="DB49"/>
  <c r="DC49"/>
  <c r="DD49"/>
  <c r="DE49"/>
  <c r="DF49"/>
  <c r="DG49"/>
  <c r="DH49"/>
  <c r="DI49"/>
  <c r="DJ49"/>
  <c r="DK49"/>
  <c r="DL49"/>
  <c r="DM49"/>
  <c r="DN49"/>
  <c r="DO49"/>
  <c r="DP49"/>
  <c r="DQ49"/>
  <c r="DR49"/>
  <c r="DS49"/>
  <c r="DT49"/>
  <c r="DZ49"/>
  <c r="EA49"/>
  <c r="EB49"/>
  <c r="EE49"/>
  <c r="EF49"/>
  <c r="DV49" s="1"/>
  <c r="EG49"/>
  <c r="DW49" s="1"/>
  <c r="EH49"/>
  <c r="DX49" s="1"/>
  <c r="EJ49"/>
  <c r="EK49"/>
  <c r="EL49"/>
  <c r="EM49"/>
  <c r="EN49"/>
  <c r="EO49"/>
  <c r="ES49"/>
  <c r="B50"/>
  <c r="E50"/>
  <c r="K50"/>
  <c r="L50"/>
  <c r="M50"/>
  <c r="N50"/>
  <c r="O50"/>
  <c r="P50"/>
  <c r="Q50"/>
  <c r="R50"/>
  <c r="S50"/>
  <c r="AF50" s="1"/>
  <c r="T50"/>
  <c r="U50"/>
  <c r="V50"/>
  <c r="W50"/>
  <c r="X50"/>
  <c r="Y50"/>
  <c r="Z50"/>
  <c r="AA50"/>
  <c r="AH50" s="1"/>
  <c r="AB50"/>
  <c r="AD50"/>
  <c r="AI50"/>
  <c r="AJ50"/>
  <c r="AK50"/>
  <c r="AL50"/>
  <c r="AM50"/>
  <c r="AN50"/>
  <c r="AP50"/>
  <c r="AQ50"/>
  <c r="AS50"/>
  <c r="AT50"/>
  <c r="AV50"/>
  <c r="AW50"/>
  <c r="AX50"/>
  <c r="AY50"/>
  <c r="AZ50"/>
  <c r="BA50"/>
  <c r="BB50"/>
  <c r="BC50"/>
  <c r="BD50"/>
  <c r="BE50"/>
  <c r="BF50"/>
  <c r="BG50"/>
  <c r="BH50"/>
  <c r="BJ50"/>
  <c r="BK50"/>
  <c r="BM50"/>
  <c r="BL50" s="1"/>
  <c r="BN50"/>
  <c r="BO50"/>
  <c r="BP50"/>
  <c r="BR50"/>
  <c r="BS50"/>
  <c r="BT50"/>
  <c r="BU50"/>
  <c r="BQ50" s="1"/>
  <c r="BV50"/>
  <c r="BW50"/>
  <c r="BX50"/>
  <c r="BZ50"/>
  <c r="CA50"/>
  <c r="CB50"/>
  <c r="CD50"/>
  <c r="CM50"/>
  <c r="CN50"/>
  <c r="CO50"/>
  <c r="CP50"/>
  <c r="CQ50"/>
  <c r="CR50"/>
  <c r="CS50"/>
  <c r="CE50" s="1"/>
  <c r="CT50"/>
  <c r="CU50"/>
  <c r="CV50"/>
  <c r="CW50"/>
  <c r="CX50"/>
  <c r="CY50"/>
  <c r="CZ50"/>
  <c r="DA50"/>
  <c r="DB50"/>
  <c r="DC50"/>
  <c r="DD50"/>
  <c r="DE50"/>
  <c r="DF50"/>
  <c r="DG50"/>
  <c r="DH50"/>
  <c r="DI50"/>
  <c r="DJ50"/>
  <c r="DK50"/>
  <c r="DL50"/>
  <c r="DM50"/>
  <c r="DN50"/>
  <c r="DO50"/>
  <c r="DP50"/>
  <c r="DQ50"/>
  <c r="DR50"/>
  <c r="DS50"/>
  <c r="DT50"/>
  <c r="DZ50"/>
  <c r="EA50"/>
  <c r="EB50"/>
  <c r="EE50"/>
  <c r="EF50"/>
  <c r="DV50" s="1"/>
  <c r="EG50"/>
  <c r="DW50" s="1"/>
  <c r="EH50"/>
  <c r="DX50" s="1"/>
  <c r="EJ50"/>
  <c r="EK50"/>
  <c r="EL50"/>
  <c r="EM50"/>
  <c r="EN50"/>
  <c r="ES50"/>
  <c r="B51"/>
  <c r="E51"/>
  <c r="K51"/>
  <c r="L51"/>
  <c r="M51"/>
  <c r="N51"/>
  <c r="O51"/>
  <c r="P51"/>
  <c r="Q51"/>
  <c r="R51"/>
  <c r="S51"/>
  <c r="T51"/>
  <c r="U51"/>
  <c r="V51"/>
  <c r="W51"/>
  <c r="X51"/>
  <c r="Y51"/>
  <c r="Z51"/>
  <c r="AA51"/>
  <c r="AB51"/>
  <c r="AH51"/>
  <c r="AI51"/>
  <c r="AJ51"/>
  <c r="AK51"/>
  <c r="AL51"/>
  <c r="AM51"/>
  <c r="AN51"/>
  <c r="AP51"/>
  <c r="AQ51"/>
  <c r="AS51"/>
  <c r="AT51"/>
  <c r="AV51"/>
  <c r="AW51"/>
  <c r="AX51"/>
  <c r="AY51"/>
  <c r="AZ51"/>
  <c r="BA51"/>
  <c r="BB51"/>
  <c r="BC51"/>
  <c r="BD51"/>
  <c r="BE51"/>
  <c r="BF51"/>
  <c r="BG51"/>
  <c r="BH51"/>
  <c r="BJ51"/>
  <c r="BK51"/>
  <c r="BL51"/>
  <c r="BM51"/>
  <c r="BN51"/>
  <c r="BO51"/>
  <c r="BP51"/>
  <c r="BR51"/>
  <c r="BS51"/>
  <c r="BT51"/>
  <c r="BU51"/>
  <c r="BQ51" s="1"/>
  <c r="BV51"/>
  <c r="BW51"/>
  <c r="BZ51"/>
  <c r="CA51"/>
  <c r="CB51"/>
  <c r="CD51"/>
  <c r="CM51"/>
  <c r="CN51"/>
  <c r="CO51"/>
  <c r="CP51"/>
  <c r="CQ51"/>
  <c r="CR51"/>
  <c r="CS51"/>
  <c r="CE51" s="1"/>
  <c r="CT51"/>
  <c r="CU51"/>
  <c r="CV51"/>
  <c r="CW51"/>
  <c r="CX51"/>
  <c r="CY51"/>
  <c r="CZ51"/>
  <c r="DA51"/>
  <c r="DB51"/>
  <c r="DC51"/>
  <c r="DD51"/>
  <c r="DE51"/>
  <c r="DF51"/>
  <c r="DG51"/>
  <c r="DH51"/>
  <c r="DI51"/>
  <c r="DJ51"/>
  <c r="DK51"/>
  <c r="DL51"/>
  <c r="DM51"/>
  <c r="DN51"/>
  <c r="DO51"/>
  <c r="DP51"/>
  <c r="DQ51"/>
  <c r="DR51"/>
  <c r="DS51"/>
  <c r="DT51"/>
  <c r="DZ51"/>
  <c r="EA51"/>
  <c r="EB51"/>
  <c r="EE51"/>
  <c r="EF51"/>
  <c r="DV51" s="1"/>
  <c r="EG51"/>
  <c r="DW51" s="1"/>
  <c r="EH51"/>
  <c r="DX51" s="1"/>
  <c r="EJ51"/>
  <c r="EK51"/>
  <c r="EL51"/>
  <c r="EM51"/>
  <c r="EN51"/>
  <c r="EO51"/>
  <c r="ES51"/>
  <c r="B52"/>
  <c r="E52"/>
  <c r="K52"/>
  <c r="L52"/>
  <c r="M52"/>
  <c r="N52"/>
  <c r="O52"/>
  <c r="P52"/>
  <c r="Q52"/>
  <c r="R52"/>
  <c r="S52"/>
  <c r="AF52" s="1"/>
  <c r="T52"/>
  <c r="U52"/>
  <c r="V52"/>
  <c r="W52"/>
  <c r="X52"/>
  <c r="Y52"/>
  <c r="Z52"/>
  <c r="AA52"/>
  <c r="AH52" s="1"/>
  <c r="AB52"/>
  <c r="AD52"/>
  <c r="AI52"/>
  <c r="AJ52"/>
  <c r="AK52"/>
  <c r="AL52"/>
  <c r="AM52"/>
  <c r="AN52"/>
  <c r="AP52"/>
  <c r="AQ52"/>
  <c r="AS52"/>
  <c r="AT52"/>
  <c r="AV52"/>
  <c r="AW52"/>
  <c r="AX52"/>
  <c r="AY52"/>
  <c r="AZ52"/>
  <c r="BA52"/>
  <c r="BB52"/>
  <c r="BC52"/>
  <c r="BD52"/>
  <c r="BE52"/>
  <c r="BF52"/>
  <c r="BG52"/>
  <c r="BH52"/>
  <c r="BJ52"/>
  <c r="BK52"/>
  <c r="BM52"/>
  <c r="BL52" s="1"/>
  <c r="BN52"/>
  <c r="BO52"/>
  <c r="BP52"/>
  <c r="BR52"/>
  <c r="BS52"/>
  <c r="BT52"/>
  <c r="BU52"/>
  <c r="BQ52" s="1"/>
  <c r="BV52"/>
  <c r="BW52"/>
  <c r="BX52"/>
  <c r="BZ52"/>
  <c r="CA52"/>
  <c r="CB52"/>
  <c r="CD52"/>
  <c r="CM52"/>
  <c r="CN52"/>
  <c r="CO52"/>
  <c r="CP52"/>
  <c r="CQ52"/>
  <c r="CR52"/>
  <c r="CS52"/>
  <c r="CE52" s="1"/>
  <c r="CT52"/>
  <c r="CU52"/>
  <c r="CV52"/>
  <c r="CW52"/>
  <c r="CX52"/>
  <c r="CY52"/>
  <c r="CZ52"/>
  <c r="DA52"/>
  <c r="DB52"/>
  <c r="DC52"/>
  <c r="DD52"/>
  <c r="DE52"/>
  <c r="DF52"/>
  <c r="DG52"/>
  <c r="DH52"/>
  <c r="DI52"/>
  <c r="DJ52"/>
  <c r="DK52"/>
  <c r="DL52"/>
  <c r="DM52"/>
  <c r="DN52"/>
  <c r="DO52"/>
  <c r="DP52"/>
  <c r="DQ52"/>
  <c r="DR52"/>
  <c r="DS52"/>
  <c r="DT52"/>
  <c r="DZ52"/>
  <c r="EA52"/>
  <c r="EB52"/>
  <c r="EE52"/>
  <c r="EF52"/>
  <c r="DV52" s="1"/>
  <c r="EG52"/>
  <c r="DW52" s="1"/>
  <c r="EH52"/>
  <c r="DX52" s="1"/>
  <c r="EJ52"/>
  <c r="EK52"/>
  <c r="EL52"/>
  <c r="EM52"/>
  <c r="EN52"/>
  <c r="ES52"/>
  <c r="B53"/>
  <c r="E53"/>
  <c r="K53"/>
  <c r="L53"/>
  <c r="M53"/>
  <c r="N53"/>
  <c r="O53"/>
  <c r="P53"/>
  <c r="Q53"/>
  <c r="R53"/>
  <c r="S53"/>
  <c r="T53"/>
  <c r="U53"/>
  <c r="V53"/>
  <c r="W53"/>
  <c r="X53"/>
  <c r="Y53"/>
  <c r="Z53"/>
  <c r="AA53"/>
  <c r="AB53"/>
  <c r="AH53"/>
  <c r="AI53"/>
  <c r="AJ53"/>
  <c r="AK53"/>
  <c r="AL53"/>
  <c r="AM53"/>
  <c r="AN53"/>
  <c r="AP53"/>
  <c r="AQ53"/>
  <c r="AS53"/>
  <c r="AT53"/>
  <c r="AV53"/>
  <c r="AW53"/>
  <c r="AX53"/>
  <c r="AY53"/>
  <c r="AZ53"/>
  <c r="BA53"/>
  <c r="BB53"/>
  <c r="BC53"/>
  <c r="BD53"/>
  <c r="BE53"/>
  <c r="BF53"/>
  <c r="BG53"/>
  <c r="BH53"/>
  <c r="BJ53"/>
  <c r="BK53"/>
  <c r="BL53"/>
  <c r="BM53"/>
  <c r="BN53"/>
  <c r="BO53"/>
  <c r="BP53"/>
  <c r="BR53"/>
  <c r="BS53"/>
  <c r="BT53"/>
  <c r="BU53"/>
  <c r="BQ53" s="1"/>
  <c r="BV53"/>
  <c r="BW53"/>
  <c r="BX53"/>
  <c r="BZ53"/>
  <c r="CA53"/>
  <c r="CB53"/>
  <c r="CD53"/>
  <c r="CM53"/>
  <c r="CN53"/>
  <c r="CO53"/>
  <c r="CP53"/>
  <c r="CQ53"/>
  <c r="CR53"/>
  <c r="CS53"/>
  <c r="CE53" s="1"/>
  <c r="CT53"/>
  <c r="CU53"/>
  <c r="CV53"/>
  <c r="CW53"/>
  <c r="CX53"/>
  <c r="CY53"/>
  <c r="CZ53"/>
  <c r="DA53"/>
  <c r="DB53"/>
  <c r="DC53"/>
  <c r="DD53"/>
  <c r="DE53"/>
  <c r="DF53"/>
  <c r="DG53"/>
  <c r="DH53"/>
  <c r="DI53"/>
  <c r="DJ53"/>
  <c r="DK53"/>
  <c r="DL53"/>
  <c r="DM53"/>
  <c r="DN53"/>
  <c r="DO53"/>
  <c r="DP53"/>
  <c r="DQ53"/>
  <c r="DR53"/>
  <c r="DS53"/>
  <c r="DT53"/>
  <c r="DZ53"/>
  <c r="EA53"/>
  <c r="EB53"/>
  <c r="EE53"/>
  <c r="EF53"/>
  <c r="DV53" s="1"/>
  <c r="EG53"/>
  <c r="DW53" s="1"/>
  <c r="EH53"/>
  <c r="DX53" s="1"/>
  <c r="EJ53"/>
  <c r="EK53"/>
  <c r="EL53"/>
  <c r="EM53"/>
  <c r="EN53"/>
  <c r="EO53"/>
  <c r="ES53"/>
  <c r="B54"/>
  <c r="E54"/>
  <c r="K54"/>
  <c r="L54"/>
  <c r="M54"/>
  <c r="N54"/>
  <c r="O54"/>
  <c r="P54"/>
  <c r="Q54"/>
  <c r="R54"/>
  <c r="S54"/>
  <c r="AF54" s="1"/>
  <c r="T54"/>
  <c r="U54"/>
  <c r="V54"/>
  <c r="W54"/>
  <c r="X54"/>
  <c r="Y54"/>
  <c r="Z54"/>
  <c r="AA54"/>
  <c r="AH54" s="1"/>
  <c r="AB54"/>
  <c r="AD54"/>
  <c r="AI54"/>
  <c r="AJ54"/>
  <c r="AK54"/>
  <c r="AL54"/>
  <c r="AM54"/>
  <c r="AN54"/>
  <c r="AP54"/>
  <c r="AQ54"/>
  <c r="AS54"/>
  <c r="AT54"/>
  <c r="AV54"/>
  <c r="AW54"/>
  <c r="AX54"/>
  <c r="AY54"/>
  <c r="AZ54"/>
  <c r="BA54"/>
  <c r="BB54"/>
  <c r="BC54"/>
  <c r="BD54"/>
  <c r="BE54"/>
  <c r="BF54"/>
  <c r="BG54"/>
  <c r="BH54"/>
  <c r="BJ54"/>
  <c r="BK54"/>
  <c r="BM54"/>
  <c r="BL54" s="1"/>
  <c r="BN54"/>
  <c r="BO54"/>
  <c r="BP54"/>
  <c r="BR54"/>
  <c r="BS54"/>
  <c r="BT54"/>
  <c r="BU54"/>
  <c r="BQ54" s="1"/>
  <c r="BV54"/>
  <c r="BW54"/>
  <c r="BX54"/>
  <c r="BZ54"/>
  <c r="CA54"/>
  <c r="CB54"/>
  <c r="CD54"/>
  <c r="CM54"/>
  <c r="CN54"/>
  <c r="CO54"/>
  <c r="CP54"/>
  <c r="CQ54"/>
  <c r="CR54"/>
  <c r="CS54"/>
  <c r="CE54" s="1"/>
  <c r="CT54"/>
  <c r="CU54"/>
  <c r="CV54"/>
  <c r="CW54"/>
  <c r="CX54"/>
  <c r="CY54"/>
  <c r="CZ54"/>
  <c r="DA54"/>
  <c r="DB54"/>
  <c r="DC54"/>
  <c r="DD54"/>
  <c r="DE54"/>
  <c r="DF54"/>
  <c r="DG54"/>
  <c r="DH54"/>
  <c r="DI54"/>
  <c r="DJ54"/>
  <c r="DK54"/>
  <c r="DL54"/>
  <c r="DM54"/>
  <c r="DN54"/>
  <c r="DO54"/>
  <c r="DP54"/>
  <c r="DQ54"/>
  <c r="DR54"/>
  <c r="DS54"/>
  <c r="DT54"/>
  <c r="DZ54"/>
  <c r="EA54"/>
  <c r="EB54"/>
  <c r="EE54"/>
  <c r="EF54"/>
  <c r="DV54" s="1"/>
  <c r="EG54"/>
  <c r="DW54" s="1"/>
  <c r="EH54"/>
  <c r="DX54" s="1"/>
  <c r="EJ54"/>
  <c r="EK54"/>
  <c r="EL54"/>
  <c r="EM54"/>
  <c r="EN54"/>
  <c r="ES54"/>
  <c r="B55"/>
  <c r="E55"/>
  <c r="K55"/>
  <c r="L55"/>
  <c r="M55"/>
  <c r="N55"/>
  <c r="O55"/>
  <c r="P55"/>
  <c r="Q55"/>
  <c r="R55"/>
  <c r="S55"/>
  <c r="T55"/>
  <c r="U55"/>
  <c r="V55"/>
  <c r="W55"/>
  <c r="X55"/>
  <c r="Y55"/>
  <c r="Z55"/>
  <c r="AA55"/>
  <c r="AB55"/>
  <c r="AH55"/>
  <c r="AI55"/>
  <c r="AJ55"/>
  <c r="AK55"/>
  <c r="AL55"/>
  <c r="AM55"/>
  <c r="AN55"/>
  <c r="AP55"/>
  <c r="AQ55"/>
  <c r="AS55"/>
  <c r="AT55"/>
  <c r="AV55"/>
  <c r="AW55"/>
  <c r="AX55"/>
  <c r="AY55"/>
  <c r="AZ55"/>
  <c r="BA55"/>
  <c r="BB55"/>
  <c r="BC55"/>
  <c r="BD55"/>
  <c r="BE55"/>
  <c r="BF55"/>
  <c r="BG55"/>
  <c r="BH55"/>
  <c r="BJ55"/>
  <c r="BK55"/>
  <c r="BL55"/>
  <c r="BM55"/>
  <c r="BN55"/>
  <c r="BO55"/>
  <c r="BP55"/>
  <c r="BR55"/>
  <c r="BS55"/>
  <c r="BT55"/>
  <c r="BU55"/>
  <c r="BQ55" s="1"/>
  <c r="BV55"/>
  <c r="BW55"/>
  <c r="BX55"/>
  <c r="BZ55"/>
  <c r="CA55"/>
  <c r="CB55"/>
  <c r="CD55"/>
  <c r="CM55"/>
  <c r="CN55"/>
  <c r="CO55"/>
  <c r="CP55"/>
  <c r="CQ55"/>
  <c r="CR55"/>
  <c r="CS55"/>
  <c r="CE55" s="1"/>
  <c r="CT55"/>
  <c r="CU55"/>
  <c r="CV55"/>
  <c r="CW55"/>
  <c r="CX55"/>
  <c r="CY55"/>
  <c r="CZ55"/>
  <c r="DA55"/>
  <c r="DB55"/>
  <c r="DC55"/>
  <c r="DD55"/>
  <c r="DE55"/>
  <c r="DF55"/>
  <c r="DG55"/>
  <c r="DH55"/>
  <c r="DI55"/>
  <c r="DJ55"/>
  <c r="DK55"/>
  <c r="DL55"/>
  <c r="DM55"/>
  <c r="DN55"/>
  <c r="DO55"/>
  <c r="DP55"/>
  <c r="DQ55"/>
  <c r="DR55"/>
  <c r="DS55"/>
  <c r="DT55"/>
  <c r="DZ55"/>
  <c r="EA55"/>
  <c r="EB55"/>
  <c r="EE55"/>
  <c r="EF55"/>
  <c r="DV55" s="1"/>
  <c r="EG55"/>
  <c r="DW55" s="1"/>
  <c r="EH55"/>
  <c r="DX55" s="1"/>
  <c r="EJ55"/>
  <c r="EK55"/>
  <c r="EL55"/>
  <c r="EM55"/>
  <c r="EN55"/>
  <c r="EO55"/>
  <c r="ES55"/>
  <c r="B56"/>
  <c r="E56"/>
  <c r="K56"/>
  <c r="L56"/>
  <c r="M56"/>
  <c r="N56"/>
  <c r="O56"/>
  <c r="P56"/>
  <c r="Q56"/>
  <c r="R56"/>
  <c r="S56"/>
  <c r="AF56" s="1"/>
  <c r="T56"/>
  <c r="U56"/>
  <c r="V56"/>
  <c r="W56"/>
  <c r="X56"/>
  <c r="Y56"/>
  <c r="Z56"/>
  <c r="AA56"/>
  <c r="AH56" s="1"/>
  <c r="AB56"/>
  <c r="AD56"/>
  <c r="AI56"/>
  <c r="AJ56"/>
  <c r="AK56"/>
  <c r="AL56"/>
  <c r="AM56"/>
  <c r="AN56"/>
  <c r="AP56"/>
  <c r="AQ56"/>
  <c r="AS56"/>
  <c r="AT56"/>
  <c r="AV56"/>
  <c r="AW56"/>
  <c r="AX56"/>
  <c r="AY56"/>
  <c r="AZ56"/>
  <c r="BA56"/>
  <c r="BB56"/>
  <c r="BC56"/>
  <c r="BD56"/>
  <c r="BE56"/>
  <c r="BF56"/>
  <c r="BG56"/>
  <c r="BH56"/>
  <c r="BJ56"/>
  <c r="BK56"/>
  <c r="BM56"/>
  <c r="BL56" s="1"/>
  <c r="BN56"/>
  <c r="BO56"/>
  <c r="BP56"/>
  <c r="BR56"/>
  <c r="BS56"/>
  <c r="BT56"/>
  <c r="BU56"/>
  <c r="BQ56" s="1"/>
  <c r="BV56"/>
  <c r="BW56"/>
  <c r="BX56"/>
  <c r="BZ56"/>
  <c r="CA56"/>
  <c r="CB56"/>
  <c r="CD56"/>
  <c r="CM56"/>
  <c r="CN56"/>
  <c r="CO56"/>
  <c r="CP56"/>
  <c r="CQ56"/>
  <c r="CR56"/>
  <c r="CS56"/>
  <c r="CE56" s="1"/>
  <c r="CT56"/>
  <c r="CU56"/>
  <c r="CV56"/>
  <c r="CW56"/>
  <c r="CX56"/>
  <c r="CY56"/>
  <c r="CZ56"/>
  <c r="DA56"/>
  <c r="DB56"/>
  <c r="DC56"/>
  <c r="DD56"/>
  <c r="DE56"/>
  <c r="DF56"/>
  <c r="DG56"/>
  <c r="DH56"/>
  <c r="DI56"/>
  <c r="DJ56"/>
  <c r="DK56"/>
  <c r="DL56"/>
  <c r="DM56"/>
  <c r="DN56"/>
  <c r="DO56"/>
  <c r="DP56"/>
  <c r="DQ56"/>
  <c r="DR56"/>
  <c r="DS56"/>
  <c r="DT56"/>
  <c r="DZ56"/>
  <c r="EA56"/>
  <c r="EB56"/>
  <c r="EE56"/>
  <c r="EF56"/>
  <c r="DV56" s="1"/>
  <c r="EG56"/>
  <c r="DW56" s="1"/>
  <c r="EH56"/>
  <c r="DX56" s="1"/>
  <c r="EJ56"/>
  <c r="EK56"/>
  <c r="EL56"/>
  <c r="EM56"/>
  <c r="EN56"/>
  <c r="ES56"/>
  <c r="B57"/>
  <c r="E57"/>
  <c r="K57"/>
  <c r="L57"/>
  <c r="M57"/>
  <c r="N57"/>
  <c r="O57"/>
  <c r="P57"/>
  <c r="Q57"/>
  <c r="R57"/>
  <c r="S57"/>
  <c r="T57"/>
  <c r="U57"/>
  <c r="V57"/>
  <c r="W57"/>
  <c r="X57"/>
  <c r="Y57"/>
  <c r="Z57"/>
  <c r="AA57"/>
  <c r="AB57"/>
  <c r="AH57"/>
  <c r="AI57"/>
  <c r="AJ57"/>
  <c r="AK57"/>
  <c r="AL57"/>
  <c r="AM57"/>
  <c r="AN57"/>
  <c r="AP57"/>
  <c r="AQ57"/>
  <c r="AS57"/>
  <c r="AT57"/>
  <c r="AV57"/>
  <c r="AW57"/>
  <c r="AX57"/>
  <c r="AY57"/>
  <c r="AZ57"/>
  <c r="BA57"/>
  <c r="BB57"/>
  <c r="BC57"/>
  <c r="BD57"/>
  <c r="BE57"/>
  <c r="BF57"/>
  <c r="BG57"/>
  <c r="BH57"/>
  <c r="BJ57"/>
  <c r="BK57"/>
  <c r="BL57"/>
  <c r="BM57"/>
  <c r="BN57"/>
  <c r="BO57"/>
  <c r="BP57"/>
  <c r="BR57"/>
  <c r="BS57"/>
  <c r="BT57"/>
  <c r="BU57"/>
  <c r="BQ57" s="1"/>
  <c r="BV57"/>
  <c r="BW57"/>
  <c r="BX57"/>
  <c r="BZ57"/>
  <c r="CA57"/>
  <c r="CB57"/>
  <c r="CD57"/>
  <c r="CM57"/>
  <c r="CN57"/>
  <c r="CO57"/>
  <c r="CP57"/>
  <c r="CQ57"/>
  <c r="CR57"/>
  <c r="CS57"/>
  <c r="CE57" s="1"/>
  <c r="CT57"/>
  <c r="CU57"/>
  <c r="CV57"/>
  <c r="CW57"/>
  <c r="CX57"/>
  <c r="CY57"/>
  <c r="CZ57"/>
  <c r="DA57"/>
  <c r="DB57"/>
  <c r="DC57"/>
  <c r="DD57"/>
  <c r="DE57"/>
  <c r="DF57"/>
  <c r="DG57"/>
  <c r="DH57"/>
  <c r="DI57"/>
  <c r="DJ57"/>
  <c r="DK57"/>
  <c r="DL57"/>
  <c r="DM57"/>
  <c r="DN57"/>
  <c r="DO57"/>
  <c r="DP57"/>
  <c r="DQ57"/>
  <c r="DR57"/>
  <c r="DS57"/>
  <c r="DT57"/>
  <c r="DZ57"/>
  <c r="EA57"/>
  <c r="EB57"/>
  <c r="EE57"/>
  <c r="EF57"/>
  <c r="DV57" s="1"/>
  <c r="EG57"/>
  <c r="DW57" s="1"/>
  <c r="EH57"/>
  <c r="DX57" s="1"/>
  <c r="EJ57"/>
  <c r="EK57"/>
  <c r="EL57"/>
  <c r="EM57"/>
  <c r="EN57"/>
  <c r="EO57"/>
  <c r="ES57"/>
  <c r="B58"/>
  <c r="E58"/>
  <c r="K58"/>
  <c r="L58"/>
  <c r="M58"/>
  <c r="N58"/>
  <c r="O58"/>
  <c r="P58"/>
  <c r="Q58"/>
  <c r="R58"/>
  <c r="S58"/>
  <c r="AF58" s="1"/>
  <c r="T58"/>
  <c r="U58"/>
  <c r="V58"/>
  <c r="W58"/>
  <c r="X58"/>
  <c r="Y58"/>
  <c r="Z58"/>
  <c r="AA58"/>
  <c r="AH58" s="1"/>
  <c r="AB58"/>
  <c r="AD58"/>
  <c r="AI58"/>
  <c r="AJ58"/>
  <c r="AK58"/>
  <c r="AL58"/>
  <c r="AM58"/>
  <c r="AN58"/>
  <c r="AP58"/>
  <c r="AQ58"/>
  <c r="AS58"/>
  <c r="AT58"/>
  <c r="AV58"/>
  <c r="AW58"/>
  <c r="AX58"/>
  <c r="AY58"/>
  <c r="AZ58"/>
  <c r="BA58"/>
  <c r="BB58"/>
  <c r="BC58"/>
  <c r="BD58"/>
  <c r="BE58"/>
  <c r="BF58"/>
  <c r="BG58"/>
  <c r="BH58"/>
  <c r="BJ58"/>
  <c r="BK58"/>
  <c r="BM58"/>
  <c r="BL58" s="1"/>
  <c r="BN58"/>
  <c r="BO58"/>
  <c r="BP58"/>
  <c r="BR58"/>
  <c r="BS58"/>
  <c r="BT58"/>
  <c r="BU58"/>
  <c r="BQ58" s="1"/>
  <c r="BV58"/>
  <c r="BW58"/>
  <c r="BX58"/>
  <c r="BZ58"/>
  <c r="CA58"/>
  <c r="CB58"/>
  <c r="CD58"/>
  <c r="CM58"/>
  <c r="CN58"/>
  <c r="CO58"/>
  <c r="CP58"/>
  <c r="CQ58"/>
  <c r="CR58"/>
  <c r="CS58"/>
  <c r="CE58" s="1"/>
  <c r="CT58"/>
  <c r="CU58"/>
  <c r="CV58"/>
  <c r="CW58"/>
  <c r="CX58"/>
  <c r="CY58"/>
  <c r="CZ58"/>
  <c r="DA58"/>
  <c r="DB58"/>
  <c r="DC58"/>
  <c r="DD58"/>
  <c r="DE58"/>
  <c r="DF58"/>
  <c r="DG58"/>
  <c r="DH58"/>
  <c r="DI58"/>
  <c r="DJ58"/>
  <c r="DK58"/>
  <c r="DL58"/>
  <c r="DM58"/>
  <c r="DN58"/>
  <c r="DO58"/>
  <c r="DP58"/>
  <c r="DQ58"/>
  <c r="DR58"/>
  <c r="DS58"/>
  <c r="DT58"/>
  <c r="DZ58"/>
  <c r="EA58"/>
  <c r="EB58"/>
  <c r="EE58"/>
  <c r="EF58"/>
  <c r="DV58" s="1"/>
  <c r="EG58"/>
  <c r="DW58" s="1"/>
  <c r="EH58"/>
  <c r="DX58" s="1"/>
  <c r="EJ58"/>
  <c r="EK58"/>
  <c r="EL58"/>
  <c r="EM58"/>
  <c r="EN58"/>
  <c r="ES58"/>
  <c r="B59"/>
  <c r="E59"/>
  <c r="K59"/>
  <c r="L59"/>
  <c r="M59"/>
  <c r="N59"/>
  <c r="O59"/>
  <c r="P59"/>
  <c r="Q59"/>
  <c r="R59"/>
  <c r="S59"/>
  <c r="T59"/>
  <c r="U59"/>
  <c r="V59"/>
  <c r="W59"/>
  <c r="X59"/>
  <c r="Y59"/>
  <c r="Z59"/>
  <c r="AA59"/>
  <c r="AH59" s="1"/>
  <c r="AB59"/>
  <c r="AI59"/>
  <c r="AJ59"/>
  <c r="AK59"/>
  <c r="AL59"/>
  <c r="AM59"/>
  <c r="AN59"/>
  <c r="AP59"/>
  <c r="AQ59"/>
  <c r="AS59"/>
  <c r="AT59"/>
  <c r="AV59"/>
  <c r="AW59"/>
  <c r="AX59"/>
  <c r="AY59"/>
  <c r="AZ59"/>
  <c r="BA59"/>
  <c r="BB59"/>
  <c r="BC59"/>
  <c r="BD59"/>
  <c r="BE59"/>
  <c r="BF59"/>
  <c r="BG59"/>
  <c r="BH59"/>
  <c r="BJ59"/>
  <c r="BK59"/>
  <c r="BL59"/>
  <c r="BM59"/>
  <c r="BN59"/>
  <c r="BO59"/>
  <c r="BP59"/>
  <c r="BR59"/>
  <c r="BS59"/>
  <c r="BT59"/>
  <c r="BU59"/>
  <c r="BQ59" s="1"/>
  <c r="BV59"/>
  <c r="BW59"/>
  <c r="BX59"/>
  <c r="BZ59"/>
  <c r="CA59"/>
  <c r="CB59"/>
  <c r="CD59"/>
  <c r="CM59"/>
  <c r="CN59"/>
  <c r="CO59"/>
  <c r="CP59"/>
  <c r="CQ59"/>
  <c r="CR59"/>
  <c r="CS59"/>
  <c r="CE59" s="1"/>
  <c r="CT59"/>
  <c r="CU59"/>
  <c r="CV59"/>
  <c r="CW59"/>
  <c r="CX59"/>
  <c r="CY59"/>
  <c r="CZ59"/>
  <c r="DA59"/>
  <c r="DB59"/>
  <c r="DC59"/>
  <c r="DD59"/>
  <c r="DE59"/>
  <c r="DF59"/>
  <c r="DG59"/>
  <c r="DH59"/>
  <c r="DI59"/>
  <c r="DJ59"/>
  <c r="DK59"/>
  <c r="DL59"/>
  <c r="DM59"/>
  <c r="DN59"/>
  <c r="DO59"/>
  <c r="DP59"/>
  <c r="DQ59"/>
  <c r="DR59"/>
  <c r="DS59"/>
  <c r="DT59"/>
  <c r="DZ59"/>
  <c r="EA59"/>
  <c r="EB59"/>
  <c r="EE59"/>
  <c r="EF59"/>
  <c r="DV59" s="1"/>
  <c r="EG59"/>
  <c r="DW59" s="1"/>
  <c r="EH59"/>
  <c r="DX59" s="1"/>
  <c r="EJ59"/>
  <c r="EK59"/>
  <c r="EL59"/>
  <c r="EM59"/>
  <c r="EN59"/>
  <c r="EO59"/>
  <c r="ES59"/>
  <c r="B60"/>
  <c r="E60"/>
  <c r="K60"/>
  <c r="L60"/>
  <c r="M60"/>
  <c r="N60"/>
  <c r="O60"/>
  <c r="P60"/>
  <c r="Q60"/>
  <c r="R60"/>
  <c r="S60"/>
  <c r="AF60" s="1"/>
  <c r="T60"/>
  <c r="U60"/>
  <c r="V60"/>
  <c r="W60"/>
  <c r="X60"/>
  <c r="Y60"/>
  <c r="Z60"/>
  <c r="AA60"/>
  <c r="AH60" s="1"/>
  <c r="AB60"/>
  <c r="AD60"/>
  <c r="AI60"/>
  <c r="AJ60"/>
  <c r="AK60"/>
  <c r="AL60"/>
  <c r="AM60"/>
  <c r="AN60"/>
  <c r="AP60"/>
  <c r="AQ60"/>
  <c r="AS60"/>
  <c r="AT60"/>
  <c r="AV60"/>
  <c r="AW60"/>
  <c r="AX60"/>
  <c r="AY60"/>
  <c r="AZ60"/>
  <c r="BA60"/>
  <c r="BB60"/>
  <c r="BC60"/>
  <c r="BD60"/>
  <c r="BE60"/>
  <c r="BF60"/>
  <c r="BG60"/>
  <c r="BH60"/>
  <c r="BJ60"/>
  <c r="BK60"/>
  <c r="BM60"/>
  <c r="BL60" s="1"/>
  <c r="BN60"/>
  <c r="BO60"/>
  <c r="BP60"/>
  <c r="BR60"/>
  <c r="BS60"/>
  <c r="BT60"/>
  <c r="BU60"/>
  <c r="BQ60" s="1"/>
  <c r="BV60"/>
  <c r="BW60"/>
  <c r="BX60"/>
  <c r="BZ60"/>
  <c r="CA60"/>
  <c r="CB60"/>
  <c r="CD60"/>
  <c r="CM60"/>
  <c r="CN60"/>
  <c r="CO60"/>
  <c r="CP60"/>
  <c r="CQ60"/>
  <c r="CR60"/>
  <c r="CS60"/>
  <c r="CE60" s="1"/>
  <c r="CT60"/>
  <c r="CU60"/>
  <c r="CV60"/>
  <c r="CW60"/>
  <c r="CX60"/>
  <c r="CY60"/>
  <c r="CZ60"/>
  <c r="DA60"/>
  <c r="DB60"/>
  <c r="DC60"/>
  <c r="DD60"/>
  <c r="DE60"/>
  <c r="DF60"/>
  <c r="DG60"/>
  <c r="DH60"/>
  <c r="DI60"/>
  <c r="DJ60"/>
  <c r="DK60"/>
  <c r="DL60"/>
  <c r="DM60"/>
  <c r="DN60"/>
  <c r="DO60"/>
  <c r="DP60"/>
  <c r="DQ60"/>
  <c r="DR60"/>
  <c r="DS60"/>
  <c r="DT60"/>
  <c r="DZ60"/>
  <c r="EA60"/>
  <c r="EB60"/>
  <c r="EE60"/>
  <c r="EF60"/>
  <c r="DV60" s="1"/>
  <c r="EG60"/>
  <c r="DW60" s="1"/>
  <c r="EH60"/>
  <c r="DX60" s="1"/>
  <c r="EJ60"/>
  <c r="EK60"/>
  <c r="EL60"/>
  <c r="EM60"/>
  <c r="EN60"/>
  <c r="ES60"/>
  <c r="B61"/>
  <c r="E61"/>
  <c r="K61"/>
  <c r="L61"/>
  <c r="M61"/>
  <c r="N61"/>
  <c r="O61"/>
  <c r="P61"/>
  <c r="Q61"/>
  <c r="R61"/>
  <c r="S61"/>
  <c r="T61"/>
  <c r="U61"/>
  <c r="V61"/>
  <c r="W61"/>
  <c r="X61"/>
  <c r="Y61"/>
  <c r="Z61"/>
  <c r="AA61"/>
  <c r="AB61"/>
  <c r="AH61"/>
  <c r="AI61"/>
  <c r="AJ61"/>
  <c r="AK61"/>
  <c r="AL61"/>
  <c r="AM61"/>
  <c r="AN61"/>
  <c r="AP61"/>
  <c r="AQ61"/>
  <c r="AS61"/>
  <c r="AT61"/>
  <c r="AV61"/>
  <c r="AW61"/>
  <c r="AX61"/>
  <c r="AY61"/>
  <c r="AZ61"/>
  <c r="BA61"/>
  <c r="BB61"/>
  <c r="BC61"/>
  <c r="BD61"/>
  <c r="BE61"/>
  <c r="BF61"/>
  <c r="BG61"/>
  <c r="BH61"/>
  <c r="BJ61"/>
  <c r="BK61"/>
  <c r="BL61"/>
  <c r="BM61"/>
  <c r="BN61"/>
  <c r="BO61"/>
  <c r="BP61"/>
  <c r="BR61"/>
  <c r="BS61"/>
  <c r="BT61"/>
  <c r="BU61"/>
  <c r="BQ61" s="1"/>
  <c r="BV61"/>
  <c r="BW61"/>
  <c r="BX61"/>
  <c r="BZ61"/>
  <c r="CA61"/>
  <c r="CB61"/>
  <c r="CD61"/>
  <c r="CM61"/>
  <c r="CN61"/>
  <c r="CO61"/>
  <c r="CP61"/>
  <c r="CQ61"/>
  <c r="CR61"/>
  <c r="CS61"/>
  <c r="CE61" s="1"/>
  <c r="CT61"/>
  <c r="CU61"/>
  <c r="CV61"/>
  <c r="CW61"/>
  <c r="CX61"/>
  <c r="CY61"/>
  <c r="CZ61"/>
  <c r="DA61"/>
  <c r="DB61"/>
  <c r="DC61"/>
  <c r="DD61"/>
  <c r="DE61"/>
  <c r="DF61"/>
  <c r="DG61"/>
  <c r="DH61"/>
  <c r="DI61"/>
  <c r="DJ61"/>
  <c r="DK61"/>
  <c r="DL61"/>
  <c r="DM61"/>
  <c r="DN61"/>
  <c r="DO61"/>
  <c r="DP61"/>
  <c r="DQ61"/>
  <c r="DR61"/>
  <c r="DS61"/>
  <c r="DT61"/>
  <c r="DZ61"/>
  <c r="EA61"/>
  <c r="EB61"/>
  <c r="EE61"/>
  <c r="EF61"/>
  <c r="DV61" s="1"/>
  <c r="EG61"/>
  <c r="DW61" s="1"/>
  <c r="EH61"/>
  <c r="DX61" s="1"/>
  <c r="EJ61"/>
  <c r="EK61"/>
  <c r="EL61"/>
  <c r="EM61"/>
  <c r="EN61"/>
  <c r="EO61"/>
  <c r="ES61"/>
  <c r="B62"/>
  <c r="E62"/>
  <c r="K62"/>
  <c r="L62"/>
  <c r="M62"/>
  <c r="N62"/>
  <c r="O62"/>
  <c r="P62"/>
  <c r="Q62"/>
  <c r="R62"/>
  <c r="S62"/>
  <c r="AF62" s="1"/>
  <c r="T62"/>
  <c r="U62"/>
  <c r="V62"/>
  <c r="W62"/>
  <c r="X62"/>
  <c r="Y62"/>
  <c r="Z62"/>
  <c r="AA62"/>
  <c r="AH62" s="1"/>
  <c r="AB62"/>
  <c r="AD62"/>
  <c r="AI62"/>
  <c r="AJ62"/>
  <c r="AK62"/>
  <c r="AL62"/>
  <c r="AM62"/>
  <c r="AN62"/>
  <c r="AP62"/>
  <c r="AQ62"/>
  <c r="AS62"/>
  <c r="AT62"/>
  <c r="AV62"/>
  <c r="AW62"/>
  <c r="AX62"/>
  <c r="AY62"/>
  <c r="AZ62"/>
  <c r="BA62"/>
  <c r="BB62"/>
  <c r="BC62"/>
  <c r="BD62"/>
  <c r="BE62"/>
  <c r="BF62"/>
  <c r="BG62"/>
  <c r="BH62"/>
  <c r="BJ62"/>
  <c r="BK62"/>
  <c r="BM62"/>
  <c r="BL62" s="1"/>
  <c r="BN62"/>
  <c r="BO62"/>
  <c r="BP62"/>
  <c r="BR62"/>
  <c r="BS62"/>
  <c r="BT62"/>
  <c r="BU62"/>
  <c r="BQ62" s="1"/>
  <c r="BV62"/>
  <c r="BW62"/>
  <c r="BX62"/>
  <c r="BZ62"/>
  <c r="CA62"/>
  <c r="CB62"/>
  <c r="CD62"/>
  <c r="CM62"/>
  <c r="CN62"/>
  <c r="CO62"/>
  <c r="CP62"/>
  <c r="CQ62"/>
  <c r="CR62"/>
  <c r="CS62"/>
  <c r="CE62" s="1"/>
  <c r="CT62"/>
  <c r="CU62"/>
  <c r="CV62"/>
  <c r="CW62"/>
  <c r="CX62"/>
  <c r="CY62"/>
  <c r="CZ62"/>
  <c r="DA62"/>
  <c r="DB62"/>
  <c r="DC62"/>
  <c r="DD62"/>
  <c r="DE62"/>
  <c r="DF62"/>
  <c r="DG62"/>
  <c r="DH62"/>
  <c r="DI62"/>
  <c r="DJ62"/>
  <c r="DK62"/>
  <c r="DL62"/>
  <c r="DM62"/>
  <c r="DN62"/>
  <c r="DO62"/>
  <c r="DP62"/>
  <c r="DQ62"/>
  <c r="DR62"/>
  <c r="DS62"/>
  <c r="DT62"/>
  <c r="DZ62"/>
  <c r="EA62"/>
  <c r="EB62"/>
  <c r="EE62"/>
  <c r="EF62"/>
  <c r="DV62" s="1"/>
  <c r="EG62"/>
  <c r="DW62" s="1"/>
  <c r="EH62"/>
  <c r="DX62" s="1"/>
  <c r="EJ62"/>
  <c r="EK62"/>
  <c r="EL62"/>
  <c r="EM62"/>
  <c r="EN62"/>
  <c r="ES62"/>
  <c r="B63"/>
  <c r="E63"/>
  <c r="K63"/>
  <c r="L63"/>
  <c r="M63"/>
  <c r="N63"/>
  <c r="O63"/>
  <c r="P63"/>
  <c r="Q63"/>
  <c r="R63"/>
  <c r="S63"/>
  <c r="T63"/>
  <c r="U63"/>
  <c r="V63"/>
  <c r="W63"/>
  <c r="X63"/>
  <c r="Y63"/>
  <c r="Z63"/>
  <c r="AA63"/>
  <c r="AB63"/>
  <c r="AH63"/>
  <c r="AI63"/>
  <c r="AJ63"/>
  <c r="AK63"/>
  <c r="AL63"/>
  <c r="AM63"/>
  <c r="AN63"/>
  <c r="AP63"/>
  <c r="AQ63"/>
  <c r="AS63"/>
  <c r="AT63"/>
  <c r="AV63"/>
  <c r="AW63"/>
  <c r="AX63"/>
  <c r="AY63"/>
  <c r="AZ63"/>
  <c r="BA63"/>
  <c r="BB63"/>
  <c r="BC63"/>
  <c r="BD63"/>
  <c r="BE63"/>
  <c r="BF63"/>
  <c r="BG63"/>
  <c r="BH63"/>
  <c r="BJ63"/>
  <c r="BK63"/>
  <c r="BL63"/>
  <c r="BM63"/>
  <c r="BN63"/>
  <c r="BO63"/>
  <c r="BP63"/>
  <c r="BR63"/>
  <c r="BS63"/>
  <c r="BT63"/>
  <c r="BU63"/>
  <c r="BQ63" s="1"/>
  <c r="BV63"/>
  <c r="BW63"/>
  <c r="BX63"/>
  <c r="BZ63"/>
  <c r="CA63"/>
  <c r="CB63"/>
  <c r="CD63"/>
  <c r="CM63"/>
  <c r="CN63"/>
  <c r="CO63"/>
  <c r="CP63"/>
  <c r="CQ63"/>
  <c r="CR63"/>
  <c r="CS63"/>
  <c r="CE63" s="1"/>
  <c r="CT63"/>
  <c r="CU63"/>
  <c r="CV63"/>
  <c r="CW63"/>
  <c r="CX63"/>
  <c r="CY63"/>
  <c r="CZ63"/>
  <c r="DA63"/>
  <c r="DB63"/>
  <c r="DC63"/>
  <c r="DD63"/>
  <c r="DE63"/>
  <c r="DF63"/>
  <c r="DG63"/>
  <c r="DH63"/>
  <c r="DI63"/>
  <c r="DJ63"/>
  <c r="DK63"/>
  <c r="DL63"/>
  <c r="DM63"/>
  <c r="DN63"/>
  <c r="DO63"/>
  <c r="DP63"/>
  <c r="DQ63"/>
  <c r="DR63"/>
  <c r="DS63"/>
  <c r="DT63"/>
  <c r="DZ63"/>
  <c r="EA63"/>
  <c r="EB63"/>
  <c r="EE63"/>
  <c r="EF63"/>
  <c r="DV63" s="1"/>
  <c r="EG63"/>
  <c r="DW63" s="1"/>
  <c r="EH63"/>
  <c r="DX63" s="1"/>
  <c r="EJ63"/>
  <c r="EK63"/>
  <c r="EL63"/>
  <c r="EM63"/>
  <c r="EN63"/>
  <c r="EO63"/>
  <c r="ES63"/>
  <c r="B64"/>
  <c r="E64"/>
  <c r="K64"/>
  <c r="L64"/>
  <c r="M64"/>
  <c r="N64"/>
  <c r="O64"/>
  <c r="AG64" s="1"/>
  <c r="P64"/>
  <c r="Q64"/>
  <c r="AD64" s="1"/>
  <c r="R64"/>
  <c r="S64"/>
  <c r="AF64" s="1"/>
  <c r="T64"/>
  <c r="U64"/>
  <c r="V64"/>
  <c r="W64"/>
  <c r="X64"/>
  <c r="Y64"/>
  <c r="Z64"/>
  <c r="AA64"/>
  <c r="AH64" s="1"/>
  <c r="AB64"/>
  <c r="AC64"/>
  <c r="AI64"/>
  <c r="AJ64"/>
  <c r="AK64"/>
  <c r="AL64"/>
  <c r="AM64"/>
  <c r="AN64"/>
  <c r="AP64"/>
  <c r="AQ64"/>
  <c r="AS64"/>
  <c r="AT64"/>
  <c r="AV64"/>
  <c r="AW64"/>
  <c r="AX64"/>
  <c r="AY64"/>
  <c r="AZ64"/>
  <c r="BA64"/>
  <c r="BB64"/>
  <c r="BC64"/>
  <c r="BD64"/>
  <c r="BE64"/>
  <c r="BF64"/>
  <c r="BG64"/>
  <c r="BH64"/>
  <c r="BJ64"/>
  <c r="BK64"/>
  <c r="BM64"/>
  <c r="BN64"/>
  <c r="BO64"/>
  <c r="BP64"/>
  <c r="BR64"/>
  <c r="BS64"/>
  <c r="BT64"/>
  <c r="BU64"/>
  <c r="BQ64" s="1"/>
  <c r="BV64"/>
  <c r="BW64"/>
  <c r="BX64"/>
  <c r="BZ64"/>
  <c r="CA64"/>
  <c r="CB64"/>
  <c r="CD64"/>
  <c r="CL64"/>
  <c r="CM64"/>
  <c r="CN64"/>
  <c r="CO64"/>
  <c r="CP64"/>
  <c r="CQ64"/>
  <c r="CR64"/>
  <c r="CS64"/>
  <c r="CE64" s="1"/>
  <c r="CT64"/>
  <c r="CU64"/>
  <c r="CV64"/>
  <c r="CW64"/>
  <c r="CX64"/>
  <c r="CY64"/>
  <c r="CZ64"/>
  <c r="DA64"/>
  <c r="DB64"/>
  <c r="DC64"/>
  <c r="DD64"/>
  <c r="DE64"/>
  <c r="DF64"/>
  <c r="DG64"/>
  <c r="DH64"/>
  <c r="DI64"/>
  <c r="DJ64"/>
  <c r="DK64"/>
  <c r="DL64"/>
  <c r="DM64"/>
  <c r="DN64"/>
  <c r="DO64"/>
  <c r="DP64"/>
  <c r="DQ64"/>
  <c r="DR64"/>
  <c r="DS64"/>
  <c r="DT64"/>
  <c r="DZ64"/>
  <c r="EA64"/>
  <c r="EB64"/>
  <c r="EE64"/>
  <c r="EF64"/>
  <c r="DV64" s="1"/>
  <c r="EG64"/>
  <c r="DW64" s="1"/>
  <c r="EH64"/>
  <c r="DX64" s="1"/>
  <c r="EJ64"/>
  <c r="EK64"/>
  <c r="EL64"/>
  <c r="EM64"/>
  <c r="EN64"/>
  <c r="ES64"/>
  <c r="B65"/>
  <c r="E65"/>
  <c r="K65"/>
  <c r="L65"/>
  <c r="M65"/>
  <c r="N65"/>
  <c r="O65"/>
  <c r="P65"/>
  <c r="Q65"/>
  <c r="R65"/>
  <c r="S65"/>
  <c r="T65"/>
  <c r="U65"/>
  <c r="V65"/>
  <c r="W65"/>
  <c r="X65"/>
  <c r="Y65"/>
  <c r="Z65"/>
  <c r="AA65"/>
  <c r="AB65"/>
  <c r="AF65"/>
  <c r="AI65"/>
  <c r="AJ65"/>
  <c r="AK65"/>
  <c r="AL65"/>
  <c r="AM65"/>
  <c r="AN65"/>
  <c r="AP65"/>
  <c r="AQ65"/>
  <c r="AS65"/>
  <c r="AT65"/>
  <c r="AV65"/>
  <c r="AW65"/>
  <c r="AX65"/>
  <c r="AY65"/>
  <c r="AZ65"/>
  <c r="BA65"/>
  <c r="BB65"/>
  <c r="BC65"/>
  <c r="BD65"/>
  <c r="BE65"/>
  <c r="BF65"/>
  <c r="BG65"/>
  <c r="BH65"/>
  <c r="BJ65"/>
  <c r="BK65"/>
  <c r="BM65"/>
  <c r="BL65" s="1"/>
  <c r="BN65"/>
  <c r="BO65"/>
  <c r="BP65"/>
  <c r="BR65"/>
  <c r="BS65"/>
  <c r="BT65"/>
  <c r="BU65"/>
  <c r="BQ65" s="1"/>
  <c r="BV65"/>
  <c r="BW65"/>
  <c r="BX65"/>
  <c r="BZ65"/>
  <c r="CA65"/>
  <c r="CB65"/>
  <c r="CD65"/>
  <c r="CM65"/>
  <c r="CN65"/>
  <c r="CO65"/>
  <c r="CP65"/>
  <c r="CQ65"/>
  <c r="CR65"/>
  <c r="CS65"/>
  <c r="CF65" s="1"/>
  <c r="CT65"/>
  <c r="CU65"/>
  <c r="CV65"/>
  <c r="CW65"/>
  <c r="CX65"/>
  <c r="CY65"/>
  <c r="CZ65"/>
  <c r="DA65"/>
  <c r="DB65"/>
  <c r="DC65"/>
  <c r="DD65"/>
  <c r="DE65"/>
  <c r="DF65"/>
  <c r="DG65"/>
  <c r="DH65"/>
  <c r="DI65"/>
  <c r="DJ65"/>
  <c r="DK65"/>
  <c r="DL65"/>
  <c r="DM65"/>
  <c r="DN65"/>
  <c r="DO65"/>
  <c r="DP65"/>
  <c r="DQ65"/>
  <c r="DR65"/>
  <c r="DS65"/>
  <c r="DT65"/>
  <c r="DZ65"/>
  <c r="EA65"/>
  <c r="EB65"/>
  <c r="EE65"/>
  <c r="EF65"/>
  <c r="DV65" s="1"/>
  <c r="EG65"/>
  <c r="DW65" s="1"/>
  <c r="EH65"/>
  <c r="DX65" s="1"/>
  <c r="EJ65"/>
  <c r="EK65"/>
  <c r="EL65"/>
  <c r="EM65"/>
  <c r="EN65"/>
  <c r="ES65"/>
  <c r="B66"/>
  <c r="E66"/>
  <c r="K66"/>
  <c r="L66"/>
  <c r="M66"/>
  <c r="N66"/>
  <c r="O66"/>
  <c r="P66"/>
  <c r="Q66"/>
  <c r="R66"/>
  <c r="S66"/>
  <c r="T66"/>
  <c r="U66"/>
  <c r="V66"/>
  <c r="W66"/>
  <c r="X66"/>
  <c r="Y66"/>
  <c r="Z66"/>
  <c r="AA66"/>
  <c r="AB66"/>
  <c r="AE66"/>
  <c r="AI66"/>
  <c r="AJ66"/>
  <c r="AK66"/>
  <c r="AL66"/>
  <c r="AM66"/>
  <c r="AN66"/>
  <c r="AP66"/>
  <c r="AQ66"/>
  <c r="AS66"/>
  <c r="AT66"/>
  <c r="AV66"/>
  <c r="AW66"/>
  <c r="AX66"/>
  <c r="AY66"/>
  <c r="AZ66"/>
  <c r="BA66"/>
  <c r="BB66"/>
  <c r="BC66"/>
  <c r="BD66"/>
  <c r="BE66"/>
  <c r="BF66"/>
  <c r="BI66" s="1"/>
  <c r="BG66"/>
  <c r="BH66"/>
  <c r="BJ66"/>
  <c r="BK66"/>
  <c r="BM66"/>
  <c r="EO66" s="1"/>
  <c r="BN66"/>
  <c r="BO66"/>
  <c r="BP66"/>
  <c r="BR66"/>
  <c r="BS66"/>
  <c r="BT66"/>
  <c r="BU66"/>
  <c r="BQ66" s="1"/>
  <c r="BV66"/>
  <c r="BY66" s="1"/>
  <c r="BW66"/>
  <c r="BX66"/>
  <c r="BZ66"/>
  <c r="CC66" s="1"/>
  <c r="CA66"/>
  <c r="CB66"/>
  <c r="CD66"/>
  <c r="CM66"/>
  <c r="CN66"/>
  <c r="CO66"/>
  <c r="CP66"/>
  <c r="CQ66"/>
  <c r="CR66"/>
  <c r="CS66"/>
  <c r="CF66" s="1"/>
  <c r="CT66"/>
  <c r="CU66"/>
  <c r="CV66"/>
  <c r="CW66"/>
  <c r="CX66"/>
  <c r="CY66"/>
  <c r="CZ66"/>
  <c r="DA66"/>
  <c r="DB66"/>
  <c r="DC66"/>
  <c r="DD66"/>
  <c r="DE66"/>
  <c r="DF66"/>
  <c r="DG66"/>
  <c r="DH66"/>
  <c r="DI66"/>
  <c r="DJ66"/>
  <c r="DK66"/>
  <c r="DL66"/>
  <c r="DM66"/>
  <c r="DN66"/>
  <c r="DO66"/>
  <c r="DP66"/>
  <c r="DQ66"/>
  <c r="DR66"/>
  <c r="DU66" s="1"/>
  <c r="DS66"/>
  <c r="DT66"/>
  <c r="DZ66"/>
  <c r="EC66" s="1"/>
  <c r="EA66"/>
  <c r="EB66"/>
  <c r="EE66"/>
  <c r="EF66"/>
  <c r="DV66" s="1"/>
  <c r="EG66"/>
  <c r="DW66" s="1"/>
  <c r="EH66"/>
  <c r="DX66" s="1"/>
  <c r="EJ66"/>
  <c r="EK66"/>
  <c r="EL66"/>
  <c r="EM66"/>
  <c r="EN66"/>
  <c r="ES66"/>
  <c r="B67"/>
  <c r="E67"/>
  <c r="K67"/>
  <c r="L67"/>
  <c r="M67"/>
  <c r="N67"/>
  <c r="O67"/>
  <c r="P67"/>
  <c r="Q67"/>
  <c r="R67"/>
  <c r="AE67" s="1"/>
  <c r="S67"/>
  <c r="T67"/>
  <c r="U67"/>
  <c r="V67"/>
  <c r="W67"/>
  <c r="X67"/>
  <c r="Y67"/>
  <c r="Z67"/>
  <c r="AA67"/>
  <c r="AB67"/>
  <c r="AI67"/>
  <c r="AJ67"/>
  <c r="AK67"/>
  <c r="AL67"/>
  <c r="AM67"/>
  <c r="AN67"/>
  <c r="AP67"/>
  <c r="AQ67"/>
  <c r="AS67"/>
  <c r="AT67"/>
  <c r="AV67"/>
  <c r="AW67"/>
  <c r="AX67"/>
  <c r="AY67"/>
  <c r="AZ67"/>
  <c r="BA67"/>
  <c r="BB67"/>
  <c r="BC67"/>
  <c r="BD67"/>
  <c r="BE67"/>
  <c r="BF67"/>
  <c r="BG67"/>
  <c r="BH67"/>
  <c r="BJ67"/>
  <c r="BK67"/>
  <c r="BM67"/>
  <c r="BN67"/>
  <c r="BO67"/>
  <c r="BP67"/>
  <c r="BR67"/>
  <c r="BS67"/>
  <c r="BT67"/>
  <c r="BU67"/>
  <c r="BQ67" s="1"/>
  <c r="BV67"/>
  <c r="BW67"/>
  <c r="BX67"/>
  <c r="BZ67"/>
  <c r="CA67"/>
  <c r="CB67"/>
  <c r="CD67"/>
  <c r="CM67"/>
  <c r="CN67"/>
  <c r="CO67"/>
  <c r="CP67"/>
  <c r="CQ67"/>
  <c r="CR67"/>
  <c r="CS67"/>
  <c r="CF67" s="1"/>
  <c r="CT67"/>
  <c r="CU67"/>
  <c r="CV67"/>
  <c r="CW67"/>
  <c r="CX67"/>
  <c r="CY67"/>
  <c r="CZ67"/>
  <c r="DA67"/>
  <c r="DB67"/>
  <c r="DC67"/>
  <c r="DD67"/>
  <c r="DE67"/>
  <c r="DF67"/>
  <c r="DG67"/>
  <c r="DH67"/>
  <c r="DI67"/>
  <c r="DJ67"/>
  <c r="DK67"/>
  <c r="DL67"/>
  <c r="DM67"/>
  <c r="DN67"/>
  <c r="DO67"/>
  <c r="DP67"/>
  <c r="DQ67"/>
  <c r="DR67"/>
  <c r="DS67"/>
  <c r="DT67"/>
  <c r="DZ67"/>
  <c r="EA67"/>
  <c r="EB67"/>
  <c r="EE67"/>
  <c r="EF67"/>
  <c r="DV67" s="1"/>
  <c r="EG67"/>
  <c r="DW67" s="1"/>
  <c r="EH67"/>
  <c r="DX67" s="1"/>
  <c r="EJ67"/>
  <c r="EK67"/>
  <c r="EL67"/>
  <c r="EM67"/>
  <c r="EN67"/>
  <c r="EO67"/>
  <c r="ES67"/>
  <c r="B68"/>
  <c r="E68"/>
  <c r="K68"/>
  <c r="L68"/>
  <c r="M68"/>
  <c r="N68"/>
  <c r="O68"/>
  <c r="P68"/>
  <c r="Q68"/>
  <c r="AD68" s="1"/>
  <c r="R68"/>
  <c r="S68"/>
  <c r="AF68" s="1"/>
  <c r="T68"/>
  <c r="U68"/>
  <c r="V68"/>
  <c r="W68"/>
  <c r="X68"/>
  <c r="Y68"/>
  <c r="Z68"/>
  <c r="AA68"/>
  <c r="AH68" s="1"/>
  <c r="AB68"/>
  <c r="AC68"/>
  <c r="AI68"/>
  <c r="AJ68"/>
  <c r="AK68"/>
  <c r="AL68"/>
  <c r="AM68"/>
  <c r="AN68"/>
  <c r="AP68"/>
  <c r="AQ68"/>
  <c r="AS68"/>
  <c r="AT68"/>
  <c r="AV68"/>
  <c r="AW68"/>
  <c r="AX68"/>
  <c r="AY68"/>
  <c r="AZ68"/>
  <c r="BA68"/>
  <c r="BB68"/>
  <c r="BC68"/>
  <c r="BD68"/>
  <c r="BE68"/>
  <c r="BF68"/>
  <c r="BG68"/>
  <c r="BH68"/>
  <c r="BJ68"/>
  <c r="BK68"/>
  <c r="BM68"/>
  <c r="EO68" s="1"/>
  <c r="BN68"/>
  <c r="BO68"/>
  <c r="BP68"/>
  <c r="BR68"/>
  <c r="BS68"/>
  <c r="BT68"/>
  <c r="BU68"/>
  <c r="BQ68" s="1"/>
  <c r="BV68"/>
  <c r="BW68"/>
  <c r="BX68"/>
  <c r="BZ68"/>
  <c r="CA68"/>
  <c r="CB68"/>
  <c r="CD68"/>
  <c r="CM68"/>
  <c r="CN68"/>
  <c r="CO68"/>
  <c r="CP68"/>
  <c r="CQ68"/>
  <c r="CR68"/>
  <c r="CS68"/>
  <c r="CF68" s="1"/>
  <c r="CT68"/>
  <c r="CU68"/>
  <c r="CV68"/>
  <c r="CW68"/>
  <c r="CX68"/>
  <c r="CY68"/>
  <c r="CZ68"/>
  <c r="DA68"/>
  <c r="DB68"/>
  <c r="DC68"/>
  <c r="DD68"/>
  <c r="DE68"/>
  <c r="DF68"/>
  <c r="DG68"/>
  <c r="DH68"/>
  <c r="DI68"/>
  <c r="DJ68"/>
  <c r="DK68"/>
  <c r="DL68"/>
  <c r="DM68"/>
  <c r="DN68"/>
  <c r="DO68"/>
  <c r="DP68"/>
  <c r="DQ68"/>
  <c r="DR68"/>
  <c r="DS68"/>
  <c r="DT68"/>
  <c r="DZ68"/>
  <c r="EC68" s="1"/>
  <c r="EA68"/>
  <c r="EB68"/>
  <c r="EE68"/>
  <c r="EF68"/>
  <c r="DV68" s="1"/>
  <c r="EG68"/>
  <c r="DW68" s="1"/>
  <c r="EH68"/>
  <c r="DX68" s="1"/>
  <c r="EJ68"/>
  <c r="EK68"/>
  <c r="EL68"/>
  <c r="EM68"/>
  <c r="EN68"/>
  <c r="ES68"/>
  <c r="B69"/>
  <c r="E69"/>
  <c r="K69"/>
  <c r="L69"/>
  <c r="M69"/>
  <c r="N69"/>
  <c r="O69"/>
  <c r="P69"/>
  <c r="Q69"/>
  <c r="R69"/>
  <c r="AE69" s="1"/>
  <c r="S69"/>
  <c r="T69"/>
  <c r="U69"/>
  <c r="V69"/>
  <c r="W69"/>
  <c r="X69"/>
  <c r="Y69"/>
  <c r="Z69"/>
  <c r="AA69"/>
  <c r="AB69"/>
  <c r="AI69"/>
  <c r="AJ69"/>
  <c r="AK69"/>
  <c r="AL69"/>
  <c r="AM69"/>
  <c r="AN69"/>
  <c r="AP69"/>
  <c r="AQ69"/>
  <c r="AS69"/>
  <c r="AT69"/>
  <c r="AV69"/>
  <c r="AW69"/>
  <c r="AX69"/>
  <c r="AY69"/>
  <c r="AZ69"/>
  <c r="BA69"/>
  <c r="BB69"/>
  <c r="BC69"/>
  <c r="BD69"/>
  <c r="BE69"/>
  <c r="BF69"/>
  <c r="BG69"/>
  <c r="BH69"/>
  <c r="BJ69"/>
  <c r="BK69"/>
  <c r="BM69"/>
  <c r="BN69"/>
  <c r="BO69"/>
  <c r="BP69"/>
  <c r="BR69"/>
  <c r="BS69"/>
  <c r="BT69"/>
  <c r="BU69"/>
  <c r="BQ69" s="1"/>
  <c r="BV69"/>
  <c r="BW69"/>
  <c r="BX69"/>
  <c r="BZ69"/>
  <c r="CA69"/>
  <c r="CB69"/>
  <c r="CD69"/>
  <c r="CM69"/>
  <c r="CN69"/>
  <c r="CO69"/>
  <c r="CP69"/>
  <c r="CQ69"/>
  <c r="CR69"/>
  <c r="CS69"/>
  <c r="CF69" s="1"/>
  <c r="CT69"/>
  <c r="CU69"/>
  <c r="CV69"/>
  <c r="CW69"/>
  <c r="CX69"/>
  <c r="CY69"/>
  <c r="CZ69"/>
  <c r="DA69"/>
  <c r="DB69"/>
  <c r="DC69"/>
  <c r="DD69"/>
  <c r="DE69"/>
  <c r="DF69"/>
  <c r="DG69"/>
  <c r="DH69"/>
  <c r="DI69"/>
  <c r="DJ69"/>
  <c r="DK69"/>
  <c r="DL69"/>
  <c r="DM69"/>
  <c r="DN69"/>
  <c r="DO69"/>
  <c r="DP69"/>
  <c r="DQ69"/>
  <c r="DR69"/>
  <c r="DS69"/>
  <c r="DT69"/>
  <c r="DZ69"/>
  <c r="EA69"/>
  <c r="EB69"/>
  <c r="EE69"/>
  <c r="EF69"/>
  <c r="DV69" s="1"/>
  <c r="EG69"/>
  <c r="DW69" s="1"/>
  <c r="EH69"/>
  <c r="DX69" s="1"/>
  <c r="EJ69"/>
  <c r="EK69"/>
  <c r="EL69"/>
  <c r="EM69"/>
  <c r="EN69"/>
  <c r="EO69"/>
  <c r="ES69"/>
  <c r="B70"/>
  <c r="E70"/>
  <c r="K70"/>
  <c r="L70"/>
  <c r="M70"/>
  <c r="N70"/>
  <c r="O70"/>
  <c r="P70"/>
  <c r="Q70"/>
  <c r="AD70" s="1"/>
  <c r="R70"/>
  <c r="S70"/>
  <c r="AF70" s="1"/>
  <c r="T70"/>
  <c r="U70"/>
  <c r="V70"/>
  <c r="W70"/>
  <c r="AE70" s="1"/>
  <c r="X70"/>
  <c r="Y70"/>
  <c r="Z70"/>
  <c r="AA70"/>
  <c r="AH70" s="1"/>
  <c r="AB70"/>
  <c r="AC70"/>
  <c r="AI70"/>
  <c r="AJ70"/>
  <c r="AK70"/>
  <c r="AL70"/>
  <c r="AM70"/>
  <c r="AN70"/>
  <c r="AP70"/>
  <c r="AQ70"/>
  <c r="AS70"/>
  <c r="AT70"/>
  <c r="AV70"/>
  <c r="AW70"/>
  <c r="AX70"/>
  <c r="AY70"/>
  <c r="AZ70"/>
  <c r="BA70"/>
  <c r="BB70"/>
  <c r="BC70"/>
  <c r="BD70"/>
  <c r="BE70"/>
  <c r="BF70"/>
  <c r="BG70"/>
  <c r="BH70"/>
  <c r="BJ70"/>
  <c r="BK70"/>
  <c r="BM70"/>
  <c r="EO70" s="1"/>
  <c r="BN70"/>
  <c r="BO70"/>
  <c r="BP70"/>
  <c r="BR70"/>
  <c r="BS70"/>
  <c r="BT70"/>
  <c r="BU70"/>
  <c r="BQ70" s="1"/>
  <c r="BV70"/>
  <c r="BW70"/>
  <c r="BX70"/>
  <c r="BZ70"/>
  <c r="CA70"/>
  <c r="CB70"/>
  <c r="CD70"/>
  <c r="CM70"/>
  <c r="CN70"/>
  <c r="CO70"/>
  <c r="CP70"/>
  <c r="CQ70"/>
  <c r="CR70"/>
  <c r="CS70"/>
  <c r="CF70" s="1"/>
  <c r="CT70"/>
  <c r="CU70"/>
  <c r="CV70"/>
  <c r="CW70"/>
  <c r="CX70"/>
  <c r="CY70"/>
  <c r="CZ70"/>
  <c r="DA70"/>
  <c r="DB70"/>
  <c r="DC70"/>
  <c r="DD70"/>
  <c r="DE70"/>
  <c r="DF70"/>
  <c r="DG70"/>
  <c r="DH70"/>
  <c r="DI70"/>
  <c r="DJ70"/>
  <c r="DK70"/>
  <c r="DL70"/>
  <c r="DM70"/>
  <c r="DN70"/>
  <c r="DO70"/>
  <c r="DP70"/>
  <c r="DQ70"/>
  <c r="DR70"/>
  <c r="DS70"/>
  <c r="DT70"/>
  <c r="DZ70"/>
  <c r="EC70" s="1"/>
  <c r="EA70"/>
  <c r="EB70"/>
  <c r="EE70"/>
  <c r="EF70"/>
  <c r="DV70" s="1"/>
  <c r="EG70"/>
  <c r="DW70" s="1"/>
  <c r="EH70"/>
  <c r="DX70" s="1"/>
  <c r="EJ70"/>
  <c r="EK70"/>
  <c r="EL70"/>
  <c r="EM70"/>
  <c r="EN70"/>
  <c r="ES70"/>
  <c r="B71"/>
  <c r="E71"/>
  <c r="K71"/>
  <c r="L71"/>
  <c r="M71"/>
  <c r="N71"/>
  <c r="O71"/>
  <c r="P71"/>
  <c r="AC71" s="1"/>
  <c r="Q71"/>
  <c r="R71"/>
  <c r="S71"/>
  <c r="T71"/>
  <c r="U71"/>
  <c r="V71"/>
  <c r="W71"/>
  <c r="X71"/>
  <c r="Y71"/>
  <c r="Z71"/>
  <c r="AA71"/>
  <c r="AB71"/>
  <c r="AG71"/>
  <c r="AI71"/>
  <c r="AJ71"/>
  <c r="AK71"/>
  <c r="AL71"/>
  <c r="AM71"/>
  <c r="AN71"/>
  <c r="AP71"/>
  <c r="AQ71"/>
  <c r="AS71"/>
  <c r="AT71"/>
  <c r="AV71"/>
  <c r="AW71"/>
  <c r="AX71"/>
  <c r="AY71"/>
  <c r="AZ71"/>
  <c r="BA71"/>
  <c r="BB71"/>
  <c r="BC71"/>
  <c r="BD71"/>
  <c r="BE71"/>
  <c r="BF71"/>
  <c r="BG71"/>
  <c r="BH71"/>
  <c r="BJ71"/>
  <c r="BK71"/>
  <c r="BM71"/>
  <c r="BL71" s="1"/>
  <c r="BN71"/>
  <c r="BO71"/>
  <c r="BP71"/>
  <c r="BR71"/>
  <c r="BS71"/>
  <c r="BT71"/>
  <c r="BU71"/>
  <c r="BQ71" s="1"/>
  <c r="BV71"/>
  <c r="BY71" s="1"/>
  <c r="BW71"/>
  <c r="BX71"/>
  <c r="BZ71"/>
  <c r="CA71"/>
  <c r="CB71"/>
  <c r="CD71"/>
  <c r="CM71"/>
  <c r="CN71"/>
  <c r="CO71"/>
  <c r="CP71"/>
  <c r="CQ71"/>
  <c r="CR71"/>
  <c r="CS71"/>
  <c r="CK71" s="1"/>
  <c r="CT71"/>
  <c r="CU71"/>
  <c r="CV71"/>
  <c r="CW71"/>
  <c r="CX71"/>
  <c r="CY71"/>
  <c r="CZ71"/>
  <c r="DA71"/>
  <c r="DB71"/>
  <c r="DC71"/>
  <c r="DD71"/>
  <c r="DE71"/>
  <c r="DF71"/>
  <c r="DG71"/>
  <c r="DH71"/>
  <c r="DI71"/>
  <c r="DJ71"/>
  <c r="DK71"/>
  <c r="DL71"/>
  <c r="DM71"/>
  <c r="DN71"/>
  <c r="DO71"/>
  <c r="DP71"/>
  <c r="DQ71"/>
  <c r="DR71"/>
  <c r="DU71" s="1"/>
  <c r="DS71"/>
  <c r="DT71"/>
  <c r="DZ71"/>
  <c r="EA71"/>
  <c r="EB71"/>
  <c r="EE71"/>
  <c r="EF71"/>
  <c r="EG71"/>
  <c r="DW71" s="1"/>
  <c r="EH71"/>
  <c r="DX71" s="1"/>
  <c r="EJ71"/>
  <c r="EK71"/>
  <c r="EL71"/>
  <c r="EM71"/>
  <c r="EN71"/>
  <c r="ES71"/>
  <c r="B72"/>
  <c r="E72"/>
  <c r="K72"/>
  <c r="L72"/>
  <c r="M72"/>
  <c r="N72"/>
  <c r="O72"/>
  <c r="P72"/>
  <c r="AC72" s="1"/>
  <c r="Q72"/>
  <c r="R72"/>
  <c r="S72"/>
  <c r="T72"/>
  <c r="U72"/>
  <c r="V72"/>
  <c r="W72"/>
  <c r="X72"/>
  <c r="Y72"/>
  <c r="Z72"/>
  <c r="AA72"/>
  <c r="AB72"/>
  <c r="AI72"/>
  <c r="AJ72"/>
  <c r="AK72"/>
  <c r="AL72"/>
  <c r="AM72"/>
  <c r="AN72"/>
  <c r="AP72"/>
  <c r="AQ72"/>
  <c r="AS72"/>
  <c r="AT72"/>
  <c r="AV72"/>
  <c r="AW72"/>
  <c r="AX72"/>
  <c r="AY72"/>
  <c r="AZ72"/>
  <c r="BA72"/>
  <c r="BB72"/>
  <c r="BB74" s="1"/>
  <c r="BC72"/>
  <c r="BD72"/>
  <c r="BD74" s="1"/>
  <c r="BE72"/>
  <c r="BF72"/>
  <c r="BF74" s="1"/>
  <c r="BG72"/>
  <c r="BH72"/>
  <c r="BH74" s="1"/>
  <c r="BJ72"/>
  <c r="BK72"/>
  <c r="BK74" s="1"/>
  <c r="BM72"/>
  <c r="BN72"/>
  <c r="BN74" s="1"/>
  <c r="BO72"/>
  <c r="BP72"/>
  <c r="BP74" s="1"/>
  <c r="BR72"/>
  <c r="BS72"/>
  <c r="BS74" s="1"/>
  <c r="BT72"/>
  <c r="BU72"/>
  <c r="BQ72" s="1"/>
  <c r="BV72"/>
  <c r="BW72"/>
  <c r="BW74" s="1"/>
  <c r="BX72"/>
  <c r="BZ72"/>
  <c r="CA72"/>
  <c r="CB72"/>
  <c r="CD72"/>
  <c r="CM72"/>
  <c r="CN72"/>
  <c r="CO72"/>
  <c r="CP72"/>
  <c r="CQ72"/>
  <c r="CR72"/>
  <c r="CS72"/>
  <c r="CE72" s="1"/>
  <c r="CT72"/>
  <c r="CU72"/>
  <c r="CU74" s="1"/>
  <c r="CV72"/>
  <c r="CW72"/>
  <c r="CX72"/>
  <c r="CY72"/>
  <c r="CZ72"/>
  <c r="DA72"/>
  <c r="DB72"/>
  <c r="DC72"/>
  <c r="DD72"/>
  <c r="DE72"/>
  <c r="DF72"/>
  <c r="DG72"/>
  <c r="DH72"/>
  <c r="DI72"/>
  <c r="DJ72"/>
  <c r="DK72"/>
  <c r="DL72"/>
  <c r="DM72"/>
  <c r="DN72"/>
  <c r="DO72"/>
  <c r="DP72"/>
  <c r="DQ72"/>
  <c r="DR72"/>
  <c r="DS72"/>
  <c r="DS74" s="1"/>
  <c r="DT72"/>
  <c r="DW72"/>
  <c r="DZ72"/>
  <c r="EA72"/>
  <c r="EB72"/>
  <c r="EC72"/>
  <c r="EE72"/>
  <c r="EF72"/>
  <c r="DV72" s="1"/>
  <c r="EG72"/>
  <c r="EH72"/>
  <c r="DX72" s="1"/>
  <c r="EJ72"/>
  <c r="EK72"/>
  <c r="EL72"/>
  <c r="EM72"/>
  <c r="AU72" s="1"/>
  <c r="EN72"/>
  <c r="EO72"/>
  <c r="ES72"/>
  <c r="B73"/>
  <c r="E73"/>
  <c r="K73"/>
  <c r="L73"/>
  <c r="M73"/>
  <c r="N73"/>
  <c r="O73"/>
  <c r="P73"/>
  <c r="Q73"/>
  <c r="R73"/>
  <c r="S73"/>
  <c r="T73"/>
  <c r="U73"/>
  <c r="V73"/>
  <c r="W73"/>
  <c r="X73"/>
  <c r="Y73"/>
  <c r="Z73"/>
  <c r="AA73"/>
  <c r="AB73"/>
  <c r="AE73"/>
  <c r="AI73"/>
  <c r="AJ73"/>
  <c r="AK73"/>
  <c r="AL73"/>
  <c r="AM73"/>
  <c r="AN73"/>
  <c r="AP73"/>
  <c r="AQ73"/>
  <c r="AS73"/>
  <c r="AT73"/>
  <c r="AV73"/>
  <c r="AW73"/>
  <c r="AX73"/>
  <c r="AY73"/>
  <c r="AZ73"/>
  <c r="BA73"/>
  <c r="BB73"/>
  <c r="BC73"/>
  <c r="BD73"/>
  <c r="BE73"/>
  <c r="BF73"/>
  <c r="BG73"/>
  <c r="BH73"/>
  <c r="BJ73"/>
  <c r="BK73"/>
  <c r="BM73"/>
  <c r="EO73" s="1"/>
  <c r="BN73"/>
  <c r="BO73"/>
  <c r="BP73"/>
  <c r="BR73"/>
  <c r="BS73"/>
  <c r="BT73"/>
  <c r="BU73"/>
  <c r="BQ73" s="1"/>
  <c r="BV73"/>
  <c r="BY73" s="1"/>
  <c r="BW73"/>
  <c r="BX73"/>
  <c r="BZ73"/>
  <c r="CA73"/>
  <c r="CB73"/>
  <c r="CD73"/>
  <c r="CM73"/>
  <c r="CN73"/>
  <c r="CO73"/>
  <c r="CP73"/>
  <c r="CQ73"/>
  <c r="CR73"/>
  <c r="CS73"/>
  <c r="CE73" s="1"/>
  <c r="CT73"/>
  <c r="CU73"/>
  <c r="CV73"/>
  <c r="CW73"/>
  <c r="CX73"/>
  <c r="CY73"/>
  <c r="CZ73"/>
  <c r="DA73"/>
  <c r="DB73"/>
  <c r="DC73"/>
  <c r="DD73"/>
  <c r="DE73"/>
  <c r="DF73"/>
  <c r="DG73"/>
  <c r="DH73"/>
  <c r="DI73"/>
  <c r="DJ73"/>
  <c r="DK73"/>
  <c r="DL73"/>
  <c r="DM73"/>
  <c r="DN73"/>
  <c r="DO73"/>
  <c r="DP73"/>
  <c r="DQ73"/>
  <c r="DR73"/>
  <c r="DS73"/>
  <c r="DT73"/>
  <c r="DZ73"/>
  <c r="EA73"/>
  <c r="EB73"/>
  <c r="EE73"/>
  <c r="EF73"/>
  <c r="DV73" s="1"/>
  <c r="EG73"/>
  <c r="DW73" s="1"/>
  <c r="EH73"/>
  <c r="DX73" s="1"/>
  <c r="EJ73"/>
  <c r="EK73"/>
  <c r="EL73"/>
  <c r="EM73"/>
  <c r="EN73"/>
  <c r="ES73"/>
  <c r="B74"/>
  <c r="E74"/>
  <c r="L74"/>
  <c r="N74"/>
  <c r="P74"/>
  <c r="R74"/>
  <c r="T74"/>
  <c r="V74"/>
  <c r="X74"/>
  <c r="Z74"/>
  <c r="AB74"/>
  <c r="AK74"/>
  <c r="AQ74"/>
  <c r="AW74"/>
  <c r="BA74"/>
  <c r="BE74"/>
  <c r="BJ74"/>
  <c r="BO74"/>
  <c r="BT74"/>
  <c r="BZ74"/>
  <c r="CD74"/>
  <c r="CO74"/>
  <c r="CT74"/>
  <c r="CW74"/>
  <c r="CX74"/>
  <c r="CY74"/>
  <c r="CZ74"/>
  <c r="DA74"/>
  <c r="DB74"/>
  <c r="DC74"/>
  <c r="DD74"/>
  <c r="DE74"/>
  <c r="DF74"/>
  <c r="DG74"/>
  <c r="DH74"/>
  <c r="DI74"/>
  <c r="DJ74"/>
  <c r="DK74"/>
  <c r="DL74"/>
  <c r="DM74"/>
  <c r="DN74"/>
  <c r="DO74"/>
  <c r="DP74"/>
  <c r="DQ74"/>
  <c r="DT74"/>
  <c r="ED74"/>
  <c r="EF74"/>
  <c r="EH74"/>
  <c r="EK74"/>
  <c r="EM74"/>
  <c r="EP74"/>
  <c r="EQ74"/>
  <c r="ER74"/>
  <c r="BD92" i="1"/>
  <c r="AS91"/>
  <c r="W89"/>
  <c r="BD88"/>
  <c r="AR88"/>
  <c r="T85"/>
  <c r="T91" s="1"/>
  <c r="D85"/>
  <c r="BK81"/>
  <c r="BB81"/>
  <c r="BA81"/>
  <c r="AX81"/>
  <c r="AI81"/>
  <c r="AI85" s="1"/>
  <c r="AH81"/>
  <c r="AB81"/>
  <c r="N81"/>
  <c r="Q81" s="1"/>
  <c r="B81"/>
  <c r="BL80"/>
  <c r="BD80"/>
  <c r="AV80"/>
  <c r="AW80" s="1"/>
  <c r="AO80"/>
  <c r="AN80"/>
  <c r="AM80"/>
  <c r="AK80"/>
  <c r="AJ80"/>
  <c r="AC80"/>
  <c r="AD80" s="1"/>
  <c r="Z80"/>
  <c r="X80"/>
  <c r="V80"/>
  <c r="U80"/>
  <c r="T80"/>
  <c r="S80"/>
  <c r="J80"/>
  <c r="I80"/>
  <c r="H80"/>
  <c r="F80"/>
  <c r="C80"/>
  <c r="D80" s="1"/>
  <c r="BL79"/>
  <c r="BD79"/>
  <c r="AJ79" s="1"/>
  <c r="AV79"/>
  <c r="AW79" s="1"/>
  <c r="AO79"/>
  <c r="AN79"/>
  <c r="AM79"/>
  <c r="AC79"/>
  <c r="AD79" s="1"/>
  <c r="Z79"/>
  <c r="X79"/>
  <c r="V79"/>
  <c r="U79"/>
  <c r="T79"/>
  <c r="S79"/>
  <c r="J79"/>
  <c r="I79"/>
  <c r="H79"/>
  <c r="F79"/>
  <c r="D79"/>
  <c r="BL78"/>
  <c r="AV78"/>
  <c r="AW78" s="1"/>
  <c r="AO78"/>
  <c r="AN78"/>
  <c r="AM78"/>
  <c r="AK78"/>
  <c r="AJ78"/>
  <c r="AC78"/>
  <c r="AD78" s="1"/>
  <c r="Z78"/>
  <c r="X78"/>
  <c r="V78"/>
  <c r="U78"/>
  <c r="T78"/>
  <c r="S78"/>
  <c r="J78"/>
  <c r="I78"/>
  <c r="H78"/>
  <c r="F78"/>
  <c r="D78"/>
  <c r="BL77"/>
  <c r="BD77"/>
  <c r="AV77"/>
  <c r="AW77" s="1"/>
  <c r="AO77"/>
  <c r="AN77"/>
  <c r="AM77"/>
  <c r="AK77"/>
  <c r="AJ77"/>
  <c r="AC77"/>
  <c r="AD77" s="1"/>
  <c r="Z77"/>
  <c r="X77"/>
  <c r="V77"/>
  <c r="U77"/>
  <c r="T77"/>
  <c r="S77"/>
  <c r="J77"/>
  <c r="I77"/>
  <c r="H77"/>
  <c r="F77"/>
  <c r="D77"/>
  <c r="BL76"/>
  <c r="BD76"/>
  <c r="AJ76" s="1"/>
  <c r="AV76"/>
  <c r="AW76" s="1"/>
  <c r="AO76"/>
  <c r="AN76"/>
  <c r="AM76"/>
  <c r="AC76"/>
  <c r="AD76" s="1"/>
  <c r="Z76"/>
  <c r="X76"/>
  <c r="V76"/>
  <c r="U76"/>
  <c r="T76"/>
  <c r="S76"/>
  <c r="J76"/>
  <c r="I76"/>
  <c r="H76"/>
  <c r="F76"/>
  <c r="D76"/>
  <c r="BL75"/>
  <c r="BD75"/>
  <c r="AV75"/>
  <c r="AW75" s="1"/>
  <c r="AO75"/>
  <c r="AN75"/>
  <c r="AM75"/>
  <c r="AK75"/>
  <c r="AJ75"/>
  <c r="AC75"/>
  <c r="AD75" s="1"/>
  <c r="Z75"/>
  <c r="X75"/>
  <c r="V75"/>
  <c r="U75"/>
  <c r="T75"/>
  <c r="S75"/>
  <c r="J75"/>
  <c r="I75"/>
  <c r="H75"/>
  <c r="F75"/>
  <c r="D75"/>
  <c r="BL74"/>
  <c r="BD74"/>
  <c r="AV74"/>
  <c r="AW74" s="1"/>
  <c r="AO74"/>
  <c r="AN74"/>
  <c r="AM74"/>
  <c r="AK74"/>
  <c r="AJ74"/>
  <c r="AC74"/>
  <c r="AD74" s="1"/>
  <c r="Z74"/>
  <c r="X74"/>
  <c r="V74"/>
  <c r="U74"/>
  <c r="T74"/>
  <c r="S74"/>
  <c r="J74"/>
  <c r="I74"/>
  <c r="H74"/>
  <c r="F74"/>
  <c r="D74"/>
  <c r="BL73"/>
  <c r="BD73"/>
  <c r="AV73"/>
  <c r="AW73" s="1"/>
  <c r="AO73"/>
  <c r="AN73"/>
  <c r="AM73"/>
  <c r="AJ73"/>
  <c r="AC73"/>
  <c r="AD73" s="1"/>
  <c r="Z73"/>
  <c r="X73"/>
  <c r="V73"/>
  <c r="U73"/>
  <c r="T73"/>
  <c r="S73"/>
  <c r="J73"/>
  <c r="I73"/>
  <c r="H73"/>
  <c r="F73"/>
  <c r="D73"/>
  <c r="BL72"/>
  <c r="BD72"/>
  <c r="AV72"/>
  <c r="AW72" s="1"/>
  <c r="AO72"/>
  <c r="AN72"/>
  <c r="AM72"/>
  <c r="AK72"/>
  <c r="AJ72"/>
  <c r="AC72"/>
  <c r="AD72" s="1"/>
  <c r="Z72"/>
  <c r="X72"/>
  <c r="V72"/>
  <c r="U72"/>
  <c r="T72"/>
  <c r="S72"/>
  <c r="J72"/>
  <c r="I72"/>
  <c r="H72"/>
  <c r="F72"/>
  <c r="D72"/>
  <c r="BL71"/>
  <c r="AV71"/>
  <c r="AW71" s="1"/>
  <c r="AO71"/>
  <c r="AN71"/>
  <c r="AM71"/>
  <c r="AK71"/>
  <c r="AJ71"/>
  <c r="AC71"/>
  <c r="AD71" s="1"/>
  <c r="Z71"/>
  <c r="X71"/>
  <c r="V71"/>
  <c r="U71"/>
  <c r="T71"/>
  <c r="S71"/>
  <c r="J71"/>
  <c r="I71"/>
  <c r="H71"/>
  <c r="F71"/>
  <c r="D71"/>
  <c r="BL70"/>
  <c r="BD70"/>
  <c r="AV70"/>
  <c r="AW70" s="1"/>
  <c r="AO70"/>
  <c r="AN70"/>
  <c r="AM70"/>
  <c r="AK70"/>
  <c r="AJ70"/>
  <c r="AC70"/>
  <c r="AD70" s="1"/>
  <c r="Z70"/>
  <c r="X70"/>
  <c r="V70"/>
  <c r="U70"/>
  <c r="T70"/>
  <c r="S70"/>
  <c r="J70"/>
  <c r="I70"/>
  <c r="H70"/>
  <c r="F70"/>
  <c r="D70"/>
  <c r="BL69"/>
  <c r="BD69"/>
  <c r="AV69"/>
  <c r="AW69" s="1"/>
  <c r="AO69"/>
  <c r="AN69"/>
  <c r="AM69"/>
  <c r="AJ69"/>
  <c r="AC69"/>
  <c r="AD69" s="1"/>
  <c r="Z69"/>
  <c r="X69"/>
  <c r="V69"/>
  <c r="U69"/>
  <c r="T69"/>
  <c r="S69"/>
  <c r="J69"/>
  <c r="I69"/>
  <c r="H69"/>
  <c r="F69"/>
  <c r="D69"/>
  <c r="BL68"/>
  <c r="BD68"/>
  <c r="AV68"/>
  <c r="AW68" s="1"/>
  <c r="AO68"/>
  <c r="AN68"/>
  <c r="AM68"/>
  <c r="AK68"/>
  <c r="AJ68"/>
  <c r="AC68"/>
  <c r="AD68" s="1"/>
  <c r="Z68"/>
  <c r="X68"/>
  <c r="V68"/>
  <c r="U68"/>
  <c r="T68"/>
  <c r="S68"/>
  <c r="J68"/>
  <c r="I68"/>
  <c r="H68"/>
  <c r="F68"/>
  <c r="D68"/>
  <c r="BL67"/>
  <c r="BD67"/>
  <c r="AV67"/>
  <c r="AW67" s="1"/>
  <c r="AO67"/>
  <c r="AN67"/>
  <c r="AM67"/>
  <c r="AK67"/>
  <c r="AJ67"/>
  <c r="AC67"/>
  <c r="AD67" s="1"/>
  <c r="Z67"/>
  <c r="X67"/>
  <c r="V67"/>
  <c r="U67"/>
  <c r="T67"/>
  <c r="S67"/>
  <c r="J67"/>
  <c r="I67"/>
  <c r="H67"/>
  <c r="F67"/>
  <c r="D67"/>
  <c r="BL66"/>
  <c r="BD66"/>
  <c r="AV66"/>
  <c r="AW66" s="1"/>
  <c r="AO66"/>
  <c r="AN66"/>
  <c r="AM66"/>
  <c r="AK66"/>
  <c r="AJ66"/>
  <c r="AC66"/>
  <c r="AD66" s="1"/>
  <c r="Z66"/>
  <c r="X66"/>
  <c r="V66"/>
  <c r="U66"/>
  <c r="T66"/>
  <c r="S66"/>
  <c r="J66"/>
  <c r="I66"/>
  <c r="H66"/>
  <c r="F66"/>
  <c r="D66"/>
  <c r="BL65"/>
  <c r="BD65"/>
  <c r="AJ65" s="1"/>
  <c r="AV65"/>
  <c r="AW65" s="1"/>
  <c r="AO65"/>
  <c r="AN65"/>
  <c r="AM65"/>
  <c r="AC65"/>
  <c r="AD65" s="1"/>
  <c r="Z65"/>
  <c r="X65"/>
  <c r="V65"/>
  <c r="U65"/>
  <c r="T65"/>
  <c r="S65"/>
  <c r="J65"/>
  <c r="I65"/>
  <c r="H65"/>
  <c r="F65"/>
  <c r="D65"/>
  <c r="BL64"/>
  <c r="BD64"/>
  <c r="AV64"/>
  <c r="AW64" s="1"/>
  <c r="AO64"/>
  <c r="AN64"/>
  <c r="AM64"/>
  <c r="AK64"/>
  <c r="AJ64"/>
  <c r="AC64"/>
  <c r="AD64" s="1"/>
  <c r="Z64"/>
  <c r="X64"/>
  <c r="V64"/>
  <c r="U64"/>
  <c r="T64"/>
  <c r="S64"/>
  <c r="J64"/>
  <c r="I64"/>
  <c r="H64"/>
  <c r="F64"/>
  <c r="D64"/>
  <c r="BL63"/>
  <c r="BD63"/>
  <c r="AV63"/>
  <c r="AW63" s="1"/>
  <c r="AO63"/>
  <c r="AN63"/>
  <c r="AM63"/>
  <c r="AK63"/>
  <c r="AJ63"/>
  <c r="AC63"/>
  <c r="AD63" s="1"/>
  <c r="Z63"/>
  <c r="X63"/>
  <c r="V63"/>
  <c r="U63"/>
  <c r="T63"/>
  <c r="S63"/>
  <c r="J63"/>
  <c r="I63"/>
  <c r="H63"/>
  <c r="F63"/>
  <c r="C63"/>
  <c r="D63" s="1"/>
  <c r="BL62"/>
  <c r="BD62"/>
  <c r="AV62"/>
  <c r="AW62" s="1"/>
  <c r="AO62"/>
  <c r="AN62"/>
  <c r="AM62"/>
  <c r="AJ62"/>
  <c r="AC62"/>
  <c r="AD62" s="1"/>
  <c r="Z62"/>
  <c r="X62"/>
  <c r="V62"/>
  <c r="U62"/>
  <c r="T62"/>
  <c r="S62"/>
  <c r="J62"/>
  <c r="I62"/>
  <c r="H62"/>
  <c r="F62"/>
  <c r="D62"/>
  <c r="BL61"/>
  <c r="AV61"/>
  <c r="AW61" s="1"/>
  <c r="AO61"/>
  <c r="AN61"/>
  <c r="AM61"/>
  <c r="AK61"/>
  <c r="AJ61"/>
  <c r="AC61"/>
  <c r="AD61" s="1"/>
  <c r="Z61"/>
  <c r="X61"/>
  <c r="V61"/>
  <c r="U61"/>
  <c r="T61"/>
  <c r="S61"/>
  <c r="J61"/>
  <c r="I61"/>
  <c r="H61"/>
  <c r="F61"/>
  <c r="D61"/>
  <c r="BL60"/>
  <c r="BD60"/>
  <c r="AJ60" s="1"/>
  <c r="AV60"/>
  <c r="AW60" s="1"/>
  <c r="AO60"/>
  <c r="AN60"/>
  <c r="AM60"/>
  <c r="AC60"/>
  <c r="AD60" s="1"/>
  <c r="Z60"/>
  <c r="X60"/>
  <c r="V60"/>
  <c r="U60"/>
  <c r="T60"/>
  <c r="S60"/>
  <c r="J60"/>
  <c r="I60"/>
  <c r="H60"/>
  <c r="F60"/>
  <c r="C60"/>
  <c r="D60" s="1"/>
  <c r="BL59"/>
  <c r="AV59"/>
  <c r="AW59" s="1"/>
  <c r="AO59"/>
  <c r="AN59"/>
  <c r="AM59"/>
  <c r="AK59"/>
  <c r="AJ59"/>
  <c r="AC59"/>
  <c r="AD59" s="1"/>
  <c r="Z59"/>
  <c r="X59"/>
  <c r="V59"/>
  <c r="U59"/>
  <c r="T59"/>
  <c r="S59"/>
  <c r="J59"/>
  <c r="I59"/>
  <c r="H59"/>
  <c r="F59"/>
  <c r="D59"/>
  <c r="BL58"/>
  <c r="BD58"/>
  <c r="AJ58" s="1"/>
  <c r="AV58"/>
  <c r="AW58" s="1"/>
  <c r="AO58"/>
  <c r="AN58"/>
  <c r="AM58"/>
  <c r="AC58"/>
  <c r="AD58" s="1"/>
  <c r="Z58"/>
  <c r="X58"/>
  <c r="V58"/>
  <c r="U58"/>
  <c r="T58"/>
  <c r="S58"/>
  <c r="J58"/>
  <c r="I58"/>
  <c r="H58"/>
  <c r="F58"/>
  <c r="D58"/>
  <c r="BL57"/>
  <c r="BD57"/>
  <c r="AJ57" s="1"/>
  <c r="AY57"/>
  <c r="AY81" s="1"/>
  <c r="AV57"/>
  <c r="AW57" s="1"/>
  <c r="AO57"/>
  <c r="AN57"/>
  <c r="AM57"/>
  <c r="AK57"/>
  <c r="AC57"/>
  <c r="AD57" s="1"/>
  <c r="Z57"/>
  <c r="X57"/>
  <c r="V57"/>
  <c r="U57"/>
  <c r="T57"/>
  <c r="S57"/>
  <c r="J57"/>
  <c r="I57"/>
  <c r="H57"/>
  <c r="F57"/>
  <c r="D57"/>
  <c r="BL56"/>
  <c r="BD56"/>
  <c r="AV56"/>
  <c r="AW56" s="1"/>
  <c r="AO56"/>
  <c r="AN56"/>
  <c r="AM56"/>
  <c r="AK56"/>
  <c r="AJ56"/>
  <c r="AC56"/>
  <c r="AD56" s="1"/>
  <c r="Z56"/>
  <c r="X56"/>
  <c r="V56"/>
  <c r="U56"/>
  <c r="T56"/>
  <c r="S56"/>
  <c r="J56"/>
  <c r="I56"/>
  <c r="H56"/>
  <c r="F56"/>
  <c r="D56"/>
  <c r="BL55"/>
  <c r="BD55"/>
  <c r="AJ55" s="1"/>
  <c r="AV55"/>
  <c r="AW55" s="1"/>
  <c r="AO55"/>
  <c r="AN55"/>
  <c r="AM55"/>
  <c r="AK55"/>
  <c r="AC55"/>
  <c r="AD55" s="1"/>
  <c r="Z55"/>
  <c r="X55"/>
  <c r="V55"/>
  <c r="U55"/>
  <c r="T55"/>
  <c r="S55"/>
  <c r="J55"/>
  <c r="I55"/>
  <c r="H55"/>
  <c r="F55"/>
  <c r="D55"/>
  <c r="BL54"/>
  <c r="BD54"/>
  <c r="AV54"/>
  <c r="AW54" s="1"/>
  <c r="AO54"/>
  <c r="AN54"/>
  <c r="AM54"/>
  <c r="AK54"/>
  <c r="AJ54"/>
  <c r="AC54"/>
  <c r="AD54" s="1"/>
  <c r="Z54"/>
  <c r="X54"/>
  <c r="V54"/>
  <c r="U54"/>
  <c r="T54"/>
  <c r="S54"/>
  <c r="J54"/>
  <c r="I54"/>
  <c r="H54"/>
  <c r="F54"/>
  <c r="D54"/>
  <c r="BL53"/>
  <c r="BD53"/>
  <c r="AV53"/>
  <c r="AW53" s="1"/>
  <c r="AO53"/>
  <c r="AN53"/>
  <c r="AM53"/>
  <c r="AK53"/>
  <c r="AJ53"/>
  <c r="AC53"/>
  <c r="AD53" s="1"/>
  <c r="Z53"/>
  <c r="X53"/>
  <c r="V53"/>
  <c r="U53"/>
  <c r="T53"/>
  <c r="S53"/>
  <c r="J53"/>
  <c r="I53"/>
  <c r="H53"/>
  <c r="F53"/>
  <c r="D53"/>
  <c r="BL52"/>
  <c r="BD52"/>
  <c r="AV52"/>
  <c r="AW52" s="1"/>
  <c r="AO52"/>
  <c r="AN52"/>
  <c r="AM52"/>
  <c r="AJ52"/>
  <c r="AC52"/>
  <c r="AD52" s="1"/>
  <c r="Z52"/>
  <c r="X52"/>
  <c r="V52"/>
  <c r="U52"/>
  <c r="T52"/>
  <c r="S52"/>
  <c r="J52"/>
  <c r="I52"/>
  <c r="H52"/>
  <c r="F52"/>
  <c r="D52"/>
  <c r="BL51"/>
  <c r="BD51"/>
  <c r="AJ51" s="1"/>
  <c r="AV51"/>
  <c r="AW51" s="1"/>
  <c r="AO51"/>
  <c r="AN51"/>
  <c r="AM51"/>
  <c r="AC51"/>
  <c r="AD51" s="1"/>
  <c r="Z51"/>
  <c r="X51"/>
  <c r="V51"/>
  <c r="U51"/>
  <c r="T51"/>
  <c r="S51"/>
  <c r="J51"/>
  <c r="I51"/>
  <c r="H51"/>
  <c r="F51"/>
  <c r="D51"/>
  <c r="BL50"/>
  <c r="BD50"/>
  <c r="AV50"/>
  <c r="AW50" s="1"/>
  <c r="AO50"/>
  <c r="AN50"/>
  <c r="AM50"/>
  <c r="AJ50"/>
  <c r="AC50"/>
  <c r="AD50" s="1"/>
  <c r="Z50"/>
  <c r="X50"/>
  <c r="V50"/>
  <c r="U50"/>
  <c r="T50"/>
  <c r="S50"/>
  <c r="J50"/>
  <c r="I50"/>
  <c r="H50"/>
  <c r="F50"/>
  <c r="D50"/>
  <c r="BL49"/>
  <c r="BD49"/>
  <c r="AV49"/>
  <c r="AW49" s="1"/>
  <c r="AO49"/>
  <c r="AN49"/>
  <c r="AM49"/>
  <c r="AK49"/>
  <c r="AJ49"/>
  <c r="AC49"/>
  <c r="AD49" s="1"/>
  <c r="Z49"/>
  <c r="X49"/>
  <c r="V49"/>
  <c r="U49"/>
  <c r="T49"/>
  <c r="S49"/>
  <c r="J49"/>
  <c r="I49"/>
  <c r="H49"/>
  <c r="F49"/>
  <c r="D49"/>
  <c r="BL48"/>
  <c r="BD48"/>
  <c r="AJ48" s="1"/>
  <c r="AV48"/>
  <c r="AW48" s="1"/>
  <c r="AO48"/>
  <c r="AN48"/>
  <c r="AM48"/>
  <c r="AC48"/>
  <c r="AD48" s="1"/>
  <c r="Z48"/>
  <c r="X48"/>
  <c r="V48"/>
  <c r="U48"/>
  <c r="T48"/>
  <c r="S48"/>
  <c r="J48"/>
  <c r="I48"/>
  <c r="H48"/>
  <c r="F48"/>
  <c r="D48"/>
  <c r="BL47"/>
  <c r="BD47"/>
  <c r="AV47"/>
  <c r="AW47" s="1"/>
  <c r="AO47"/>
  <c r="AN47"/>
  <c r="AM47"/>
  <c r="AK47"/>
  <c r="AJ47"/>
  <c r="AC47"/>
  <c r="AD47" s="1"/>
  <c r="Z47"/>
  <c r="X47"/>
  <c r="V47"/>
  <c r="U47"/>
  <c r="T47"/>
  <c r="S47"/>
  <c r="J47"/>
  <c r="I47"/>
  <c r="H47"/>
  <c r="F47"/>
  <c r="D47"/>
  <c r="BL46"/>
  <c r="BD46"/>
  <c r="AV46"/>
  <c r="AW46" s="1"/>
  <c r="AO46"/>
  <c r="AN46"/>
  <c r="AM46"/>
  <c r="AK46"/>
  <c r="AJ46"/>
  <c r="AC46"/>
  <c r="AD46" s="1"/>
  <c r="Z46"/>
  <c r="X46"/>
  <c r="V46"/>
  <c r="U46"/>
  <c r="T46"/>
  <c r="S46"/>
  <c r="J46"/>
  <c r="I46"/>
  <c r="H46"/>
  <c r="F46"/>
  <c r="D46"/>
  <c r="BL45"/>
  <c r="BD45"/>
  <c r="AV45"/>
  <c r="AW45" s="1"/>
  <c r="AO45"/>
  <c r="AN45"/>
  <c r="AM45"/>
  <c r="AK45"/>
  <c r="AJ45"/>
  <c r="AC45"/>
  <c r="AD45" s="1"/>
  <c r="Z45"/>
  <c r="X45"/>
  <c r="V45"/>
  <c r="U45"/>
  <c r="T45"/>
  <c r="S45"/>
  <c r="J45"/>
  <c r="I45"/>
  <c r="H45"/>
  <c r="F45"/>
  <c r="D45"/>
  <c r="BL44"/>
  <c r="BD44"/>
  <c r="AV44"/>
  <c r="AW44" s="1"/>
  <c r="AO44"/>
  <c r="AN44"/>
  <c r="AM44"/>
  <c r="AK44"/>
  <c r="AJ44"/>
  <c r="AC44"/>
  <c r="AD44" s="1"/>
  <c r="Z44"/>
  <c r="X44"/>
  <c r="V44"/>
  <c r="U44"/>
  <c r="T44"/>
  <c r="S44"/>
  <c r="J44"/>
  <c r="I44"/>
  <c r="H44"/>
  <c r="F44"/>
  <c r="D44"/>
  <c r="BL43"/>
  <c r="BD43"/>
  <c r="AV43"/>
  <c r="AW43" s="1"/>
  <c r="AO43"/>
  <c r="AN43"/>
  <c r="AM43"/>
  <c r="AJ43"/>
  <c r="AC43"/>
  <c r="AD43" s="1"/>
  <c r="Z43"/>
  <c r="X43"/>
  <c r="V43"/>
  <c r="U43"/>
  <c r="T43"/>
  <c r="S43"/>
  <c r="J43"/>
  <c r="I43"/>
  <c r="H43"/>
  <c r="F43"/>
  <c r="D43"/>
  <c r="BL42"/>
  <c r="BD42"/>
  <c r="AV42"/>
  <c r="AW42" s="1"/>
  <c r="AO42"/>
  <c r="AN42"/>
  <c r="AM42"/>
  <c r="AK42"/>
  <c r="AJ42"/>
  <c r="AC42"/>
  <c r="AD42" s="1"/>
  <c r="Z42"/>
  <c r="X42"/>
  <c r="V42"/>
  <c r="U42"/>
  <c r="T42"/>
  <c r="S42"/>
  <c r="J42"/>
  <c r="I42"/>
  <c r="H42"/>
  <c r="F42"/>
  <c r="D42"/>
  <c r="BL41"/>
  <c r="BD41"/>
  <c r="AV41"/>
  <c r="AW41" s="1"/>
  <c r="AO41"/>
  <c r="AN41"/>
  <c r="AM41"/>
  <c r="AK41"/>
  <c r="AJ41"/>
  <c r="AC41"/>
  <c r="AD41" s="1"/>
  <c r="Z41"/>
  <c r="X41"/>
  <c r="V41"/>
  <c r="U41"/>
  <c r="T41"/>
  <c r="S41"/>
  <c r="J41"/>
  <c r="I41"/>
  <c r="H41"/>
  <c r="F41"/>
  <c r="D41"/>
  <c r="BL40"/>
  <c r="AV40"/>
  <c r="AW40" s="1"/>
  <c r="AO40"/>
  <c r="AN40"/>
  <c r="AM40"/>
  <c r="AK40"/>
  <c r="AJ40"/>
  <c r="AC40"/>
  <c r="AD40" s="1"/>
  <c r="Z40"/>
  <c r="X40"/>
  <c r="V40"/>
  <c r="U40"/>
  <c r="T40"/>
  <c r="S40"/>
  <c r="J40"/>
  <c r="I40"/>
  <c r="H40"/>
  <c r="F40"/>
  <c r="C40"/>
  <c r="D40" s="1"/>
  <c r="BL39"/>
  <c r="BD39"/>
  <c r="AV39"/>
  <c r="AW39" s="1"/>
  <c r="AO39"/>
  <c r="AN39"/>
  <c r="AM39"/>
  <c r="AK39"/>
  <c r="AJ39"/>
  <c r="AC39"/>
  <c r="AD39" s="1"/>
  <c r="Z39"/>
  <c r="X39"/>
  <c r="V39"/>
  <c r="U39"/>
  <c r="T39"/>
  <c r="S39"/>
  <c r="J39"/>
  <c r="I39"/>
  <c r="H39"/>
  <c r="F39"/>
  <c r="D39"/>
  <c r="BL38"/>
  <c r="BD38"/>
  <c r="AV38"/>
  <c r="AW38" s="1"/>
  <c r="AO38"/>
  <c r="AN38"/>
  <c r="AM38"/>
  <c r="AK38"/>
  <c r="AJ38"/>
  <c r="AC38"/>
  <c r="AD38" s="1"/>
  <c r="Z38"/>
  <c r="X38"/>
  <c r="V38"/>
  <c r="U38"/>
  <c r="T38"/>
  <c r="S38"/>
  <c r="J38"/>
  <c r="I38"/>
  <c r="H38"/>
  <c r="F38"/>
  <c r="D38"/>
  <c r="BL37"/>
  <c r="AV37"/>
  <c r="AW37" s="1"/>
  <c r="AO37"/>
  <c r="AN37"/>
  <c r="AM37"/>
  <c r="AK37"/>
  <c r="AJ37"/>
  <c r="AC37"/>
  <c r="AD37" s="1"/>
  <c r="Z37"/>
  <c r="X37"/>
  <c r="V37"/>
  <c r="U37"/>
  <c r="T37"/>
  <c r="S37"/>
  <c r="J37"/>
  <c r="I37"/>
  <c r="H37"/>
  <c r="F37"/>
  <c r="D37"/>
  <c r="C37"/>
  <c r="BL36"/>
  <c r="BD36"/>
  <c r="AV36"/>
  <c r="AW36" s="1"/>
  <c r="AO36"/>
  <c r="AN36"/>
  <c r="AM36"/>
  <c r="AK36"/>
  <c r="AJ36"/>
  <c r="AC36"/>
  <c r="AD36" s="1"/>
  <c r="Z36"/>
  <c r="X36"/>
  <c r="V36"/>
  <c r="U36"/>
  <c r="T36"/>
  <c r="S36"/>
  <c r="J36"/>
  <c r="I36"/>
  <c r="H36"/>
  <c r="F36"/>
  <c r="D36"/>
  <c r="BL35"/>
  <c r="BD35"/>
  <c r="AV35"/>
  <c r="AW35" s="1"/>
  <c r="AO35"/>
  <c r="AN35"/>
  <c r="AM35"/>
  <c r="AK35"/>
  <c r="AJ35"/>
  <c r="AC35"/>
  <c r="AD35" s="1"/>
  <c r="Z35"/>
  <c r="X35"/>
  <c r="V35"/>
  <c r="U35"/>
  <c r="T35"/>
  <c r="S35"/>
  <c r="J35"/>
  <c r="I35"/>
  <c r="H35"/>
  <c r="F35"/>
  <c r="D35"/>
  <c r="BL34"/>
  <c r="BD34"/>
  <c r="AJ34" s="1"/>
  <c r="AV34"/>
  <c r="AW34" s="1"/>
  <c r="AO34"/>
  <c r="AN34"/>
  <c r="AM34"/>
  <c r="AK34"/>
  <c r="AC34"/>
  <c r="AD34" s="1"/>
  <c r="Z34"/>
  <c r="X34"/>
  <c r="V34"/>
  <c r="U34"/>
  <c r="T34"/>
  <c r="S34"/>
  <c r="J34"/>
  <c r="I34"/>
  <c r="H34"/>
  <c r="F34"/>
  <c r="D34"/>
  <c r="BL33"/>
  <c r="BD33"/>
  <c r="AV33"/>
  <c r="AW33" s="1"/>
  <c r="AO33"/>
  <c r="AN33"/>
  <c r="AM33"/>
  <c r="AK33"/>
  <c r="AJ33"/>
  <c r="AC33"/>
  <c r="AD33" s="1"/>
  <c r="Z33"/>
  <c r="X33"/>
  <c r="V33"/>
  <c r="U33"/>
  <c r="T33"/>
  <c r="S33"/>
  <c r="J33"/>
  <c r="I33"/>
  <c r="H33"/>
  <c r="F33"/>
  <c r="C33"/>
  <c r="D33" s="1"/>
  <c r="BL32"/>
  <c r="BD32"/>
  <c r="AJ32" s="1"/>
  <c r="AV32"/>
  <c r="AW32" s="1"/>
  <c r="AO32"/>
  <c r="AN32"/>
  <c r="AM32"/>
  <c r="AC32"/>
  <c r="AD32" s="1"/>
  <c r="Z32"/>
  <c r="X32"/>
  <c r="V32"/>
  <c r="U32"/>
  <c r="T32"/>
  <c r="S32"/>
  <c r="J32"/>
  <c r="I32"/>
  <c r="H32"/>
  <c r="F32"/>
  <c r="D32"/>
  <c r="BL31"/>
  <c r="BD31"/>
  <c r="AV31"/>
  <c r="AW31" s="1"/>
  <c r="AO31"/>
  <c r="AN31"/>
  <c r="AM31"/>
  <c r="AJ31"/>
  <c r="AC31"/>
  <c r="AD31" s="1"/>
  <c r="Z31"/>
  <c r="X31"/>
  <c r="V31"/>
  <c r="U31"/>
  <c r="T31"/>
  <c r="S31"/>
  <c r="J31"/>
  <c r="I31"/>
  <c r="H31"/>
  <c r="F31"/>
  <c r="D31"/>
  <c r="BL30"/>
  <c r="BD30"/>
  <c r="AV30"/>
  <c r="AW30" s="1"/>
  <c r="AO30"/>
  <c r="AN30"/>
  <c r="AM30"/>
  <c r="AJ30"/>
  <c r="AC30"/>
  <c r="AD30" s="1"/>
  <c r="Z30"/>
  <c r="X30"/>
  <c r="V30"/>
  <c r="U30"/>
  <c r="T30"/>
  <c r="S30"/>
  <c r="J30"/>
  <c r="I30"/>
  <c r="H30"/>
  <c r="F30"/>
  <c r="D30"/>
  <c r="BL29"/>
  <c r="BD29"/>
  <c r="AJ29" s="1"/>
  <c r="AV29"/>
  <c r="AW29" s="1"/>
  <c r="AO29"/>
  <c r="AN29"/>
  <c r="AM29"/>
  <c r="AC29"/>
  <c r="AD29" s="1"/>
  <c r="Z29"/>
  <c r="X29"/>
  <c r="V29"/>
  <c r="U29"/>
  <c r="T29"/>
  <c r="S29"/>
  <c r="J29"/>
  <c r="I29"/>
  <c r="H29"/>
  <c r="F29"/>
  <c r="D29"/>
  <c r="BL28"/>
  <c r="BD28"/>
  <c r="AJ28" s="1"/>
  <c r="AV28"/>
  <c r="AW28" s="1"/>
  <c r="AO28"/>
  <c r="AN28"/>
  <c r="AM28"/>
  <c r="AC28"/>
  <c r="AD28" s="1"/>
  <c r="Z28"/>
  <c r="X28"/>
  <c r="V28"/>
  <c r="U28"/>
  <c r="T28"/>
  <c r="S28"/>
  <c r="J28"/>
  <c r="I28"/>
  <c r="H28"/>
  <c r="F28"/>
  <c r="D28"/>
  <c r="BL27"/>
  <c r="BD27"/>
  <c r="AV27"/>
  <c r="AW27" s="1"/>
  <c r="AO27"/>
  <c r="AN27"/>
  <c r="AM27"/>
  <c r="AJ27"/>
  <c r="AC27"/>
  <c r="AD27" s="1"/>
  <c r="Z27"/>
  <c r="X27"/>
  <c r="V27"/>
  <c r="U27"/>
  <c r="T27"/>
  <c r="S27"/>
  <c r="J27"/>
  <c r="I27"/>
  <c r="H27"/>
  <c r="F27"/>
  <c r="D27"/>
  <c r="BL26"/>
  <c r="BD26"/>
  <c r="AV26"/>
  <c r="AW26" s="1"/>
  <c r="AO26"/>
  <c r="AN26"/>
  <c r="AM26"/>
  <c r="AK26"/>
  <c r="AJ26"/>
  <c r="AC26"/>
  <c r="AD26" s="1"/>
  <c r="Z26"/>
  <c r="X26"/>
  <c r="V26"/>
  <c r="U26"/>
  <c r="T26"/>
  <c r="S26"/>
  <c r="J26"/>
  <c r="I26"/>
  <c r="H26"/>
  <c r="F26"/>
  <c r="D26"/>
  <c r="BL25"/>
  <c r="BD25"/>
  <c r="AV25"/>
  <c r="AW25" s="1"/>
  <c r="AO25"/>
  <c r="AN25"/>
  <c r="AM25"/>
  <c r="AK25"/>
  <c r="AJ25"/>
  <c r="AC25"/>
  <c r="AD25" s="1"/>
  <c r="Z25"/>
  <c r="X25"/>
  <c r="V25"/>
  <c r="U25"/>
  <c r="T25"/>
  <c r="S25"/>
  <c r="J25"/>
  <c r="I25"/>
  <c r="H25"/>
  <c r="F25"/>
  <c r="D25"/>
  <c r="BL24"/>
  <c r="BD24"/>
  <c r="AV24"/>
  <c r="AW24" s="1"/>
  <c r="AO24"/>
  <c r="AN24"/>
  <c r="AM24"/>
  <c r="AK24"/>
  <c r="AJ24"/>
  <c r="AC24"/>
  <c r="AD24" s="1"/>
  <c r="Z24"/>
  <c r="X24"/>
  <c r="V24"/>
  <c r="U24"/>
  <c r="T24"/>
  <c r="S24"/>
  <c r="J24"/>
  <c r="I24"/>
  <c r="H24"/>
  <c r="F24"/>
  <c r="D24"/>
  <c r="BL23"/>
  <c r="BD23"/>
  <c r="AV23"/>
  <c r="AW23" s="1"/>
  <c r="AO23"/>
  <c r="AN23"/>
  <c r="AM23"/>
  <c r="AJ23"/>
  <c r="AC23"/>
  <c r="AD23" s="1"/>
  <c r="Z23"/>
  <c r="X23"/>
  <c r="V23"/>
  <c r="U23"/>
  <c r="T23"/>
  <c r="S23"/>
  <c r="J23"/>
  <c r="I23"/>
  <c r="H23"/>
  <c r="F23"/>
  <c r="D23"/>
  <c r="BL22"/>
  <c r="BD22"/>
  <c r="AV22"/>
  <c r="AW22" s="1"/>
  <c r="AO22"/>
  <c r="AN22"/>
  <c r="AM22"/>
  <c r="AK22"/>
  <c r="AJ22"/>
  <c r="AC22"/>
  <c r="AD22" s="1"/>
  <c r="Z22"/>
  <c r="X22"/>
  <c r="V22"/>
  <c r="U22"/>
  <c r="T22"/>
  <c r="S22"/>
  <c r="J22"/>
  <c r="I22"/>
  <c r="H22"/>
  <c r="F22"/>
  <c r="D22"/>
  <c r="BL21"/>
  <c r="BD21"/>
  <c r="AV21"/>
  <c r="AW21" s="1"/>
  <c r="AO21"/>
  <c r="AN21"/>
  <c r="AM21"/>
  <c r="AK21"/>
  <c r="AJ21"/>
  <c r="AC21"/>
  <c r="AD21" s="1"/>
  <c r="Z21"/>
  <c r="X21"/>
  <c r="V21"/>
  <c r="U21"/>
  <c r="T21"/>
  <c r="S21"/>
  <c r="J21"/>
  <c r="I21"/>
  <c r="H21"/>
  <c r="F21"/>
  <c r="D21"/>
  <c r="BL20"/>
  <c r="BD20"/>
  <c r="AV20"/>
  <c r="AW20" s="1"/>
  <c r="AO20"/>
  <c r="AN20"/>
  <c r="AM20"/>
  <c r="AK20"/>
  <c r="AJ20"/>
  <c r="AC20"/>
  <c r="AD20" s="1"/>
  <c r="AA20"/>
  <c r="AA81" s="1"/>
  <c r="AA82" s="1"/>
  <c r="Z20"/>
  <c r="X20"/>
  <c r="V20"/>
  <c r="U20"/>
  <c r="T20"/>
  <c r="S20"/>
  <c r="J20"/>
  <c r="I20"/>
  <c r="H20"/>
  <c r="F20"/>
  <c r="C20"/>
  <c r="C81" s="1"/>
  <c r="BL19"/>
  <c r="BD19"/>
  <c r="AJ19" s="1"/>
  <c r="AV19"/>
  <c r="AW19" s="1"/>
  <c r="AO19"/>
  <c r="AN19"/>
  <c r="AM19"/>
  <c r="AC19"/>
  <c r="AD19" s="1"/>
  <c r="Z19"/>
  <c r="X19"/>
  <c r="V19"/>
  <c r="U19"/>
  <c r="T19"/>
  <c r="S19"/>
  <c r="J19"/>
  <c r="I19"/>
  <c r="H19"/>
  <c r="F19"/>
  <c r="D19"/>
  <c r="BL18"/>
  <c r="BD18"/>
  <c r="AV18"/>
  <c r="AW18" s="1"/>
  <c r="AO18"/>
  <c r="AN18"/>
  <c r="AM18"/>
  <c r="AK18"/>
  <c r="AJ18"/>
  <c r="AC18"/>
  <c r="AD18" s="1"/>
  <c r="Z18"/>
  <c r="X18"/>
  <c r="V18"/>
  <c r="U18"/>
  <c r="T18"/>
  <c r="S18"/>
  <c r="J18"/>
  <c r="I18"/>
  <c r="H18"/>
  <c r="F18"/>
  <c r="D18"/>
  <c r="BL17"/>
  <c r="BD17"/>
  <c r="AJ17" s="1"/>
  <c r="AV17"/>
  <c r="AW17" s="1"/>
  <c r="AO17"/>
  <c r="AN17"/>
  <c r="AM17"/>
  <c r="AC17"/>
  <c r="AD17" s="1"/>
  <c r="Z17"/>
  <c r="X17"/>
  <c r="V17"/>
  <c r="U17"/>
  <c r="T17"/>
  <c r="S17"/>
  <c r="J17"/>
  <c r="I17"/>
  <c r="H17"/>
  <c r="F17"/>
  <c r="D17"/>
  <c r="BL16"/>
  <c r="BD16"/>
  <c r="AJ16" s="1"/>
  <c r="AV16"/>
  <c r="AW16" s="1"/>
  <c r="AO16"/>
  <c r="AN16"/>
  <c r="AM16"/>
  <c r="AC16"/>
  <c r="AD16" s="1"/>
  <c r="Z16"/>
  <c r="X16"/>
  <c r="V16"/>
  <c r="U16"/>
  <c r="T16"/>
  <c r="S16"/>
  <c r="J16"/>
  <c r="I16"/>
  <c r="H16"/>
  <c r="F16"/>
  <c r="D16"/>
  <c r="BL15"/>
  <c r="BC15"/>
  <c r="AV15"/>
  <c r="AW15" s="1"/>
  <c r="AO15"/>
  <c r="AN15"/>
  <c r="AM15"/>
  <c r="AK15"/>
  <c r="AC15"/>
  <c r="AD15" s="1"/>
  <c r="Z15"/>
  <c r="X15"/>
  <c r="V15"/>
  <c r="U15"/>
  <c r="T15"/>
  <c r="S15"/>
  <c r="J15"/>
  <c r="I15"/>
  <c r="H15"/>
  <c r="F15"/>
  <c r="D15"/>
  <c r="BL14"/>
  <c r="BD14"/>
  <c r="AV14"/>
  <c r="AW14" s="1"/>
  <c r="AO14"/>
  <c r="AN14"/>
  <c r="AM14"/>
  <c r="AK14"/>
  <c r="AJ14"/>
  <c r="AC14"/>
  <c r="AD14" s="1"/>
  <c r="Z14"/>
  <c r="X14"/>
  <c r="V14"/>
  <c r="U14"/>
  <c r="T14"/>
  <c r="S14"/>
  <c r="J14"/>
  <c r="I14"/>
  <c r="H14"/>
  <c r="F14"/>
  <c r="D14"/>
  <c r="BL13"/>
  <c r="BD13"/>
  <c r="AV13"/>
  <c r="AW13" s="1"/>
  <c r="AO13"/>
  <c r="AN13"/>
  <c r="AM13"/>
  <c r="AK13"/>
  <c r="AJ13"/>
  <c r="AC13"/>
  <c r="AD13" s="1"/>
  <c r="Z13"/>
  <c r="X13"/>
  <c r="V13"/>
  <c r="U13"/>
  <c r="T13"/>
  <c r="S13"/>
  <c r="J13"/>
  <c r="I13"/>
  <c r="H13"/>
  <c r="F13"/>
  <c r="D13"/>
  <c r="BL12"/>
  <c r="BD12"/>
  <c r="AJ12" s="1"/>
  <c r="AV12"/>
  <c r="AW12" s="1"/>
  <c r="AO12"/>
  <c r="AN12"/>
  <c r="AM12"/>
  <c r="AC12"/>
  <c r="AD12" s="1"/>
  <c r="Z12"/>
  <c r="X12"/>
  <c r="V12"/>
  <c r="U12"/>
  <c r="T12"/>
  <c r="S12"/>
  <c r="J12"/>
  <c r="I12"/>
  <c r="H12"/>
  <c r="F12"/>
  <c r="D12"/>
  <c r="BL11"/>
  <c r="BD11"/>
  <c r="AV11"/>
  <c r="AW11" s="1"/>
  <c r="AO11"/>
  <c r="AN11"/>
  <c r="AM11"/>
  <c r="AK11"/>
  <c r="AJ11"/>
  <c r="AC11"/>
  <c r="AD11" s="1"/>
  <c r="Z11"/>
  <c r="X11"/>
  <c r="V11"/>
  <c r="U11"/>
  <c r="T11"/>
  <c r="S11"/>
  <c r="J11"/>
  <c r="I11"/>
  <c r="H11"/>
  <c r="F11"/>
  <c r="D11"/>
  <c r="BL10"/>
  <c r="BD10"/>
  <c r="AV10"/>
  <c r="AW10" s="1"/>
  <c r="AO10"/>
  <c r="AN10"/>
  <c r="AM10"/>
  <c r="AK10"/>
  <c r="AJ10"/>
  <c r="AC10"/>
  <c r="AD10" s="1"/>
  <c r="Z10"/>
  <c r="X10"/>
  <c r="V10"/>
  <c r="U10"/>
  <c r="T10"/>
  <c r="S10"/>
  <c r="J10"/>
  <c r="I10"/>
  <c r="H10"/>
  <c r="F10"/>
  <c r="D10"/>
  <c r="BL9"/>
  <c r="BD9"/>
  <c r="AV9"/>
  <c r="AO9"/>
  <c r="AN9"/>
  <c r="AM9"/>
  <c r="AK9"/>
  <c r="AJ9"/>
  <c r="AC9"/>
  <c r="AD9" s="1"/>
  <c r="Z9"/>
  <c r="X9"/>
  <c r="V9"/>
  <c r="U9"/>
  <c r="T9"/>
  <c r="S9"/>
  <c r="J9"/>
  <c r="I9"/>
  <c r="H9"/>
  <c r="F9"/>
  <c r="D9"/>
  <c r="BD7"/>
  <c r="T6"/>
  <c r="P6"/>
  <c r="D6"/>
  <c r="J5"/>
  <c r="I5"/>
  <c r="AS4"/>
  <c r="AJ4"/>
  <c r="AF4"/>
  <c r="P4"/>
  <c r="K4"/>
  <c r="AO73" i="3" l="1"/>
  <c r="U73" i="2"/>
  <c r="Z73"/>
  <c r="CP74" i="3"/>
  <c r="CN74"/>
  <c r="AN74"/>
  <c r="U66" i="2"/>
  <c r="Z66"/>
  <c r="U63"/>
  <c r="Z63"/>
  <c r="U54"/>
  <c r="Z54"/>
  <c r="U50"/>
  <c r="Z50"/>
  <c r="AO48" i="3"/>
  <c r="U48" i="2"/>
  <c r="Z48"/>
  <c r="U47"/>
  <c r="Z47"/>
  <c r="U45"/>
  <c r="Z45"/>
  <c r="U41"/>
  <c r="Z41"/>
  <c r="EC37" i="3"/>
  <c r="CC37"/>
  <c r="BI37"/>
  <c r="AH37"/>
  <c r="U35" i="2"/>
  <c r="Z35"/>
  <c r="U34"/>
  <c r="Z34"/>
  <c r="U33"/>
  <c r="Z33"/>
  <c r="U32"/>
  <c r="Z32"/>
  <c r="U31"/>
  <c r="Z31"/>
  <c r="U30"/>
  <c r="Z30"/>
  <c r="U29"/>
  <c r="Z29"/>
  <c r="U28"/>
  <c r="Z28"/>
  <c r="U27"/>
  <c r="Z27"/>
  <c r="U25"/>
  <c r="Z25"/>
  <c r="CC24" i="3"/>
  <c r="BI24"/>
  <c r="U23" i="2"/>
  <c r="Z23"/>
  <c r="EC22" i="3"/>
  <c r="CC21"/>
  <c r="BI21"/>
  <c r="U20" i="2"/>
  <c r="Z20"/>
  <c r="AO19" i="3"/>
  <c r="AR19" s="1"/>
  <c r="U19" i="2"/>
  <c r="Z19"/>
  <c r="U16"/>
  <c r="Z16"/>
  <c r="U14"/>
  <c r="Z14"/>
  <c r="U12"/>
  <c r="Z12"/>
  <c r="U11"/>
  <c r="Z11"/>
  <c r="U7"/>
  <c r="Z7"/>
  <c r="AF7" i="3"/>
  <c r="U6" i="2"/>
  <c r="Z6"/>
  <c r="AD5" i="3"/>
  <c r="U4" i="2"/>
  <c r="Z4"/>
  <c r="U2"/>
  <c r="AO38" i="4"/>
  <c r="AO39"/>
  <c r="AO40"/>
  <c r="AO41"/>
  <c r="AO42"/>
  <c r="AO47"/>
  <c r="AO48"/>
  <c r="AO49"/>
  <c r="AO58"/>
  <c r="AO64"/>
  <c r="AO65"/>
  <c r="AO66"/>
  <c r="AO72"/>
  <c r="AO73"/>
  <c r="AO74"/>
  <c r="AO75"/>
  <c r="CF74" i="5"/>
  <c r="CE73"/>
  <c r="AR73"/>
  <c r="BO72"/>
  <c r="AU72"/>
  <c r="AQ72"/>
  <c r="CM71"/>
  <c r="BO71"/>
  <c r="AT71"/>
  <c r="AP71"/>
  <c r="BO69"/>
  <c r="AV69"/>
  <c r="AG74"/>
  <c r="AU69"/>
  <c r="AC74"/>
  <c r="Y74"/>
  <c r="AR69"/>
  <c r="U74"/>
  <c r="AQ69"/>
  <c r="Q74"/>
  <c r="M74"/>
  <c r="CE67"/>
  <c r="CE65"/>
  <c r="DU73" i="3"/>
  <c r="CR74"/>
  <c r="CA74"/>
  <c r="AL74"/>
  <c r="AJ74"/>
  <c r="U71" i="2"/>
  <c r="Z71"/>
  <c r="U70"/>
  <c r="Z70"/>
  <c r="AG70" i="3"/>
  <c r="CC69"/>
  <c r="BI69"/>
  <c r="U68" i="2"/>
  <c r="Z68"/>
  <c r="AG68" i="3"/>
  <c r="CC67"/>
  <c r="BI67"/>
  <c r="U65" i="2"/>
  <c r="Z65"/>
  <c r="AE64" i="3"/>
  <c r="U62" i="2"/>
  <c r="Z62"/>
  <c r="U61"/>
  <c r="Z61"/>
  <c r="U60"/>
  <c r="Z60"/>
  <c r="U59"/>
  <c r="Z59"/>
  <c r="U58"/>
  <c r="Z58"/>
  <c r="U57"/>
  <c r="Z57"/>
  <c r="U56"/>
  <c r="Z56"/>
  <c r="U55"/>
  <c r="Z55"/>
  <c r="U53"/>
  <c r="Z53"/>
  <c r="U52"/>
  <c r="Z52"/>
  <c r="U51"/>
  <c r="Z51"/>
  <c r="U49"/>
  <c r="Z49"/>
  <c r="U46"/>
  <c r="Z46"/>
  <c r="EC42" i="3"/>
  <c r="U39" i="2"/>
  <c r="Z39"/>
  <c r="H81" i="1"/>
  <c r="Z81"/>
  <c r="AN81"/>
  <c r="W32"/>
  <c r="W40"/>
  <c r="W44"/>
  <c r="W53"/>
  <c r="EG74" i="3"/>
  <c r="BM74"/>
  <c r="EB74"/>
  <c r="DZ74"/>
  <c r="CC73"/>
  <c r="BI73"/>
  <c r="U72" i="2"/>
  <c r="Z72"/>
  <c r="AH72" i="3"/>
  <c r="AE72"/>
  <c r="AF72"/>
  <c r="AD72"/>
  <c r="AG72"/>
  <c r="EO71"/>
  <c r="AE71"/>
  <c r="AU70"/>
  <c r="AZ74"/>
  <c r="AX74"/>
  <c r="AV74"/>
  <c r="AS74"/>
  <c r="DU69"/>
  <c r="BY69"/>
  <c r="AO69"/>
  <c r="U69" i="2"/>
  <c r="Z69"/>
  <c r="AU68" i="3"/>
  <c r="DU67"/>
  <c r="BY67"/>
  <c r="AO67"/>
  <c r="U67" i="2"/>
  <c r="Z67"/>
  <c r="AU66" i="3"/>
  <c r="AR66"/>
  <c r="AO66"/>
  <c r="AG66"/>
  <c r="AC66"/>
  <c r="EO65"/>
  <c r="AH65"/>
  <c r="AG65"/>
  <c r="AE65"/>
  <c r="AC65"/>
  <c r="AD65"/>
  <c r="BY64"/>
  <c r="BL64"/>
  <c r="U64" i="2"/>
  <c r="Z64"/>
  <c r="AD63" i="3"/>
  <c r="EO62"/>
  <c r="AD61"/>
  <c r="EO60"/>
  <c r="AD59"/>
  <c r="EO58"/>
  <c r="AD57"/>
  <c r="EO56"/>
  <c r="AD55"/>
  <c r="EO54"/>
  <c r="AD53"/>
  <c r="EO52"/>
  <c r="BX51"/>
  <c r="AD51"/>
  <c r="EO50"/>
  <c r="BX49"/>
  <c r="AD49"/>
  <c r="CC48"/>
  <c r="BI48"/>
  <c r="CC47"/>
  <c r="EC46"/>
  <c r="AC46"/>
  <c r="BX44"/>
  <c r="U44" i="2"/>
  <c r="Z44"/>
  <c r="AH44" i="3"/>
  <c r="AF44"/>
  <c r="AD44"/>
  <c r="AG44"/>
  <c r="BX43"/>
  <c r="BY43"/>
  <c r="BL43"/>
  <c r="U43" i="2"/>
  <c r="Z43"/>
  <c r="AH43" i="3"/>
  <c r="AF43"/>
  <c r="AD43"/>
  <c r="BX42"/>
  <c r="BY42"/>
  <c r="BL42"/>
  <c r="U42" i="2"/>
  <c r="Z42"/>
  <c r="EC41" i="3"/>
  <c r="BX40"/>
  <c r="U40" i="2"/>
  <c r="Z40"/>
  <c r="EC39" i="3"/>
  <c r="BX38"/>
  <c r="U38" i="2"/>
  <c r="Z38"/>
  <c r="AF38" i="3"/>
  <c r="DU37"/>
  <c r="BX37"/>
  <c r="BY37"/>
  <c r="EO37"/>
  <c r="U37" i="2"/>
  <c r="Z37"/>
  <c r="U36"/>
  <c r="Z36"/>
  <c r="CL35" i="3"/>
  <c r="EI34"/>
  <c r="CL33"/>
  <c r="EI32"/>
  <c r="CL31"/>
  <c r="EI30"/>
  <c r="CL29"/>
  <c r="EI28"/>
  <c r="BX27"/>
  <c r="AO27"/>
  <c r="BX26"/>
  <c r="U26" i="2"/>
  <c r="Z26"/>
  <c r="AH26" i="3"/>
  <c r="AF26"/>
  <c r="AD26"/>
  <c r="AG26"/>
  <c r="AU25"/>
  <c r="EO25"/>
  <c r="AO25"/>
  <c r="DU24"/>
  <c r="BX24"/>
  <c r="BY24"/>
  <c r="AO24"/>
  <c r="U24" i="2"/>
  <c r="Z24"/>
  <c r="EO23" i="3"/>
  <c r="AO23"/>
  <c r="BX22"/>
  <c r="BY22"/>
  <c r="BL22"/>
  <c r="U22" i="2"/>
  <c r="Z22"/>
  <c r="DU21" i="3"/>
  <c r="BX21"/>
  <c r="BY21"/>
  <c r="AO21"/>
  <c r="U21" i="2"/>
  <c r="Z21"/>
  <c r="AU20" i="3"/>
  <c r="AG20"/>
  <c r="AC20"/>
  <c r="AH19"/>
  <c r="AF19"/>
  <c r="AD19"/>
  <c r="AE19"/>
  <c r="U18" i="2"/>
  <c r="Z18"/>
  <c r="BX17" i="3"/>
  <c r="BY17"/>
  <c r="BL17"/>
  <c r="U17" i="2"/>
  <c r="Z17"/>
  <c r="CL16" i="3"/>
  <c r="BX15"/>
  <c r="BY15"/>
  <c r="BL15"/>
  <c r="U15" i="2"/>
  <c r="Z15"/>
  <c r="CL14" i="3"/>
  <c r="BX13"/>
  <c r="BY13"/>
  <c r="BL13"/>
  <c r="U13" i="2"/>
  <c r="Z13"/>
  <c r="CL12" i="3"/>
  <c r="AH12"/>
  <c r="AE12"/>
  <c r="AF12"/>
  <c r="AH11"/>
  <c r="AF11"/>
  <c r="AD11"/>
  <c r="AE11"/>
  <c r="BX10"/>
  <c r="BL10"/>
  <c r="U10" i="2"/>
  <c r="Z10"/>
  <c r="AH10" i="3"/>
  <c r="AF10"/>
  <c r="BX9"/>
  <c r="BL9"/>
  <c r="U9" i="2"/>
  <c r="Z9"/>
  <c r="AH9" i="3"/>
  <c r="AF9"/>
  <c r="BX8"/>
  <c r="BL8"/>
  <c r="U8" i="2"/>
  <c r="Z8"/>
  <c r="AH8" i="3"/>
  <c r="AF8"/>
  <c r="BX6"/>
  <c r="AD6"/>
  <c r="U5" i="2"/>
  <c r="Z5"/>
  <c r="AD4" i="3"/>
  <c r="U3" i="2"/>
  <c r="Z3"/>
  <c r="EO2" i="3"/>
  <c r="BO73" i="5"/>
  <c r="Z74"/>
  <c r="AT73"/>
  <c r="N74"/>
  <c r="AP73"/>
  <c r="CV70"/>
  <c r="BO70"/>
  <c r="AT70"/>
  <c r="AP70"/>
  <c r="CV68"/>
  <c r="BO68"/>
  <c r="AT68"/>
  <c r="AP68"/>
  <c r="BO67"/>
  <c r="AT67"/>
  <c r="AP67"/>
  <c r="BO65"/>
  <c r="AT65"/>
  <c r="AP65"/>
  <c r="CX63"/>
  <c r="DE63"/>
  <c r="BO63"/>
  <c r="AT57"/>
  <c r="AP57"/>
  <c r="AU55"/>
  <c r="AQ55"/>
  <c r="DA54"/>
  <c r="BO54"/>
  <c r="AT54"/>
  <c r="AP54"/>
  <c r="CV47"/>
  <c r="AU47"/>
  <c r="AQ47"/>
  <c r="DA46"/>
  <c r="BO46"/>
  <c r="AT46"/>
  <c r="AP46"/>
  <c r="CV39"/>
  <c r="AU39"/>
  <c r="AQ39"/>
  <c r="DA38"/>
  <c r="BO38"/>
  <c r="AT38"/>
  <c r="AP38"/>
  <c r="CV35"/>
  <c r="AU35"/>
  <c r="AQ35"/>
  <c r="DA30"/>
  <c r="CV29"/>
  <c r="CX28"/>
  <c r="DE28"/>
  <c r="CR73"/>
  <c r="CM72"/>
  <c r="CB72"/>
  <c r="CR71"/>
  <c r="CR70"/>
  <c r="CM69"/>
  <c r="CB69"/>
  <c r="AZ69"/>
  <c r="CR68"/>
  <c r="CR67"/>
  <c r="CE66"/>
  <c r="AX66"/>
  <c r="AV66"/>
  <c r="AT66"/>
  <c r="AR66"/>
  <c r="AP66"/>
  <c r="CR65"/>
  <c r="CE64"/>
  <c r="AX64"/>
  <c r="AV64"/>
  <c r="AT64"/>
  <c r="AR64"/>
  <c r="AP64"/>
  <c r="CM63"/>
  <c r="CB63"/>
  <c r="AZ63"/>
  <c r="CV62"/>
  <c r="CB62"/>
  <c r="AU62"/>
  <c r="AS62"/>
  <c r="AQ62"/>
  <c r="AO62"/>
  <c r="CM61"/>
  <c r="CB61"/>
  <c r="AZ61"/>
  <c r="AX61"/>
  <c r="AV61"/>
  <c r="AU61"/>
  <c r="CM60"/>
  <c r="CE59"/>
  <c r="CV58"/>
  <c r="CB58"/>
  <c r="CB57"/>
  <c r="AZ57"/>
  <c r="CR55"/>
  <c r="CE55"/>
  <c r="DE54"/>
  <c r="CR54"/>
  <c r="CM53"/>
  <c r="AS53"/>
  <c r="AO53"/>
  <c r="CE52"/>
  <c r="AX52"/>
  <c r="AV52"/>
  <c r="AR52"/>
  <c r="CV51"/>
  <c r="CB51"/>
  <c r="AX51"/>
  <c r="AV51"/>
  <c r="AU51"/>
  <c r="AT51"/>
  <c r="AR51"/>
  <c r="AQ51"/>
  <c r="AP51"/>
  <c r="DA50"/>
  <c r="BO50"/>
  <c r="AU50"/>
  <c r="AT50"/>
  <c r="AS50"/>
  <c r="AQ50"/>
  <c r="AP50"/>
  <c r="AO50"/>
  <c r="CM48"/>
  <c r="CB48"/>
  <c r="AZ48"/>
  <c r="CR47"/>
  <c r="CE47"/>
  <c r="DE46"/>
  <c r="CR46"/>
  <c r="CM45"/>
  <c r="AS45"/>
  <c r="AO45"/>
  <c r="CE44"/>
  <c r="AX44"/>
  <c r="AV44"/>
  <c r="AR44"/>
  <c r="CV43"/>
  <c r="CB43"/>
  <c r="AX43"/>
  <c r="AV43"/>
  <c r="AU43"/>
  <c r="AT43"/>
  <c r="AR43"/>
  <c r="AQ43"/>
  <c r="AP43"/>
  <c r="DA42"/>
  <c r="BO42"/>
  <c r="AU42"/>
  <c r="AT42"/>
  <c r="AS42"/>
  <c r="AQ42"/>
  <c r="AP42"/>
  <c r="AO42"/>
  <c r="CM40"/>
  <c r="CB40"/>
  <c r="AZ40"/>
  <c r="CR39"/>
  <c r="CE39"/>
  <c r="DE38"/>
  <c r="CR38"/>
  <c r="CE36"/>
  <c r="AX36"/>
  <c r="AV36"/>
  <c r="AR36"/>
  <c r="CR35"/>
  <c r="CE35"/>
  <c r="DA34"/>
  <c r="BO34"/>
  <c r="AU34"/>
  <c r="AT34"/>
  <c r="AS34"/>
  <c r="AQ34"/>
  <c r="AP34"/>
  <c r="AO34"/>
  <c r="CM33"/>
  <c r="AS33"/>
  <c r="AO33"/>
  <c r="CM32"/>
  <c r="CB32"/>
  <c r="AZ32"/>
  <c r="CV31"/>
  <c r="CB31"/>
  <c r="AX31"/>
  <c r="AV31"/>
  <c r="AU31"/>
  <c r="AT31"/>
  <c r="AR31"/>
  <c r="AQ31"/>
  <c r="AP31"/>
  <c r="DE30"/>
  <c r="CE30"/>
  <c r="AX30"/>
  <c r="AV30"/>
  <c r="AR30"/>
  <c r="CR29"/>
  <c r="CE29"/>
  <c r="DA28"/>
  <c r="CM28"/>
  <c r="BO28"/>
  <c r="AT28"/>
  <c r="AP28"/>
  <c r="BO24"/>
  <c r="CV23"/>
  <c r="AU23"/>
  <c r="AQ23"/>
  <c r="DA22"/>
  <c r="BO22"/>
  <c r="AT22"/>
  <c r="AP22"/>
  <c r="CV19"/>
  <c r="AU19"/>
  <c r="AQ19"/>
  <c r="BO17"/>
  <c r="CV15"/>
  <c r="CV12"/>
  <c r="AU10"/>
  <c r="AQ10"/>
  <c r="DA9"/>
  <c r="BO9"/>
  <c r="AU9"/>
  <c r="AT9"/>
  <c r="AS9"/>
  <c r="AQ9"/>
  <c r="AP9"/>
  <c r="AO9"/>
  <c r="CE8"/>
  <c r="AX8"/>
  <c r="AV8"/>
  <c r="AR8"/>
  <c r="CV7"/>
  <c r="CB7"/>
  <c r="AX7"/>
  <c r="AV7"/>
  <c r="AU7"/>
  <c r="AT7"/>
  <c r="AR7"/>
  <c r="AQ7"/>
  <c r="AP7"/>
  <c r="DA6"/>
  <c r="BO6"/>
  <c r="AU6"/>
  <c r="AT6"/>
  <c r="AS6"/>
  <c r="AQ6"/>
  <c r="AP6"/>
  <c r="AO6"/>
  <c r="CM5"/>
  <c r="AS5"/>
  <c r="AO5"/>
  <c r="CM4"/>
  <c r="CB4"/>
  <c r="AZ4"/>
  <c r="CV3"/>
  <c r="CB3"/>
  <c r="AX3"/>
  <c r="AV3"/>
  <c r="AU3"/>
  <c r="AT3"/>
  <c r="AR3"/>
  <c r="AQ3"/>
  <c r="AP3"/>
  <c r="DE2"/>
  <c r="CR2"/>
  <c r="AX29"/>
  <c r="AV29"/>
  <c r="AU29"/>
  <c r="AT29"/>
  <c r="AR29"/>
  <c r="AP29"/>
  <c r="CR28"/>
  <c r="CB27"/>
  <c r="AX27"/>
  <c r="AV27"/>
  <c r="AT27"/>
  <c r="AR27"/>
  <c r="AP27"/>
  <c r="DA26"/>
  <c r="BO26"/>
  <c r="AU26"/>
  <c r="AT26"/>
  <c r="AS26"/>
  <c r="AQ26"/>
  <c r="AP26"/>
  <c r="AO26"/>
  <c r="CM24"/>
  <c r="CB24"/>
  <c r="AZ24"/>
  <c r="CR23"/>
  <c r="CE23"/>
  <c r="DE22"/>
  <c r="CR22"/>
  <c r="CE20"/>
  <c r="AX20"/>
  <c r="AV20"/>
  <c r="AR20"/>
  <c r="CR19"/>
  <c r="CE19"/>
  <c r="DA18"/>
  <c r="BO18"/>
  <c r="AU18"/>
  <c r="AT18"/>
  <c r="AS18"/>
  <c r="AQ18"/>
  <c r="AP18"/>
  <c r="AO18"/>
  <c r="CR17"/>
  <c r="CE16"/>
  <c r="AX16"/>
  <c r="AV16"/>
  <c r="AT16"/>
  <c r="AR16"/>
  <c r="AP16"/>
  <c r="CR15"/>
  <c r="CV14"/>
  <c r="CM14"/>
  <c r="CB14"/>
  <c r="DA13"/>
  <c r="CM13"/>
  <c r="CB13"/>
  <c r="AZ13"/>
  <c r="CR12"/>
  <c r="CE12"/>
  <c r="AS12"/>
  <c r="AO12"/>
  <c r="CE11"/>
  <c r="CR10"/>
  <c r="CE10"/>
  <c r="DA2"/>
  <c r="BO2"/>
  <c r="CD82" i="9"/>
  <c r="CD84" s="1"/>
  <c r="E2" i="2"/>
  <c r="AX33" i="9"/>
  <c r="AT82"/>
  <c r="AR82"/>
  <c r="AH19"/>
  <c r="AD82"/>
  <c r="W82"/>
  <c r="W84" s="1"/>
  <c r="W86" s="1"/>
  <c r="AP81"/>
  <c r="Z82"/>
  <c r="AB9"/>
  <c r="AB82" s="1"/>
  <c r="W52" i="1"/>
  <c r="W56"/>
  <c r="W78"/>
  <c r="W80"/>
  <c r="BU74" i="3"/>
  <c r="BQ74" s="1"/>
  <c r="AG73"/>
  <c r="AC73"/>
  <c r="DU72"/>
  <c r="BY72"/>
  <c r="BL72"/>
  <c r="AO72"/>
  <c r="AR72" s="1"/>
  <c r="K72" i="2"/>
  <c r="CC71" i="3"/>
  <c r="BI71"/>
  <c r="DU70"/>
  <c r="BY70"/>
  <c r="BL70"/>
  <c r="AO70"/>
  <c r="AR70" s="1"/>
  <c r="K70" i="2"/>
  <c r="AG69" i="3"/>
  <c r="AC69"/>
  <c r="DU68"/>
  <c r="BY68"/>
  <c r="BL68"/>
  <c r="AO68"/>
  <c r="AR68" s="1"/>
  <c r="K68" i="2"/>
  <c r="AG67" i="3"/>
  <c r="AC67"/>
  <c r="K66" i="2"/>
  <c r="AH66" i="3"/>
  <c r="AF66"/>
  <c r="AD66"/>
  <c r="EC65"/>
  <c r="AO65"/>
  <c r="K65" i="2"/>
  <c r="EO64" i="3"/>
  <c r="EI64"/>
  <c r="CH64"/>
  <c r="AF63"/>
  <c r="K62" i="2"/>
  <c r="AF61" i="3"/>
  <c r="K60" i="2"/>
  <c r="AF59" i="3"/>
  <c r="K58" i="2"/>
  <c r="AF57" i="3"/>
  <c r="K56" i="2"/>
  <c r="AF55" i="3"/>
  <c r="K54" i="2"/>
  <c r="AF53" i="3"/>
  <c r="K52" i="2"/>
  <c r="AF51" i="3"/>
  <c r="K50" i="2"/>
  <c r="AF49" i="3"/>
  <c r="EO48"/>
  <c r="AG48"/>
  <c r="AC48"/>
  <c r="AU47"/>
  <c r="EO47"/>
  <c r="AH46"/>
  <c r="AF46"/>
  <c r="AD46"/>
  <c r="BY45"/>
  <c r="BL45"/>
  <c r="K45" i="2"/>
  <c r="AH45" i="3"/>
  <c r="AF45"/>
  <c r="AD45"/>
  <c r="AG45"/>
  <c r="BY44"/>
  <c r="BL44"/>
  <c r="K44" i="2"/>
  <c r="AU42" i="3"/>
  <c r="AH42"/>
  <c r="AF42"/>
  <c r="AD42"/>
  <c r="AU41"/>
  <c r="K40" i="2"/>
  <c r="AG40" i="3"/>
  <c r="AE40"/>
  <c r="AC40"/>
  <c r="EO39"/>
  <c r="AU39"/>
  <c r="K38" i="2"/>
  <c r="AG38" i="3"/>
  <c r="AE38"/>
  <c r="AC38"/>
  <c r="K37" i="2"/>
  <c r="AH36" i="3"/>
  <c r="AG36"/>
  <c r="AE36"/>
  <c r="AC36"/>
  <c r="AD36"/>
  <c r="EI35"/>
  <c r="CH35"/>
  <c r="CL34"/>
  <c r="BY34"/>
  <c r="K34" i="2"/>
  <c r="AG34" i="3"/>
  <c r="AE34"/>
  <c r="AC34"/>
  <c r="AF34"/>
  <c r="EI33"/>
  <c r="CH33"/>
  <c r="CL32"/>
  <c r="BY32"/>
  <c r="K32" i="2"/>
  <c r="AG32" i="3"/>
  <c r="AE32"/>
  <c r="AC32"/>
  <c r="AF32"/>
  <c r="EI31"/>
  <c r="CH31"/>
  <c r="CL30"/>
  <c r="BY30"/>
  <c r="K30" i="2"/>
  <c r="AG30" i="3"/>
  <c r="AE30"/>
  <c r="AC30"/>
  <c r="AF30"/>
  <c r="EI29"/>
  <c r="CH29"/>
  <c r="CL28"/>
  <c r="BY28"/>
  <c r="K28" i="2"/>
  <c r="AG28" i="3"/>
  <c r="AE28"/>
  <c r="AC28"/>
  <c r="AF28"/>
  <c r="EO27"/>
  <c r="EI27"/>
  <c r="CH27"/>
  <c r="K27" i="2"/>
  <c r="AH27" i="3"/>
  <c r="AF27"/>
  <c r="AD27"/>
  <c r="AG27"/>
  <c r="DU26"/>
  <c r="BY26"/>
  <c r="BL26"/>
  <c r="AO26"/>
  <c r="AR26" s="1"/>
  <c r="K26" i="2"/>
  <c r="EC25" i="3"/>
  <c r="K25" i="2"/>
  <c r="EO24" i="3"/>
  <c r="AG24"/>
  <c r="AC24"/>
  <c r="EC23"/>
  <c r="K23" i="2"/>
  <c r="EO22" i="3"/>
  <c r="AU22"/>
  <c r="CC22"/>
  <c r="BI22"/>
  <c r="AH22"/>
  <c r="AF22"/>
  <c r="AD22"/>
  <c r="AE22"/>
  <c r="EO21"/>
  <c r="AG21"/>
  <c r="AC21"/>
  <c r="DU20"/>
  <c r="BY20"/>
  <c r="BL20"/>
  <c r="AO20"/>
  <c r="AR20" s="1"/>
  <c r="K20" i="2"/>
  <c r="AH20" i="3"/>
  <c r="AF20"/>
  <c r="AD20"/>
  <c r="DU19"/>
  <c r="BY19"/>
  <c r="BL19"/>
  <c r="AG18"/>
  <c r="AE18"/>
  <c r="AC18"/>
  <c r="EI17"/>
  <c r="CH17"/>
  <c r="AH17"/>
  <c r="AG17"/>
  <c r="AE17"/>
  <c r="AC17"/>
  <c r="AD17"/>
  <c r="EI16"/>
  <c r="CH16"/>
  <c r="AH16"/>
  <c r="AG16"/>
  <c r="AE16"/>
  <c r="AC16"/>
  <c r="AD16"/>
  <c r="EI15"/>
  <c r="CH15"/>
  <c r="AH15"/>
  <c r="AG15"/>
  <c r="AE15"/>
  <c r="AC15"/>
  <c r="AD15"/>
  <c r="EI14"/>
  <c r="CH14"/>
  <c r="AH14"/>
  <c r="AG14"/>
  <c r="AE14"/>
  <c r="AC14"/>
  <c r="AD14"/>
  <c r="EI13"/>
  <c r="CH13"/>
  <c r="AH13"/>
  <c r="AG13"/>
  <c r="AE13"/>
  <c r="AC13"/>
  <c r="AD13"/>
  <c r="EI12"/>
  <c r="CH12"/>
  <c r="DU11"/>
  <c r="K11" i="2"/>
  <c r="EI6" i="3"/>
  <c r="K6" i="2"/>
  <c r="EI5" i="3"/>
  <c r="K5" i="2"/>
  <c r="EI4" i="3"/>
  <c r="K4" i="2"/>
  <c r="EI3" i="3"/>
  <c r="K3" i="2"/>
  <c r="EI2" i="3"/>
  <c r="AR2"/>
  <c r="K2" i="2"/>
  <c r="AZ73" i="5"/>
  <c r="BF73" s="1"/>
  <c r="BI73" s="1"/>
  <c r="CV72"/>
  <c r="AZ71"/>
  <c r="BF71" s="1"/>
  <c r="BI71" s="1"/>
  <c r="AZ70"/>
  <c r="BF70" s="1"/>
  <c r="BI70" s="1"/>
  <c r="DC69"/>
  <c r="CV69"/>
  <c r="BF69"/>
  <c r="BI69" s="1"/>
  <c r="AZ68"/>
  <c r="BF68" s="1"/>
  <c r="BI68" s="1"/>
  <c r="CV66"/>
  <c r="BF66"/>
  <c r="BI66" s="1"/>
  <c r="CV63"/>
  <c r="BF63"/>
  <c r="BI63" s="1"/>
  <c r="BO62"/>
  <c r="AZ62"/>
  <c r="BF62" s="1"/>
  <c r="BI62" s="1"/>
  <c r="DC61"/>
  <c r="CY61"/>
  <c r="CV61"/>
  <c r="BF61"/>
  <c r="BI61" s="1"/>
  <c r="DC59"/>
  <c r="CY59"/>
  <c r="CV59"/>
  <c r="BF59"/>
  <c r="BI59" s="1"/>
  <c r="BO58"/>
  <c r="AZ58"/>
  <c r="BF58" s="1"/>
  <c r="BI58" s="1"/>
  <c r="AX57"/>
  <c r="AV57"/>
  <c r="ES74" i="3"/>
  <c r="BL74"/>
  <c r="EC73"/>
  <c r="K73" i="2"/>
  <c r="CC72" i="3"/>
  <c r="BI72"/>
  <c r="EC71"/>
  <c r="AO71"/>
  <c r="AR71" s="1"/>
  <c r="K71" i="2"/>
  <c r="CC70" i="3"/>
  <c r="BI70"/>
  <c r="EC69"/>
  <c r="K69" i="2"/>
  <c r="CC68" i="3"/>
  <c r="BI68"/>
  <c r="AE68"/>
  <c r="EC67"/>
  <c r="K67" i="2"/>
  <c r="DY64" i="3"/>
  <c r="K64" i="2"/>
  <c r="K63"/>
  <c r="K61"/>
  <c r="K59"/>
  <c r="K57"/>
  <c r="K55"/>
  <c r="K53"/>
  <c r="K51"/>
  <c r="K49"/>
  <c r="K48"/>
  <c r="EC47" i="3"/>
  <c r="K47" i="2"/>
  <c r="AG47" i="3"/>
  <c r="K46" i="2"/>
  <c r="K43"/>
  <c r="AG43" i="3"/>
  <c r="K42" i="2"/>
  <c r="K41"/>
  <c r="AG41" i="3"/>
  <c r="K39" i="2"/>
  <c r="AG39" i="3"/>
  <c r="K36" i="2"/>
  <c r="K35"/>
  <c r="AF35" i="3"/>
  <c r="CH34"/>
  <c r="K33" i="2"/>
  <c r="AF33" i="3"/>
  <c r="CH32"/>
  <c r="K31" i="2"/>
  <c r="AF31" i="3"/>
  <c r="CH30"/>
  <c r="K29" i="2"/>
  <c r="AF29" i="3"/>
  <c r="CH28"/>
  <c r="AR27"/>
  <c r="CC26"/>
  <c r="BI26"/>
  <c r="AE26"/>
  <c r="EC24"/>
  <c r="K24" i="2"/>
  <c r="DU22" i="3"/>
  <c r="AO22"/>
  <c r="AR22" s="1"/>
  <c r="K22" i="2"/>
  <c r="EC21" i="3"/>
  <c r="K21" i="2"/>
  <c r="CC20" i="3"/>
  <c r="BI20"/>
  <c r="EC19"/>
  <c r="CC19"/>
  <c r="BI19"/>
  <c r="K19" i="2"/>
  <c r="K18"/>
  <c r="K17"/>
  <c r="K16"/>
  <c r="K15"/>
  <c r="K14"/>
  <c r="K13"/>
  <c r="DY12" i="3"/>
  <c r="K12" i="2"/>
  <c r="AD12" i="3"/>
  <c r="EC11"/>
  <c r="EO11"/>
  <c r="EI10"/>
  <c r="K10" i="2"/>
  <c r="EI9" i="3"/>
  <c r="K9" i="2"/>
  <c r="EI8" i="3"/>
  <c r="K8" i="2"/>
  <c r="EO7" i="3"/>
  <c r="EI7"/>
  <c r="K7" i="2"/>
  <c r="AF6" i="3"/>
  <c r="AF5"/>
  <c r="AF4"/>
  <c r="AF3"/>
  <c r="AO76" i="4"/>
  <c r="AO77"/>
  <c r="AO79"/>
  <c r="AO80"/>
  <c r="CE74" i="5"/>
  <c r="BA74"/>
  <c r="AD74"/>
  <c r="X74"/>
  <c r="R74"/>
  <c r="L74"/>
  <c r="CV73"/>
  <c r="CB73"/>
  <c r="CR72"/>
  <c r="AZ72"/>
  <c r="BF72" s="1"/>
  <c r="BI72" s="1"/>
  <c r="CV71"/>
  <c r="CB71"/>
  <c r="CE70"/>
  <c r="DE69"/>
  <c r="CR69"/>
  <c r="CE68"/>
  <c r="DE67"/>
  <c r="CV67"/>
  <c r="CB67"/>
  <c r="AZ67"/>
  <c r="BF67" s="1"/>
  <c r="BI67" s="1"/>
  <c r="CR66"/>
  <c r="CV65"/>
  <c r="CB65"/>
  <c r="AZ65"/>
  <c r="BF65" s="1"/>
  <c r="BI65" s="1"/>
  <c r="CM64"/>
  <c r="AZ64"/>
  <c r="BF64" s="1"/>
  <c r="BI64" s="1"/>
  <c r="CR63"/>
  <c r="CM62"/>
  <c r="DE61"/>
  <c r="DA61"/>
  <c r="CR61"/>
  <c r="CE60"/>
  <c r="BO60"/>
  <c r="AZ60"/>
  <c r="BF60" s="1"/>
  <c r="BI60" s="1"/>
  <c r="AX60"/>
  <c r="AV60"/>
  <c r="AT60"/>
  <c r="DE59"/>
  <c r="DA59"/>
  <c r="CR59"/>
  <c r="CM58"/>
  <c r="CX57"/>
  <c r="DA57"/>
  <c r="DE57"/>
  <c r="CY57"/>
  <c r="CV57"/>
  <c r="CM57"/>
  <c r="BF57"/>
  <c r="BI57" s="1"/>
  <c r="CE56"/>
  <c r="CV55"/>
  <c r="BO55"/>
  <c r="AZ55"/>
  <c r="BF55" s="1"/>
  <c r="BI55" s="1"/>
  <c r="AX58"/>
  <c r="AV58"/>
  <c r="AT58"/>
  <c r="CR57"/>
  <c r="CR56"/>
  <c r="AU56"/>
  <c r="AS56"/>
  <c r="AQ56"/>
  <c r="AO56"/>
  <c r="CM55"/>
  <c r="DC54"/>
  <c r="CY54"/>
  <c r="CV54"/>
  <c r="CB54"/>
  <c r="AZ54"/>
  <c r="BF54" s="1"/>
  <c r="BI54" s="1"/>
  <c r="CE53"/>
  <c r="BO53"/>
  <c r="AZ53"/>
  <c r="BF53" s="1"/>
  <c r="BI53" s="1"/>
  <c r="AX53"/>
  <c r="AV53"/>
  <c r="AT53"/>
  <c r="AR53"/>
  <c r="AP53"/>
  <c r="DE52"/>
  <c r="DA52"/>
  <c r="CR52"/>
  <c r="AU52"/>
  <c r="AS52"/>
  <c r="AQ52"/>
  <c r="AO52"/>
  <c r="CM51"/>
  <c r="DC50"/>
  <c r="CY50"/>
  <c r="CV50"/>
  <c r="CB50"/>
  <c r="AZ50"/>
  <c r="BF50" s="1"/>
  <c r="BI50" s="1"/>
  <c r="CE49"/>
  <c r="BO49"/>
  <c r="AZ49"/>
  <c r="BF49" s="1"/>
  <c r="BI49" s="1"/>
  <c r="AX49"/>
  <c r="AV49"/>
  <c r="AT49"/>
  <c r="AR49"/>
  <c r="AP49"/>
  <c r="DE48"/>
  <c r="DA48"/>
  <c r="CR48"/>
  <c r="AU48"/>
  <c r="AS48"/>
  <c r="AQ48"/>
  <c r="AO48"/>
  <c r="CM47"/>
  <c r="DC46"/>
  <c r="CY46"/>
  <c r="CV46"/>
  <c r="CB46"/>
  <c r="AZ46"/>
  <c r="BF46" s="1"/>
  <c r="BI46" s="1"/>
  <c r="CE45"/>
  <c r="BO45"/>
  <c r="AZ45"/>
  <c r="BF45" s="1"/>
  <c r="BI45" s="1"/>
  <c r="AX45"/>
  <c r="AV45"/>
  <c r="AT45"/>
  <c r="AR45"/>
  <c r="AP45"/>
  <c r="DE44"/>
  <c r="DA44"/>
  <c r="CR44"/>
  <c r="AU44"/>
  <c r="AS44"/>
  <c r="AQ44"/>
  <c r="AO44"/>
  <c r="CM43"/>
  <c r="DC42"/>
  <c r="CY42"/>
  <c r="CV42"/>
  <c r="CB42"/>
  <c r="AZ42"/>
  <c r="BF42" s="1"/>
  <c r="BI42" s="1"/>
  <c r="CE41"/>
  <c r="BO41"/>
  <c r="AZ41"/>
  <c r="BF41" s="1"/>
  <c r="BI41" s="1"/>
  <c r="AX41"/>
  <c r="AV41"/>
  <c r="AT41"/>
  <c r="AR41"/>
  <c r="AP41"/>
  <c r="DE40"/>
  <c r="DA40"/>
  <c r="CR40"/>
  <c r="AU40"/>
  <c r="AS40"/>
  <c r="AQ40"/>
  <c r="AO40"/>
  <c r="CM39"/>
  <c r="DC38"/>
  <c r="CY38"/>
  <c r="CV38"/>
  <c r="CB38"/>
  <c r="AZ38"/>
  <c r="BF38" s="1"/>
  <c r="BI38" s="1"/>
  <c r="CE37"/>
  <c r="BO37"/>
  <c r="AZ37"/>
  <c r="BF37" s="1"/>
  <c r="BI37" s="1"/>
  <c r="AX37"/>
  <c r="AV37"/>
  <c r="AT37"/>
  <c r="AR37"/>
  <c r="AP37"/>
  <c r="DE36"/>
  <c r="DA36"/>
  <c r="CR36"/>
  <c r="AU36"/>
  <c r="AS36"/>
  <c r="AQ36"/>
  <c r="AO36"/>
  <c r="CM35"/>
  <c r="DC34"/>
  <c r="CY34"/>
  <c r="CV34"/>
  <c r="CB34"/>
  <c r="AZ34"/>
  <c r="BF34" s="1"/>
  <c r="BI34" s="1"/>
  <c r="CE33"/>
  <c r="BO33"/>
  <c r="AZ33"/>
  <c r="BF33" s="1"/>
  <c r="BI33" s="1"/>
  <c r="AX33"/>
  <c r="AV33"/>
  <c r="AT33"/>
  <c r="AR33"/>
  <c r="AP33"/>
  <c r="DE32"/>
  <c r="DA32"/>
  <c r="CR32"/>
  <c r="AU32"/>
  <c r="AS32"/>
  <c r="AQ32"/>
  <c r="AO32"/>
  <c r="CM31"/>
  <c r="CR30"/>
  <c r="AU30"/>
  <c r="AS30"/>
  <c r="AQ30"/>
  <c r="AO30"/>
  <c r="CM29"/>
  <c r="DC28"/>
  <c r="CY28"/>
  <c r="CV28"/>
  <c r="CB28"/>
  <c r="AZ28"/>
  <c r="BF28" s="1"/>
  <c r="BI28" s="1"/>
  <c r="CV27"/>
  <c r="BO27"/>
  <c r="AZ27"/>
  <c r="BF27" s="1"/>
  <c r="BI27" s="1"/>
  <c r="AU27"/>
  <c r="AQ27"/>
  <c r="DC52"/>
  <c r="CY52"/>
  <c r="CV52"/>
  <c r="BF52"/>
  <c r="BI52" s="1"/>
  <c r="BO51"/>
  <c r="AZ51"/>
  <c r="BF51" s="1"/>
  <c r="BI51" s="1"/>
  <c r="DC48"/>
  <c r="CY48"/>
  <c r="CV48"/>
  <c r="BF48"/>
  <c r="BI48" s="1"/>
  <c r="BO47"/>
  <c r="AZ47"/>
  <c r="BF47" s="1"/>
  <c r="BI47" s="1"/>
  <c r="DC44"/>
  <c r="CY44"/>
  <c r="CV44"/>
  <c r="BF44"/>
  <c r="BI44" s="1"/>
  <c r="BO43"/>
  <c r="AZ43"/>
  <c r="BF43" s="1"/>
  <c r="BI43" s="1"/>
  <c r="DC40"/>
  <c r="CY40"/>
  <c r="CV40"/>
  <c r="BF40"/>
  <c r="BI40" s="1"/>
  <c r="BO39"/>
  <c r="AZ39"/>
  <c r="BF39" s="1"/>
  <c r="BI39" s="1"/>
  <c r="DC36"/>
  <c r="CY36"/>
  <c r="CV36"/>
  <c r="BF36"/>
  <c r="BI36" s="1"/>
  <c r="BO35"/>
  <c r="AZ35"/>
  <c r="BF35" s="1"/>
  <c r="BI35" s="1"/>
  <c r="DC32"/>
  <c r="CY32"/>
  <c r="CV32"/>
  <c r="BF32"/>
  <c r="BI32" s="1"/>
  <c r="BO31"/>
  <c r="AZ31"/>
  <c r="BF31" s="1"/>
  <c r="BI31" s="1"/>
  <c r="BF30"/>
  <c r="BI30" s="1"/>
  <c r="BO29"/>
  <c r="AZ29"/>
  <c r="BF29" s="1"/>
  <c r="BI29" s="1"/>
  <c r="AU28"/>
  <c r="AS28"/>
  <c r="AQ28"/>
  <c r="AO28"/>
  <c r="CM27"/>
  <c r="DC26"/>
  <c r="CY26"/>
  <c r="CV26"/>
  <c r="CB26"/>
  <c r="AZ26"/>
  <c r="BF26" s="1"/>
  <c r="BI26" s="1"/>
  <c r="CE25"/>
  <c r="BO25"/>
  <c r="AZ25"/>
  <c r="BF25" s="1"/>
  <c r="BI25" s="1"/>
  <c r="AX25"/>
  <c r="AV25"/>
  <c r="AT25"/>
  <c r="AR25"/>
  <c r="AP25"/>
  <c r="DE24"/>
  <c r="DA24"/>
  <c r="CR24"/>
  <c r="AU24"/>
  <c r="AS24"/>
  <c r="AQ24"/>
  <c r="AO24"/>
  <c r="CM23"/>
  <c r="DC22"/>
  <c r="CY22"/>
  <c r="CV22"/>
  <c r="CB22"/>
  <c r="AZ22"/>
  <c r="BF22" s="1"/>
  <c r="BI22" s="1"/>
  <c r="CE21"/>
  <c r="BO21"/>
  <c r="AZ21"/>
  <c r="BF21" s="1"/>
  <c r="BI21" s="1"/>
  <c r="AX21"/>
  <c r="AV21"/>
  <c r="AT21"/>
  <c r="AR21"/>
  <c r="AP21"/>
  <c r="DE20"/>
  <c r="DA20"/>
  <c r="CR20"/>
  <c r="AU20"/>
  <c r="AS20"/>
  <c r="AQ20"/>
  <c r="AO20"/>
  <c r="CM19"/>
  <c r="DC18"/>
  <c r="CY18"/>
  <c r="CV18"/>
  <c r="CB18"/>
  <c r="AZ18"/>
  <c r="BF18" s="1"/>
  <c r="BI18" s="1"/>
  <c r="CB17"/>
  <c r="CR16"/>
  <c r="CE15"/>
  <c r="BO15"/>
  <c r="AZ15"/>
  <c r="BF15" s="1"/>
  <c r="BI15" s="1"/>
  <c r="CR14"/>
  <c r="AZ14"/>
  <c r="BF14" s="1"/>
  <c r="BI14" s="1"/>
  <c r="DC13"/>
  <c r="CR13"/>
  <c r="CM12"/>
  <c r="CX11"/>
  <c r="DA11"/>
  <c r="DE11"/>
  <c r="CY11"/>
  <c r="CV11"/>
  <c r="CM11"/>
  <c r="BF11"/>
  <c r="BI11" s="1"/>
  <c r="DC24"/>
  <c r="CY24"/>
  <c r="CV24"/>
  <c r="BF24"/>
  <c r="BI24" s="1"/>
  <c r="BO23"/>
  <c r="AZ23"/>
  <c r="BF23" s="1"/>
  <c r="BI23" s="1"/>
  <c r="DC20"/>
  <c r="CY20"/>
  <c r="CV20"/>
  <c r="BF20"/>
  <c r="BI20" s="1"/>
  <c r="BO19"/>
  <c r="AZ19"/>
  <c r="BF19" s="1"/>
  <c r="BI19" s="1"/>
  <c r="AZ17"/>
  <c r="BF17" s="1"/>
  <c r="BI17" s="1"/>
  <c r="CV16"/>
  <c r="BF16"/>
  <c r="BI16" s="1"/>
  <c r="CV13"/>
  <c r="BF13"/>
  <c r="BI13" s="1"/>
  <c r="CV10"/>
  <c r="BO10"/>
  <c r="AZ10"/>
  <c r="BF10" s="1"/>
  <c r="BI10" s="1"/>
  <c r="D74" i="2"/>
  <c r="BF8" i="5"/>
  <c r="BI8" s="1"/>
  <c r="BO7"/>
  <c r="AZ7"/>
  <c r="BF7" s="1"/>
  <c r="BI7" s="1"/>
  <c r="DC4"/>
  <c r="CY4"/>
  <c r="CV4"/>
  <c r="BF4"/>
  <c r="BI4" s="1"/>
  <c r="BO3"/>
  <c r="AZ3"/>
  <c r="BF3" s="1"/>
  <c r="BI3" s="1"/>
  <c r="AZ2"/>
  <c r="BF2" s="1"/>
  <c r="BI2" s="1"/>
  <c r="BO12"/>
  <c r="AZ12"/>
  <c r="BF12" s="1"/>
  <c r="BI12" s="1"/>
  <c r="AX12"/>
  <c r="AV12"/>
  <c r="AT12"/>
  <c r="AR12"/>
  <c r="AP12"/>
  <c r="CR11"/>
  <c r="AU11"/>
  <c r="AS11"/>
  <c r="AQ11"/>
  <c r="AO11"/>
  <c r="CM10"/>
  <c r="DC9"/>
  <c r="CY9"/>
  <c r="CV9"/>
  <c r="CB9"/>
  <c r="AZ9"/>
  <c r="BF9" s="1"/>
  <c r="BI9" s="1"/>
  <c r="CR8"/>
  <c r="AU8"/>
  <c r="AS8"/>
  <c r="AQ8"/>
  <c r="AO8"/>
  <c r="CM7"/>
  <c r="DC6"/>
  <c r="CY6"/>
  <c r="CV6"/>
  <c r="CB6"/>
  <c r="CB74" s="1"/>
  <c r="AZ6"/>
  <c r="BF6" s="1"/>
  <c r="BI6" s="1"/>
  <c r="CE5"/>
  <c r="BO5"/>
  <c r="AZ5"/>
  <c r="BF5" s="1"/>
  <c r="BI5" s="1"/>
  <c r="AX5"/>
  <c r="AV5"/>
  <c r="AV74" s="1"/>
  <c r="AT5"/>
  <c r="AR5"/>
  <c r="AR74" s="1"/>
  <c r="AP5"/>
  <c r="AP74" s="1"/>
  <c r="DE4"/>
  <c r="DA4"/>
  <c r="CR4"/>
  <c r="CR74" s="1"/>
  <c r="AU4"/>
  <c r="AS4"/>
  <c r="AS74" s="1"/>
  <c r="AQ4"/>
  <c r="AO4"/>
  <c r="AO74" s="1"/>
  <c r="CM3"/>
  <c r="DC2"/>
  <c r="CY2"/>
  <c r="CV2"/>
  <c r="CB2"/>
  <c r="J73" i="2"/>
  <c r="J72"/>
  <c r="L72" s="1"/>
  <c r="M72" s="1"/>
  <c r="J70"/>
  <c r="J69"/>
  <c r="L69" s="1"/>
  <c r="M69" s="1"/>
  <c r="J68"/>
  <c r="L68" s="1"/>
  <c r="M68" s="1"/>
  <c r="J66"/>
  <c r="L66" s="1"/>
  <c r="M66" s="1"/>
  <c r="J65"/>
  <c r="J64"/>
  <c r="L64" s="1"/>
  <c r="M64" s="1"/>
  <c r="J63"/>
  <c r="L63" s="1"/>
  <c r="M63" s="1"/>
  <c r="J62"/>
  <c r="L62" s="1"/>
  <c r="M62" s="1"/>
  <c r="J60"/>
  <c r="L60" s="1"/>
  <c r="M60" s="1"/>
  <c r="J2"/>
  <c r="L2" s="1"/>
  <c r="M2" s="1"/>
  <c r="J4"/>
  <c r="L4" s="1"/>
  <c r="M4" s="1"/>
  <c r="J6"/>
  <c r="L6" s="1"/>
  <c r="M6" s="1"/>
  <c r="J8"/>
  <c r="J10"/>
  <c r="L10" s="1"/>
  <c r="M10" s="1"/>
  <c r="J12"/>
  <c r="J14"/>
  <c r="L14" s="1"/>
  <c r="M14" s="1"/>
  <c r="J16"/>
  <c r="L16" s="1"/>
  <c r="M16" s="1"/>
  <c r="J18"/>
  <c r="L18" s="1"/>
  <c r="M18" s="1"/>
  <c r="J20"/>
  <c r="L20" s="1"/>
  <c r="M20" s="1"/>
  <c r="J22"/>
  <c r="L22" s="1"/>
  <c r="M22" s="1"/>
  <c r="J24"/>
  <c r="L24" s="1"/>
  <c r="M24" s="1"/>
  <c r="J26"/>
  <c r="L26" s="1"/>
  <c r="M26" s="1"/>
  <c r="J28"/>
  <c r="L28" s="1"/>
  <c r="M28" s="1"/>
  <c r="J30"/>
  <c r="L30" s="1"/>
  <c r="M30" s="1"/>
  <c r="J32"/>
  <c r="L32" s="1"/>
  <c r="M32" s="1"/>
  <c r="J34"/>
  <c r="L34" s="1"/>
  <c r="M34" s="1"/>
  <c r="J36"/>
  <c r="J38"/>
  <c r="L38" s="1"/>
  <c r="M38" s="1"/>
  <c r="J40"/>
  <c r="J42"/>
  <c r="L42" s="1"/>
  <c r="M42" s="1"/>
  <c r="J44"/>
  <c r="J46"/>
  <c r="L46" s="1"/>
  <c r="M46" s="1"/>
  <c r="J48"/>
  <c r="L48" s="1"/>
  <c r="M48" s="1"/>
  <c r="J50"/>
  <c r="L50" s="1"/>
  <c r="M50" s="1"/>
  <c r="J52"/>
  <c r="L52" s="1"/>
  <c r="M52" s="1"/>
  <c r="J54"/>
  <c r="L54" s="1"/>
  <c r="M54" s="1"/>
  <c r="J56"/>
  <c r="L56" s="1"/>
  <c r="M56" s="1"/>
  <c r="J58"/>
  <c r="L58" s="1"/>
  <c r="M58" s="1"/>
  <c r="J61"/>
  <c r="J3"/>
  <c r="L3" s="1"/>
  <c r="M3" s="1"/>
  <c r="J5"/>
  <c r="L5" s="1"/>
  <c r="M5" s="1"/>
  <c r="J7"/>
  <c r="L7" s="1"/>
  <c r="M7" s="1"/>
  <c r="J9"/>
  <c r="L9" s="1"/>
  <c r="M9" s="1"/>
  <c r="J11"/>
  <c r="L11" s="1"/>
  <c r="M11" s="1"/>
  <c r="J13"/>
  <c r="J15"/>
  <c r="L15" s="1"/>
  <c r="M15" s="1"/>
  <c r="J17"/>
  <c r="J19"/>
  <c r="L19" s="1"/>
  <c r="M19" s="1"/>
  <c r="J21"/>
  <c r="J23"/>
  <c r="L23" s="1"/>
  <c r="M23" s="1"/>
  <c r="J25"/>
  <c r="J27"/>
  <c r="L27" s="1"/>
  <c r="M27" s="1"/>
  <c r="J29"/>
  <c r="J31"/>
  <c r="L31" s="1"/>
  <c r="M31" s="1"/>
  <c r="J33"/>
  <c r="J35"/>
  <c r="L35" s="1"/>
  <c r="M35" s="1"/>
  <c r="J37"/>
  <c r="J39"/>
  <c r="L39" s="1"/>
  <c r="M39" s="1"/>
  <c r="J41"/>
  <c r="J43"/>
  <c r="L43" s="1"/>
  <c r="M43" s="1"/>
  <c r="J45"/>
  <c r="L45" s="1"/>
  <c r="M45" s="1"/>
  <c r="J47"/>
  <c r="L47" s="1"/>
  <c r="M47" s="1"/>
  <c r="J49"/>
  <c r="J51"/>
  <c r="L51" s="1"/>
  <c r="M51" s="1"/>
  <c r="J53"/>
  <c r="J55"/>
  <c r="L55" s="1"/>
  <c r="M55" s="1"/>
  <c r="J57"/>
  <c r="J59"/>
  <c r="L59" s="1"/>
  <c r="M59" s="1"/>
  <c r="J67"/>
  <c r="J71"/>
  <c r="L71" s="1"/>
  <c r="M71" s="1"/>
  <c r="CM74" i="5"/>
  <c r="AU74"/>
  <c r="BF56"/>
  <c r="AZ74"/>
  <c r="BO74"/>
  <c r="AX74"/>
  <c r="AT74"/>
  <c r="DE73"/>
  <c r="DC73"/>
  <c r="DA73"/>
  <c r="CY73"/>
  <c r="DD72"/>
  <c r="DB72"/>
  <c r="CZ72"/>
  <c r="CX72"/>
  <c r="DE71"/>
  <c r="DC71"/>
  <c r="DA71"/>
  <c r="CY71"/>
  <c r="DD70"/>
  <c r="DB70"/>
  <c r="CZ70"/>
  <c r="CX70"/>
  <c r="DA69"/>
  <c r="CY69"/>
  <c r="DD68"/>
  <c r="DB68"/>
  <c r="CZ68"/>
  <c r="CX68"/>
  <c r="DC67"/>
  <c r="DA67"/>
  <c r="CY67"/>
  <c r="DD66"/>
  <c r="DB66"/>
  <c r="CZ66"/>
  <c r="CX66"/>
  <c r="DE65"/>
  <c r="DC65"/>
  <c r="DA65"/>
  <c r="CY65"/>
  <c r="DD64"/>
  <c r="DB64"/>
  <c r="CZ64"/>
  <c r="CX64"/>
  <c r="DC63"/>
  <c r="DA63"/>
  <c r="CY63"/>
  <c r="DD62"/>
  <c r="DB62"/>
  <c r="CZ62"/>
  <c r="CX62"/>
  <c r="DD60"/>
  <c r="DB60"/>
  <c r="CZ60"/>
  <c r="CX60"/>
  <c r="DD58"/>
  <c r="DB58"/>
  <c r="CZ58"/>
  <c r="CX58"/>
  <c r="CX56"/>
  <c r="CZ56"/>
  <c r="DD56"/>
  <c r="DB56"/>
  <c r="CY56"/>
  <c r="CV56"/>
  <c r="DD73"/>
  <c r="DB73"/>
  <c r="CZ73"/>
  <c r="DE72"/>
  <c r="DC72"/>
  <c r="DA72"/>
  <c r="DD71"/>
  <c r="DB71"/>
  <c r="CZ71"/>
  <c r="DE70"/>
  <c r="DC70"/>
  <c r="DA70"/>
  <c r="DD69"/>
  <c r="DB69"/>
  <c r="CZ69"/>
  <c r="DE68"/>
  <c r="DC68"/>
  <c r="DA68"/>
  <c r="DD67"/>
  <c r="DB67"/>
  <c r="CZ67"/>
  <c r="DE66"/>
  <c r="DC66"/>
  <c r="DA66"/>
  <c r="DD65"/>
  <c r="DB65"/>
  <c r="CZ65"/>
  <c r="DE64"/>
  <c r="DC64"/>
  <c r="DA64"/>
  <c r="DD63"/>
  <c r="DB63"/>
  <c r="CZ63"/>
  <c r="DE62"/>
  <c r="DC62"/>
  <c r="DA62"/>
  <c r="DD61"/>
  <c r="DB61"/>
  <c r="CZ61"/>
  <c r="DE60"/>
  <c r="DC60"/>
  <c r="DA60"/>
  <c r="DD59"/>
  <c r="DB59"/>
  <c r="CZ59"/>
  <c r="DE58"/>
  <c r="DC58"/>
  <c r="DA58"/>
  <c r="DD57"/>
  <c r="DB57"/>
  <c r="CZ57"/>
  <c r="DE56"/>
  <c r="DC56"/>
  <c r="DA56"/>
  <c r="DE55"/>
  <c r="DC55"/>
  <c r="DA55"/>
  <c r="CY55"/>
  <c r="DD54"/>
  <c r="DB54"/>
  <c r="CZ54"/>
  <c r="DE53"/>
  <c r="DC53"/>
  <c r="DA53"/>
  <c r="CY53"/>
  <c r="DD52"/>
  <c r="DB52"/>
  <c r="CZ52"/>
  <c r="DE51"/>
  <c r="DC51"/>
  <c r="DA51"/>
  <c r="CY51"/>
  <c r="DD50"/>
  <c r="DB50"/>
  <c r="CZ50"/>
  <c r="DE49"/>
  <c r="DC49"/>
  <c r="DA49"/>
  <c r="CY49"/>
  <c r="DD48"/>
  <c r="DB48"/>
  <c r="CZ48"/>
  <c r="DE47"/>
  <c r="DC47"/>
  <c r="DA47"/>
  <c r="CY47"/>
  <c r="DD46"/>
  <c r="DB46"/>
  <c r="CZ46"/>
  <c r="DE45"/>
  <c r="DC45"/>
  <c r="DA45"/>
  <c r="CY45"/>
  <c r="DD44"/>
  <c r="DB44"/>
  <c r="CZ44"/>
  <c r="DE43"/>
  <c r="DC43"/>
  <c r="DA43"/>
  <c r="CY43"/>
  <c r="DD42"/>
  <c r="DB42"/>
  <c r="CZ42"/>
  <c r="DE41"/>
  <c r="DC41"/>
  <c r="DA41"/>
  <c r="CY41"/>
  <c r="DD40"/>
  <c r="DB40"/>
  <c r="CZ40"/>
  <c r="DE39"/>
  <c r="DC39"/>
  <c r="DA39"/>
  <c r="CY39"/>
  <c r="DD38"/>
  <c r="DB38"/>
  <c r="CZ38"/>
  <c r="DE37"/>
  <c r="DC37"/>
  <c r="DA37"/>
  <c r="CY37"/>
  <c r="DD36"/>
  <c r="DB36"/>
  <c r="CZ36"/>
  <c r="DE35"/>
  <c r="DC35"/>
  <c r="DA35"/>
  <c r="CY35"/>
  <c r="DD34"/>
  <c r="DB34"/>
  <c r="CZ34"/>
  <c r="DE33"/>
  <c r="DC33"/>
  <c r="DA33"/>
  <c r="CY33"/>
  <c r="DD32"/>
  <c r="DB32"/>
  <c r="CZ32"/>
  <c r="DE31"/>
  <c r="DC31"/>
  <c r="DA31"/>
  <c r="CY31"/>
  <c r="CX30"/>
  <c r="CZ30"/>
  <c r="DD30"/>
  <c r="DB30"/>
  <c r="CY30"/>
  <c r="CV30"/>
  <c r="DD55"/>
  <c r="DB55"/>
  <c r="CZ55"/>
  <c r="DD53"/>
  <c r="DB53"/>
  <c r="CZ53"/>
  <c r="DD51"/>
  <c r="DB51"/>
  <c r="CZ51"/>
  <c r="DD49"/>
  <c r="DB49"/>
  <c r="CZ49"/>
  <c r="DD47"/>
  <c r="DB47"/>
  <c r="CZ47"/>
  <c r="DD45"/>
  <c r="DB45"/>
  <c r="CZ45"/>
  <c r="DD43"/>
  <c r="DB43"/>
  <c r="CZ43"/>
  <c r="DD41"/>
  <c r="DB41"/>
  <c r="CZ41"/>
  <c r="DD39"/>
  <c r="DB39"/>
  <c r="CZ39"/>
  <c r="DD37"/>
  <c r="DB37"/>
  <c r="CZ37"/>
  <c r="DD35"/>
  <c r="DB35"/>
  <c r="CZ35"/>
  <c r="DD33"/>
  <c r="DB33"/>
  <c r="CZ33"/>
  <c r="DD31"/>
  <c r="DB31"/>
  <c r="CZ31"/>
  <c r="DE29"/>
  <c r="DC29"/>
  <c r="DA29"/>
  <c r="CY29"/>
  <c r="DD28"/>
  <c r="DB28"/>
  <c r="CZ28"/>
  <c r="DE27"/>
  <c r="DC27"/>
  <c r="DA27"/>
  <c r="CY27"/>
  <c r="DD26"/>
  <c r="DB26"/>
  <c r="CZ26"/>
  <c r="DE25"/>
  <c r="DC25"/>
  <c r="DA25"/>
  <c r="CY25"/>
  <c r="DD24"/>
  <c r="DB24"/>
  <c r="CZ24"/>
  <c r="DE23"/>
  <c r="DC23"/>
  <c r="DA23"/>
  <c r="CY23"/>
  <c r="DD22"/>
  <c r="DB22"/>
  <c r="CZ22"/>
  <c r="DE21"/>
  <c r="DC21"/>
  <c r="DA21"/>
  <c r="CY21"/>
  <c r="DD20"/>
  <c r="DB20"/>
  <c r="CZ20"/>
  <c r="DE19"/>
  <c r="DC19"/>
  <c r="DA19"/>
  <c r="CY19"/>
  <c r="DD18"/>
  <c r="DB18"/>
  <c r="CZ18"/>
  <c r="DE17"/>
  <c r="DC17"/>
  <c r="DA17"/>
  <c r="CY17"/>
  <c r="DD29"/>
  <c r="DB29"/>
  <c r="CZ29"/>
  <c r="DD27"/>
  <c r="DB27"/>
  <c r="CZ27"/>
  <c r="DD25"/>
  <c r="DB25"/>
  <c r="CZ25"/>
  <c r="DD23"/>
  <c r="DB23"/>
  <c r="CZ23"/>
  <c r="DD21"/>
  <c r="DB21"/>
  <c r="CZ21"/>
  <c r="DD19"/>
  <c r="DB19"/>
  <c r="CZ19"/>
  <c r="DD17"/>
  <c r="DB17"/>
  <c r="CZ17"/>
  <c r="DE16"/>
  <c r="DC16"/>
  <c r="DA16"/>
  <c r="CY16"/>
  <c r="DD15"/>
  <c r="DB15"/>
  <c r="CZ15"/>
  <c r="CX15"/>
  <c r="DE14"/>
  <c r="DC14"/>
  <c r="DA14"/>
  <c r="CY14"/>
  <c r="DD13"/>
  <c r="DB13"/>
  <c r="CZ13"/>
  <c r="CX13"/>
  <c r="DE12"/>
  <c r="DC12"/>
  <c r="DA12"/>
  <c r="CY12"/>
  <c r="DD11"/>
  <c r="DB11"/>
  <c r="CZ11"/>
  <c r="DE10"/>
  <c r="DC10"/>
  <c r="DA10"/>
  <c r="CY10"/>
  <c r="CY74" s="1"/>
  <c r="DD9"/>
  <c r="DB9"/>
  <c r="CZ9"/>
  <c r="DE8"/>
  <c r="DC8"/>
  <c r="CV8"/>
  <c r="CV74" s="1"/>
  <c r="DD16"/>
  <c r="DB16"/>
  <c r="CZ16"/>
  <c r="DE15"/>
  <c r="DC15"/>
  <c r="DA15"/>
  <c r="DD14"/>
  <c r="DB14"/>
  <c r="CZ14"/>
  <c r="DD12"/>
  <c r="DB12"/>
  <c r="CZ12"/>
  <c r="DD10"/>
  <c r="DB10"/>
  <c r="CZ10"/>
  <c r="CX8"/>
  <c r="CZ8"/>
  <c r="DB8"/>
  <c r="DD8"/>
  <c r="DA8"/>
  <c r="DD7"/>
  <c r="DB7"/>
  <c r="CZ7"/>
  <c r="CX7"/>
  <c r="DD5"/>
  <c r="DB5"/>
  <c r="CZ5"/>
  <c r="CX5"/>
  <c r="DD3"/>
  <c r="DB3"/>
  <c r="CZ3"/>
  <c r="CX3"/>
  <c r="CX74" s="1"/>
  <c r="DE7"/>
  <c r="DC7"/>
  <c r="DA7"/>
  <c r="DD6"/>
  <c r="DB6"/>
  <c r="CZ6"/>
  <c r="DE5"/>
  <c r="DC5"/>
  <c r="DA5"/>
  <c r="DD4"/>
  <c r="DB4"/>
  <c r="CZ4"/>
  <c r="DE3"/>
  <c r="DC3"/>
  <c r="DC74" s="1"/>
  <c r="DA3"/>
  <c r="DD2"/>
  <c r="DB2"/>
  <c r="CZ2"/>
  <c r="DY49" i="3"/>
  <c r="DY50"/>
  <c r="DW74"/>
  <c r="AR73"/>
  <c r="DX74"/>
  <c r="AH71"/>
  <c r="AF71"/>
  <c r="AD71"/>
  <c r="AU69"/>
  <c r="BL69"/>
  <c r="AH69"/>
  <c r="AF69"/>
  <c r="AD69"/>
  <c r="AU67"/>
  <c r="BL67"/>
  <c r="AH67"/>
  <c r="AF67"/>
  <c r="AD67"/>
  <c r="BL66"/>
  <c r="EI65"/>
  <c r="DU65"/>
  <c r="BY65"/>
  <c r="BI65"/>
  <c r="EC64"/>
  <c r="CJ64"/>
  <c r="CF64"/>
  <c r="CC64"/>
  <c r="AU64"/>
  <c r="AO64"/>
  <c r="AR64" s="1"/>
  <c r="EI63"/>
  <c r="DU63"/>
  <c r="CL63"/>
  <c r="CH63"/>
  <c r="BY63"/>
  <c r="BI63"/>
  <c r="AG63"/>
  <c r="AE63"/>
  <c r="AC63"/>
  <c r="EI62"/>
  <c r="DU62"/>
  <c r="CL62"/>
  <c r="CH62"/>
  <c r="BY62"/>
  <c r="BI62"/>
  <c r="AG62"/>
  <c r="AE62"/>
  <c r="AC62"/>
  <c r="EI61"/>
  <c r="DU61"/>
  <c r="CL61"/>
  <c r="CH61"/>
  <c r="BY61"/>
  <c r="BI61"/>
  <c r="AG61"/>
  <c r="AE61"/>
  <c r="AC61"/>
  <c r="EI60"/>
  <c r="DU60"/>
  <c r="CL60"/>
  <c r="CH60"/>
  <c r="BY60"/>
  <c r="BI60"/>
  <c r="AG60"/>
  <c r="AE60"/>
  <c r="AC60"/>
  <c r="EI59"/>
  <c r="DU59"/>
  <c r="CL59"/>
  <c r="CH59"/>
  <c r="BY59"/>
  <c r="BI59"/>
  <c r="AG59"/>
  <c r="AE59"/>
  <c r="AC59"/>
  <c r="EI58"/>
  <c r="DU58"/>
  <c r="CL58"/>
  <c r="CH58"/>
  <c r="BY58"/>
  <c r="BI58"/>
  <c r="AG58"/>
  <c r="AE58"/>
  <c r="AC58"/>
  <c r="EI57"/>
  <c r="DU57"/>
  <c r="CL57"/>
  <c r="CH57"/>
  <c r="BY57"/>
  <c r="BI57"/>
  <c r="AG57"/>
  <c r="AE57"/>
  <c r="AC57"/>
  <c r="EI56"/>
  <c r="DU56"/>
  <c r="CL56"/>
  <c r="CH56"/>
  <c r="BY56"/>
  <c r="BI56"/>
  <c r="AG56"/>
  <c r="AE56"/>
  <c r="AC56"/>
  <c r="EI55"/>
  <c r="DU55"/>
  <c r="CL55"/>
  <c r="CH55"/>
  <c r="BY55"/>
  <c r="BI55"/>
  <c r="AG55"/>
  <c r="AE55"/>
  <c r="AC55"/>
  <c r="EI54"/>
  <c r="DU54"/>
  <c r="CL54"/>
  <c r="CH54"/>
  <c r="BY54"/>
  <c r="BI54"/>
  <c r="AG54"/>
  <c r="AE54"/>
  <c r="AC54"/>
  <c r="EI53"/>
  <c r="DU53"/>
  <c r="CL53"/>
  <c r="CH53"/>
  <c r="BY53"/>
  <c r="BI53"/>
  <c r="AG53"/>
  <c r="AE53"/>
  <c r="AC53"/>
  <c r="EI52"/>
  <c r="DU52"/>
  <c r="CL52"/>
  <c r="CH52"/>
  <c r="BY52"/>
  <c r="BI52"/>
  <c r="AG52"/>
  <c r="AE52"/>
  <c r="AC52"/>
  <c r="EI51"/>
  <c r="DU51"/>
  <c r="CL51"/>
  <c r="CH51"/>
  <c r="BY51"/>
  <c r="BI51"/>
  <c r="AG51"/>
  <c r="AE51"/>
  <c r="AC51"/>
  <c r="EI50"/>
  <c r="DU50"/>
  <c r="CL50"/>
  <c r="CH50"/>
  <c r="BY50"/>
  <c r="BI50"/>
  <c r="AG50"/>
  <c r="AE50"/>
  <c r="AC50"/>
  <c r="EI49"/>
  <c r="DU49"/>
  <c r="CL49"/>
  <c r="CH49"/>
  <c r="BY49"/>
  <c r="BI49"/>
  <c r="AG49"/>
  <c r="AE49"/>
  <c r="AC49"/>
  <c r="AU48"/>
  <c r="EI48"/>
  <c r="BL48"/>
  <c r="AH48"/>
  <c r="AF48"/>
  <c r="AD48"/>
  <c r="BL47"/>
  <c r="AO47"/>
  <c r="AR47" s="1"/>
  <c r="CC46"/>
  <c r="BI46"/>
  <c r="AE46"/>
  <c r="DU45"/>
  <c r="AO45"/>
  <c r="AR45" s="1"/>
  <c r="CC44"/>
  <c r="BI44"/>
  <c r="AE44"/>
  <c r="DU43"/>
  <c r="AO43"/>
  <c r="AR43" s="1"/>
  <c r="CC42"/>
  <c r="BI42"/>
  <c r="AE42"/>
  <c r="DU41"/>
  <c r="AO41"/>
  <c r="AR41" s="1"/>
  <c r="EC40"/>
  <c r="DU39"/>
  <c r="AO39"/>
  <c r="AR39" s="1"/>
  <c r="EC38"/>
  <c r="AU37"/>
  <c r="CC36"/>
  <c r="AU36"/>
  <c r="AO36"/>
  <c r="AR36" s="1"/>
  <c r="DU35"/>
  <c r="BL35"/>
  <c r="DU34"/>
  <c r="BL34"/>
  <c r="DU33"/>
  <c r="BL33"/>
  <c r="DU32"/>
  <c r="BL32"/>
  <c r="DU31"/>
  <c r="BL31"/>
  <c r="DU30"/>
  <c r="BL30"/>
  <c r="DU29"/>
  <c r="BL29"/>
  <c r="DU28"/>
  <c r="BL28"/>
  <c r="AU73"/>
  <c r="BL73"/>
  <c r="AH73"/>
  <c r="AF73"/>
  <c r="AD73"/>
  <c r="AR69"/>
  <c r="AR67"/>
  <c r="CC65"/>
  <c r="AU65"/>
  <c r="AR65"/>
  <c r="DU64"/>
  <c r="BI64"/>
  <c r="EC63"/>
  <c r="CJ63"/>
  <c r="CF63"/>
  <c r="CC63"/>
  <c r="AU63"/>
  <c r="AO63"/>
  <c r="AR63" s="1"/>
  <c r="EC62"/>
  <c r="CJ62"/>
  <c r="CF62"/>
  <c r="CC62"/>
  <c r="AU62"/>
  <c r="AO62"/>
  <c r="AR62" s="1"/>
  <c r="EC61"/>
  <c r="CJ61"/>
  <c r="CF61"/>
  <c r="CC61"/>
  <c r="AU61"/>
  <c r="AO61"/>
  <c r="AR61" s="1"/>
  <c r="EC60"/>
  <c r="CJ60"/>
  <c r="CF60"/>
  <c r="CC60"/>
  <c r="AU60"/>
  <c r="AO60"/>
  <c r="AR60" s="1"/>
  <c r="EC59"/>
  <c r="CJ59"/>
  <c r="CF59"/>
  <c r="CC59"/>
  <c r="AU59"/>
  <c r="AO59"/>
  <c r="AR59" s="1"/>
  <c r="EC58"/>
  <c r="CJ58"/>
  <c r="CF58"/>
  <c r="CC58"/>
  <c r="AU58"/>
  <c r="AO58"/>
  <c r="AR58" s="1"/>
  <c r="EC57"/>
  <c r="CJ57"/>
  <c r="CF57"/>
  <c r="CC57"/>
  <c r="AU57"/>
  <c r="AO57"/>
  <c r="AR57" s="1"/>
  <c r="EC56"/>
  <c r="CJ56"/>
  <c r="CF56"/>
  <c r="CC56"/>
  <c r="AU56"/>
  <c r="AO56"/>
  <c r="AR56" s="1"/>
  <c r="EC55"/>
  <c r="CJ55"/>
  <c r="CF55"/>
  <c r="CC55"/>
  <c r="AU55"/>
  <c r="AO55"/>
  <c r="AR55" s="1"/>
  <c r="EC54"/>
  <c r="CJ54"/>
  <c r="CF54"/>
  <c r="CC54"/>
  <c r="AU54"/>
  <c r="AO54"/>
  <c r="AR54" s="1"/>
  <c r="EC53"/>
  <c r="CJ53"/>
  <c r="CF53"/>
  <c r="CC53"/>
  <c r="AU53"/>
  <c r="AO53"/>
  <c r="AR53" s="1"/>
  <c r="EC52"/>
  <c r="CJ52"/>
  <c r="CF52"/>
  <c r="CC52"/>
  <c r="AU52"/>
  <c r="AO52"/>
  <c r="AR52" s="1"/>
  <c r="EC51"/>
  <c r="CJ51"/>
  <c r="CF51"/>
  <c r="CC51"/>
  <c r="AU51"/>
  <c r="AO51"/>
  <c r="AR51" s="1"/>
  <c r="EC50"/>
  <c r="CJ50"/>
  <c r="CF50"/>
  <c r="CC50"/>
  <c r="AU50"/>
  <c r="AO50"/>
  <c r="AR50" s="1"/>
  <c r="EC49"/>
  <c r="CJ49"/>
  <c r="CF49"/>
  <c r="CC49"/>
  <c r="AU49"/>
  <c r="AO49"/>
  <c r="AR49" s="1"/>
  <c r="DY48"/>
  <c r="EC48"/>
  <c r="BI47"/>
  <c r="AE47"/>
  <c r="DU46"/>
  <c r="AO46"/>
  <c r="AR46" s="1"/>
  <c r="CC45"/>
  <c r="BI45"/>
  <c r="AE45"/>
  <c r="DU44"/>
  <c r="AO44"/>
  <c r="AR44" s="1"/>
  <c r="CC43"/>
  <c r="BI43"/>
  <c r="AE43"/>
  <c r="DU42"/>
  <c r="AO42"/>
  <c r="AR42" s="1"/>
  <c r="CC41"/>
  <c r="BI41"/>
  <c r="AE41"/>
  <c r="AR40"/>
  <c r="CC39"/>
  <c r="BI39"/>
  <c r="AE39"/>
  <c r="AR38"/>
  <c r="AO37"/>
  <c r="AR37" s="1"/>
  <c r="BI35"/>
  <c r="AH35"/>
  <c r="AD35"/>
  <c r="BI34"/>
  <c r="AH34"/>
  <c r="AD34"/>
  <c r="BI33"/>
  <c r="AH33"/>
  <c r="AD33"/>
  <c r="BI32"/>
  <c r="AH32"/>
  <c r="AD32"/>
  <c r="BI31"/>
  <c r="AH31"/>
  <c r="AD31"/>
  <c r="BI30"/>
  <c r="AH30"/>
  <c r="AD30"/>
  <c r="BI29"/>
  <c r="AH29"/>
  <c r="AD29"/>
  <c r="BI28"/>
  <c r="AH28"/>
  <c r="AD28"/>
  <c r="AU46"/>
  <c r="EO46"/>
  <c r="AU45"/>
  <c r="EO45"/>
  <c r="AU44"/>
  <c r="EO44"/>
  <c r="AU43"/>
  <c r="EO43"/>
  <c r="EO42"/>
  <c r="EO41"/>
  <c r="AU40"/>
  <c r="BL40"/>
  <c r="AH40"/>
  <c r="AF40"/>
  <c r="AD40"/>
  <c r="AU38"/>
  <c r="BL38"/>
  <c r="AH38"/>
  <c r="BL37"/>
  <c r="BY36"/>
  <c r="BI36"/>
  <c r="EC35"/>
  <c r="CJ35"/>
  <c r="CF35"/>
  <c r="CC35"/>
  <c r="AU35"/>
  <c r="AO35"/>
  <c r="AR35" s="1"/>
  <c r="EC34"/>
  <c r="CJ34"/>
  <c r="CF34"/>
  <c r="CC34"/>
  <c r="AU34"/>
  <c r="AO34"/>
  <c r="AR34" s="1"/>
  <c r="EC33"/>
  <c r="CJ33"/>
  <c r="CF33"/>
  <c r="CC33"/>
  <c r="AU33"/>
  <c r="AO33"/>
  <c r="AR33" s="1"/>
  <c r="EC32"/>
  <c r="CJ32"/>
  <c r="CF32"/>
  <c r="CC32"/>
  <c r="AU32"/>
  <c r="AO32"/>
  <c r="AR32" s="1"/>
  <c r="EC31"/>
  <c r="CJ31"/>
  <c r="CF31"/>
  <c r="CC31"/>
  <c r="AU31"/>
  <c r="AO31"/>
  <c r="AR31" s="1"/>
  <c r="EC30"/>
  <c r="CJ30"/>
  <c r="CF30"/>
  <c r="CC30"/>
  <c r="AU30"/>
  <c r="AO30"/>
  <c r="AR30" s="1"/>
  <c r="EC29"/>
  <c r="CJ29"/>
  <c r="CF29"/>
  <c r="CC29"/>
  <c r="AU29"/>
  <c r="AO29"/>
  <c r="AR29" s="1"/>
  <c r="EC28"/>
  <c r="CJ28"/>
  <c r="CF28"/>
  <c r="CC28"/>
  <c r="AU28"/>
  <c r="AO28"/>
  <c r="AR28" s="1"/>
  <c r="EC27"/>
  <c r="CJ27"/>
  <c r="CF27"/>
  <c r="CC27"/>
  <c r="AU27"/>
  <c r="AU26"/>
  <c r="EO26"/>
  <c r="AR25"/>
  <c r="AR24"/>
  <c r="AR23"/>
  <c r="AR21"/>
  <c r="EC18"/>
  <c r="CJ18"/>
  <c r="CC18"/>
  <c r="AU18"/>
  <c r="AO18"/>
  <c r="AR18" s="1"/>
  <c r="DU17"/>
  <c r="BI17"/>
  <c r="DU16"/>
  <c r="BI16"/>
  <c r="DU15"/>
  <c r="BI15"/>
  <c r="DU14"/>
  <c r="BI14"/>
  <c r="DU13"/>
  <c r="BI13"/>
  <c r="DU12"/>
  <c r="BI11"/>
  <c r="EC10"/>
  <c r="DV10"/>
  <c r="CJ10"/>
  <c r="CF10"/>
  <c r="CC10"/>
  <c r="AU10"/>
  <c r="AO10"/>
  <c r="AR10" s="1"/>
  <c r="EC9"/>
  <c r="DV9"/>
  <c r="CJ9"/>
  <c r="CF9"/>
  <c r="CC9"/>
  <c r="AU9"/>
  <c r="AO9"/>
  <c r="AR9" s="1"/>
  <c r="EC8"/>
  <c r="DV8"/>
  <c r="CJ8"/>
  <c r="CF8"/>
  <c r="CC8"/>
  <c r="AU8"/>
  <c r="AO8"/>
  <c r="AR8" s="1"/>
  <c r="EC7"/>
  <c r="DV7"/>
  <c r="CJ7"/>
  <c r="CF7"/>
  <c r="CC7"/>
  <c r="AU7"/>
  <c r="DV6"/>
  <c r="CJ6"/>
  <c r="CF6"/>
  <c r="CC6"/>
  <c r="AO6"/>
  <c r="AR6" s="1"/>
  <c r="EC5"/>
  <c r="DV5"/>
  <c r="DY5" s="1"/>
  <c r="CJ5"/>
  <c r="CF5"/>
  <c r="CC5"/>
  <c r="AU5"/>
  <c r="AO5"/>
  <c r="AR5" s="1"/>
  <c r="EC4"/>
  <c r="DV4"/>
  <c r="DY4" s="1"/>
  <c r="CJ4"/>
  <c r="CF4"/>
  <c r="CC4"/>
  <c r="AU4"/>
  <c r="AO4"/>
  <c r="AR4" s="1"/>
  <c r="EC3"/>
  <c r="DV3"/>
  <c r="DY3" s="1"/>
  <c r="CJ3"/>
  <c r="CF3"/>
  <c r="CC3"/>
  <c r="AU3"/>
  <c r="AO3"/>
  <c r="AR3" s="1"/>
  <c r="EC2"/>
  <c r="DV2"/>
  <c r="DY2" s="1"/>
  <c r="CJ2"/>
  <c r="CF2"/>
  <c r="CC2"/>
  <c r="AU2"/>
  <c r="DU27"/>
  <c r="BI27"/>
  <c r="AE27"/>
  <c r="BL25"/>
  <c r="AH25"/>
  <c r="AF25"/>
  <c r="AD25"/>
  <c r="AU24"/>
  <c r="BL24"/>
  <c r="AH24"/>
  <c r="AF24"/>
  <c r="AD24"/>
  <c r="AU23"/>
  <c r="BL23"/>
  <c r="AH23"/>
  <c r="AF23"/>
  <c r="AD23"/>
  <c r="AU21"/>
  <c r="BL21"/>
  <c r="AH21"/>
  <c r="AF21"/>
  <c r="AD21"/>
  <c r="EO19"/>
  <c r="AU19"/>
  <c r="EI18"/>
  <c r="DU18"/>
  <c r="CL18"/>
  <c r="BY18"/>
  <c r="BI18"/>
  <c r="EC17"/>
  <c r="CJ17"/>
  <c r="CF17"/>
  <c r="CC17"/>
  <c r="AU17"/>
  <c r="AO17"/>
  <c r="AR17" s="1"/>
  <c r="EC16"/>
  <c r="CJ16"/>
  <c r="CF16"/>
  <c r="CC16"/>
  <c r="AU16"/>
  <c r="AO16"/>
  <c r="AR16" s="1"/>
  <c r="EC15"/>
  <c r="CJ15"/>
  <c r="CF15"/>
  <c r="CC15"/>
  <c r="AU15"/>
  <c r="AO15"/>
  <c r="AR15" s="1"/>
  <c r="EC14"/>
  <c r="CJ14"/>
  <c r="CF14"/>
  <c r="CC14"/>
  <c r="AU14"/>
  <c r="AO14"/>
  <c r="AR14" s="1"/>
  <c r="EC13"/>
  <c r="CJ13"/>
  <c r="CF13"/>
  <c r="CC13"/>
  <c r="AU13"/>
  <c r="AO13"/>
  <c r="AR13" s="1"/>
  <c r="EC12"/>
  <c r="CJ12"/>
  <c r="CF12"/>
  <c r="CC12"/>
  <c r="AO12"/>
  <c r="AR12" s="1"/>
  <c r="CC11"/>
  <c r="AU11"/>
  <c r="AO11"/>
  <c r="AR11" s="1"/>
  <c r="DU10"/>
  <c r="CL10"/>
  <c r="CH10"/>
  <c r="BY10"/>
  <c r="BI10"/>
  <c r="AG10"/>
  <c r="AE10"/>
  <c r="AC10"/>
  <c r="DU9"/>
  <c r="CL9"/>
  <c r="CH9"/>
  <c r="BY9"/>
  <c r="BI9"/>
  <c r="AG9"/>
  <c r="AE9"/>
  <c r="AC9"/>
  <c r="DU8"/>
  <c r="CL8"/>
  <c r="CH8"/>
  <c r="BY8"/>
  <c r="BI8"/>
  <c r="AG8"/>
  <c r="AE8"/>
  <c r="AC8"/>
  <c r="DU7"/>
  <c r="CL7"/>
  <c r="CH7"/>
  <c r="BY7"/>
  <c r="BI7"/>
  <c r="AH7"/>
  <c r="AG7"/>
  <c r="AE7"/>
  <c r="AC7"/>
  <c r="AD7"/>
  <c r="DU6"/>
  <c r="CL6"/>
  <c r="CH6"/>
  <c r="BY6"/>
  <c r="BI6"/>
  <c r="AG6"/>
  <c r="AE6"/>
  <c r="AC6"/>
  <c r="DU5"/>
  <c r="CL5"/>
  <c r="CH5"/>
  <c r="BY5"/>
  <c r="BI5"/>
  <c r="AG5"/>
  <c r="AE5"/>
  <c r="AC5"/>
  <c r="DU4"/>
  <c r="CL4"/>
  <c r="CH4"/>
  <c r="BY4"/>
  <c r="BI4"/>
  <c r="AG4"/>
  <c r="AE4"/>
  <c r="AC4"/>
  <c r="DU3"/>
  <c r="CL3"/>
  <c r="CH3"/>
  <c r="BY3"/>
  <c r="BI3"/>
  <c r="AG3"/>
  <c r="AE3"/>
  <c r="AE74" s="1"/>
  <c r="AC3"/>
  <c r="DU2"/>
  <c r="DU74" s="1"/>
  <c r="CL2"/>
  <c r="CH2"/>
  <c r="BY2"/>
  <c r="BI2"/>
  <c r="AO19" i="4"/>
  <c r="AO20"/>
  <c r="AP20" s="1"/>
  <c r="AO22"/>
  <c r="AO45"/>
  <c r="AP45" s="1"/>
  <c r="AO46"/>
  <c r="AO50"/>
  <c r="AO54"/>
  <c r="AO59"/>
  <c r="AO60"/>
  <c r="AO61"/>
  <c r="AO62"/>
  <c r="AO63"/>
  <c r="AP63" s="1"/>
  <c r="AO18"/>
  <c r="AP19"/>
  <c r="AZ19" s="1"/>
  <c r="AO21"/>
  <c r="AP22"/>
  <c r="AV22" s="1"/>
  <c r="AO43"/>
  <c r="AO55"/>
  <c r="K10" i="1"/>
  <c r="M10" s="1"/>
  <c r="D20"/>
  <c r="K12"/>
  <c r="M12" s="1"/>
  <c r="AP10" i="4"/>
  <c r="AP11"/>
  <c r="AP12"/>
  <c r="AZ13"/>
  <c r="AU13"/>
  <c r="AR13"/>
  <c r="AY13"/>
  <c r="AV13"/>
  <c r="AP14"/>
  <c r="AP15"/>
  <c r="AP16"/>
  <c r="AP17"/>
  <c r="AP18"/>
  <c r="AZ21"/>
  <c r="AU21"/>
  <c r="AR21"/>
  <c r="AY21"/>
  <c r="AV21"/>
  <c r="AZ22"/>
  <c r="L5"/>
  <c r="AL9"/>
  <c r="AN9"/>
  <c r="AN81" s="1"/>
  <c r="BI9"/>
  <c r="BI81" s="1"/>
  <c r="BK9"/>
  <c r="BK81" s="1"/>
  <c r="BN9"/>
  <c r="BQ9"/>
  <c r="BS9"/>
  <c r="BV9"/>
  <c r="BV81" s="1"/>
  <c r="BY9"/>
  <c r="BY81" s="1"/>
  <c r="CA9"/>
  <c r="CA81" s="1"/>
  <c r="CD9"/>
  <c r="CD81" s="1"/>
  <c r="AP23"/>
  <c r="AP24"/>
  <c r="AZ25"/>
  <c r="AU25"/>
  <c r="AR25"/>
  <c r="AY25"/>
  <c r="AV25"/>
  <c r="AP26"/>
  <c r="AP27"/>
  <c r="AP28"/>
  <c r="AP29"/>
  <c r="AP30"/>
  <c r="AP31"/>
  <c r="AP32"/>
  <c r="AZ33"/>
  <c r="AU33"/>
  <c r="AR33"/>
  <c r="AY33"/>
  <c r="AV33"/>
  <c r="AP34"/>
  <c r="AP35"/>
  <c r="AP36"/>
  <c r="AZ37"/>
  <c r="AU37"/>
  <c r="AR37"/>
  <c r="AY37"/>
  <c r="AV37"/>
  <c r="AZ38"/>
  <c r="AU38"/>
  <c r="AR38"/>
  <c r="AY38"/>
  <c r="AV38"/>
  <c r="AP39"/>
  <c r="AP40"/>
  <c r="AZ41"/>
  <c r="AU41"/>
  <c r="AR41"/>
  <c r="AY41"/>
  <c r="AV41"/>
  <c r="AP42"/>
  <c r="AP43"/>
  <c r="AM9"/>
  <c r="AM81" s="1"/>
  <c r="BJ9"/>
  <c r="BJ81" s="1"/>
  <c r="BM9"/>
  <c r="BO9"/>
  <c r="BR9"/>
  <c r="BU9"/>
  <c r="BU81" s="1"/>
  <c r="BW9"/>
  <c r="BW81" s="1"/>
  <c r="BZ9"/>
  <c r="BZ81" s="1"/>
  <c r="CC9"/>
  <c r="CC81" s="1"/>
  <c r="CE9"/>
  <c r="CE81" s="1"/>
  <c r="AZ44"/>
  <c r="AU44"/>
  <c r="AR44"/>
  <c r="AY44"/>
  <c r="AV44"/>
  <c r="AO44"/>
  <c r="AO51"/>
  <c r="AP51" s="1"/>
  <c r="AZ52"/>
  <c r="AU52"/>
  <c r="AR52"/>
  <c r="AY52"/>
  <c r="AV52"/>
  <c r="AO52"/>
  <c r="AP53"/>
  <c r="AO53"/>
  <c r="AP55"/>
  <c r="AP46"/>
  <c r="AZ47"/>
  <c r="AU47"/>
  <c r="AR47"/>
  <c r="AY47"/>
  <c r="AV47"/>
  <c r="AP48"/>
  <c r="AP49"/>
  <c r="AP50"/>
  <c r="AP54"/>
  <c r="AP56"/>
  <c r="AZ57"/>
  <c r="AU57"/>
  <c r="AR57"/>
  <c r="AY57"/>
  <c r="AV57"/>
  <c r="AP58"/>
  <c r="AZ59"/>
  <c r="AU59"/>
  <c r="AR59"/>
  <c r="AY59"/>
  <c r="AV59"/>
  <c r="AP60"/>
  <c r="AZ61"/>
  <c r="AU61"/>
  <c r="AR61"/>
  <c r="AY61"/>
  <c r="AV61"/>
  <c r="AZ62"/>
  <c r="AU62"/>
  <c r="AR62"/>
  <c r="AY62"/>
  <c r="AV62"/>
  <c r="AP64"/>
  <c r="AP65"/>
  <c r="AY66"/>
  <c r="AV66"/>
  <c r="AU66"/>
  <c r="AZ66"/>
  <c r="AO67"/>
  <c r="AO68"/>
  <c r="AO69"/>
  <c r="AO70"/>
  <c r="AO71"/>
  <c r="AR66"/>
  <c r="AY67"/>
  <c r="AV67"/>
  <c r="AZ67"/>
  <c r="AU67"/>
  <c r="AR67"/>
  <c r="AY68"/>
  <c r="AV68"/>
  <c r="AZ68"/>
  <c r="AU68"/>
  <c r="AR68"/>
  <c r="AP69"/>
  <c r="AP70"/>
  <c r="AY71"/>
  <c r="AV71"/>
  <c r="AZ71"/>
  <c r="AU71"/>
  <c r="AR71"/>
  <c r="AP72"/>
  <c r="AP73"/>
  <c r="AP74"/>
  <c r="AP75"/>
  <c r="AP76"/>
  <c r="AO78"/>
  <c r="AP77"/>
  <c r="AZ78"/>
  <c r="AU78"/>
  <c r="AR78"/>
  <c r="AY78"/>
  <c r="AV78"/>
  <c r="AP79"/>
  <c r="AY80"/>
  <c r="AV80"/>
  <c r="AZ80"/>
  <c r="AU80"/>
  <c r="AR80"/>
  <c r="W20" i="1"/>
  <c r="W21"/>
  <c r="W28"/>
  <c r="W35"/>
  <c r="W38"/>
  <c r="W48"/>
  <c r="W61"/>
  <c r="W66"/>
  <c r="W70"/>
  <c r="W10"/>
  <c r="W14"/>
  <c r="W19"/>
  <c r="W23"/>
  <c r="W26"/>
  <c r="W30"/>
  <c r="W33"/>
  <c r="W55"/>
  <c r="W57"/>
  <c r="W64"/>
  <c r="W68"/>
  <c r="W72"/>
  <c r="W73"/>
  <c r="W74"/>
  <c r="W75"/>
  <c r="K14"/>
  <c r="M14" s="1"/>
  <c r="N14" s="1"/>
  <c r="Q14" s="1"/>
  <c r="K17"/>
  <c r="M17" s="1"/>
  <c r="K19"/>
  <c r="M19" s="1"/>
  <c r="O19" s="1"/>
  <c r="P19" s="1"/>
  <c r="K20"/>
  <c r="M20" s="1"/>
  <c r="K21"/>
  <c r="M21" s="1"/>
  <c r="O21" s="1"/>
  <c r="K22"/>
  <c r="M22" s="1"/>
  <c r="K23"/>
  <c r="M23" s="1"/>
  <c r="K24"/>
  <c r="M24" s="1"/>
  <c r="K25"/>
  <c r="L25" s="1"/>
  <c r="W25"/>
  <c r="W27"/>
  <c r="K33"/>
  <c r="K38"/>
  <c r="M38" s="1"/>
  <c r="O38" s="1"/>
  <c r="P38" s="1"/>
  <c r="K42"/>
  <c r="M42" s="1"/>
  <c r="K44"/>
  <c r="M44" s="1"/>
  <c r="O44" s="1"/>
  <c r="P44" s="1"/>
  <c r="K46"/>
  <c r="M46" s="1"/>
  <c r="K48"/>
  <c r="M48" s="1"/>
  <c r="O48" s="1"/>
  <c r="P48" s="1"/>
  <c r="K50"/>
  <c r="M50" s="1"/>
  <c r="K52"/>
  <c r="M52" s="1"/>
  <c r="O52" s="1"/>
  <c r="P52" s="1"/>
  <c r="K54"/>
  <c r="M54" s="1"/>
  <c r="K60"/>
  <c r="M60" s="1"/>
  <c r="O60" s="1"/>
  <c r="P60" s="1"/>
  <c r="K62"/>
  <c r="M62" s="1"/>
  <c r="K63"/>
  <c r="M63" s="1"/>
  <c r="N63" s="1"/>
  <c r="Q63" s="1"/>
  <c r="W63"/>
  <c r="K64"/>
  <c r="W65"/>
  <c r="W67"/>
  <c r="W69"/>
  <c r="W71"/>
  <c r="K72"/>
  <c r="M72" s="1"/>
  <c r="K73"/>
  <c r="M73" s="1"/>
  <c r="G73" s="1"/>
  <c r="K74"/>
  <c r="M74" s="1"/>
  <c r="K75"/>
  <c r="M75" s="1"/>
  <c r="N75" s="1"/>
  <c r="Q75" s="1"/>
  <c r="W76"/>
  <c r="W77"/>
  <c r="W79"/>
  <c r="K80"/>
  <c r="M80" s="1"/>
  <c r="AD81"/>
  <c r="S81"/>
  <c r="U81"/>
  <c r="U82" s="1"/>
  <c r="U83" s="1"/>
  <c r="W11"/>
  <c r="W13"/>
  <c r="W15"/>
  <c r="W16"/>
  <c r="W18"/>
  <c r="W22"/>
  <c r="W24"/>
  <c r="K26"/>
  <c r="M26" s="1"/>
  <c r="K27"/>
  <c r="M27" s="1"/>
  <c r="K28"/>
  <c r="M28" s="1"/>
  <c r="O28" s="1"/>
  <c r="K29"/>
  <c r="M29" s="1"/>
  <c r="K31"/>
  <c r="M31" s="1"/>
  <c r="O31" s="1"/>
  <c r="W31"/>
  <c r="K34"/>
  <c r="M34" s="1"/>
  <c r="O34" s="1"/>
  <c r="P34" s="1"/>
  <c r="W34"/>
  <c r="K36"/>
  <c r="M36" s="1"/>
  <c r="K37"/>
  <c r="W37"/>
  <c r="W39"/>
  <c r="W41"/>
  <c r="W43"/>
  <c r="W45"/>
  <c r="W47"/>
  <c r="W49"/>
  <c r="W51"/>
  <c r="K56"/>
  <c r="M56" s="1"/>
  <c r="N56" s="1"/>
  <c r="Q56" s="1"/>
  <c r="K58"/>
  <c r="M58" s="1"/>
  <c r="K65"/>
  <c r="M65" s="1"/>
  <c r="K66"/>
  <c r="M66" s="1"/>
  <c r="K67"/>
  <c r="M67" s="1"/>
  <c r="K68"/>
  <c r="M68" s="1"/>
  <c r="K69"/>
  <c r="M69" s="1"/>
  <c r="K70"/>
  <c r="M70" s="1"/>
  <c r="K71"/>
  <c r="L71" s="1"/>
  <c r="M71" s="1"/>
  <c r="K76"/>
  <c r="M76" s="1"/>
  <c r="O76" s="1"/>
  <c r="K77"/>
  <c r="L77" s="1"/>
  <c r="M77" s="1"/>
  <c r="K78"/>
  <c r="M78" s="1"/>
  <c r="G78" s="1"/>
  <c r="K79"/>
  <c r="M79" s="1"/>
  <c r="N79" s="1"/>
  <c r="Q79" s="1"/>
  <c r="DY73" i="3"/>
  <c r="DY72"/>
  <c r="AD74"/>
  <c r="EI73"/>
  <c r="CL73"/>
  <c r="CJ73"/>
  <c r="CH73"/>
  <c r="CF73"/>
  <c r="EI72"/>
  <c r="CL72"/>
  <c r="CJ72"/>
  <c r="CH72"/>
  <c r="CF72"/>
  <c r="AU71"/>
  <c r="DV71"/>
  <c r="DY71" s="1"/>
  <c r="EI71"/>
  <c r="CF71"/>
  <c r="CH71"/>
  <c r="CJ71"/>
  <c r="CL71"/>
  <c r="CE71"/>
  <c r="CG71"/>
  <c r="CI71"/>
  <c r="DY70"/>
  <c r="DY68"/>
  <c r="DY66"/>
  <c r="DY65"/>
  <c r="DY63"/>
  <c r="DY62"/>
  <c r="DY61"/>
  <c r="DY60"/>
  <c r="DY59"/>
  <c r="DY58"/>
  <c r="DY57"/>
  <c r="DY56"/>
  <c r="DY55"/>
  <c r="DY54"/>
  <c r="DY53"/>
  <c r="DY52"/>
  <c r="DY51"/>
  <c r="CK73"/>
  <c r="CI73"/>
  <c r="CG73"/>
  <c r="CK72"/>
  <c r="CI72"/>
  <c r="CG72"/>
  <c r="DY69"/>
  <c r="DY67"/>
  <c r="CK70"/>
  <c r="CI70"/>
  <c r="CG70"/>
  <c r="CE70"/>
  <c r="CK69"/>
  <c r="CI69"/>
  <c r="CG69"/>
  <c r="CE69"/>
  <c r="CK68"/>
  <c r="CI68"/>
  <c r="CG68"/>
  <c r="CE68"/>
  <c r="CK67"/>
  <c r="CI67"/>
  <c r="CG67"/>
  <c r="CE67"/>
  <c r="CK66"/>
  <c r="CI66"/>
  <c r="CG66"/>
  <c r="CE66"/>
  <c r="CK65"/>
  <c r="CI65"/>
  <c r="CG65"/>
  <c r="CE65"/>
  <c r="CK64"/>
  <c r="CI64"/>
  <c r="CG64"/>
  <c r="CK63"/>
  <c r="CI63"/>
  <c r="CG63"/>
  <c r="CK62"/>
  <c r="CI62"/>
  <c r="CG62"/>
  <c r="CK61"/>
  <c r="CI61"/>
  <c r="CG61"/>
  <c r="CK60"/>
  <c r="CI60"/>
  <c r="CG60"/>
  <c r="CK59"/>
  <c r="CI59"/>
  <c r="CG59"/>
  <c r="CK58"/>
  <c r="CI58"/>
  <c r="CG58"/>
  <c r="CK57"/>
  <c r="CI57"/>
  <c r="CG57"/>
  <c r="CK56"/>
  <c r="CI56"/>
  <c r="CG56"/>
  <c r="CK55"/>
  <c r="CI55"/>
  <c r="CG55"/>
  <c r="CK54"/>
  <c r="CI54"/>
  <c r="CG54"/>
  <c r="CK53"/>
  <c r="CI53"/>
  <c r="CG53"/>
  <c r="CK52"/>
  <c r="CI52"/>
  <c r="CG52"/>
  <c r="CK51"/>
  <c r="CI51"/>
  <c r="CG51"/>
  <c r="CK50"/>
  <c r="CI50"/>
  <c r="CG50"/>
  <c r="CK49"/>
  <c r="CI49"/>
  <c r="CG49"/>
  <c r="CK48"/>
  <c r="DV47"/>
  <c r="DY47" s="1"/>
  <c r="EI47"/>
  <c r="DY40"/>
  <c r="DY38"/>
  <c r="DY35"/>
  <c r="DY34"/>
  <c r="DY33"/>
  <c r="DY32"/>
  <c r="DY31"/>
  <c r="DY30"/>
  <c r="DY29"/>
  <c r="DY28"/>
  <c r="DY27"/>
  <c r="EI70"/>
  <c r="CL70"/>
  <c r="CJ70"/>
  <c r="CH70"/>
  <c r="EI69"/>
  <c r="CL69"/>
  <c r="CJ69"/>
  <c r="CH69"/>
  <c r="EI68"/>
  <c r="CL68"/>
  <c r="CJ68"/>
  <c r="CH68"/>
  <c r="EI67"/>
  <c r="CL67"/>
  <c r="CJ67"/>
  <c r="CH67"/>
  <c r="EI66"/>
  <c r="CL66"/>
  <c r="CJ66"/>
  <c r="CH66"/>
  <c r="CL65"/>
  <c r="CJ65"/>
  <c r="CH65"/>
  <c r="CF48"/>
  <c r="CH48"/>
  <c r="CJ48"/>
  <c r="CL48"/>
  <c r="CI48"/>
  <c r="CE48"/>
  <c r="AR48"/>
  <c r="DY46"/>
  <c r="DY45"/>
  <c r="DY44"/>
  <c r="DY43"/>
  <c r="DY42"/>
  <c r="DY41"/>
  <c r="DY39"/>
  <c r="DY37"/>
  <c r="DY36"/>
  <c r="CK47"/>
  <c r="CI47"/>
  <c r="CG47"/>
  <c r="CE47"/>
  <c r="CK46"/>
  <c r="CI46"/>
  <c r="CG46"/>
  <c r="CE46"/>
  <c r="CK45"/>
  <c r="CI45"/>
  <c r="CG45"/>
  <c r="CE45"/>
  <c r="CK44"/>
  <c r="CI44"/>
  <c r="CG44"/>
  <c r="CE44"/>
  <c r="CK43"/>
  <c r="CI43"/>
  <c r="CG43"/>
  <c r="CE43"/>
  <c r="CK42"/>
  <c r="CI42"/>
  <c r="CG42"/>
  <c r="CE42"/>
  <c r="CK41"/>
  <c r="CI41"/>
  <c r="CG41"/>
  <c r="CE41"/>
  <c r="CK40"/>
  <c r="CI40"/>
  <c r="CG40"/>
  <c r="CE40"/>
  <c r="CK39"/>
  <c r="CI39"/>
  <c r="CG39"/>
  <c r="CE39"/>
  <c r="CK38"/>
  <c r="CI38"/>
  <c r="CG38"/>
  <c r="CE38"/>
  <c r="CK37"/>
  <c r="CI37"/>
  <c r="CG37"/>
  <c r="CE37"/>
  <c r="CK36"/>
  <c r="CI36"/>
  <c r="CG36"/>
  <c r="CE36"/>
  <c r="CK35"/>
  <c r="CI35"/>
  <c r="CG35"/>
  <c r="CK34"/>
  <c r="CI34"/>
  <c r="CG34"/>
  <c r="CK33"/>
  <c r="CI33"/>
  <c r="CG33"/>
  <c r="CK32"/>
  <c r="CI32"/>
  <c r="CG32"/>
  <c r="CK31"/>
  <c r="CI31"/>
  <c r="CG31"/>
  <c r="CK30"/>
  <c r="CI30"/>
  <c r="CG30"/>
  <c r="CK29"/>
  <c r="CI29"/>
  <c r="CG29"/>
  <c r="CK28"/>
  <c r="CI28"/>
  <c r="CG28"/>
  <c r="CK27"/>
  <c r="CI27"/>
  <c r="CG27"/>
  <c r="DY22"/>
  <c r="DY20"/>
  <c r="DY18"/>
  <c r="CL47"/>
  <c r="CJ47"/>
  <c r="CH47"/>
  <c r="EI46"/>
  <c r="CL46"/>
  <c r="CJ46"/>
  <c r="CH46"/>
  <c r="EI45"/>
  <c r="CL45"/>
  <c r="CJ45"/>
  <c r="CH45"/>
  <c r="EI44"/>
  <c r="CL44"/>
  <c r="CJ44"/>
  <c r="CH44"/>
  <c r="EI43"/>
  <c r="CL43"/>
  <c r="CJ43"/>
  <c r="CH43"/>
  <c r="EI42"/>
  <c r="CL42"/>
  <c r="CJ42"/>
  <c r="CH42"/>
  <c r="EI41"/>
  <c r="CL41"/>
  <c r="CJ41"/>
  <c r="CH41"/>
  <c r="EI40"/>
  <c r="CL40"/>
  <c r="CJ40"/>
  <c r="CH40"/>
  <c r="EI39"/>
  <c r="CL39"/>
  <c r="CJ39"/>
  <c r="CH39"/>
  <c r="EI38"/>
  <c r="CL38"/>
  <c r="CJ38"/>
  <c r="CH38"/>
  <c r="EI37"/>
  <c r="CL37"/>
  <c r="CJ37"/>
  <c r="CH37"/>
  <c r="EI36"/>
  <c r="CL36"/>
  <c r="CJ36"/>
  <c r="CH36"/>
  <c r="DV26"/>
  <c r="EI26"/>
  <c r="CF26"/>
  <c r="CH26"/>
  <c r="CJ26"/>
  <c r="CL26"/>
  <c r="CE26"/>
  <c r="CG26"/>
  <c r="CI26"/>
  <c r="DY25"/>
  <c r="DY24"/>
  <c r="DY23"/>
  <c r="DY21"/>
  <c r="DY19"/>
  <c r="DY17"/>
  <c r="DY16"/>
  <c r="DY15"/>
  <c r="DY14"/>
  <c r="DY13"/>
  <c r="CK25"/>
  <c r="CI25"/>
  <c r="CG25"/>
  <c r="CE25"/>
  <c r="CK24"/>
  <c r="CI24"/>
  <c r="CG24"/>
  <c r="CE24"/>
  <c r="CK23"/>
  <c r="CI23"/>
  <c r="CG23"/>
  <c r="CE23"/>
  <c r="CK22"/>
  <c r="CI22"/>
  <c r="CG22"/>
  <c r="CE22"/>
  <c r="CK21"/>
  <c r="CI21"/>
  <c r="CG21"/>
  <c r="CE21"/>
  <c r="CK20"/>
  <c r="CI20"/>
  <c r="CG20"/>
  <c r="CE20"/>
  <c r="CK19"/>
  <c r="CI19"/>
  <c r="CG19"/>
  <c r="CE19"/>
  <c r="CK18"/>
  <c r="CI18"/>
  <c r="CG18"/>
  <c r="CE18"/>
  <c r="CK17"/>
  <c r="CI17"/>
  <c r="CG17"/>
  <c r="CK16"/>
  <c r="CI16"/>
  <c r="CG16"/>
  <c r="CK15"/>
  <c r="CI15"/>
  <c r="CG15"/>
  <c r="CK14"/>
  <c r="CI14"/>
  <c r="CG14"/>
  <c r="CK13"/>
  <c r="CI13"/>
  <c r="CG13"/>
  <c r="CK12"/>
  <c r="CI12"/>
  <c r="CG12"/>
  <c r="BI12"/>
  <c r="BI74" s="1"/>
  <c r="DY10"/>
  <c r="DY9"/>
  <c r="DY8"/>
  <c r="DY7"/>
  <c r="EI25"/>
  <c r="CL25"/>
  <c r="CJ25"/>
  <c r="CH25"/>
  <c r="EI24"/>
  <c r="CL24"/>
  <c r="CJ24"/>
  <c r="CH24"/>
  <c r="EI23"/>
  <c r="CL23"/>
  <c r="CJ23"/>
  <c r="CH23"/>
  <c r="EI22"/>
  <c r="CL22"/>
  <c r="CJ22"/>
  <c r="CH22"/>
  <c r="EI21"/>
  <c r="CL21"/>
  <c r="CJ21"/>
  <c r="CH21"/>
  <c r="EI20"/>
  <c r="CL20"/>
  <c r="CJ20"/>
  <c r="CH20"/>
  <c r="EI19"/>
  <c r="CL19"/>
  <c r="CJ19"/>
  <c r="CH19"/>
  <c r="CH18"/>
  <c r="AU12"/>
  <c r="DY11"/>
  <c r="CK11"/>
  <c r="CI11"/>
  <c r="CG11"/>
  <c r="CE11"/>
  <c r="CK10"/>
  <c r="CI10"/>
  <c r="CG10"/>
  <c r="CK9"/>
  <c r="CI9"/>
  <c r="CG9"/>
  <c r="CK8"/>
  <c r="CI8"/>
  <c r="CG8"/>
  <c r="CK7"/>
  <c r="CI7"/>
  <c r="CG7"/>
  <c r="AO7"/>
  <c r="EC6"/>
  <c r="EC74" s="1"/>
  <c r="DY6"/>
  <c r="AU6"/>
  <c r="EI11"/>
  <c r="EI74" s="1"/>
  <c r="CL11"/>
  <c r="CJ11"/>
  <c r="CJ74" s="1"/>
  <c r="CH11"/>
  <c r="CK6"/>
  <c r="CI6"/>
  <c r="CG6"/>
  <c r="CK5"/>
  <c r="CI5"/>
  <c r="CG5"/>
  <c r="CK4"/>
  <c r="CI4"/>
  <c r="CG4"/>
  <c r="CK3"/>
  <c r="CI3"/>
  <c r="CG3"/>
  <c r="CK2"/>
  <c r="CI2"/>
  <c r="CG2"/>
  <c r="O10" i="1"/>
  <c r="N10"/>
  <c r="Q10" s="1"/>
  <c r="P10"/>
  <c r="AE10" s="1"/>
  <c r="G10"/>
  <c r="O12"/>
  <c r="P12" s="1"/>
  <c r="G12"/>
  <c r="N12"/>
  <c r="Q12" s="1"/>
  <c r="O14"/>
  <c r="P14" s="1"/>
  <c r="AE14" s="1"/>
  <c r="O17"/>
  <c r="P17" s="1"/>
  <c r="G17"/>
  <c r="N17"/>
  <c r="Q17" s="1"/>
  <c r="J81"/>
  <c r="K9"/>
  <c r="W9"/>
  <c r="Z82"/>
  <c r="Z83" s="1"/>
  <c r="K13"/>
  <c r="M13" s="1"/>
  <c r="K18"/>
  <c r="M18" s="1"/>
  <c r="G19"/>
  <c r="O20"/>
  <c r="P20" s="1"/>
  <c r="AE20" s="1"/>
  <c r="N20"/>
  <c r="Q20" s="1"/>
  <c r="G20"/>
  <c r="N21"/>
  <c r="Q21" s="1"/>
  <c r="N22"/>
  <c r="Q22" s="1"/>
  <c r="G22"/>
  <c r="O22"/>
  <c r="P22" s="1"/>
  <c r="AE22" s="1"/>
  <c r="O23"/>
  <c r="N23"/>
  <c r="Q23" s="1"/>
  <c r="N24"/>
  <c r="Q24" s="1"/>
  <c r="G24"/>
  <c r="O24"/>
  <c r="P24" s="1"/>
  <c r="N38"/>
  <c r="Q38" s="1"/>
  <c r="O42"/>
  <c r="P42" s="1"/>
  <c r="G42"/>
  <c r="N42"/>
  <c r="Q42" s="1"/>
  <c r="N44"/>
  <c r="Q44" s="1"/>
  <c r="O46"/>
  <c r="P46" s="1"/>
  <c r="G46"/>
  <c r="N46"/>
  <c r="Q46" s="1"/>
  <c r="N48"/>
  <c r="Q48" s="1"/>
  <c r="O50"/>
  <c r="P50" s="1"/>
  <c r="G50"/>
  <c r="N50"/>
  <c r="Q50" s="1"/>
  <c r="N52"/>
  <c r="Q52" s="1"/>
  <c r="O54"/>
  <c r="P54" s="1"/>
  <c r="G54"/>
  <c r="N54"/>
  <c r="Q54" s="1"/>
  <c r="AR82"/>
  <c r="Q6"/>
  <c r="F81"/>
  <c r="AV81"/>
  <c r="AW9"/>
  <c r="AW81" s="1"/>
  <c r="K11"/>
  <c r="M11" s="1"/>
  <c r="W12"/>
  <c r="K15"/>
  <c r="M15" s="1"/>
  <c r="BC81"/>
  <c r="BD15"/>
  <c r="AJ15" s="1"/>
  <c r="AJ81" s="1"/>
  <c r="K16"/>
  <c r="M16" s="1"/>
  <c r="W17"/>
  <c r="O26"/>
  <c r="N26"/>
  <c r="Q26" s="1"/>
  <c r="N27"/>
  <c r="Q27" s="1"/>
  <c r="G27"/>
  <c r="O27"/>
  <c r="P27" s="1"/>
  <c r="N28"/>
  <c r="Q28" s="1"/>
  <c r="O29"/>
  <c r="P29" s="1"/>
  <c r="G29"/>
  <c r="N29"/>
  <c r="Q29" s="1"/>
  <c r="N31"/>
  <c r="Q31" s="1"/>
  <c r="G31"/>
  <c r="N34"/>
  <c r="Q34" s="1"/>
  <c r="O36"/>
  <c r="G36"/>
  <c r="N36"/>
  <c r="Q36" s="1"/>
  <c r="O56"/>
  <c r="P56" s="1"/>
  <c r="G56"/>
  <c r="K30"/>
  <c r="M30" s="1"/>
  <c r="L33"/>
  <c r="M33" s="1"/>
  <c r="K43"/>
  <c r="M43" s="1"/>
  <c r="K47"/>
  <c r="M47" s="1"/>
  <c r="K51"/>
  <c r="M51" s="1"/>
  <c r="K55"/>
  <c r="M55" s="1"/>
  <c r="N60"/>
  <c r="Q60" s="1"/>
  <c r="K61"/>
  <c r="M61" s="1"/>
  <c r="O65"/>
  <c r="N65"/>
  <c r="Q65" s="1"/>
  <c r="N66"/>
  <c r="Q66" s="1"/>
  <c r="G66"/>
  <c r="O66"/>
  <c r="P66" s="1"/>
  <c r="AE66" s="1"/>
  <c r="O67"/>
  <c r="P67"/>
  <c r="AE67" s="1"/>
  <c r="G67"/>
  <c r="N68"/>
  <c r="Q68" s="1"/>
  <c r="G68"/>
  <c r="O68"/>
  <c r="P68" s="1"/>
  <c r="O69"/>
  <c r="N69"/>
  <c r="Q69" s="1"/>
  <c r="N70"/>
  <c r="Q70" s="1"/>
  <c r="G70"/>
  <c r="O70"/>
  <c r="P70" s="1"/>
  <c r="AE70" s="1"/>
  <c r="D81"/>
  <c r="I81"/>
  <c r="T81"/>
  <c r="V81"/>
  <c r="X81"/>
  <c r="AC81"/>
  <c r="AM81"/>
  <c r="AO81"/>
  <c r="BL81"/>
  <c r="W29"/>
  <c r="K32"/>
  <c r="K35"/>
  <c r="M35" s="1"/>
  <c r="W36"/>
  <c r="L37"/>
  <c r="M37" s="1"/>
  <c r="K39"/>
  <c r="M39" s="1"/>
  <c r="K40"/>
  <c r="K41"/>
  <c r="M41" s="1"/>
  <c r="W42"/>
  <c r="K45"/>
  <c r="M45" s="1"/>
  <c r="W46"/>
  <c r="K49"/>
  <c r="M49" s="1"/>
  <c r="W50"/>
  <c r="K53"/>
  <c r="M53" s="1"/>
  <c r="W54"/>
  <c r="O58"/>
  <c r="P58" s="1"/>
  <c r="G58"/>
  <c r="N58"/>
  <c r="Q58" s="1"/>
  <c r="K59"/>
  <c r="O62"/>
  <c r="P62" s="1"/>
  <c r="G62"/>
  <c r="N62"/>
  <c r="Q62" s="1"/>
  <c r="K57"/>
  <c r="W58"/>
  <c r="W59"/>
  <c r="W60"/>
  <c r="W62"/>
  <c r="G63"/>
  <c r="L64"/>
  <c r="M64" s="1"/>
  <c r="O72"/>
  <c r="P72" s="1"/>
  <c r="N72"/>
  <c r="Q72" s="1"/>
  <c r="G72"/>
  <c r="N73"/>
  <c r="Q73" s="1"/>
  <c r="O73"/>
  <c r="P73" s="1"/>
  <c r="AE73" s="1"/>
  <c r="O74"/>
  <c r="P74" s="1"/>
  <c r="N74"/>
  <c r="Q74" s="1"/>
  <c r="G74"/>
  <c r="G75"/>
  <c r="N76"/>
  <c r="Q76" s="1"/>
  <c r="N80"/>
  <c r="Q80" s="1"/>
  <c r="G80"/>
  <c r="O80"/>
  <c r="P80" s="1"/>
  <c r="AE80" s="1"/>
  <c r="D87"/>
  <c r="F87" s="1"/>
  <c r="O78"/>
  <c r="P78" s="1"/>
  <c r="AE78" s="1"/>
  <c r="N78"/>
  <c r="Q78" s="1"/>
  <c r="G79"/>
  <c r="AB82"/>
  <c r="AB83" s="1"/>
  <c r="L67" i="2" l="1"/>
  <c r="M67" s="1"/>
  <c r="L57"/>
  <c r="M57" s="1"/>
  <c r="L53"/>
  <c r="M53" s="1"/>
  <c r="L49"/>
  <c r="M49" s="1"/>
  <c r="L37"/>
  <c r="M37" s="1"/>
  <c r="L25"/>
  <c r="M25" s="1"/>
  <c r="L17"/>
  <c r="M17" s="1"/>
  <c r="L61"/>
  <c r="M61" s="1"/>
  <c r="L44"/>
  <c r="M44" s="1"/>
  <c r="L40"/>
  <c r="M40" s="1"/>
  <c r="L65"/>
  <c r="M65" s="1"/>
  <c r="L70"/>
  <c r="M70" s="1"/>
  <c r="L73"/>
  <c r="M73" s="1"/>
  <c r="U74"/>
  <c r="CE74" i="3"/>
  <c r="CF74"/>
  <c r="BY74"/>
  <c r="EO74"/>
  <c r="AQ74" i="5"/>
  <c r="Z2" i="2"/>
  <c r="E74"/>
  <c r="Z74" s="1"/>
  <c r="L41"/>
  <c r="M41" s="1"/>
  <c r="L33"/>
  <c r="M33" s="1"/>
  <c r="L29"/>
  <c r="M29" s="1"/>
  <c r="L21"/>
  <c r="M21" s="1"/>
  <c r="L36"/>
  <c r="M36" s="1"/>
  <c r="L12"/>
  <c r="M12" s="1"/>
  <c r="L8"/>
  <c r="M8" s="1"/>
  <c r="AJ19" i="9"/>
  <c r="AJ82" s="1"/>
  <c r="AH82"/>
  <c r="AZ33"/>
  <c r="AZ82" s="1"/>
  <c r="AX82"/>
  <c r="H74" i="2"/>
  <c r="G74"/>
  <c r="P74"/>
  <c r="X74" s="1"/>
  <c r="Y74" s="1"/>
  <c r="AZ20" i="4"/>
  <c r="AV20"/>
  <c r="CI74" i="3"/>
  <c r="CH74"/>
  <c r="CL74"/>
  <c r="AU74"/>
  <c r="AE19" i="1"/>
  <c r="AC74" i="3"/>
  <c r="AG74"/>
  <c r="AH74"/>
  <c r="AF74"/>
  <c r="DB74" i="5"/>
  <c r="DA74"/>
  <c r="DE74"/>
  <c r="K74" i="2"/>
  <c r="J74"/>
  <c r="L13"/>
  <c r="M13" s="1"/>
  <c r="BF74" i="5"/>
  <c r="BI56"/>
  <c r="BI74" s="1"/>
  <c r="CZ74"/>
  <c r="DD74"/>
  <c r="CC74" i="3"/>
  <c r="P69" i="1"/>
  <c r="AE69" s="1"/>
  <c r="R67"/>
  <c r="P65"/>
  <c r="AE65" s="1"/>
  <c r="P36"/>
  <c r="AE36" s="1"/>
  <c r="P26"/>
  <c r="AE26" s="1"/>
  <c r="BD81"/>
  <c r="BD84" s="1"/>
  <c r="P23"/>
  <c r="AE23" s="1"/>
  <c r="CG80" i="4"/>
  <c r="AS80"/>
  <c r="BC80"/>
  <c r="CI80"/>
  <c r="BA80"/>
  <c r="BE80"/>
  <c r="AZ79"/>
  <c r="AZ77"/>
  <c r="AV77"/>
  <c r="AV76"/>
  <c r="AZ76"/>
  <c r="AV75"/>
  <c r="AZ75"/>
  <c r="BD71"/>
  <c r="CH71"/>
  <c r="AW71"/>
  <c r="AZ69"/>
  <c r="AR69"/>
  <c r="BD68"/>
  <c r="CH68"/>
  <c r="AW68"/>
  <c r="CG67"/>
  <c r="AS67"/>
  <c r="BC67"/>
  <c r="CI67"/>
  <c r="BA67"/>
  <c r="BE67"/>
  <c r="AZ64"/>
  <c r="AV64"/>
  <c r="CH62"/>
  <c r="AW62"/>
  <c r="BD62"/>
  <c r="BC62"/>
  <c r="CG62"/>
  <c r="AS62"/>
  <c r="BE62"/>
  <c r="CI62"/>
  <c r="BA62"/>
  <c r="AZ60"/>
  <c r="AR60"/>
  <c r="AZ58"/>
  <c r="AZ56"/>
  <c r="AV56"/>
  <c r="AZ50"/>
  <c r="AV50"/>
  <c r="AZ48"/>
  <c r="AZ46"/>
  <c r="AZ55"/>
  <c r="AZ53"/>
  <c r="CH52"/>
  <c r="AW52"/>
  <c r="BD52"/>
  <c r="BC52"/>
  <c r="CG52"/>
  <c r="AS52"/>
  <c r="BE52"/>
  <c r="CI52"/>
  <c r="BA52"/>
  <c r="AZ51"/>
  <c r="AV51"/>
  <c r="CH44"/>
  <c r="AW44"/>
  <c r="BD44"/>
  <c r="CG44"/>
  <c r="BC44"/>
  <c r="AS44"/>
  <c r="CI44"/>
  <c r="BE44"/>
  <c r="BA44"/>
  <c r="BR81"/>
  <c r="BM81"/>
  <c r="AZ42"/>
  <c r="AV42"/>
  <c r="AZ40"/>
  <c r="AV40"/>
  <c r="CH38"/>
  <c r="AW38"/>
  <c r="BD38"/>
  <c r="BC38"/>
  <c r="CG38"/>
  <c r="AS38"/>
  <c r="BE38"/>
  <c r="CI38"/>
  <c r="BA38"/>
  <c r="AZ36"/>
  <c r="AV36"/>
  <c r="AZ34"/>
  <c r="AV34"/>
  <c r="AZ32"/>
  <c r="AR32"/>
  <c r="AZ30"/>
  <c r="AV30"/>
  <c r="AZ28"/>
  <c r="AZ26"/>
  <c r="AZ24"/>
  <c r="BS81"/>
  <c r="BN81"/>
  <c r="AL81"/>
  <c r="AO9"/>
  <c r="CH22"/>
  <c r="AW22"/>
  <c r="BD22"/>
  <c r="CI22"/>
  <c r="BE22"/>
  <c r="BA22"/>
  <c r="CH20"/>
  <c r="AW20"/>
  <c r="BD20"/>
  <c r="BE20"/>
  <c r="CI20"/>
  <c r="BA20"/>
  <c r="BE19"/>
  <c r="CI19"/>
  <c r="BA19"/>
  <c r="CH21"/>
  <c r="AW21"/>
  <c r="BD21"/>
  <c r="BC21"/>
  <c r="CG21"/>
  <c r="AS21"/>
  <c r="BE21"/>
  <c r="CI21"/>
  <c r="BA21"/>
  <c r="AZ18"/>
  <c r="AZ17"/>
  <c r="AV17"/>
  <c r="AZ16"/>
  <c r="AZ14"/>
  <c r="AZ12"/>
  <c r="AZ10"/>
  <c r="BD80"/>
  <c r="CH80"/>
  <c r="AW80"/>
  <c r="CH78"/>
  <c r="AW78"/>
  <c r="BD78"/>
  <c r="BC78"/>
  <c r="CG78"/>
  <c r="AS78"/>
  <c r="BE78"/>
  <c r="CI78"/>
  <c r="BA78"/>
  <c r="AZ74"/>
  <c r="AV73"/>
  <c r="AZ73"/>
  <c r="AV72"/>
  <c r="AZ72"/>
  <c r="CG71"/>
  <c r="AS71"/>
  <c r="BC71"/>
  <c r="CI71"/>
  <c r="BA71"/>
  <c r="BE71"/>
  <c r="AV70"/>
  <c r="AZ70"/>
  <c r="CG68"/>
  <c r="AS68"/>
  <c r="BC68"/>
  <c r="CI68"/>
  <c r="BA68"/>
  <c r="BE68"/>
  <c r="BD67"/>
  <c r="CH67"/>
  <c r="AW67"/>
  <c r="CG66"/>
  <c r="AS66"/>
  <c r="BC66"/>
  <c r="CI66"/>
  <c r="BA66"/>
  <c r="BE66"/>
  <c r="BD66"/>
  <c r="CH66"/>
  <c r="AW66"/>
  <c r="AZ65"/>
  <c r="AZ63"/>
  <c r="CH61"/>
  <c r="AW61"/>
  <c r="BD61"/>
  <c r="BC61"/>
  <c r="CG61"/>
  <c r="AS61"/>
  <c r="BE61"/>
  <c r="CI61"/>
  <c r="BA61"/>
  <c r="CH59"/>
  <c r="AW59"/>
  <c r="BD59"/>
  <c r="BC59"/>
  <c r="CG59"/>
  <c r="AS59"/>
  <c r="BE59"/>
  <c r="CI59"/>
  <c r="BA59"/>
  <c r="CH57"/>
  <c r="AW57"/>
  <c r="BD57"/>
  <c r="BC57"/>
  <c r="CG57"/>
  <c r="AS57"/>
  <c r="BE57"/>
  <c r="CI57"/>
  <c r="BA57"/>
  <c r="AZ54"/>
  <c r="AZ49"/>
  <c r="AV49"/>
  <c r="CH47"/>
  <c r="AW47"/>
  <c r="BD47"/>
  <c r="BC47"/>
  <c r="CG47"/>
  <c r="AS47"/>
  <c r="BE47"/>
  <c r="CI47"/>
  <c r="BA47"/>
  <c r="AZ45"/>
  <c r="AV45"/>
  <c r="BO81"/>
  <c r="AZ43"/>
  <c r="AV43"/>
  <c r="CH41"/>
  <c r="AW41"/>
  <c r="BD41"/>
  <c r="BC41"/>
  <c r="CG41"/>
  <c r="AS41"/>
  <c r="BE41"/>
  <c r="CI41"/>
  <c r="BA41"/>
  <c r="AZ39"/>
  <c r="AV39"/>
  <c r="CH37"/>
  <c r="AW37"/>
  <c r="BD37"/>
  <c r="BC37"/>
  <c r="CG37"/>
  <c r="AS37"/>
  <c r="BE37"/>
  <c r="CI37"/>
  <c r="BA37"/>
  <c r="AZ35"/>
  <c r="CH33"/>
  <c r="AW33"/>
  <c r="BD33"/>
  <c r="BC33"/>
  <c r="CG33"/>
  <c r="AS33"/>
  <c r="BE33"/>
  <c r="CI33"/>
  <c r="BA33"/>
  <c r="AZ31"/>
  <c r="AV31"/>
  <c r="AZ29"/>
  <c r="AV29"/>
  <c r="AZ27"/>
  <c r="CH25"/>
  <c r="AW25"/>
  <c r="BD25"/>
  <c r="BC25"/>
  <c r="CG25"/>
  <c r="AS25"/>
  <c r="BE25"/>
  <c r="CI25"/>
  <c r="BA25"/>
  <c r="AZ23"/>
  <c r="AV23"/>
  <c r="BQ81"/>
  <c r="AZ15"/>
  <c r="AV15"/>
  <c r="CH13"/>
  <c r="AW13"/>
  <c r="BD13"/>
  <c r="BC13"/>
  <c r="CG13"/>
  <c r="AS13"/>
  <c r="BE13"/>
  <c r="CI13"/>
  <c r="BA13"/>
  <c r="AZ11"/>
  <c r="AV11"/>
  <c r="AK29" i="1"/>
  <c r="AK62"/>
  <c r="AK79"/>
  <c r="AK65"/>
  <c r="AK23"/>
  <c r="AK30"/>
  <c r="AK58"/>
  <c r="AE60"/>
  <c r="AK28"/>
  <c r="AK43"/>
  <c r="AK52"/>
  <c r="AK16"/>
  <c r="AK51"/>
  <c r="AK50"/>
  <c r="AK60"/>
  <c r="AK32"/>
  <c r="AK48"/>
  <c r="AK27"/>
  <c r="AK69"/>
  <c r="AK76"/>
  <c r="AE54"/>
  <c r="AU54" s="1"/>
  <c r="R54"/>
  <c r="AE50"/>
  <c r="AF50" s="1"/>
  <c r="R50"/>
  <c r="AE46"/>
  <c r="AU46" s="1"/>
  <c r="R46"/>
  <c r="AE42"/>
  <c r="AF42" s="1"/>
  <c r="R42"/>
  <c r="O79"/>
  <c r="P79" s="1"/>
  <c r="R79" s="1"/>
  <c r="R78"/>
  <c r="R80"/>
  <c r="G76"/>
  <c r="P76"/>
  <c r="O75"/>
  <c r="P75" s="1"/>
  <c r="AE75" s="1"/>
  <c r="O63"/>
  <c r="P63" s="1"/>
  <c r="R60"/>
  <c r="G69"/>
  <c r="N67"/>
  <c r="Q67" s="1"/>
  <c r="G65"/>
  <c r="G60"/>
  <c r="R36"/>
  <c r="G34"/>
  <c r="P31"/>
  <c r="AE31" s="1"/>
  <c r="AF31" s="1"/>
  <c r="G28"/>
  <c r="P28"/>
  <c r="G26"/>
  <c r="G52"/>
  <c r="G48"/>
  <c r="G44"/>
  <c r="G38"/>
  <c r="G23"/>
  <c r="G21"/>
  <c r="P21"/>
  <c r="N19"/>
  <c r="Q19" s="1"/>
  <c r="G14"/>
  <c r="CG74" i="3"/>
  <c r="CK74"/>
  <c r="AR7"/>
  <c r="AR74" s="1"/>
  <c r="AO74"/>
  <c r="DY26"/>
  <c r="DY74" s="1"/>
  <c r="DV74"/>
  <c r="AE72" i="1"/>
  <c r="R72"/>
  <c r="AE79"/>
  <c r="AU75"/>
  <c r="AF75"/>
  <c r="AG75" s="1"/>
  <c r="AE74"/>
  <c r="R74"/>
  <c r="AU73"/>
  <c r="AF73"/>
  <c r="AG73" s="1"/>
  <c r="AE62"/>
  <c r="R62"/>
  <c r="AE58"/>
  <c r="R58"/>
  <c r="L40"/>
  <c r="M40" s="1"/>
  <c r="N33"/>
  <c r="Q33" s="1"/>
  <c r="O33"/>
  <c r="P33" s="1"/>
  <c r="G33"/>
  <c r="AE56"/>
  <c r="R56"/>
  <c r="AE29"/>
  <c r="R29"/>
  <c r="AE27"/>
  <c r="R27"/>
  <c r="AE24"/>
  <c r="R24"/>
  <c r="AE17"/>
  <c r="R17"/>
  <c r="AU80"/>
  <c r="AF80"/>
  <c r="AG80" s="1"/>
  <c r="R75"/>
  <c r="R73"/>
  <c r="N64"/>
  <c r="Q64" s="1"/>
  <c r="O64"/>
  <c r="P64" s="1"/>
  <c r="G64"/>
  <c r="N39"/>
  <c r="Q39" s="1"/>
  <c r="G39"/>
  <c r="O39"/>
  <c r="P39" s="1"/>
  <c r="AE68"/>
  <c r="R68"/>
  <c r="AE34"/>
  <c r="R34"/>
  <c r="AE52"/>
  <c r="R52"/>
  <c r="AE48"/>
  <c r="R48"/>
  <c r="AE44"/>
  <c r="R44"/>
  <c r="AE38"/>
  <c r="R38"/>
  <c r="AE12"/>
  <c r="R12"/>
  <c r="X82"/>
  <c r="X83" s="1"/>
  <c r="T82"/>
  <c r="T83" s="1"/>
  <c r="AU70"/>
  <c r="AF70"/>
  <c r="AG70" s="1"/>
  <c r="AF69"/>
  <c r="AU69"/>
  <c r="AG69"/>
  <c r="AU66"/>
  <c r="AF66"/>
  <c r="AG66" s="1"/>
  <c r="AF65"/>
  <c r="AG65" s="1"/>
  <c r="AU65"/>
  <c r="N61"/>
  <c r="Q61" s="1"/>
  <c r="G61"/>
  <c r="O61"/>
  <c r="P61" s="1"/>
  <c r="AE61" s="1"/>
  <c r="AF60"/>
  <c r="AG60" s="1"/>
  <c r="AU60"/>
  <c r="N55"/>
  <c r="Q55" s="1"/>
  <c r="G55"/>
  <c r="O55"/>
  <c r="P55" s="1"/>
  <c r="N51"/>
  <c r="Q51" s="1"/>
  <c r="G51"/>
  <c r="O51"/>
  <c r="P51" s="1"/>
  <c r="AE51" s="1"/>
  <c r="N47"/>
  <c r="Q47" s="1"/>
  <c r="G47"/>
  <c r="O47"/>
  <c r="P47" s="1"/>
  <c r="N43"/>
  <c r="Q43" s="1"/>
  <c r="G43"/>
  <c r="O43"/>
  <c r="P43" s="1"/>
  <c r="AE43" s="1"/>
  <c r="N37"/>
  <c r="Q37" s="1"/>
  <c r="O37"/>
  <c r="P37" s="1"/>
  <c r="G37"/>
  <c r="AF36"/>
  <c r="AG36" s="1"/>
  <c r="AU36"/>
  <c r="R31"/>
  <c r="AF26"/>
  <c r="AG26" s="1"/>
  <c r="AU26"/>
  <c r="N16"/>
  <c r="Q16" s="1"/>
  <c r="G16"/>
  <c r="O16"/>
  <c r="P16" s="1"/>
  <c r="AF54"/>
  <c r="AU50"/>
  <c r="AF23"/>
  <c r="AG23" s="1"/>
  <c r="AU23"/>
  <c r="AU22"/>
  <c r="AF22"/>
  <c r="AG22" s="1"/>
  <c r="AU20"/>
  <c r="AF20"/>
  <c r="AG20" s="1"/>
  <c r="AF19"/>
  <c r="AU19"/>
  <c r="AG19"/>
  <c r="AJ85"/>
  <c r="H5"/>
  <c r="K81"/>
  <c r="M9"/>
  <c r="AF14"/>
  <c r="AG14" s="1"/>
  <c r="AU14"/>
  <c r="R14"/>
  <c r="AF10"/>
  <c r="AG10" s="1"/>
  <c r="AU10"/>
  <c r="R10"/>
  <c r="AU78"/>
  <c r="AG78"/>
  <c r="O77"/>
  <c r="G77"/>
  <c r="P77"/>
  <c r="AE77" s="1"/>
  <c r="N77"/>
  <c r="Q77" s="1"/>
  <c r="N3"/>
  <c r="N71"/>
  <c r="Q71" s="1"/>
  <c r="O71"/>
  <c r="P71" s="1"/>
  <c r="G71"/>
  <c r="L57"/>
  <c r="M57" s="1"/>
  <c r="L59"/>
  <c r="M59" s="1"/>
  <c r="N53"/>
  <c r="Q53" s="1"/>
  <c r="G53"/>
  <c r="O53"/>
  <c r="P53" s="1"/>
  <c r="N49"/>
  <c r="Q49" s="1"/>
  <c r="G49"/>
  <c r="O49"/>
  <c r="P49" s="1"/>
  <c r="AE49" s="1"/>
  <c r="N45"/>
  <c r="Q45" s="1"/>
  <c r="G45"/>
  <c r="O45"/>
  <c r="P45" s="1"/>
  <c r="N41"/>
  <c r="Q41" s="1"/>
  <c r="G41"/>
  <c r="O41"/>
  <c r="P41" s="1"/>
  <c r="AE41" s="1"/>
  <c r="N35"/>
  <c r="Q35" s="1"/>
  <c r="G35"/>
  <c r="O35"/>
  <c r="P35" s="1"/>
  <c r="L32"/>
  <c r="M32" s="1"/>
  <c r="AC82"/>
  <c r="AC83" s="1"/>
  <c r="V82"/>
  <c r="V85" s="1"/>
  <c r="R70"/>
  <c r="R69"/>
  <c r="AF67"/>
  <c r="AG67" s="1"/>
  <c r="AU67"/>
  <c r="R66"/>
  <c r="R65"/>
  <c r="N30"/>
  <c r="Q30" s="1"/>
  <c r="G30"/>
  <c r="O30"/>
  <c r="P30" s="1"/>
  <c r="AE30" s="1"/>
  <c r="R26"/>
  <c r="N15"/>
  <c r="Q15" s="1"/>
  <c r="G15"/>
  <c r="O15"/>
  <c r="P15" s="1"/>
  <c r="N11"/>
  <c r="Q11" s="1"/>
  <c r="G11"/>
  <c r="O11"/>
  <c r="P11" s="1"/>
  <c r="AE11" s="1"/>
  <c r="M25"/>
  <c r="R23"/>
  <c r="R22"/>
  <c r="R20"/>
  <c r="R19"/>
  <c r="N18"/>
  <c r="Q18" s="1"/>
  <c r="G18"/>
  <c r="O18"/>
  <c r="P18" s="1"/>
  <c r="AE18" s="1"/>
  <c r="N13"/>
  <c r="Q13" s="1"/>
  <c r="G13"/>
  <c r="O13"/>
  <c r="P13" s="1"/>
  <c r="W81"/>
  <c r="M74" i="2" l="1"/>
  <c r="P2" s="1"/>
  <c r="BF41" i="4"/>
  <c r="BG41" s="1"/>
  <c r="P69" i="2"/>
  <c r="BF47" i="4"/>
  <c r="BG47" s="1"/>
  <c r="BF78"/>
  <c r="BG78" s="1"/>
  <c r="L74" i="2"/>
  <c r="P29"/>
  <c r="P16"/>
  <c r="P48"/>
  <c r="P10"/>
  <c r="P42"/>
  <c r="P7"/>
  <c r="P39"/>
  <c r="P71"/>
  <c r="P25"/>
  <c r="P57"/>
  <c r="P73"/>
  <c r="BF13" i="4"/>
  <c r="BG13" s="1"/>
  <c r="BF25"/>
  <c r="BG25" s="1"/>
  <c r="BF33"/>
  <c r="BG33" s="1"/>
  <c r="BF37"/>
  <c r="BG37" s="1"/>
  <c r="BF59"/>
  <c r="BG59" s="1"/>
  <c r="BF68"/>
  <c r="BG68" s="1"/>
  <c r="BF21"/>
  <c r="BG21" s="1"/>
  <c r="CO13"/>
  <c r="CW13"/>
  <c r="DE13" s="1"/>
  <c r="CP13"/>
  <c r="CX13"/>
  <c r="DF13" s="1"/>
  <c r="CO25"/>
  <c r="CW25"/>
  <c r="DE25" s="1"/>
  <c r="CP25"/>
  <c r="CX25"/>
  <c r="DF25" s="1"/>
  <c r="CH29"/>
  <c r="AW29"/>
  <c r="BD29"/>
  <c r="BE29"/>
  <c r="CI29"/>
  <c r="BA29"/>
  <c r="CO33"/>
  <c r="CW33"/>
  <c r="DE33" s="1"/>
  <c r="CP33"/>
  <c r="CX33"/>
  <c r="DF33" s="1"/>
  <c r="CO37"/>
  <c r="CW37"/>
  <c r="DE37" s="1"/>
  <c r="CP37"/>
  <c r="CX37"/>
  <c r="DF37" s="1"/>
  <c r="CO41"/>
  <c r="CW41"/>
  <c r="DE41" s="1"/>
  <c r="CP41"/>
  <c r="CX41"/>
  <c r="DF41" s="1"/>
  <c r="CO47"/>
  <c r="CW47"/>
  <c r="DE47" s="1"/>
  <c r="CP47"/>
  <c r="DF47"/>
  <c r="CX47"/>
  <c r="CI54"/>
  <c r="BA54"/>
  <c r="BE54"/>
  <c r="CQ57"/>
  <c r="DG57"/>
  <c r="CY57"/>
  <c r="BF57"/>
  <c r="BG57" s="1"/>
  <c r="CO59"/>
  <c r="DE59"/>
  <c r="CW59"/>
  <c r="CP59"/>
  <c r="CX59"/>
  <c r="DF59" s="1"/>
  <c r="CQ61"/>
  <c r="CY61"/>
  <c r="DG61" s="1"/>
  <c r="BF61"/>
  <c r="BG61" s="1"/>
  <c r="BE63"/>
  <c r="CI63"/>
  <c r="BA63"/>
  <c r="BF66"/>
  <c r="BG66" s="1"/>
  <c r="CO66"/>
  <c r="CW66"/>
  <c r="DE66" s="1"/>
  <c r="CP67"/>
  <c r="CX67"/>
  <c r="DF67" s="1"/>
  <c r="CQ68"/>
  <c r="CY68"/>
  <c r="DG68" s="1"/>
  <c r="CI70"/>
  <c r="BA70"/>
  <c r="BE70"/>
  <c r="BF71"/>
  <c r="BG71" s="1"/>
  <c r="CO71"/>
  <c r="CW71"/>
  <c r="DE71" s="1"/>
  <c r="BD72"/>
  <c r="CH72"/>
  <c r="AW72"/>
  <c r="CI73"/>
  <c r="BA73"/>
  <c r="BE73"/>
  <c r="CO78"/>
  <c r="CW78"/>
  <c r="DE78" s="1"/>
  <c r="CP78"/>
  <c r="CX78"/>
  <c r="DF78" s="1"/>
  <c r="CP80"/>
  <c r="CX80"/>
  <c r="DF80" s="1"/>
  <c r="BE10"/>
  <c r="CI10"/>
  <c r="BA10"/>
  <c r="BE14"/>
  <c r="CI14"/>
  <c r="BA14"/>
  <c r="CH17"/>
  <c r="AW17"/>
  <c r="BD17"/>
  <c r="BE17"/>
  <c r="CI17"/>
  <c r="BA17"/>
  <c r="CO21"/>
  <c r="CW21"/>
  <c r="DE21" s="1"/>
  <c r="CP21"/>
  <c r="CX21"/>
  <c r="DF21" s="1"/>
  <c r="CQ19"/>
  <c r="CY19"/>
  <c r="DG19" s="1"/>
  <c r="AU20"/>
  <c r="AR20" s="1"/>
  <c r="AY20"/>
  <c r="AU22"/>
  <c r="AR22" s="1"/>
  <c r="AY22"/>
  <c r="CQ22"/>
  <c r="CY22"/>
  <c r="AO81"/>
  <c r="AP9"/>
  <c r="BE24"/>
  <c r="CI24"/>
  <c r="BA24"/>
  <c r="BE28"/>
  <c r="CI28"/>
  <c r="BA28"/>
  <c r="BC32"/>
  <c r="CG32"/>
  <c r="AS32"/>
  <c r="BE32"/>
  <c r="CI32"/>
  <c r="BA32"/>
  <c r="CH36"/>
  <c r="AW36"/>
  <c r="BD36"/>
  <c r="BE36"/>
  <c r="CI36"/>
  <c r="BA36"/>
  <c r="CQ38"/>
  <c r="CY38"/>
  <c r="DG38" s="1"/>
  <c r="BF38"/>
  <c r="BG38" s="1"/>
  <c r="CH40"/>
  <c r="AW40"/>
  <c r="BD40"/>
  <c r="BE40"/>
  <c r="CI40"/>
  <c r="BA40"/>
  <c r="CQ44"/>
  <c r="CY44"/>
  <c r="DG44" s="1"/>
  <c r="BF44"/>
  <c r="BG44" s="1"/>
  <c r="CP44"/>
  <c r="CX44"/>
  <c r="CO52"/>
  <c r="CW52"/>
  <c r="CP52"/>
  <c r="CX52"/>
  <c r="BE55"/>
  <c r="CI55"/>
  <c r="BA55"/>
  <c r="BE48"/>
  <c r="CI48"/>
  <c r="BA48"/>
  <c r="CH56"/>
  <c r="AW56"/>
  <c r="BD56"/>
  <c r="BE56"/>
  <c r="CI56"/>
  <c r="BA56"/>
  <c r="BC60"/>
  <c r="CG60"/>
  <c r="AS60"/>
  <c r="BE60"/>
  <c r="CI60"/>
  <c r="BA60"/>
  <c r="CQ62"/>
  <c r="CY62"/>
  <c r="DG62" s="1"/>
  <c r="BF62"/>
  <c r="BG62" s="1"/>
  <c r="CH64"/>
  <c r="AW64"/>
  <c r="BD64"/>
  <c r="BE64"/>
  <c r="CI64"/>
  <c r="BA64"/>
  <c r="BF67"/>
  <c r="BG67" s="1"/>
  <c r="CO67"/>
  <c r="CW67"/>
  <c r="DE67" s="1"/>
  <c r="CP68"/>
  <c r="CX68"/>
  <c r="CG69"/>
  <c r="AS69"/>
  <c r="BC69"/>
  <c r="CI69"/>
  <c r="BA69"/>
  <c r="BE69"/>
  <c r="CP71"/>
  <c r="CX71"/>
  <c r="DF71" s="1"/>
  <c r="CI75"/>
  <c r="BA75"/>
  <c r="BE75"/>
  <c r="BD76"/>
  <c r="CH76"/>
  <c r="AW76"/>
  <c r="CH77"/>
  <c r="AW77"/>
  <c r="BD77"/>
  <c r="BE77"/>
  <c r="CI77"/>
  <c r="BA77"/>
  <c r="CQ80"/>
  <c r="CY80"/>
  <c r="CH11"/>
  <c r="AW11"/>
  <c r="BD11"/>
  <c r="BE11"/>
  <c r="CI11"/>
  <c r="BA11"/>
  <c r="CQ13"/>
  <c r="CY13"/>
  <c r="CH15"/>
  <c r="AW15"/>
  <c r="BD15"/>
  <c r="BE15"/>
  <c r="CI15"/>
  <c r="BA15"/>
  <c r="CH23"/>
  <c r="AW23"/>
  <c r="BD23"/>
  <c r="BE23"/>
  <c r="CI23"/>
  <c r="BA23"/>
  <c r="CQ25"/>
  <c r="CY25"/>
  <c r="DG25" s="1"/>
  <c r="BE27"/>
  <c r="CI27"/>
  <c r="BA27"/>
  <c r="CH31"/>
  <c r="AW31"/>
  <c r="BD31"/>
  <c r="BE31"/>
  <c r="CI31"/>
  <c r="BA31"/>
  <c r="CQ33"/>
  <c r="CY33"/>
  <c r="DG33" s="1"/>
  <c r="BE35"/>
  <c r="CI35"/>
  <c r="BA35"/>
  <c r="CQ37"/>
  <c r="CY37"/>
  <c r="DG37" s="1"/>
  <c r="CH39"/>
  <c r="AW39"/>
  <c r="BD39"/>
  <c r="BE39"/>
  <c r="CI39"/>
  <c r="BA39"/>
  <c r="CQ41"/>
  <c r="CY41"/>
  <c r="CH43"/>
  <c r="AW43"/>
  <c r="BD43"/>
  <c r="BE43"/>
  <c r="CI43"/>
  <c r="BA43"/>
  <c r="CH45"/>
  <c r="AW45"/>
  <c r="BD45"/>
  <c r="BE45"/>
  <c r="CI45"/>
  <c r="BA45"/>
  <c r="CQ47"/>
  <c r="CY47"/>
  <c r="DG47" s="1"/>
  <c r="CH49"/>
  <c r="AW49"/>
  <c r="BD49"/>
  <c r="BE49"/>
  <c r="CI49"/>
  <c r="BA49"/>
  <c r="CO57"/>
  <c r="CW57"/>
  <c r="DE57" s="1"/>
  <c r="CP57"/>
  <c r="CX57"/>
  <c r="CQ59"/>
  <c r="CY59"/>
  <c r="DG59" s="1"/>
  <c r="CO61"/>
  <c r="CW61"/>
  <c r="CP61"/>
  <c r="CX61"/>
  <c r="DF61" s="1"/>
  <c r="BE65"/>
  <c r="CI65"/>
  <c r="BA65"/>
  <c r="CP66"/>
  <c r="CX66"/>
  <c r="CQ66"/>
  <c r="CY66"/>
  <c r="CO68"/>
  <c r="CR68" s="1"/>
  <c r="CT68" s="1"/>
  <c r="CW68"/>
  <c r="DE68" s="1"/>
  <c r="BD70"/>
  <c r="CH70"/>
  <c r="AW70"/>
  <c r="CQ71"/>
  <c r="CY71"/>
  <c r="DG71" s="1"/>
  <c r="CI72"/>
  <c r="BA72"/>
  <c r="BE72"/>
  <c r="BD73"/>
  <c r="CH73"/>
  <c r="AW73"/>
  <c r="CI74"/>
  <c r="BA74"/>
  <c r="BE74"/>
  <c r="CQ78"/>
  <c r="CY78"/>
  <c r="DG78" s="1"/>
  <c r="BE12"/>
  <c r="CI12"/>
  <c r="BA12"/>
  <c r="BE16"/>
  <c r="CI16"/>
  <c r="BA16"/>
  <c r="BE18"/>
  <c r="CI18"/>
  <c r="BA18"/>
  <c r="CQ21"/>
  <c r="CY21"/>
  <c r="DG21" s="1"/>
  <c r="AY19"/>
  <c r="AV19" s="1"/>
  <c r="CQ20"/>
  <c r="CY20"/>
  <c r="CP20"/>
  <c r="CX20"/>
  <c r="CP22"/>
  <c r="CX22"/>
  <c r="DF22"/>
  <c r="BE26"/>
  <c r="CI26"/>
  <c r="BA26"/>
  <c r="CH30"/>
  <c r="AW30"/>
  <c r="BD30"/>
  <c r="BE30"/>
  <c r="CI30"/>
  <c r="BA30"/>
  <c r="CH34"/>
  <c r="AW34"/>
  <c r="BD34"/>
  <c r="BE34"/>
  <c r="CI34"/>
  <c r="BA34"/>
  <c r="CO38"/>
  <c r="CW38"/>
  <c r="DE38" s="1"/>
  <c r="CP38"/>
  <c r="CX38"/>
  <c r="DF38" s="1"/>
  <c r="CH42"/>
  <c r="AW42"/>
  <c r="BD42"/>
  <c r="BE42"/>
  <c r="CI42"/>
  <c r="BA42"/>
  <c r="CO44"/>
  <c r="CR44" s="1"/>
  <c r="CT44" s="1"/>
  <c r="CW44"/>
  <c r="DE44" s="1"/>
  <c r="CH51"/>
  <c r="AW51"/>
  <c r="BD51"/>
  <c r="BE51"/>
  <c r="CI51"/>
  <c r="BA51"/>
  <c r="CQ52"/>
  <c r="CY52"/>
  <c r="DG52" s="1"/>
  <c r="BF52"/>
  <c r="BG52" s="1"/>
  <c r="CI53"/>
  <c r="BE53"/>
  <c r="BA53"/>
  <c r="BE46"/>
  <c r="CI46"/>
  <c r="BA46"/>
  <c r="CH50"/>
  <c r="AW50"/>
  <c r="BD50"/>
  <c r="BE50"/>
  <c r="CI50"/>
  <c r="BA50"/>
  <c r="BE58"/>
  <c r="CI58"/>
  <c r="BA58"/>
  <c r="CO62"/>
  <c r="CW62"/>
  <c r="DE62" s="1"/>
  <c r="CP62"/>
  <c r="CX62"/>
  <c r="CQ67"/>
  <c r="CY67"/>
  <c r="DG67" s="1"/>
  <c r="BD75"/>
  <c r="CH75"/>
  <c r="AW75"/>
  <c r="CI76"/>
  <c r="BA76"/>
  <c r="BE76"/>
  <c r="BE79"/>
  <c r="CI79"/>
  <c r="BA79"/>
  <c r="BF80"/>
  <c r="BG80" s="1"/>
  <c r="CO80"/>
  <c r="CR80" s="1"/>
  <c r="CT80" s="1"/>
  <c r="CW80"/>
  <c r="DE80" s="1"/>
  <c r="AK31" i="1"/>
  <c r="AU42"/>
  <c r="AF46"/>
  <c r="AG46" s="1"/>
  <c r="AG54"/>
  <c r="AU31"/>
  <c r="AK17"/>
  <c r="AK19"/>
  <c r="AK73"/>
  <c r="AE21"/>
  <c r="R21"/>
  <c r="AE28"/>
  <c r="R28"/>
  <c r="AE63"/>
  <c r="R63"/>
  <c r="AE76"/>
  <c r="R76"/>
  <c r="AG42"/>
  <c r="AT42" s="1"/>
  <c r="AG50"/>
  <c r="AG31"/>
  <c r="AT31" s="1"/>
  <c r="AE15"/>
  <c r="R15"/>
  <c r="O32"/>
  <c r="G32"/>
  <c r="N32"/>
  <c r="Q32" s="1"/>
  <c r="P32"/>
  <c r="AE32" s="1"/>
  <c r="AE45"/>
  <c r="R45"/>
  <c r="AE16"/>
  <c r="R16"/>
  <c r="AT26"/>
  <c r="AS26"/>
  <c r="AR26"/>
  <c r="AE55"/>
  <c r="R55"/>
  <c r="AT60"/>
  <c r="AS60"/>
  <c r="AR60"/>
  <c r="AS66"/>
  <c r="AT66"/>
  <c r="AR66"/>
  <c r="AE39"/>
  <c r="R39"/>
  <c r="AE64"/>
  <c r="R64"/>
  <c r="AT80"/>
  <c r="AS80"/>
  <c r="AR80"/>
  <c r="AE13"/>
  <c r="R13"/>
  <c r="AE35"/>
  <c r="R35"/>
  <c r="AE53"/>
  <c r="R53"/>
  <c r="AE71"/>
  <c r="R71"/>
  <c r="AT10"/>
  <c r="AS10"/>
  <c r="AR10"/>
  <c r="AT20"/>
  <c r="AS20"/>
  <c r="AR20"/>
  <c r="AT22"/>
  <c r="AR22"/>
  <c r="AE37"/>
  <c r="R37"/>
  <c r="AE47"/>
  <c r="R47"/>
  <c r="AE33"/>
  <c r="R33"/>
  <c r="W82"/>
  <c r="X85"/>
  <c r="W83"/>
  <c r="R18"/>
  <c r="R11"/>
  <c r="L81"/>
  <c r="J83" s="1"/>
  <c r="R30"/>
  <c r="V83"/>
  <c r="R41"/>
  <c r="R49"/>
  <c r="R77"/>
  <c r="M84"/>
  <c r="M85" s="1"/>
  <c r="R43"/>
  <c r="R51"/>
  <c r="R61"/>
  <c r="AF12"/>
  <c r="AU12"/>
  <c r="AG12"/>
  <c r="AF38"/>
  <c r="AU38"/>
  <c r="AG38"/>
  <c r="AF44"/>
  <c r="AU44"/>
  <c r="AG44"/>
  <c r="AF48"/>
  <c r="AU48"/>
  <c r="AG48"/>
  <c r="AF52"/>
  <c r="AU52"/>
  <c r="AG52"/>
  <c r="AF34"/>
  <c r="AU34"/>
  <c r="AG34"/>
  <c r="AU68"/>
  <c r="AF68"/>
  <c r="AG68" s="1"/>
  <c r="AF17"/>
  <c r="AU17"/>
  <c r="AG17"/>
  <c r="AU24"/>
  <c r="AF24"/>
  <c r="AG24" s="1"/>
  <c r="AU27"/>
  <c r="AF27"/>
  <c r="AG27" s="1"/>
  <c r="AF29"/>
  <c r="AU29"/>
  <c r="AG29"/>
  <c r="AF56"/>
  <c r="AG56" s="1"/>
  <c r="AU56"/>
  <c r="AU18"/>
  <c r="AF18"/>
  <c r="AG18" s="1"/>
  <c r="N25"/>
  <c r="Q25" s="1"/>
  <c r="O25"/>
  <c r="P25" s="1"/>
  <c r="G25"/>
  <c r="AU11"/>
  <c r="AF11"/>
  <c r="AG11" s="1"/>
  <c r="AU30"/>
  <c r="AF30"/>
  <c r="AG30" s="1"/>
  <c r="AT67"/>
  <c r="AR67"/>
  <c r="AU41"/>
  <c r="AF41"/>
  <c r="AG41" s="1"/>
  <c r="AU49"/>
  <c r="AF49"/>
  <c r="AG49" s="1"/>
  <c r="O59"/>
  <c r="G59"/>
  <c r="P59"/>
  <c r="AE59" s="1"/>
  <c r="N59"/>
  <c r="Q59" s="1"/>
  <c r="O57"/>
  <c r="G57"/>
  <c r="N57"/>
  <c r="Q57" s="1"/>
  <c r="P57"/>
  <c r="AE57" s="1"/>
  <c r="AU77"/>
  <c r="AF77"/>
  <c r="AG77" s="1"/>
  <c r="AT78"/>
  <c r="AJ86"/>
  <c r="AR78"/>
  <c r="AT14"/>
  <c r="AS14"/>
  <c r="AR14"/>
  <c r="M81"/>
  <c r="N9"/>
  <c r="Q9" s="1"/>
  <c r="G9"/>
  <c r="O9"/>
  <c r="AT19"/>
  <c r="AS19"/>
  <c r="AR19"/>
  <c r="AT23"/>
  <c r="AS23"/>
  <c r="AR23"/>
  <c r="AS42"/>
  <c r="AT46"/>
  <c r="AS46"/>
  <c r="AR46"/>
  <c r="AT50"/>
  <c r="AS50"/>
  <c r="AR50"/>
  <c r="AT54"/>
  <c r="AS54"/>
  <c r="AR54"/>
  <c r="AS31"/>
  <c r="AT36"/>
  <c r="AS36"/>
  <c r="AR36"/>
  <c r="AU43"/>
  <c r="AF43"/>
  <c r="AG43" s="1"/>
  <c r="AU51"/>
  <c r="AF51"/>
  <c r="AG51" s="1"/>
  <c r="AU61"/>
  <c r="AG61"/>
  <c r="AT65"/>
  <c r="AR65"/>
  <c r="AS65"/>
  <c r="AT69"/>
  <c r="AR69"/>
  <c r="AS69"/>
  <c r="AS70"/>
  <c r="AT70"/>
  <c r="AR70"/>
  <c r="O40"/>
  <c r="P40" s="1"/>
  <c r="AE40" s="1"/>
  <c r="G40"/>
  <c r="N40"/>
  <c r="Q40" s="1"/>
  <c r="AF58"/>
  <c r="AG58" s="1"/>
  <c r="AU58"/>
  <c r="AU62"/>
  <c r="AF62"/>
  <c r="AG62" s="1"/>
  <c r="AT73"/>
  <c r="AS73"/>
  <c r="AR73"/>
  <c r="AF74"/>
  <c r="AG74" s="1"/>
  <c r="AU74"/>
  <c r="AT75"/>
  <c r="AS75"/>
  <c r="AR75"/>
  <c r="AU79"/>
  <c r="AF79"/>
  <c r="AG79" s="1"/>
  <c r="AF72"/>
  <c r="AG72" s="1"/>
  <c r="AU72"/>
  <c r="P58" i="2" l="1"/>
  <c r="P26"/>
  <c r="P64"/>
  <c r="P32"/>
  <c r="P61"/>
  <c r="P41"/>
  <c r="P13"/>
  <c r="P55"/>
  <c r="P23"/>
  <c r="P66"/>
  <c r="P50"/>
  <c r="P34"/>
  <c r="P18"/>
  <c r="P72"/>
  <c r="P56"/>
  <c r="P40"/>
  <c r="P24"/>
  <c r="P8"/>
  <c r="P45"/>
  <c r="P9"/>
  <c r="P67"/>
  <c r="P35"/>
  <c r="P51"/>
  <c r="P19"/>
  <c r="P3"/>
  <c r="P65"/>
  <c r="P49"/>
  <c r="P33"/>
  <c r="P17"/>
  <c r="P5"/>
  <c r="P63"/>
  <c r="P47"/>
  <c r="P31"/>
  <c r="P15"/>
  <c r="P70"/>
  <c r="P62"/>
  <c r="P54"/>
  <c r="P46"/>
  <c r="P38"/>
  <c r="P30"/>
  <c r="P22"/>
  <c r="P14"/>
  <c r="P6"/>
  <c r="P68"/>
  <c r="P60"/>
  <c r="P52"/>
  <c r="P44"/>
  <c r="P36"/>
  <c r="P28"/>
  <c r="P20"/>
  <c r="P12"/>
  <c r="P4"/>
  <c r="P53"/>
  <c r="P37"/>
  <c r="P21"/>
  <c r="P59"/>
  <c r="P43"/>
  <c r="P27"/>
  <c r="P11"/>
  <c r="CR62" i="4"/>
  <c r="CT62" s="1"/>
  <c r="CQ79"/>
  <c r="CY79"/>
  <c r="DG79" s="1"/>
  <c r="CQ76"/>
  <c r="CY76"/>
  <c r="DG76" s="1"/>
  <c r="CP75"/>
  <c r="CX75"/>
  <c r="DF75" s="1"/>
  <c r="DM62"/>
  <c r="DB62"/>
  <c r="DJ62" s="1"/>
  <c r="CQ58"/>
  <c r="CY58"/>
  <c r="DG58" s="1"/>
  <c r="AU50"/>
  <c r="AR50" s="1"/>
  <c r="AY50"/>
  <c r="AY46"/>
  <c r="AV46" s="1"/>
  <c r="AU51"/>
  <c r="AR51" s="1"/>
  <c r="AY51"/>
  <c r="DL44"/>
  <c r="DA44"/>
  <c r="CQ42"/>
  <c r="CY42"/>
  <c r="DG42" s="1"/>
  <c r="CP42"/>
  <c r="CX42"/>
  <c r="DF42" s="1"/>
  <c r="DM38"/>
  <c r="DB38"/>
  <c r="DJ38" s="1"/>
  <c r="DL38"/>
  <c r="DA38"/>
  <c r="CR38"/>
  <c r="CT38" s="1"/>
  <c r="CQ34"/>
  <c r="CY34"/>
  <c r="DG34" s="1"/>
  <c r="CP34"/>
  <c r="CX34"/>
  <c r="DF34" s="1"/>
  <c r="CQ30"/>
  <c r="CY30"/>
  <c r="DG30" s="1"/>
  <c r="CP30"/>
  <c r="CX30"/>
  <c r="DF30" s="1"/>
  <c r="CQ26"/>
  <c r="CY26"/>
  <c r="DG26" s="1"/>
  <c r="DM20"/>
  <c r="DB20"/>
  <c r="DJ20" s="1"/>
  <c r="DN20"/>
  <c r="DC20"/>
  <c r="DK20" s="1"/>
  <c r="AY18"/>
  <c r="AV18" s="1"/>
  <c r="CQ16"/>
  <c r="CY16"/>
  <c r="DG16" s="1"/>
  <c r="AY12"/>
  <c r="AV12" s="1"/>
  <c r="CQ74"/>
  <c r="CY74"/>
  <c r="DG74" s="1"/>
  <c r="CP73"/>
  <c r="CX73"/>
  <c r="DF73" s="1"/>
  <c r="CQ72"/>
  <c r="CY72"/>
  <c r="DG72" s="1"/>
  <c r="DN66"/>
  <c r="DC66"/>
  <c r="DK66" s="1"/>
  <c r="DM66"/>
  <c r="DB66"/>
  <c r="DJ66" s="1"/>
  <c r="AY65"/>
  <c r="AV65" s="1"/>
  <c r="DL61"/>
  <c r="DA61"/>
  <c r="CR61"/>
  <c r="CT61" s="1"/>
  <c r="DM57"/>
  <c r="DB57"/>
  <c r="DJ57" s="1"/>
  <c r="AU49"/>
  <c r="AR49" s="1"/>
  <c r="AY49"/>
  <c r="DN47"/>
  <c r="DC47"/>
  <c r="DK47" s="1"/>
  <c r="CQ45"/>
  <c r="CY45"/>
  <c r="DG45" s="1"/>
  <c r="CP45"/>
  <c r="CX45"/>
  <c r="CQ43"/>
  <c r="CY43"/>
  <c r="CP43"/>
  <c r="CX43"/>
  <c r="DN41"/>
  <c r="DK41"/>
  <c r="DC41"/>
  <c r="AU39"/>
  <c r="AR39" s="1"/>
  <c r="AY39"/>
  <c r="CQ35"/>
  <c r="CY35"/>
  <c r="DG35"/>
  <c r="CQ31"/>
  <c r="CY31"/>
  <c r="CP31"/>
  <c r="CX31"/>
  <c r="CQ27"/>
  <c r="CY27"/>
  <c r="CQ23"/>
  <c r="CY23"/>
  <c r="DG23" s="1"/>
  <c r="CP23"/>
  <c r="CX23"/>
  <c r="DF23" s="1"/>
  <c r="CQ15"/>
  <c r="CY15"/>
  <c r="DG15" s="1"/>
  <c r="CP15"/>
  <c r="CX15"/>
  <c r="DF15" s="1"/>
  <c r="DN13"/>
  <c r="DC13"/>
  <c r="DK13" s="1"/>
  <c r="AU11"/>
  <c r="AR11" s="1"/>
  <c r="AY11"/>
  <c r="DN80"/>
  <c r="DC80"/>
  <c r="DK80" s="1"/>
  <c r="CQ77"/>
  <c r="CY77"/>
  <c r="CP77"/>
  <c r="CX77"/>
  <c r="CP76"/>
  <c r="CX76"/>
  <c r="DF76" s="1"/>
  <c r="CQ75"/>
  <c r="CY75"/>
  <c r="DG75" s="1"/>
  <c r="CQ69"/>
  <c r="CY69"/>
  <c r="DG69" s="1"/>
  <c r="DM68"/>
  <c r="DB68"/>
  <c r="DJ68" s="1"/>
  <c r="CQ64"/>
  <c r="CY64"/>
  <c r="DG64" s="1"/>
  <c r="CP64"/>
  <c r="CX64"/>
  <c r="CQ60"/>
  <c r="CY60"/>
  <c r="DG60" s="1"/>
  <c r="CQ56"/>
  <c r="CY56"/>
  <c r="DG56" s="1"/>
  <c r="CP56"/>
  <c r="CX56"/>
  <c r="CQ48"/>
  <c r="CY48"/>
  <c r="DG48" s="1"/>
  <c r="AY55"/>
  <c r="AV55" s="1"/>
  <c r="DM52"/>
  <c r="DB52"/>
  <c r="DJ52" s="1"/>
  <c r="DL52"/>
  <c r="DA52"/>
  <c r="CR52"/>
  <c r="CT52" s="1"/>
  <c r="DM44"/>
  <c r="DB44"/>
  <c r="DJ44" s="1"/>
  <c r="AU40"/>
  <c r="AR40" s="1"/>
  <c r="AY40"/>
  <c r="AU36"/>
  <c r="AR36" s="1"/>
  <c r="AY36"/>
  <c r="AY32"/>
  <c r="AV32" s="1"/>
  <c r="CO32"/>
  <c r="CW32"/>
  <c r="DE32" s="1"/>
  <c r="AY28"/>
  <c r="AV28" s="1"/>
  <c r="CQ24"/>
  <c r="CY24"/>
  <c r="AZ9"/>
  <c r="AV9"/>
  <c r="DN22"/>
  <c r="DC22"/>
  <c r="DK22" s="1"/>
  <c r="CG22"/>
  <c r="BC22"/>
  <c r="BF22" s="1"/>
  <c r="BG22" s="1"/>
  <c r="AS22"/>
  <c r="BC20"/>
  <c r="BF20" s="1"/>
  <c r="BG20" s="1"/>
  <c r="CG20"/>
  <c r="AS20"/>
  <c r="AU17"/>
  <c r="AR17" s="1"/>
  <c r="AY17"/>
  <c r="AY14"/>
  <c r="AV14" s="1"/>
  <c r="CQ10"/>
  <c r="CY10"/>
  <c r="DG10" s="1"/>
  <c r="CR78"/>
  <c r="CT78" s="1"/>
  <c r="AU73"/>
  <c r="AR73" s="1"/>
  <c r="AY73"/>
  <c r="DL71"/>
  <c r="DA71"/>
  <c r="AU70"/>
  <c r="AR70" s="1"/>
  <c r="AY70"/>
  <c r="DM67"/>
  <c r="DB67"/>
  <c r="DJ67" s="1"/>
  <c r="DL66"/>
  <c r="DA66"/>
  <c r="CR66"/>
  <c r="CT66" s="1"/>
  <c r="AY63"/>
  <c r="AV63" s="1"/>
  <c r="DN61"/>
  <c r="DC61"/>
  <c r="DK61" s="1"/>
  <c r="DL59"/>
  <c r="DA59"/>
  <c r="CR59"/>
  <c r="CT59" s="1"/>
  <c r="DN57"/>
  <c r="DC57"/>
  <c r="DK57" s="1"/>
  <c r="AY54"/>
  <c r="AV54" s="1"/>
  <c r="DM47"/>
  <c r="DB47"/>
  <c r="DJ47" s="1"/>
  <c r="DM41"/>
  <c r="DB41"/>
  <c r="DJ41" s="1"/>
  <c r="DL41"/>
  <c r="DA41"/>
  <c r="DM37"/>
  <c r="DB37"/>
  <c r="DJ37" s="1"/>
  <c r="DL37"/>
  <c r="DA37"/>
  <c r="DM33"/>
  <c r="DB33"/>
  <c r="DJ33" s="1"/>
  <c r="DL33"/>
  <c r="DA33"/>
  <c r="AU29"/>
  <c r="AR29" s="1"/>
  <c r="AY29"/>
  <c r="DM25"/>
  <c r="DB25"/>
  <c r="DJ25" s="1"/>
  <c r="DL25"/>
  <c r="DA25"/>
  <c r="DM13"/>
  <c r="DB13"/>
  <c r="DJ13" s="1"/>
  <c r="DL13"/>
  <c r="DA13"/>
  <c r="DL80"/>
  <c r="DA80"/>
  <c r="AY79"/>
  <c r="AV79" s="1"/>
  <c r="AY76"/>
  <c r="AU76"/>
  <c r="AR76" s="1"/>
  <c r="DN67"/>
  <c r="DC67"/>
  <c r="DK67" s="1"/>
  <c r="DF62"/>
  <c r="DL62"/>
  <c r="DA62"/>
  <c r="AY58"/>
  <c r="AV58" s="1"/>
  <c r="CQ50"/>
  <c r="CY50"/>
  <c r="DG50" s="1"/>
  <c r="CP50"/>
  <c r="CX50"/>
  <c r="CQ46"/>
  <c r="CY46"/>
  <c r="DG46" s="1"/>
  <c r="AY53"/>
  <c r="AV53" s="1"/>
  <c r="CQ53"/>
  <c r="CY53"/>
  <c r="DG53" s="1"/>
  <c r="DN52"/>
  <c r="DT52" s="1"/>
  <c r="DC52"/>
  <c r="DK52" s="1"/>
  <c r="CQ51"/>
  <c r="CY51"/>
  <c r="CP51"/>
  <c r="CX51"/>
  <c r="DF51" s="1"/>
  <c r="AU42"/>
  <c r="AR42" s="1"/>
  <c r="AY42"/>
  <c r="AU34"/>
  <c r="AR34" s="1"/>
  <c r="AY34"/>
  <c r="AU30"/>
  <c r="AR30" s="1"/>
  <c r="AY30"/>
  <c r="AY26"/>
  <c r="AV26" s="1"/>
  <c r="DM22"/>
  <c r="DB22"/>
  <c r="DJ22" s="1"/>
  <c r="DF20"/>
  <c r="DG20"/>
  <c r="CH19"/>
  <c r="AW19"/>
  <c r="AU19" s="1"/>
  <c r="AR19" s="1"/>
  <c r="BD19"/>
  <c r="DN21"/>
  <c r="DC21"/>
  <c r="DK21" s="1"/>
  <c r="CQ18"/>
  <c r="CY18"/>
  <c r="AY16"/>
  <c r="AV16" s="1"/>
  <c r="CQ12"/>
  <c r="CY12"/>
  <c r="DG12" s="1"/>
  <c r="DN78"/>
  <c r="DC78"/>
  <c r="DK78" s="1"/>
  <c r="AY74"/>
  <c r="AV74" s="1"/>
  <c r="AY72"/>
  <c r="AU72"/>
  <c r="AR72" s="1"/>
  <c r="DN71"/>
  <c r="DC71"/>
  <c r="DK71" s="1"/>
  <c r="CP70"/>
  <c r="CX70"/>
  <c r="DL68"/>
  <c r="DA68"/>
  <c r="DG66"/>
  <c r="DF66"/>
  <c r="CQ65"/>
  <c r="CY65"/>
  <c r="DM61"/>
  <c r="DB61"/>
  <c r="DJ61" s="1"/>
  <c r="DE61"/>
  <c r="DN59"/>
  <c r="DC59"/>
  <c r="DK59" s="1"/>
  <c r="DF57"/>
  <c r="DL57"/>
  <c r="DA57"/>
  <c r="CR57"/>
  <c r="CT57" s="1"/>
  <c r="CQ49"/>
  <c r="CY49"/>
  <c r="DG49" s="1"/>
  <c r="CP49"/>
  <c r="CX49"/>
  <c r="AU45"/>
  <c r="AR45" s="1"/>
  <c r="AY45"/>
  <c r="AU43"/>
  <c r="AR43" s="1"/>
  <c r="AY43"/>
  <c r="DG41"/>
  <c r="CQ39"/>
  <c r="CY39"/>
  <c r="DG39" s="1"/>
  <c r="CP39"/>
  <c r="CX39"/>
  <c r="DF39" s="1"/>
  <c r="DN37"/>
  <c r="DC37"/>
  <c r="DK37" s="1"/>
  <c r="AY35"/>
  <c r="AV35" s="1"/>
  <c r="DN33"/>
  <c r="DT33" s="1"/>
  <c r="DC33"/>
  <c r="DK33" s="1"/>
  <c r="AU31"/>
  <c r="AR31" s="1"/>
  <c r="AY31"/>
  <c r="AY27"/>
  <c r="AV27" s="1"/>
  <c r="DN25"/>
  <c r="DT25" s="1"/>
  <c r="DC25"/>
  <c r="DK25" s="1"/>
  <c r="AU23"/>
  <c r="AR23" s="1"/>
  <c r="AY23"/>
  <c r="AU15"/>
  <c r="AR15" s="1"/>
  <c r="AY15"/>
  <c r="DG13"/>
  <c r="CQ11"/>
  <c r="CY11"/>
  <c r="DG11" s="1"/>
  <c r="CP11"/>
  <c r="CX11"/>
  <c r="DF11" s="1"/>
  <c r="DG80"/>
  <c r="AU77"/>
  <c r="AR77" s="1"/>
  <c r="AY77"/>
  <c r="AU75"/>
  <c r="AR75" s="1"/>
  <c r="AY75"/>
  <c r="DM71"/>
  <c r="DB71"/>
  <c r="DJ71" s="1"/>
  <c r="AY69"/>
  <c r="AV69" s="1"/>
  <c r="CO69"/>
  <c r="CW69"/>
  <c r="DE69" s="1"/>
  <c r="DF68"/>
  <c r="DL67"/>
  <c r="DA67"/>
  <c r="CR67"/>
  <c r="CT67" s="1"/>
  <c r="AU64"/>
  <c r="AR64" s="1"/>
  <c r="AY64"/>
  <c r="DN62"/>
  <c r="DC62"/>
  <c r="DK62" s="1"/>
  <c r="AY60"/>
  <c r="AV60" s="1"/>
  <c r="CO60"/>
  <c r="CW60"/>
  <c r="DE60" s="1"/>
  <c r="AU56"/>
  <c r="AR56" s="1"/>
  <c r="AY56"/>
  <c r="AY48"/>
  <c r="AV48" s="1"/>
  <c r="CQ55"/>
  <c r="DG55"/>
  <c r="CY55"/>
  <c r="DF52"/>
  <c r="DE52"/>
  <c r="DF44"/>
  <c r="DN44"/>
  <c r="DT44" s="1"/>
  <c r="DC44"/>
  <c r="DK44" s="1"/>
  <c r="CQ40"/>
  <c r="CY40"/>
  <c r="CP40"/>
  <c r="CX40"/>
  <c r="DN38"/>
  <c r="DT38" s="1"/>
  <c r="DC38"/>
  <c r="DK38" s="1"/>
  <c r="CQ36"/>
  <c r="CY36"/>
  <c r="DG36" s="1"/>
  <c r="CP36"/>
  <c r="CX36"/>
  <c r="DF36" s="1"/>
  <c r="CQ32"/>
  <c r="CY32"/>
  <c r="DG32" s="1"/>
  <c r="CQ28"/>
  <c r="DG28"/>
  <c r="CY28"/>
  <c r="AY24"/>
  <c r="AV24" s="1"/>
  <c r="DG22"/>
  <c r="DN19"/>
  <c r="DC19"/>
  <c r="DK19" s="1"/>
  <c r="DM21"/>
  <c r="DB21"/>
  <c r="DJ21" s="1"/>
  <c r="DL21"/>
  <c r="DA21"/>
  <c r="CR21"/>
  <c r="CT21" s="1"/>
  <c r="CQ17"/>
  <c r="DG17"/>
  <c r="CY17"/>
  <c r="CP17"/>
  <c r="CX17"/>
  <c r="DF17"/>
  <c r="CQ14"/>
  <c r="DG14"/>
  <c r="CY14"/>
  <c r="AY10"/>
  <c r="AV10" s="1"/>
  <c r="DM80"/>
  <c r="DB80"/>
  <c r="DJ80" s="1"/>
  <c r="DM78"/>
  <c r="DJ78"/>
  <c r="DB78"/>
  <c r="DL78"/>
  <c r="DA78"/>
  <c r="CQ73"/>
  <c r="CY73"/>
  <c r="CP72"/>
  <c r="CX72"/>
  <c r="CR71"/>
  <c r="CT71" s="1"/>
  <c r="CQ70"/>
  <c r="CY70"/>
  <c r="DG70" s="1"/>
  <c r="DN68"/>
  <c r="DC68"/>
  <c r="DK68" s="1"/>
  <c r="CQ63"/>
  <c r="CY63"/>
  <c r="DM59"/>
  <c r="DJ59"/>
  <c r="DB59"/>
  <c r="CQ54"/>
  <c r="CY54"/>
  <c r="DL47"/>
  <c r="DA47"/>
  <c r="CR47"/>
  <c r="CT47" s="1"/>
  <c r="CR41"/>
  <c r="CT41" s="1"/>
  <c r="CR37"/>
  <c r="CT37" s="1"/>
  <c r="CR33"/>
  <c r="CT33" s="1"/>
  <c r="CQ29"/>
  <c r="CY29"/>
  <c r="DG29" s="1"/>
  <c r="CP29"/>
  <c r="CX29"/>
  <c r="DF29" s="1"/>
  <c r="CR25"/>
  <c r="CT25" s="1"/>
  <c r="CR13"/>
  <c r="CT13" s="1"/>
  <c r="O81" i="1"/>
  <c r="AU76"/>
  <c r="AF76"/>
  <c r="AG76" s="1"/>
  <c r="AU63"/>
  <c r="AF63"/>
  <c r="AG63" s="1"/>
  <c r="AU28"/>
  <c r="AF28"/>
  <c r="AG28" s="1"/>
  <c r="AF21"/>
  <c r="AG21" s="1"/>
  <c r="AU21"/>
  <c r="AR31"/>
  <c r="AP31" s="1"/>
  <c r="AR42"/>
  <c r="AP42" s="1"/>
  <c r="AT58"/>
  <c r="AS58"/>
  <c r="AR58"/>
  <c r="AT51"/>
  <c r="AS51"/>
  <c r="AR51"/>
  <c r="AT43"/>
  <c r="AS43"/>
  <c r="AR43"/>
  <c r="AT11"/>
  <c r="AR11"/>
  <c r="AS11"/>
  <c r="AT18"/>
  <c r="AR18"/>
  <c r="AS18"/>
  <c r="AT27"/>
  <c r="AR27"/>
  <c r="AS27"/>
  <c r="AT24"/>
  <c r="AR24"/>
  <c r="AS24"/>
  <c r="AT79"/>
  <c r="AS79"/>
  <c r="AR79"/>
  <c r="AT74"/>
  <c r="AR74"/>
  <c r="AS74"/>
  <c r="AE25"/>
  <c r="R25"/>
  <c r="AS68"/>
  <c r="AT68"/>
  <c r="AR68"/>
  <c r="AT72"/>
  <c r="AR72"/>
  <c r="AS72"/>
  <c r="AP75"/>
  <c r="AL75"/>
  <c r="AQ75" s="1"/>
  <c r="AS62"/>
  <c r="AT62"/>
  <c r="AR62"/>
  <c r="AP70"/>
  <c r="AL70"/>
  <c r="AQ70" s="1"/>
  <c r="AP69"/>
  <c r="AL69"/>
  <c r="AQ69" s="1"/>
  <c r="AP36"/>
  <c r="AL36"/>
  <c r="AQ36" s="1"/>
  <c r="AP54"/>
  <c r="AL54"/>
  <c r="AQ54" s="1"/>
  <c r="AP46"/>
  <c r="AL46"/>
  <c r="AQ46" s="1"/>
  <c r="AP23"/>
  <c r="AL23"/>
  <c r="AQ23" s="1"/>
  <c r="AP14"/>
  <c r="AL14"/>
  <c r="AQ14" s="1"/>
  <c r="AT77"/>
  <c r="AR77"/>
  <c r="AS77"/>
  <c r="AU59"/>
  <c r="AG59"/>
  <c r="AT49"/>
  <c r="AR49"/>
  <c r="AS49"/>
  <c r="AT41"/>
  <c r="AR41"/>
  <c r="AS41"/>
  <c r="AT30"/>
  <c r="AR30"/>
  <c r="AS30"/>
  <c r="AT29"/>
  <c r="AS29"/>
  <c r="AR29"/>
  <c r="AT17"/>
  <c r="AS17"/>
  <c r="AR17"/>
  <c r="AT34"/>
  <c r="AS34"/>
  <c r="AR34"/>
  <c r="AT52"/>
  <c r="AS52"/>
  <c r="AR52"/>
  <c r="AT48"/>
  <c r="AS48"/>
  <c r="AR48"/>
  <c r="AT44"/>
  <c r="AS44"/>
  <c r="AR44"/>
  <c r="AT38"/>
  <c r="AS38"/>
  <c r="AR38"/>
  <c r="AT12"/>
  <c r="AS12"/>
  <c r="AU33"/>
  <c r="AF33"/>
  <c r="AG33" s="1"/>
  <c r="AU47"/>
  <c r="AF47"/>
  <c r="AG47" s="1"/>
  <c r="AU37"/>
  <c r="AG37"/>
  <c r="AP10"/>
  <c r="AL10"/>
  <c r="AQ10" s="1"/>
  <c r="AU71"/>
  <c r="AG71"/>
  <c r="AU53"/>
  <c r="AF53"/>
  <c r="AG53" s="1"/>
  <c r="AU35"/>
  <c r="AF35"/>
  <c r="AG35" s="1"/>
  <c r="AU13"/>
  <c r="AF13"/>
  <c r="AG13" s="1"/>
  <c r="AP66"/>
  <c r="AL66"/>
  <c r="AQ66" s="1"/>
  <c r="AP26"/>
  <c r="AL26"/>
  <c r="AQ26" s="1"/>
  <c r="AU16"/>
  <c r="AF16"/>
  <c r="AG16" s="1"/>
  <c r="AU45"/>
  <c r="AF45"/>
  <c r="AG45" s="1"/>
  <c r="AP73"/>
  <c r="AL73"/>
  <c r="AQ73" s="1"/>
  <c r="AU40"/>
  <c r="AG40"/>
  <c r="R40"/>
  <c r="AP65"/>
  <c r="AL65"/>
  <c r="AQ65" s="1"/>
  <c r="AT61"/>
  <c r="AR61"/>
  <c r="AL31"/>
  <c r="AQ31" s="1"/>
  <c r="AP50"/>
  <c r="AL50"/>
  <c r="AQ50" s="1"/>
  <c r="AL42"/>
  <c r="AQ42" s="1"/>
  <c r="AP19"/>
  <c r="AL19"/>
  <c r="AQ19" s="1"/>
  <c r="G81"/>
  <c r="P9"/>
  <c r="AS78"/>
  <c r="AP78"/>
  <c r="AL78"/>
  <c r="AQ78" s="1"/>
  <c r="AF57"/>
  <c r="AG57" s="1"/>
  <c r="AU57"/>
  <c r="R57"/>
  <c r="R59"/>
  <c r="AP67"/>
  <c r="AL67"/>
  <c r="AQ67" s="1"/>
  <c r="AS67"/>
  <c r="AT56"/>
  <c r="AS56"/>
  <c r="AR56"/>
  <c r="AS22"/>
  <c r="AP22"/>
  <c r="AL22"/>
  <c r="AQ22" s="1"/>
  <c r="AP20"/>
  <c r="AL20"/>
  <c r="AQ20" s="1"/>
  <c r="AP80"/>
  <c r="AL80"/>
  <c r="AQ80" s="1"/>
  <c r="AU64"/>
  <c r="AF64"/>
  <c r="AG64" s="1"/>
  <c r="AU39"/>
  <c r="AF39"/>
  <c r="AG39" s="1"/>
  <c r="AP60"/>
  <c r="AL60"/>
  <c r="AQ60" s="1"/>
  <c r="AU55"/>
  <c r="AF55"/>
  <c r="AG55" s="1"/>
  <c r="AF32"/>
  <c r="AG32" s="1"/>
  <c r="AU32"/>
  <c r="R32"/>
  <c r="AU15"/>
  <c r="AF15"/>
  <c r="AG15" s="1"/>
  <c r="DI57" i="4" l="1"/>
  <c r="DI38"/>
  <c r="DI44"/>
  <c r="DI47"/>
  <c r="DT68"/>
  <c r="DI78"/>
  <c r="DI21"/>
  <c r="DT62"/>
  <c r="DI67"/>
  <c r="DT37"/>
  <c r="DI68"/>
  <c r="DI62"/>
  <c r="DI80"/>
  <c r="DI13"/>
  <c r="DI25"/>
  <c r="DI33"/>
  <c r="DI37"/>
  <c r="DI41"/>
  <c r="DI59"/>
  <c r="DI66"/>
  <c r="DI71"/>
  <c r="DI52"/>
  <c r="DI61"/>
  <c r="DN54"/>
  <c r="DC54"/>
  <c r="DK54" s="1"/>
  <c r="DN63"/>
  <c r="DC63"/>
  <c r="DK63" s="1"/>
  <c r="DM72"/>
  <c r="DB72"/>
  <c r="DJ72" s="1"/>
  <c r="DN73"/>
  <c r="DC73"/>
  <c r="DK73" s="1"/>
  <c r="DM40"/>
  <c r="DB40"/>
  <c r="DJ40" s="1"/>
  <c r="DN40"/>
  <c r="DC40"/>
  <c r="DK40" s="1"/>
  <c r="CH48"/>
  <c r="AW48"/>
  <c r="AU48" s="1"/>
  <c r="AR48" s="1"/>
  <c r="BD48"/>
  <c r="BC31"/>
  <c r="BF31" s="1"/>
  <c r="BG31" s="1"/>
  <c r="CG31"/>
  <c r="AS31"/>
  <c r="CH35"/>
  <c r="AW35"/>
  <c r="AU35" s="1"/>
  <c r="AR35" s="1"/>
  <c r="BD35"/>
  <c r="DM49"/>
  <c r="DB49"/>
  <c r="DJ49" s="1"/>
  <c r="DN65"/>
  <c r="DC65"/>
  <c r="DK65" s="1"/>
  <c r="DM70"/>
  <c r="DB70"/>
  <c r="DJ70" s="1"/>
  <c r="CG72"/>
  <c r="AS72"/>
  <c r="BC72"/>
  <c r="BF72" s="1"/>
  <c r="BG72" s="1"/>
  <c r="DT78"/>
  <c r="CH16"/>
  <c r="AW16"/>
  <c r="AU16" s="1"/>
  <c r="AR16" s="1"/>
  <c r="BD16"/>
  <c r="DN18"/>
  <c r="DC18"/>
  <c r="DK18" s="1"/>
  <c r="CP19"/>
  <c r="CX19"/>
  <c r="DF19" s="1"/>
  <c r="CH26"/>
  <c r="AW26"/>
  <c r="AU26" s="1"/>
  <c r="AR26" s="1"/>
  <c r="BD26"/>
  <c r="DN51"/>
  <c r="DC51"/>
  <c r="DK51" s="1"/>
  <c r="AW53"/>
  <c r="AU53" s="1"/>
  <c r="AR53" s="1"/>
  <c r="CH53"/>
  <c r="BD53"/>
  <c r="DM50"/>
  <c r="DB50"/>
  <c r="DJ50" s="1"/>
  <c r="CG76"/>
  <c r="AS76"/>
  <c r="BC76"/>
  <c r="BF76" s="1"/>
  <c r="BG76" s="1"/>
  <c r="CH79"/>
  <c r="AW79"/>
  <c r="AU79" s="1"/>
  <c r="AR79" s="1"/>
  <c r="BD79"/>
  <c r="BC29"/>
  <c r="BF29" s="1"/>
  <c r="BG29" s="1"/>
  <c r="CG29"/>
  <c r="AS29"/>
  <c r="BD54"/>
  <c r="CH54"/>
  <c r="AW54"/>
  <c r="AU54" s="1"/>
  <c r="AR54" s="1"/>
  <c r="DT57"/>
  <c r="CH63"/>
  <c r="AW63"/>
  <c r="AU63" s="1"/>
  <c r="AR63" s="1"/>
  <c r="BD63"/>
  <c r="CG70"/>
  <c r="AS70"/>
  <c r="BC70"/>
  <c r="BF70" s="1"/>
  <c r="BG70" s="1"/>
  <c r="CH14"/>
  <c r="AW14"/>
  <c r="AU14" s="1"/>
  <c r="AR14" s="1"/>
  <c r="BD14"/>
  <c r="DN24"/>
  <c r="DC24"/>
  <c r="DK24" s="1"/>
  <c r="CH32"/>
  <c r="AW32"/>
  <c r="AU32" s="1"/>
  <c r="BD32"/>
  <c r="BF32" s="1"/>
  <c r="BG32" s="1"/>
  <c r="CH55"/>
  <c r="AW55"/>
  <c r="AU55" s="1"/>
  <c r="AR55" s="1"/>
  <c r="BD55"/>
  <c r="DM56"/>
  <c r="DB56"/>
  <c r="DJ56" s="1"/>
  <c r="DM64"/>
  <c r="DB64"/>
  <c r="DJ64" s="1"/>
  <c r="DM77"/>
  <c r="DB77"/>
  <c r="DJ77" s="1"/>
  <c r="DN77"/>
  <c r="DC77"/>
  <c r="DK77" s="1"/>
  <c r="DT13"/>
  <c r="DN27"/>
  <c r="DC27"/>
  <c r="DK27" s="1"/>
  <c r="DM31"/>
  <c r="DB31"/>
  <c r="DJ31" s="1"/>
  <c r="DN31"/>
  <c r="DC31"/>
  <c r="DK31" s="1"/>
  <c r="BC39"/>
  <c r="BF39" s="1"/>
  <c r="BG39" s="1"/>
  <c r="CG39"/>
  <c r="AS39"/>
  <c r="DM43"/>
  <c r="DB43"/>
  <c r="DJ43" s="1"/>
  <c r="DN43"/>
  <c r="DC43"/>
  <c r="DK43" s="1"/>
  <c r="DM45"/>
  <c r="DB45"/>
  <c r="DJ45" s="1"/>
  <c r="DT47"/>
  <c r="BC49"/>
  <c r="BF49" s="1"/>
  <c r="BG49" s="1"/>
  <c r="CG49"/>
  <c r="AS49"/>
  <c r="CH65"/>
  <c r="AW65"/>
  <c r="AU65" s="1"/>
  <c r="AR65" s="1"/>
  <c r="BD65"/>
  <c r="CH18"/>
  <c r="AW18"/>
  <c r="AU18" s="1"/>
  <c r="AR18" s="1"/>
  <c r="BD18"/>
  <c r="DN26"/>
  <c r="DC26"/>
  <c r="DK26" s="1"/>
  <c r="DM30"/>
  <c r="DB30"/>
  <c r="DJ30" s="1"/>
  <c r="DN30"/>
  <c r="DC30"/>
  <c r="DK30" s="1"/>
  <c r="DM34"/>
  <c r="DB34"/>
  <c r="DJ34" s="1"/>
  <c r="DN34"/>
  <c r="DC34"/>
  <c r="DK34" s="1"/>
  <c r="BC51"/>
  <c r="BF51" s="1"/>
  <c r="BG51" s="1"/>
  <c r="CG51"/>
  <c r="AS51"/>
  <c r="BC50"/>
  <c r="BF50" s="1"/>
  <c r="BG50" s="1"/>
  <c r="CG50"/>
  <c r="AS50"/>
  <c r="DN58"/>
  <c r="DC58"/>
  <c r="DK58" s="1"/>
  <c r="DM75"/>
  <c r="DB75"/>
  <c r="DJ75" s="1"/>
  <c r="DN76"/>
  <c r="DC76"/>
  <c r="DK76" s="1"/>
  <c r="DM29"/>
  <c r="DB29"/>
  <c r="DJ29" s="1"/>
  <c r="DN29"/>
  <c r="DC29"/>
  <c r="DK29" s="1"/>
  <c r="DG54"/>
  <c r="DG63"/>
  <c r="DN70"/>
  <c r="DC70"/>
  <c r="DK70" s="1"/>
  <c r="DF72"/>
  <c r="DG73"/>
  <c r="CH10"/>
  <c r="AW10"/>
  <c r="AU10" s="1"/>
  <c r="AR10" s="1"/>
  <c r="BD10"/>
  <c r="DN14"/>
  <c r="DC14"/>
  <c r="DK14" s="1"/>
  <c r="DM17"/>
  <c r="DB17"/>
  <c r="DJ17" s="1"/>
  <c r="DN17"/>
  <c r="DC17"/>
  <c r="DK17" s="1"/>
  <c r="CH24"/>
  <c r="AW24"/>
  <c r="AU24" s="1"/>
  <c r="AR24" s="1"/>
  <c r="BD24"/>
  <c r="DN28"/>
  <c r="DC28"/>
  <c r="DK28" s="1"/>
  <c r="DN32"/>
  <c r="DC32"/>
  <c r="DK32" s="1"/>
  <c r="DM36"/>
  <c r="DB36"/>
  <c r="DJ36" s="1"/>
  <c r="DN36"/>
  <c r="DC36"/>
  <c r="DK36" s="1"/>
  <c r="DF40"/>
  <c r="DG40"/>
  <c r="DN55"/>
  <c r="DC55"/>
  <c r="DK55" s="1"/>
  <c r="BC56"/>
  <c r="BF56" s="1"/>
  <c r="BG56" s="1"/>
  <c r="CG56"/>
  <c r="AS56"/>
  <c r="DL60"/>
  <c r="DA60"/>
  <c r="CH60"/>
  <c r="AW60"/>
  <c r="AU60" s="1"/>
  <c r="BD60"/>
  <c r="BF60" s="1"/>
  <c r="BG60" s="1"/>
  <c r="BC64"/>
  <c r="BF64" s="1"/>
  <c r="BG64" s="1"/>
  <c r="CG64"/>
  <c r="AS64"/>
  <c r="DL69"/>
  <c r="DA69"/>
  <c r="BD69"/>
  <c r="BF69" s="1"/>
  <c r="BG69" s="1"/>
  <c r="CH69"/>
  <c r="AW69"/>
  <c r="AU69" s="1"/>
  <c r="CG75"/>
  <c r="AS75"/>
  <c r="BC75"/>
  <c r="BF75" s="1"/>
  <c r="BG75" s="1"/>
  <c r="BC77"/>
  <c r="BF77" s="1"/>
  <c r="BG77" s="1"/>
  <c r="CG77"/>
  <c r="AS77"/>
  <c r="DM11"/>
  <c r="DB11"/>
  <c r="DJ11" s="1"/>
  <c r="DN11"/>
  <c r="DC11"/>
  <c r="DK11" s="1"/>
  <c r="BC15"/>
  <c r="BF15" s="1"/>
  <c r="BG15" s="1"/>
  <c r="CG15"/>
  <c r="AS15"/>
  <c r="BC23"/>
  <c r="BF23" s="1"/>
  <c r="BG23" s="1"/>
  <c r="CG23"/>
  <c r="AS23"/>
  <c r="CH27"/>
  <c r="AW27"/>
  <c r="AU27" s="1"/>
  <c r="AR27" s="1"/>
  <c r="BD27"/>
  <c r="DM39"/>
  <c r="DB39"/>
  <c r="DJ39" s="1"/>
  <c r="DN39"/>
  <c r="DC39"/>
  <c r="DK39" s="1"/>
  <c r="BC43"/>
  <c r="BF43" s="1"/>
  <c r="BG43" s="1"/>
  <c r="CG43"/>
  <c r="AS43"/>
  <c r="BC45"/>
  <c r="BF45" s="1"/>
  <c r="BG45" s="1"/>
  <c r="CG45"/>
  <c r="AS45"/>
  <c r="DF49"/>
  <c r="DN49"/>
  <c r="DC49"/>
  <c r="DK49" s="1"/>
  <c r="DT59"/>
  <c r="DG65"/>
  <c r="DF70"/>
  <c r="DT71"/>
  <c r="BD74"/>
  <c r="CH74"/>
  <c r="AW74"/>
  <c r="AU74" s="1"/>
  <c r="AR74" s="1"/>
  <c r="DN12"/>
  <c r="DC12"/>
  <c r="DK12" s="1"/>
  <c r="DG18"/>
  <c r="DT21"/>
  <c r="BC19"/>
  <c r="BF19" s="1"/>
  <c r="BG19" s="1"/>
  <c r="CG19"/>
  <c r="AS19"/>
  <c r="BC30"/>
  <c r="BF30" s="1"/>
  <c r="BG30" s="1"/>
  <c r="CG30"/>
  <c r="AS30"/>
  <c r="BC34"/>
  <c r="BF34" s="1"/>
  <c r="BG34" s="1"/>
  <c r="CG34"/>
  <c r="AS34"/>
  <c r="BC42"/>
  <c r="BF42" s="1"/>
  <c r="BG42" s="1"/>
  <c r="CG42"/>
  <c r="AS42"/>
  <c r="DM51"/>
  <c r="DB51"/>
  <c r="DJ51" s="1"/>
  <c r="DG51"/>
  <c r="DN53"/>
  <c r="DC53"/>
  <c r="DK53" s="1"/>
  <c r="DN46"/>
  <c r="DC46"/>
  <c r="DK46" s="1"/>
  <c r="DF50"/>
  <c r="DN50"/>
  <c r="DC50"/>
  <c r="DK50" s="1"/>
  <c r="CH58"/>
  <c r="AW58"/>
  <c r="AU58" s="1"/>
  <c r="AR58" s="1"/>
  <c r="BD58"/>
  <c r="DT67"/>
  <c r="DT61"/>
  <c r="CG73"/>
  <c r="AS73"/>
  <c r="BC73"/>
  <c r="BF73" s="1"/>
  <c r="BG73" s="1"/>
  <c r="DN10"/>
  <c r="DC10"/>
  <c r="DK10" s="1"/>
  <c r="BC17"/>
  <c r="BF17" s="1"/>
  <c r="BG17" s="1"/>
  <c r="CG17"/>
  <c r="AS17"/>
  <c r="CO20"/>
  <c r="CR20" s="1"/>
  <c r="CT20" s="1"/>
  <c r="CW20"/>
  <c r="DE20" s="1"/>
  <c r="CO22"/>
  <c r="CR22" s="1"/>
  <c r="CT22" s="1"/>
  <c r="CW22"/>
  <c r="DE22" s="1"/>
  <c r="AV81"/>
  <c r="CH9"/>
  <c r="AW9"/>
  <c r="BD9"/>
  <c r="AZ81"/>
  <c r="BE9"/>
  <c r="BE81" s="1"/>
  <c r="CI9"/>
  <c r="BA9"/>
  <c r="DG24"/>
  <c r="CH28"/>
  <c r="AW28"/>
  <c r="AU28" s="1"/>
  <c r="AR28" s="1"/>
  <c r="BD28"/>
  <c r="DL32"/>
  <c r="DA32"/>
  <c r="BC36"/>
  <c r="BF36" s="1"/>
  <c r="BG36" s="1"/>
  <c r="CG36"/>
  <c r="AS36"/>
  <c r="BC40"/>
  <c r="BF40" s="1"/>
  <c r="BG40" s="1"/>
  <c r="CG40"/>
  <c r="AS40"/>
  <c r="DN48"/>
  <c r="DC48"/>
  <c r="DK48" s="1"/>
  <c r="DF56"/>
  <c r="DN56"/>
  <c r="DC56"/>
  <c r="DK56" s="1"/>
  <c r="DN60"/>
  <c r="DC60"/>
  <c r="DK60" s="1"/>
  <c r="DF64"/>
  <c r="DN64"/>
  <c r="DC64"/>
  <c r="DK64" s="1"/>
  <c r="DN69"/>
  <c r="DC69"/>
  <c r="DK69" s="1"/>
  <c r="DN75"/>
  <c r="DC75"/>
  <c r="DK75" s="1"/>
  <c r="DM76"/>
  <c r="DB76"/>
  <c r="DJ76" s="1"/>
  <c r="DF77"/>
  <c r="DG77"/>
  <c r="DT80"/>
  <c r="BC11"/>
  <c r="BF11" s="1"/>
  <c r="BG11" s="1"/>
  <c r="CG11"/>
  <c r="AS11"/>
  <c r="DM15"/>
  <c r="DB15"/>
  <c r="DJ15" s="1"/>
  <c r="DN15"/>
  <c r="DC15"/>
  <c r="DK15" s="1"/>
  <c r="DM23"/>
  <c r="DB23"/>
  <c r="DJ23" s="1"/>
  <c r="DN23"/>
  <c r="DC23"/>
  <c r="DK23" s="1"/>
  <c r="DG27"/>
  <c r="DF31"/>
  <c r="DG31"/>
  <c r="DN35"/>
  <c r="DC35"/>
  <c r="DK35" s="1"/>
  <c r="DT41"/>
  <c r="DF43"/>
  <c r="DG43"/>
  <c r="DF45"/>
  <c r="DN45"/>
  <c r="DC45"/>
  <c r="DK45" s="1"/>
  <c r="DT66"/>
  <c r="DN72"/>
  <c r="DC72"/>
  <c r="DK72" s="1"/>
  <c r="DM73"/>
  <c r="DB73"/>
  <c r="DJ73" s="1"/>
  <c r="DN74"/>
  <c r="DC74"/>
  <c r="DK74" s="1"/>
  <c r="CH12"/>
  <c r="AW12"/>
  <c r="AU12" s="1"/>
  <c r="AR12" s="1"/>
  <c r="BD12"/>
  <c r="DN16"/>
  <c r="DC16"/>
  <c r="DK16" s="1"/>
  <c r="DM42"/>
  <c r="DB42"/>
  <c r="DJ42" s="1"/>
  <c r="DN42"/>
  <c r="DC42"/>
  <c r="DK42" s="1"/>
  <c r="CH46"/>
  <c r="AW46"/>
  <c r="AU46" s="1"/>
  <c r="AR46" s="1"/>
  <c r="BD46"/>
  <c r="DN79"/>
  <c r="DC79"/>
  <c r="DK79" s="1"/>
  <c r="AK12" i="1"/>
  <c r="AT28"/>
  <c r="AS28"/>
  <c r="AR28"/>
  <c r="AS63"/>
  <c r="AR63"/>
  <c r="AT63"/>
  <c r="AT76"/>
  <c r="AS76"/>
  <c r="AR76"/>
  <c r="AT21"/>
  <c r="AR21"/>
  <c r="AS21"/>
  <c r="AT15"/>
  <c r="AS15"/>
  <c r="AR15"/>
  <c r="AT32"/>
  <c r="AS32"/>
  <c r="AR32"/>
  <c r="AT55"/>
  <c r="AR55"/>
  <c r="AS55"/>
  <c r="AT39"/>
  <c r="AR39"/>
  <c r="AS39"/>
  <c r="AS64"/>
  <c r="AT64"/>
  <c r="AR64"/>
  <c r="AT40"/>
  <c r="AR40"/>
  <c r="AT45"/>
  <c r="AR45"/>
  <c r="AS45"/>
  <c r="AT16"/>
  <c r="AR16"/>
  <c r="AS16"/>
  <c r="AT13"/>
  <c r="AR13"/>
  <c r="AS13"/>
  <c r="AT35"/>
  <c r="AR35"/>
  <c r="AS35"/>
  <c r="AT53"/>
  <c r="AR53"/>
  <c r="AS53"/>
  <c r="AT37"/>
  <c r="AR37"/>
  <c r="AT47"/>
  <c r="AS47"/>
  <c r="AR47"/>
  <c r="AT33"/>
  <c r="AR33"/>
  <c r="AS33"/>
  <c r="AP38"/>
  <c r="AL38"/>
  <c r="AQ38" s="1"/>
  <c r="AP48"/>
  <c r="AL48"/>
  <c r="AQ48" s="1"/>
  <c r="AP34"/>
  <c r="AL34"/>
  <c r="AQ34" s="1"/>
  <c r="AP29"/>
  <c r="AL29"/>
  <c r="AQ29" s="1"/>
  <c r="AP30"/>
  <c r="AL30"/>
  <c r="AQ30" s="1"/>
  <c r="AP49"/>
  <c r="AL49"/>
  <c r="AQ49" s="1"/>
  <c r="AT59"/>
  <c r="AR59"/>
  <c r="AP77"/>
  <c r="AL77"/>
  <c r="AQ77" s="1"/>
  <c r="AP62"/>
  <c r="AL62"/>
  <c r="AQ62" s="1"/>
  <c r="AP72"/>
  <c r="AL72"/>
  <c r="AQ72" s="1"/>
  <c r="AP68"/>
  <c r="AL68"/>
  <c r="AQ68" s="1"/>
  <c r="AU25"/>
  <c r="AF25"/>
  <c r="AG25" s="1"/>
  <c r="AP74"/>
  <c r="AL74"/>
  <c r="AQ74" s="1"/>
  <c r="AP79"/>
  <c r="AL79"/>
  <c r="AQ79" s="1"/>
  <c r="AP24"/>
  <c r="AL24"/>
  <c r="AQ24" s="1"/>
  <c r="AP18"/>
  <c r="AL18"/>
  <c r="AQ18" s="1"/>
  <c r="AP51"/>
  <c r="AL51"/>
  <c r="AQ51" s="1"/>
  <c r="AP56"/>
  <c r="AL56"/>
  <c r="AQ56" s="1"/>
  <c r="AT57"/>
  <c r="AS57"/>
  <c r="AR57"/>
  <c r="P81"/>
  <c r="AE9"/>
  <c r="R9"/>
  <c r="R81" s="1"/>
  <c r="AP61"/>
  <c r="AS61"/>
  <c r="AL61"/>
  <c r="AQ61" s="1"/>
  <c r="AT71"/>
  <c r="AR71"/>
  <c r="AP44"/>
  <c r="AL44"/>
  <c r="AQ44" s="1"/>
  <c r="AP52"/>
  <c r="AL52"/>
  <c r="AQ52" s="1"/>
  <c r="AP17"/>
  <c r="AL17"/>
  <c r="AQ17" s="1"/>
  <c r="AP41"/>
  <c r="AL41"/>
  <c r="AQ41" s="1"/>
  <c r="AP27"/>
  <c r="AL27"/>
  <c r="AQ27" s="1"/>
  <c r="AP11"/>
  <c r="AL11"/>
  <c r="AQ11" s="1"/>
  <c r="AP43"/>
  <c r="AL43"/>
  <c r="AQ43" s="1"/>
  <c r="AP58"/>
  <c r="AL58"/>
  <c r="AQ58" s="1"/>
  <c r="DI32" i="4" l="1"/>
  <c r="DI69"/>
  <c r="DI60"/>
  <c r="CP46"/>
  <c r="CX46"/>
  <c r="DF46"/>
  <c r="CP12"/>
  <c r="CX12"/>
  <c r="DF12" s="1"/>
  <c r="CO40"/>
  <c r="CR40" s="1"/>
  <c r="CT40" s="1"/>
  <c r="CW40"/>
  <c r="DE40" s="1"/>
  <c r="BC28"/>
  <c r="BF28" s="1"/>
  <c r="BG28" s="1"/>
  <c r="CG28"/>
  <c r="AS28"/>
  <c r="CI81"/>
  <c r="CQ9"/>
  <c r="CQ81" s="1"/>
  <c r="DG9"/>
  <c r="DG81" s="1"/>
  <c r="CY9"/>
  <c r="AW81"/>
  <c r="DL20"/>
  <c r="DT20" s="1"/>
  <c r="DA20"/>
  <c r="CO17"/>
  <c r="CR17" s="1"/>
  <c r="CT17" s="1"/>
  <c r="CW17"/>
  <c r="DE17" s="1"/>
  <c r="CP58"/>
  <c r="CX58"/>
  <c r="DF58" s="1"/>
  <c r="CO42"/>
  <c r="CR42" s="1"/>
  <c r="CT42" s="1"/>
  <c r="CW42"/>
  <c r="DE42" s="1"/>
  <c r="CO30"/>
  <c r="CR30" s="1"/>
  <c r="CT30" s="1"/>
  <c r="CW30"/>
  <c r="DE30" s="1"/>
  <c r="CG74"/>
  <c r="AS74"/>
  <c r="BC74"/>
  <c r="BF74" s="1"/>
  <c r="BG74" s="1"/>
  <c r="CO45"/>
  <c r="CR45" s="1"/>
  <c r="CT45" s="1"/>
  <c r="CW45"/>
  <c r="DE45" s="1"/>
  <c r="BC27"/>
  <c r="BF27" s="1"/>
  <c r="BG27" s="1"/>
  <c r="CG27"/>
  <c r="AS27"/>
  <c r="CO15"/>
  <c r="CR15" s="1"/>
  <c r="CT15" s="1"/>
  <c r="CW15"/>
  <c r="DE15" s="1"/>
  <c r="CO64"/>
  <c r="CR64" s="1"/>
  <c r="CT64" s="1"/>
  <c r="CW64"/>
  <c r="DE64" s="1"/>
  <c r="CP60"/>
  <c r="CR60" s="1"/>
  <c r="CT60" s="1"/>
  <c r="CX60"/>
  <c r="DF60" s="1"/>
  <c r="CP24"/>
  <c r="CX24"/>
  <c r="DF24" s="1"/>
  <c r="BC10"/>
  <c r="BF10" s="1"/>
  <c r="BG10" s="1"/>
  <c r="CG10"/>
  <c r="AS10"/>
  <c r="CO51"/>
  <c r="CR51" s="1"/>
  <c r="CT51" s="1"/>
  <c r="CW51"/>
  <c r="DE51" s="1"/>
  <c r="CP18"/>
  <c r="CX18"/>
  <c r="DF18" s="1"/>
  <c r="BC65"/>
  <c r="BF65" s="1"/>
  <c r="BG65" s="1"/>
  <c r="CG65"/>
  <c r="AS65"/>
  <c r="CO39"/>
  <c r="CR39" s="1"/>
  <c r="CT39" s="1"/>
  <c r="CW39"/>
  <c r="DE39" s="1"/>
  <c r="CP55"/>
  <c r="CX55"/>
  <c r="DF55" s="1"/>
  <c r="CP14"/>
  <c r="CX14"/>
  <c r="DF14" s="1"/>
  <c r="CP63"/>
  <c r="CX63"/>
  <c r="DF63" s="1"/>
  <c r="CG54"/>
  <c r="AS54"/>
  <c r="BC54"/>
  <c r="BF54" s="1"/>
  <c r="BG54" s="1"/>
  <c r="CO29"/>
  <c r="CR29" s="1"/>
  <c r="CT29" s="1"/>
  <c r="CW29"/>
  <c r="DE29" s="1"/>
  <c r="CP79"/>
  <c r="CX79"/>
  <c r="DF79" s="1"/>
  <c r="CP53"/>
  <c r="CX53"/>
  <c r="DF53" s="1"/>
  <c r="BC26"/>
  <c r="BF26" s="1"/>
  <c r="BG26" s="1"/>
  <c r="CG26"/>
  <c r="AS26"/>
  <c r="CP16"/>
  <c r="CX16"/>
  <c r="DF16" s="1"/>
  <c r="CO72"/>
  <c r="CR72" s="1"/>
  <c r="CT72" s="1"/>
  <c r="CW72"/>
  <c r="DE72" s="1"/>
  <c r="CP35"/>
  <c r="CX35"/>
  <c r="DF35" s="1"/>
  <c r="CO31"/>
  <c r="CR31" s="1"/>
  <c r="CT31" s="1"/>
  <c r="CW31"/>
  <c r="DE31" s="1"/>
  <c r="BC48"/>
  <c r="BF48" s="1"/>
  <c r="BG48" s="1"/>
  <c r="CG48"/>
  <c r="AS48"/>
  <c r="BC46"/>
  <c r="BF46" s="1"/>
  <c r="BG46" s="1"/>
  <c r="CG46"/>
  <c r="AS46"/>
  <c r="BC12"/>
  <c r="BF12" s="1"/>
  <c r="BG12" s="1"/>
  <c r="CG12"/>
  <c r="AS12"/>
  <c r="CO11"/>
  <c r="CR11" s="1"/>
  <c r="CT11" s="1"/>
  <c r="CW11"/>
  <c r="DE11" s="1"/>
  <c r="CO36"/>
  <c r="CR36" s="1"/>
  <c r="CT36" s="1"/>
  <c r="CW36"/>
  <c r="DE36" s="1"/>
  <c r="CP28"/>
  <c r="CX28"/>
  <c r="DF28" s="1"/>
  <c r="BA81"/>
  <c r="AY81" s="1"/>
  <c r="AU9"/>
  <c r="AY9"/>
  <c r="BD81"/>
  <c r="CH81"/>
  <c r="CP9"/>
  <c r="CX9"/>
  <c r="DF9" s="1"/>
  <c r="DL22"/>
  <c r="DT22" s="1"/>
  <c r="DA22"/>
  <c r="CO73"/>
  <c r="CR73" s="1"/>
  <c r="CT73" s="1"/>
  <c r="CW73"/>
  <c r="DE73" s="1"/>
  <c r="BC58"/>
  <c r="BF58" s="1"/>
  <c r="BG58" s="1"/>
  <c r="CG58"/>
  <c r="AS58"/>
  <c r="CO34"/>
  <c r="CR34" s="1"/>
  <c r="CT34" s="1"/>
  <c r="CW34"/>
  <c r="DE34" s="1"/>
  <c r="CO19"/>
  <c r="CR19" s="1"/>
  <c r="CT19" s="1"/>
  <c r="CW19"/>
  <c r="DE19" s="1"/>
  <c r="CP74"/>
  <c r="CX74"/>
  <c r="DF74" s="1"/>
  <c r="CO43"/>
  <c r="CR43" s="1"/>
  <c r="CT43" s="1"/>
  <c r="CW43"/>
  <c r="DE43" s="1"/>
  <c r="CP27"/>
  <c r="CX27"/>
  <c r="DF27" s="1"/>
  <c r="CO23"/>
  <c r="CR23" s="1"/>
  <c r="CT23" s="1"/>
  <c r="CW23"/>
  <c r="DE23" s="1"/>
  <c r="CO77"/>
  <c r="CR77" s="1"/>
  <c r="CT77" s="1"/>
  <c r="CW77"/>
  <c r="DE77" s="1"/>
  <c r="CO75"/>
  <c r="CR75" s="1"/>
  <c r="CT75" s="1"/>
  <c r="CW75"/>
  <c r="DE75" s="1"/>
  <c r="CP69"/>
  <c r="CR69" s="1"/>
  <c r="CT69" s="1"/>
  <c r="CX69"/>
  <c r="DF69" s="1"/>
  <c r="CO56"/>
  <c r="CR56" s="1"/>
  <c r="CT56" s="1"/>
  <c r="CW56"/>
  <c r="DE56" s="1"/>
  <c r="BC24"/>
  <c r="BF24" s="1"/>
  <c r="BG24" s="1"/>
  <c r="CG24"/>
  <c r="AS24"/>
  <c r="CP10"/>
  <c r="CX10"/>
  <c r="DF10" s="1"/>
  <c r="CO50"/>
  <c r="CR50" s="1"/>
  <c r="CT50" s="1"/>
  <c r="CW50"/>
  <c r="DE50" s="1"/>
  <c r="BC18"/>
  <c r="BF18" s="1"/>
  <c r="BG18" s="1"/>
  <c r="CG18"/>
  <c r="AS18"/>
  <c r="CP65"/>
  <c r="CX65"/>
  <c r="DF65" s="1"/>
  <c r="CO49"/>
  <c r="CR49" s="1"/>
  <c r="CT49" s="1"/>
  <c r="DE49"/>
  <c r="CW49"/>
  <c r="BC55"/>
  <c r="BF55" s="1"/>
  <c r="BG55" s="1"/>
  <c r="CG55"/>
  <c r="AS55"/>
  <c r="CP32"/>
  <c r="CR32" s="1"/>
  <c r="CT32" s="1"/>
  <c r="CX32"/>
  <c r="DF32" s="1"/>
  <c r="BC14"/>
  <c r="BF14" s="1"/>
  <c r="BG14" s="1"/>
  <c r="CG14"/>
  <c r="AS14"/>
  <c r="CO70"/>
  <c r="CR70" s="1"/>
  <c r="CT70" s="1"/>
  <c r="CW70"/>
  <c r="DE70" s="1"/>
  <c r="BC63"/>
  <c r="BF63" s="1"/>
  <c r="BG63" s="1"/>
  <c r="CG63"/>
  <c r="AS63"/>
  <c r="CP54"/>
  <c r="CX54"/>
  <c r="DF54" s="1"/>
  <c r="BC79"/>
  <c r="BF79" s="1"/>
  <c r="BG79" s="1"/>
  <c r="CG79"/>
  <c r="AS79"/>
  <c r="CO76"/>
  <c r="CR76" s="1"/>
  <c r="CT76" s="1"/>
  <c r="CW76"/>
  <c r="DE76" s="1"/>
  <c r="CG53"/>
  <c r="BC53"/>
  <c r="BF53" s="1"/>
  <c r="BG53" s="1"/>
  <c r="AS53"/>
  <c r="CP26"/>
  <c r="CX26"/>
  <c r="DM19"/>
  <c r="DB19"/>
  <c r="DJ19" s="1"/>
  <c r="BC16"/>
  <c r="BF16" s="1"/>
  <c r="BG16" s="1"/>
  <c r="CG16"/>
  <c r="AS16"/>
  <c r="BC35"/>
  <c r="BF35" s="1"/>
  <c r="BG35" s="1"/>
  <c r="CG35"/>
  <c r="AS35"/>
  <c r="CP48"/>
  <c r="CX48"/>
  <c r="DF48" s="1"/>
  <c r="AK81" i="1"/>
  <c r="AR12"/>
  <c r="AL21"/>
  <c r="AQ21" s="1"/>
  <c r="AP21"/>
  <c r="AP76"/>
  <c r="AL76"/>
  <c r="AQ76" s="1"/>
  <c r="AP63"/>
  <c r="AL63"/>
  <c r="AQ63" s="1"/>
  <c r="AL28"/>
  <c r="AQ28" s="1"/>
  <c r="AP28"/>
  <c r="AT25"/>
  <c r="AS25"/>
  <c r="AR25"/>
  <c r="T84"/>
  <c r="P82"/>
  <c r="P84" s="1"/>
  <c r="AS59"/>
  <c r="AP59"/>
  <c r="AL59"/>
  <c r="AQ59" s="1"/>
  <c r="AP37"/>
  <c r="AS37"/>
  <c r="AL37"/>
  <c r="AQ37" s="1"/>
  <c r="AP35"/>
  <c r="AL35"/>
  <c r="AQ35" s="1"/>
  <c r="AP16"/>
  <c r="AL16"/>
  <c r="AQ16" s="1"/>
  <c r="AP55"/>
  <c r="AL55"/>
  <c r="AQ55" s="1"/>
  <c r="AP32"/>
  <c r="AL32"/>
  <c r="AQ32" s="1"/>
  <c r="AP71"/>
  <c r="AS71"/>
  <c r="AL71"/>
  <c r="AQ71" s="1"/>
  <c r="AE81"/>
  <c r="AU9"/>
  <c r="AU81" s="1"/>
  <c r="AF9"/>
  <c r="AF81" s="1"/>
  <c r="AP57"/>
  <c r="AL57"/>
  <c r="AQ57" s="1"/>
  <c r="AP33"/>
  <c r="AL33"/>
  <c r="AQ33" s="1"/>
  <c r="AP47"/>
  <c r="AL47"/>
  <c r="AQ47" s="1"/>
  <c r="AP53"/>
  <c r="AL53"/>
  <c r="AQ53" s="1"/>
  <c r="AP13"/>
  <c r="AL13"/>
  <c r="AQ13" s="1"/>
  <c r="AP45"/>
  <c r="AL45"/>
  <c r="AQ45" s="1"/>
  <c r="AS40"/>
  <c r="AP40"/>
  <c r="AL40"/>
  <c r="AQ40" s="1"/>
  <c r="AP64"/>
  <c r="AL64"/>
  <c r="AQ64" s="1"/>
  <c r="AP39"/>
  <c r="AL39"/>
  <c r="AQ39" s="1"/>
  <c r="AP15"/>
  <c r="AL15"/>
  <c r="AQ15" s="1"/>
  <c r="DI22" i="4" l="1"/>
  <c r="DI20"/>
  <c r="CO35"/>
  <c r="CR35" s="1"/>
  <c r="CT35" s="1"/>
  <c r="CW35"/>
  <c r="DE35" s="1"/>
  <c r="DM26"/>
  <c r="DB26"/>
  <c r="DJ26" s="1"/>
  <c r="CO53"/>
  <c r="CR53" s="1"/>
  <c r="CT53" s="1"/>
  <c r="CW53"/>
  <c r="DE53" s="1"/>
  <c r="DM32"/>
  <c r="DT32" s="1"/>
  <c r="DB32"/>
  <c r="DJ32" s="1"/>
  <c r="DL49"/>
  <c r="DT49" s="1"/>
  <c r="DA49"/>
  <c r="DL50"/>
  <c r="DT50" s="1"/>
  <c r="DA50"/>
  <c r="DM10"/>
  <c r="DB10"/>
  <c r="DJ10" s="1"/>
  <c r="DL56"/>
  <c r="DT56" s="1"/>
  <c r="DA56"/>
  <c r="DL77"/>
  <c r="DT77" s="1"/>
  <c r="DA77"/>
  <c r="DL23"/>
  <c r="DT23" s="1"/>
  <c r="DA23"/>
  <c r="DM27"/>
  <c r="DB27"/>
  <c r="DJ27" s="1"/>
  <c r="DM74"/>
  <c r="DB74"/>
  <c r="DJ74" s="1"/>
  <c r="DL19"/>
  <c r="DT19" s="1"/>
  <c r="DA19"/>
  <c r="DL73"/>
  <c r="DT73" s="1"/>
  <c r="DA73"/>
  <c r="DM28"/>
  <c r="DB28"/>
  <c r="DJ28" s="1"/>
  <c r="DL36"/>
  <c r="DT36" s="1"/>
  <c r="DA36"/>
  <c r="CO46"/>
  <c r="CR46" s="1"/>
  <c r="CT46" s="1"/>
  <c r="CW46"/>
  <c r="DE46" s="1"/>
  <c r="DL31"/>
  <c r="DT31" s="1"/>
  <c r="DA31"/>
  <c r="DM35"/>
  <c r="DB35"/>
  <c r="DJ35" s="1"/>
  <c r="DM16"/>
  <c r="DB16"/>
  <c r="DJ16" s="1"/>
  <c r="DM79"/>
  <c r="DB79"/>
  <c r="DJ79" s="1"/>
  <c r="DM63"/>
  <c r="DB63"/>
  <c r="DJ63" s="1"/>
  <c r="DM14"/>
  <c r="DB14"/>
  <c r="DJ14" s="1"/>
  <c r="DM55"/>
  <c r="DB55"/>
  <c r="DJ55" s="1"/>
  <c r="DL39"/>
  <c r="DT39" s="1"/>
  <c r="DA39"/>
  <c r="DM18"/>
  <c r="DB18"/>
  <c r="DJ18" s="1"/>
  <c r="DL51"/>
  <c r="DT51" s="1"/>
  <c r="DA51"/>
  <c r="DI51" s="1"/>
  <c r="CO10"/>
  <c r="CR10" s="1"/>
  <c r="CT10" s="1"/>
  <c r="CW10"/>
  <c r="DE10" s="1"/>
  <c r="DM60"/>
  <c r="DT60" s="1"/>
  <c r="DB60"/>
  <c r="DJ60" s="1"/>
  <c r="CO27"/>
  <c r="CR27" s="1"/>
  <c r="CT27" s="1"/>
  <c r="CW27"/>
  <c r="DE27" s="1"/>
  <c r="DL45"/>
  <c r="DT45" s="1"/>
  <c r="DA45"/>
  <c r="DL30"/>
  <c r="DT30" s="1"/>
  <c r="DA30"/>
  <c r="DM58"/>
  <c r="DB58"/>
  <c r="DJ58" s="1"/>
  <c r="CY81"/>
  <c r="DN9"/>
  <c r="DC9"/>
  <c r="DC81" s="1"/>
  <c r="DM46"/>
  <c r="DB46"/>
  <c r="DJ46" s="1"/>
  <c r="DM48"/>
  <c r="DB48"/>
  <c r="DJ48" s="1"/>
  <c r="CO16"/>
  <c r="CR16" s="1"/>
  <c r="CT16" s="1"/>
  <c r="CW16"/>
  <c r="DE16" s="1"/>
  <c r="DF26"/>
  <c r="DF81" s="1"/>
  <c r="DL76"/>
  <c r="DT76" s="1"/>
  <c r="DA76"/>
  <c r="CO79"/>
  <c r="CR79" s="1"/>
  <c r="CT79" s="1"/>
  <c r="CW79"/>
  <c r="DE79" s="1"/>
  <c r="DM54"/>
  <c r="DB54"/>
  <c r="DJ54" s="1"/>
  <c r="CO63"/>
  <c r="CR63" s="1"/>
  <c r="CT63" s="1"/>
  <c r="CW63"/>
  <c r="DE63" s="1"/>
  <c r="DL70"/>
  <c r="DT70" s="1"/>
  <c r="DA70"/>
  <c r="DI70" s="1"/>
  <c r="CO14"/>
  <c r="CR14" s="1"/>
  <c r="CT14" s="1"/>
  <c r="CW14"/>
  <c r="DE14" s="1"/>
  <c r="CO55"/>
  <c r="CR55" s="1"/>
  <c r="CT55" s="1"/>
  <c r="CW55"/>
  <c r="DE55" s="1"/>
  <c r="DM65"/>
  <c r="DB65"/>
  <c r="DJ65" s="1"/>
  <c r="CO18"/>
  <c r="CR18" s="1"/>
  <c r="CT18" s="1"/>
  <c r="CW18"/>
  <c r="DE18" s="1"/>
  <c r="CO24"/>
  <c r="CR24" s="1"/>
  <c r="CT24" s="1"/>
  <c r="CW24"/>
  <c r="DE24" s="1"/>
  <c r="DM69"/>
  <c r="DT69" s="1"/>
  <c r="DB69"/>
  <c r="DJ69" s="1"/>
  <c r="DL75"/>
  <c r="DT75" s="1"/>
  <c r="DA75"/>
  <c r="DL43"/>
  <c r="DT43" s="1"/>
  <c r="DA43"/>
  <c r="DL34"/>
  <c r="DT34" s="1"/>
  <c r="DA34"/>
  <c r="CO58"/>
  <c r="CR58" s="1"/>
  <c r="CT58" s="1"/>
  <c r="CW58"/>
  <c r="DE58" s="1"/>
  <c r="CX81"/>
  <c r="DM9"/>
  <c r="DB9"/>
  <c r="DJ9" s="1"/>
  <c r="CP81"/>
  <c r="AU81"/>
  <c r="AR9"/>
  <c r="DL11"/>
  <c r="DT11" s="1"/>
  <c r="DA11"/>
  <c r="CO12"/>
  <c r="CR12" s="1"/>
  <c r="CT12" s="1"/>
  <c r="CW12"/>
  <c r="DE12" s="1"/>
  <c r="CO48"/>
  <c r="CR48" s="1"/>
  <c r="CT48" s="1"/>
  <c r="CW48"/>
  <c r="DE48" s="1"/>
  <c r="DL72"/>
  <c r="DT72" s="1"/>
  <c r="DA72"/>
  <c r="CO26"/>
  <c r="CR26" s="1"/>
  <c r="CT26" s="1"/>
  <c r="CW26"/>
  <c r="DE26" s="1"/>
  <c r="DM53"/>
  <c r="DB53"/>
  <c r="DJ53" s="1"/>
  <c r="DL29"/>
  <c r="DT29" s="1"/>
  <c r="DA29"/>
  <c r="CO54"/>
  <c r="CR54" s="1"/>
  <c r="CT54" s="1"/>
  <c r="CW54"/>
  <c r="DE54" s="1"/>
  <c r="CO65"/>
  <c r="CR65" s="1"/>
  <c r="CT65" s="1"/>
  <c r="DE65"/>
  <c r="CW65"/>
  <c r="DM24"/>
  <c r="DB24"/>
  <c r="DJ24" s="1"/>
  <c r="DL64"/>
  <c r="DT64" s="1"/>
  <c r="DA64"/>
  <c r="DL15"/>
  <c r="DT15" s="1"/>
  <c r="DA15"/>
  <c r="CO74"/>
  <c r="CR74" s="1"/>
  <c r="CT74" s="1"/>
  <c r="CW74"/>
  <c r="DE74" s="1"/>
  <c r="DL42"/>
  <c r="DT42" s="1"/>
  <c r="DA42"/>
  <c r="DI42"/>
  <c r="DL17"/>
  <c r="DT17" s="1"/>
  <c r="DA17"/>
  <c r="CO28"/>
  <c r="CR28" s="1"/>
  <c r="CT28" s="1"/>
  <c r="CW28"/>
  <c r="DE28" s="1"/>
  <c r="DL40"/>
  <c r="DT40" s="1"/>
  <c r="DA40"/>
  <c r="DM12"/>
  <c r="DB12"/>
  <c r="DJ12" s="1"/>
  <c r="AP12" i="1"/>
  <c r="AL12"/>
  <c r="AQ12" s="1"/>
  <c r="P83"/>
  <c r="P85" s="1"/>
  <c r="P86" s="1"/>
  <c r="AE86"/>
  <c r="AE84"/>
  <c r="T86"/>
  <c r="T88"/>
  <c r="AG9"/>
  <c r="AP25"/>
  <c r="AL25"/>
  <c r="AQ25" s="1"/>
  <c r="DI17" i="4" l="1"/>
  <c r="DI29"/>
  <c r="DI72"/>
  <c r="DI76"/>
  <c r="DI30"/>
  <c r="DI45"/>
  <c r="DI39"/>
  <c r="DI36"/>
  <c r="DI23"/>
  <c r="DI77"/>
  <c r="DI56"/>
  <c r="DI50"/>
  <c r="DI49"/>
  <c r="DI40"/>
  <c r="DI15"/>
  <c r="DI64"/>
  <c r="DI11"/>
  <c r="DI34"/>
  <c r="DI43"/>
  <c r="DI75"/>
  <c r="DI31"/>
  <c r="DI73"/>
  <c r="DI19"/>
  <c r="DK9"/>
  <c r="DK81" s="1"/>
  <c r="DJ81"/>
  <c r="DL65"/>
  <c r="DA65"/>
  <c r="DL26"/>
  <c r="DA26"/>
  <c r="DM81"/>
  <c r="DL18"/>
  <c r="DA18"/>
  <c r="DL55"/>
  <c r="DT55" s="1"/>
  <c r="DA55"/>
  <c r="DL79"/>
  <c r="DA79"/>
  <c r="DL16"/>
  <c r="DA16"/>
  <c r="DL10"/>
  <c r="DA10"/>
  <c r="DT18"/>
  <c r="DT16"/>
  <c r="DL46"/>
  <c r="DT46" s="1"/>
  <c r="DA46"/>
  <c r="DL53"/>
  <c r="DA53"/>
  <c r="DT26"/>
  <c r="DL28"/>
  <c r="DA28"/>
  <c r="DL74"/>
  <c r="DT74" s="1"/>
  <c r="DA74"/>
  <c r="DL54"/>
  <c r="DT54" s="1"/>
  <c r="DA54"/>
  <c r="DT53"/>
  <c r="DL48"/>
  <c r="DA48"/>
  <c r="DL12"/>
  <c r="DT12" s="1"/>
  <c r="DA12"/>
  <c r="AR81"/>
  <c r="BC9"/>
  <c r="CG9"/>
  <c r="AS9"/>
  <c r="AS81" s="1"/>
  <c r="DB81"/>
  <c r="DL58"/>
  <c r="DT58" s="1"/>
  <c r="DA58"/>
  <c r="DL24"/>
  <c r="DT24" s="1"/>
  <c r="DA24"/>
  <c r="DT65"/>
  <c r="DL14"/>
  <c r="DA14"/>
  <c r="DL63"/>
  <c r="DT63" s="1"/>
  <c r="DA63"/>
  <c r="DT48"/>
  <c r="DN81"/>
  <c r="DL27"/>
  <c r="DT27" s="1"/>
  <c r="DA27"/>
  <c r="DT14"/>
  <c r="DT79"/>
  <c r="DT28"/>
  <c r="DT10"/>
  <c r="DL35"/>
  <c r="DT35" s="1"/>
  <c r="DA35"/>
  <c r="T93" i="1"/>
  <c r="V93" s="1"/>
  <c r="AG81"/>
  <c r="AT9"/>
  <c r="AS9"/>
  <c r="AS81" s="1"/>
  <c r="U89" s="1"/>
  <c r="W90" s="1"/>
  <c r="AR9"/>
  <c r="DI54" i="4" l="1"/>
  <c r="DI35"/>
  <c r="DI63"/>
  <c r="DI14"/>
  <c r="DI12"/>
  <c r="DI48"/>
  <c r="DI74"/>
  <c r="DI28"/>
  <c r="DI79"/>
  <c r="DI55"/>
  <c r="DI18"/>
  <c r="DI27"/>
  <c r="DI24"/>
  <c r="DI58"/>
  <c r="DI53"/>
  <c r="DI46"/>
  <c r="DI10"/>
  <c r="DI16"/>
  <c r="DI26"/>
  <c r="DI65"/>
  <c r="CG81"/>
  <c r="CO9"/>
  <c r="CW9"/>
  <c r="DE9" s="1"/>
  <c r="DE81" s="1"/>
  <c r="BC81"/>
  <c r="BF9"/>
  <c r="AR81" i="1"/>
  <c r="AP9"/>
  <c r="AP81" s="1"/>
  <c r="AL9"/>
  <c r="AG86"/>
  <c r="AF86" s="1"/>
  <c r="Q4"/>
  <c r="U90"/>
  <c r="W93" s="1"/>
  <c r="W94" s="1"/>
  <c r="BF81" i="4" l="1"/>
  <c r="BG9"/>
  <c r="BG81" s="1"/>
  <c r="CW81"/>
  <c r="DL9"/>
  <c r="DI9"/>
  <c r="DI81" s="1"/>
  <c r="DA9"/>
  <c r="CO81"/>
  <c r="CR9"/>
  <c r="AF83" i="1"/>
  <c r="O4"/>
  <c r="AR86"/>
  <c r="AR83"/>
  <c r="AQ85" s="1"/>
  <c r="AL81"/>
  <c r="AQ9"/>
  <c r="AQ81" s="1"/>
  <c r="AQ82" s="1"/>
  <c r="DA81" i="4" l="1"/>
  <c r="CR81"/>
  <c r="CT9"/>
  <c r="CT81" s="1"/>
  <c r="DL81"/>
  <c r="DT9"/>
  <c r="DT81" s="1"/>
  <c r="AG88" i="1"/>
  <c r="AE87"/>
  <c r="AE89" s="1"/>
  <c r="AG84"/>
  <c r="C74" i="2" l="1"/>
  <c r="Q9" l="1"/>
  <c r="Q16"/>
  <c r="Q30"/>
  <c r="Q64"/>
  <c r="Q36"/>
  <c r="Q34"/>
  <c r="Q11"/>
  <c r="Q21"/>
  <c r="Q44"/>
  <c r="Q49"/>
  <c r="Q10"/>
  <c r="Q15"/>
  <c r="Q2"/>
  <c r="Q45"/>
  <c r="Q67"/>
  <c r="Q70"/>
  <c r="Q22"/>
  <c r="Q29"/>
  <c r="Q54"/>
  <c r="Q69"/>
  <c r="Q65"/>
  <c r="Q59"/>
  <c r="Q52"/>
  <c r="Q47"/>
  <c r="Q42"/>
  <c r="Q38"/>
  <c r="Q33"/>
  <c r="Q26"/>
  <c r="Q20"/>
  <c r="Q13"/>
  <c r="Q6"/>
  <c r="Q73"/>
  <c r="Q62"/>
  <c r="Q58"/>
  <c r="Q51"/>
  <c r="Q43"/>
  <c r="Q39"/>
  <c r="Q27"/>
  <c r="Q19"/>
  <c r="Q12"/>
  <c r="Q5"/>
  <c r="Q14"/>
  <c r="Q23"/>
  <c r="Q35"/>
  <c r="Q55"/>
  <c r="Q68"/>
  <c r="Q71"/>
  <c r="Q28"/>
  <c r="Q53"/>
  <c r="Q63"/>
  <c r="Q72"/>
  <c r="Q61"/>
  <c r="Q57"/>
  <c r="Q50"/>
  <c r="Q46"/>
  <c r="Q40"/>
  <c r="Q37"/>
  <c r="Q31"/>
  <c r="Q25"/>
  <c r="Q18"/>
  <c r="Q8"/>
  <c r="Q4"/>
  <c r="Q66"/>
  <c r="Q60"/>
  <c r="Q56"/>
  <c r="Q48"/>
  <c r="Q41"/>
  <c r="Q32"/>
  <c r="Q24"/>
  <c r="Q17"/>
  <c r="Q7"/>
  <c r="Q3"/>
  <c r="R3" l="1"/>
  <c r="T3"/>
  <c r="V3" s="1"/>
  <c r="R17"/>
  <c r="T17"/>
  <c r="V17" s="1"/>
  <c r="R32"/>
  <c r="T32"/>
  <c r="V32" s="1"/>
  <c r="R48"/>
  <c r="T48"/>
  <c r="V48" s="1"/>
  <c r="R60"/>
  <c r="T60"/>
  <c r="V60" s="1"/>
  <c r="R4"/>
  <c r="T4"/>
  <c r="V4" s="1"/>
  <c r="R18"/>
  <c r="T18"/>
  <c r="V18" s="1"/>
  <c r="R31"/>
  <c r="T31"/>
  <c r="V31" s="1"/>
  <c r="R40"/>
  <c r="T40"/>
  <c r="V40" s="1"/>
  <c r="R50"/>
  <c r="T50"/>
  <c r="V50" s="1"/>
  <c r="R61"/>
  <c r="T61"/>
  <c r="V61" s="1"/>
  <c r="R63"/>
  <c r="T63"/>
  <c r="V63" s="1"/>
  <c r="R28"/>
  <c r="T28"/>
  <c r="V28" s="1"/>
  <c r="R68"/>
  <c r="T68"/>
  <c r="V68" s="1"/>
  <c r="R35"/>
  <c r="T35"/>
  <c r="V35" s="1"/>
  <c r="R14"/>
  <c r="T14"/>
  <c r="V14" s="1"/>
  <c r="R12"/>
  <c r="T12"/>
  <c r="V12" s="1"/>
  <c r="R27"/>
  <c r="T27"/>
  <c r="V27" s="1"/>
  <c r="R43"/>
  <c r="T43"/>
  <c r="V43" s="1"/>
  <c r="R58"/>
  <c r="T58"/>
  <c r="V58" s="1"/>
  <c r="R73"/>
  <c r="T73"/>
  <c r="V73" s="1"/>
  <c r="R13"/>
  <c r="T13"/>
  <c r="V13" s="1"/>
  <c r="R26"/>
  <c r="T26"/>
  <c r="V26" s="1"/>
  <c r="R38"/>
  <c r="T38"/>
  <c r="V38" s="1"/>
  <c r="R47"/>
  <c r="T47"/>
  <c r="V47" s="1"/>
  <c r="R59"/>
  <c r="T59"/>
  <c r="V59" s="1"/>
  <c r="R69"/>
  <c r="T69"/>
  <c r="V69" s="1"/>
  <c r="R29"/>
  <c r="T29"/>
  <c r="V29" s="1"/>
  <c r="R70"/>
  <c r="T70"/>
  <c r="V70" s="1"/>
  <c r="R45"/>
  <c r="T45"/>
  <c r="V45" s="1"/>
  <c r="R15"/>
  <c r="T15"/>
  <c r="V15" s="1"/>
  <c r="R49"/>
  <c r="T49"/>
  <c r="V49" s="1"/>
  <c r="R21"/>
  <c r="T21"/>
  <c r="V21" s="1"/>
  <c r="R34"/>
  <c r="T34"/>
  <c r="V34" s="1"/>
  <c r="R64"/>
  <c r="T64"/>
  <c r="V64" s="1"/>
  <c r="R16"/>
  <c r="T16"/>
  <c r="V16" s="1"/>
  <c r="R7"/>
  <c r="T7"/>
  <c r="V7" s="1"/>
  <c r="R24"/>
  <c r="T24"/>
  <c r="V24" s="1"/>
  <c r="R41"/>
  <c r="T41"/>
  <c r="V41" s="1"/>
  <c r="R56"/>
  <c r="T56"/>
  <c r="V56" s="1"/>
  <c r="R66"/>
  <c r="T66"/>
  <c r="V66" s="1"/>
  <c r="R8"/>
  <c r="T8"/>
  <c r="V8" s="1"/>
  <c r="R25"/>
  <c r="T25"/>
  <c r="V25" s="1"/>
  <c r="R37"/>
  <c r="T37"/>
  <c r="V37" s="1"/>
  <c r="R46"/>
  <c r="T46"/>
  <c r="V46" s="1"/>
  <c r="R57"/>
  <c r="T57"/>
  <c r="V57" s="1"/>
  <c r="R72"/>
  <c r="T72"/>
  <c r="V72" s="1"/>
  <c r="R53"/>
  <c r="T53"/>
  <c r="V53" s="1"/>
  <c r="R71"/>
  <c r="T71"/>
  <c r="V71" s="1"/>
  <c r="R55"/>
  <c r="T55"/>
  <c r="V55" s="1"/>
  <c r="R23"/>
  <c r="T23"/>
  <c r="V23" s="1"/>
  <c r="R5"/>
  <c r="T5"/>
  <c r="V5" s="1"/>
  <c r="R19"/>
  <c r="T19"/>
  <c r="V19" s="1"/>
  <c r="R39"/>
  <c r="T39"/>
  <c r="V39" s="1"/>
  <c r="R51"/>
  <c r="T51"/>
  <c r="V51" s="1"/>
  <c r="R62"/>
  <c r="T62"/>
  <c r="V62" s="1"/>
  <c r="R6"/>
  <c r="T6"/>
  <c r="V6" s="1"/>
  <c r="R20"/>
  <c r="T20"/>
  <c r="V20" s="1"/>
  <c r="R33"/>
  <c r="T33"/>
  <c r="V33" s="1"/>
  <c r="R42"/>
  <c r="T42"/>
  <c r="V42" s="1"/>
  <c r="R52"/>
  <c r="T52"/>
  <c r="V52" s="1"/>
  <c r="R65"/>
  <c r="T65"/>
  <c r="V65" s="1"/>
  <c r="R54"/>
  <c r="T54"/>
  <c r="V54" s="1"/>
  <c r="R22"/>
  <c r="T22"/>
  <c r="V22" s="1"/>
  <c r="R67"/>
  <c r="T67"/>
  <c r="V67" s="1"/>
  <c r="R2"/>
  <c r="Q74"/>
  <c r="V82" s="1"/>
  <c r="V83" s="1"/>
  <c r="T2"/>
  <c r="R10"/>
  <c r="T10"/>
  <c r="V10" s="1"/>
  <c r="R44"/>
  <c r="T44"/>
  <c r="V44" s="1"/>
  <c r="R11"/>
  <c r="T11"/>
  <c r="V11" s="1"/>
  <c r="R36"/>
  <c r="T36"/>
  <c r="V36" s="1"/>
  <c r="R30"/>
  <c r="T30"/>
  <c r="V30" s="1"/>
  <c r="R9"/>
  <c r="T9"/>
  <c r="V9" s="1"/>
  <c r="V2" l="1"/>
  <c r="T74"/>
  <c r="V74" l="1"/>
  <c r="W2" s="1"/>
  <c r="X2" l="1"/>
  <c r="Y2" s="1"/>
  <c r="W22"/>
  <c r="X22" s="1"/>
  <c r="Y22" s="1"/>
  <c r="W52"/>
  <c r="X52" s="1"/>
  <c r="Y52" s="1"/>
  <c r="W6"/>
  <c r="X6" s="1"/>
  <c r="Y6" s="1"/>
  <c r="W19"/>
  <c r="X19" s="1"/>
  <c r="Y19" s="1"/>
  <c r="W71"/>
  <c r="X71" s="1"/>
  <c r="Y71" s="1"/>
  <c r="W57"/>
  <c r="X57" s="1"/>
  <c r="Y57" s="1"/>
  <c r="W37"/>
  <c r="X37" s="1"/>
  <c r="Y37" s="1"/>
  <c r="W8"/>
  <c r="X8" s="1"/>
  <c r="Y8" s="1"/>
  <c r="W56"/>
  <c r="X56" s="1"/>
  <c r="Y56" s="1"/>
  <c r="W24"/>
  <c r="X24" s="1"/>
  <c r="Y24" s="1"/>
  <c r="W16"/>
  <c r="X16" s="1"/>
  <c r="Y16" s="1"/>
  <c r="W34"/>
  <c r="X34" s="1"/>
  <c r="Y34" s="1"/>
  <c r="W49"/>
  <c r="X49" s="1"/>
  <c r="Y49" s="1"/>
  <c r="W45"/>
  <c r="X45" s="1"/>
  <c r="Y45" s="1"/>
  <c r="W29"/>
  <c r="X29" s="1"/>
  <c r="Y29" s="1"/>
  <c r="W59"/>
  <c r="X59" s="1"/>
  <c r="Y59" s="1"/>
  <c r="W38"/>
  <c r="X38" s="1"/>
  <c r="Y38" s="1"/>
  <c r="W13"/>
  <c r="X13" s="1"/>
  <c r="Y13" s="1"/>
  <c r="W58"/>
  <c r="X58" s="1"/>
  <c r="Y58" s="1"/>
  <c r="W27"/>
  <c r="X27" s="1"/>
  <c r="Y27" s="1"/>
  <c r="W14"/>
  <c r="X14" s="1"/>
  <c r="Y14" s="1"/>
  <c r="W68"/>
  <c r="X68" s="1"/>
  <c r="Y68" s="1"/>
  <c r="W63"/>
  <c r="X63" s="1"/>
  <c r="Y63" s="1"/>
  <c r="W50"/>
  <c r="X50" s="1"/>
  <c r="Y50" s="1"/>
  <c r="W31"/>
  <c r="X31" s="1"/>
  <c r="Y31" s="1"/>
  <c r="W4"/>
  <c r="X4" s="1"/>
  <c r="Y4" s="1"/>
  <c r="W48"/>
  <c r="X48" s="1"/>
  <c r="Y48" s="1"/>
  <c r="W17"/>
  <c r="X17" s="1"/>
  <c r="Y17" s="1"/>
  <c r="W67"/>
  <c r="X67" s="1"/>
  <c r="Y67" s="1"/>
  <c r="W42"/>
  <c r="X42" s="1"/>
  <c r="Y42" s="1"/>
  <c r="W62"/>
  <c r="X62" s="1"/>
  <c r="Y62" s="1"/>
  <c r="W5"/>
  <c r="X5" s="1"/>
  <c r="Y5" s="1"/>
  <c r="W53"/>
  <c r="X53" s="1"/>
  <c r="Y53" s="1"/>
  <c r="W30"/>
  <c r="X30" s="1"/>
  <c r="Y30" s="1"/>
  <c r="W11"/>
  <c r="X11" s="1"/>
  <c r="Y11" s="1"/>
  <c r="W10"/>
  <c r="X10" s="1"/>
  <c r="Y10" s="1"/>
  <c r="W36"/>
  <c r="X36" s="1"/>
  <c r="Y36" s="1"/>
  <c r="W65"/>
  <c r="X65" s="1"/>
  <c r="Y65" s="1"/>
  <c r="W33"/>
  <c r="X33" s="1"/>
  <c r="Y33" s="1"/>
  <c r="W51"/>
  <c r="X51" s="1"/>
  <c r="Y51" s="1"/>
  <c r="W23"/>
  <c r="X23" s="1"/>
  <c r="Y23" s="1"/>
  <c r="W72"/>
  <c r="X72" s="1"/>
  <c r="Y72" s="1"/>
  <c r="W46"/>
  <c r="X46" s="1"/>
  <c r="Y46" s="1"/>
  <c r="W25"/>
  <c r="X25" s="1"/>
  <c r="Y25" s="1"/>
  <c r="W66"/>
  <c r="X66" s="1"/>
  <c r="Y66" s="1"/>
  <c r="W41"/>
  <c r="X41" s="1"/>
  <c r="Y41" s="1"/>
  <c r="W7"/>
  <c r="X7" s="1"/>
  <c r="Y7" s="1"/>
  <c r="W64"/>
  <c r="X64" s="1"/>
  <c r="Y64" s="1"/>
  <c r="W21"/>
  <c r="X21" s="1"/>
  <c r="Y21" s="1"/>
  <c r="W15"/>
  <c r="X15" s="1"/>
  <c r="Y15" s="1"/>
  <c r="W70"/>
  <c r="X70" s="1"/>
  <c r="Y70" s="1"/>
  <c r="W69"/>
  <c r="X69" s="1"/>
  <c r="Y69" s="1"/>
  <c r="W47"/>
  <c r="X47" s="1"/>
  <c r="Y47" s="1"/>
  <c r="W26"/>
  <c r="X26" s="1"/>
  <c r="Y26" s="1"/>
  <c r="W73"/>
  <c r="X73" s="1"/>
  <c r="Y73" s="1"/>
  <c r="W43"/>
  <c r="X43" s="1"/>
  <c r="Y43" s="1"/>
  <c r="W12"/>
  <c r="X12" s="1"/>
  <c r="Y12" s="1"/>
  <c r="W35"/>
  <c r="X35" s="1"/>
  <c r="Y35" s="1"/>
  <c r="W28"/>
  <c r="X28" s="1"/>
  <c r="Y28" s="1"/>
  <c r="W61"/>
  <c r="X61" s="1"/>
  <c r="Y61" s="1"/>
  <c r="W40"/>
  <c r="X40" s="1"/>
  <c r="Y40" s="1"/>
  <c r="W18"/>
  <c r="X18" s="1"/>
  <c r="Y18" s="1"/>
  <c r="W60"/>
  <c r="X60" s="1"/>
  <c r="Y60" s="1"/>
  <c r="W32"/>
  <c r="X32" s="1"/>
  <c r="Y32" s="1"/>
  <c r="W3"/>
  <c r="X3" s="1"/>
  <c r="Y3" s="1"/>
  <c r="W54"/>
  <c r="X54" s="1"/>
  <c r="Y54" s="1"/>
  <c r="W20"/>
  <c r="X20" s="1"/>
  <c r="Y20" s="1"/>
  <c r="W39"/>
  <c r="X39" s="1"/>
  <c r="Y39" s="1"/>
  <c r="W55"/>
  <c r="X55" s="1"/>
  <c r="Y55" s="1"/>
  <c r="W9"/>
  <c r="X9" s="1"/>
  <c r="Y9" s="1"/>
  <c r="W44"/>
  <c r="X44" s="1"/>
  <c r="Y44" s="1"/>
  <c r="W74" l="1"/>
</calcChain>
</file>

<file path=xl/comments1.xml><?xml version="1.0" encoding="utf-8"?>
<comments xmlns="http://schemas.openxmlformats.org/spreadsheetml/2006/main">
  <authors>
    <author>Fong, Randy</author>
    <author xml:space="preserve"> </author>
    <author>Lee, Chino</author>
  </authors>
  <commentList>
    <comment ref="C4" authorId="0">
      <text>
        <r>
          <rPr>
            <b/>
            <sz val="9"/>
            <color indexed="81"/>
            <rFont val="Tahoma"/>
            <family val="2"/>
          </rPr>
          <t>Fong, Randy:</t>
        </r>
        <r>
          <rPr>
            <sz val="9"/>
            <color indexed="81"/>
            <rFont val="Tahoma"/>
            <family val="2"/>
          </rPr>
          <t xml:space="preserve">
DOF 2013-14 funding:
     1.57% COLA
     1.63% Growth</t>
        </r>
      </text>
    </comment>
    <comment ref="P4" authorId="0">
      <text>
        <r>
          <rPr>
            <b/>
            <sz val="9"/>
            <color indexed="81"/>
            <rFont val="Tahoma"/>
            <family val="2"/>
          </rPr>
          <t>Fong, Randy:</t>
        </r>
        <r>
          <rPr>
            <sz val="9"/>
            <color indexed="81"/>
            <rFont val="Tahoma"/>
            <family val="2"/>
          </rPr>
          <t xml:space="preserve">
added backfills:
EPA   8,583,000
EPA  -87,994,000
RDA   44,322,000
RDA   64,139,000
also fixed oil lease and deferral amounts, but held back $150K+_ due to overdistribution of $265,880 in P2.
Current total is correct for R1.
Also deduct $11K for San Mateo to be inserted into Exhibit A as a separate line.
$12K of unspent maintenance allowance rolled back into apportionment.</t>
        </r>
      </text>
    </comment>
    <comment ref="AU4" authorId="0">
      <text>
        <r>
          <rPr>
            <b/>
            <sz val="9"/>
            <color indexed="81"/>
            <rFont val="Tahoma"/>
            <family val="2"/>
          </rPr>
          <t>Fong, Randy:</t>
        </r>
        <r>
          <rPr>
            <sz val="9"/>
            <color indexed="81"/>
            <rFont val="Tahoma"/>
            <family val="2"/>
          </rPr>
          <t xml:space="preserve">
obtain FON replacement rate from M. Yarber.</t>
        </r>
      </text>
    </comment>
    <comment ref="L7" authorId="1">
      <text>
        <r>
          <rPr>
            <b/>
            <sz val="8"/>
            <color indexed="81"/>
            <rFont val="Tahoma"/>
            <family val="2"/>
          </rPr>
          <t xml:space="preserve"> :</t>
        </r>
        <r>
          <rPr>
            <sz val="8"/>
            <color indexed="81"/>
            <rFont val="Tahoma"/>
            <family val="2"/>
          </rPr>
          <t xml:space="preserve">
When SB361 was passed, the new formula would've reduced these CCD's funds, so the CCDs were given the guarantees.  If the current year base &gt;= last year's base + guarantee, then the guarantee would disappear.</t>
        </r>
      </text>
    </comment>
    <comment ref="N7" authorId="1">
      <text>
        <r>
          <rPr>
            <b/>
            <sz val="8"/>
            <color indexed="81"/>
            <rFont val="Tahoma"/>
            <family val="2"/>
          </rPr>
          <t xml:space="preserve"> :</t>
        </r>
        <r>
          <rPr>
            <sz val="8"/>
            <color indexed="81"/>
            <rFont val="Tahoma"/>
            <family val="2"/>
          </rPr>
          <t xml:space="preserve">
FTES rates based on funding including guarantees.</t>
        </r>
      </text>
    </comment>
    <comment ref="AB7" authorId="1">
      <text>
        <r>
          <rPr>
            <b/>
            <sz val="8"/>
            <color indexed="81"/>
            <rFont val="Tahoma"/>
            <family val="2"/>
          </rPr>
          <t xml:space="preserve"> :</t>
        </r>
        <r>
          <rPr>
            <sz val="8"/>
            <color indexed="81"/>
            <rFont val="Tahoma"/>
            <family val="2"/>
          </rPr>
          <t xml:space="preserve">
5-year RDA adjustments</t>
        </r>
      </text>
    </comment>
    <comment ref="AU7" authorId="1">
      <text>
        <r>
          <rPr>
            <b/>
            <sz val="8"/>
            <color indexed="81"/>
            <rFont val="Tahoma"/>
            <family val="2"/>
          </rPr>
          <t xml:space="preserve"> :</t>
        </r>
        <r>
          <rPr>
            <sz val="8"/>
            <color indexed="81"/>
            <rFont val="Tahoma"/>
            <family val="2"/>
          </rPr>
          <t xml:space="preserve">
deduct stability and adjustments 1+2</t>
        </r>
      </text>
    </comment>
    <comment ref="BC15" authorId="0">
      <text>
        <r>
          <rPr>
            <b/>
            <sz val="9"/>
            <color indexed="81"/>
            <rFont val="Tahoma"/>
            <family val="2"/>
          </rPr>
          <t>Fong, Randy:</t>
        </r>
        <r>
          <rPr>
            <sz val="9"/>
            <color indexed="81"/>
            <rFont val="Tahoma"/>
            <family val="2"/>
          </rPr>
          <t xml:space="preserve">
Subtracted $855,295 due to overstated PT in 2012-13.  Too late to record in 2012-13.</t>
        </r>
      </text>
    </comment>
    <comment ref="AX19" authorId="2">
      <text>
        <r>
          <rPr>
            <b/>
            <sz val="9"/>
            <color indexed="81"/>
            <rFont val="Tahoma"/>
            <family val="2"/>
          </rPr>
          <t>Lee, Chino:</t>
        </r>
        <r>
          <rPr>
            <sz val="9"/>
            <color indexed="81"/>
            <rFont val="Tahoma"/>
            <family val="2"/>
          </rPr>
          <t xml:space="preserve">
Per Fred's request, less this amount of State G.F. col AK 012712
changed in 1011 R1, but leaves here for future use. Note: Q4 and AG formula change!
</t>
        </r>
      </text>
    </comment>
    <comment ref="C20" authorId="0">
      <text>
        <r>
          <rPr>
            <b/>
            <sz val="9"/>
            <color indexed="81"/>
            <rFont val="Tahoma"/>
            <family val="2"/>
          </rPr>
          <t>Fong, Randy:</t>
        </r>
        <r>
          <rPr>
            <sz val="9"/>
            <color indexed="81"/>
            <rFont val="Tahoma"/>
            <family val="2"/>
          </rPr>
          <t xml:space="preserve">
= reversed stability payment + reversed prior year district adjustment
But don't need to reverse 2012-13 basic allocation adjustment</t>
        </r>
      </text>
    </comment>
    <comment ref="AA20" authorId="0">
      <text>
        <r>
          <rPr>
            <b/>
            <sz val="9"/>
            <color indexed="81"/>
            <rFont val="Tahoma"/>
            <family val="2"/>
          </rPr>
          <t>Fong, Randy:</t>
        </r>
        <r>
          <rPr>
            <sz val="9"/>
            <color indexed="81"/>
            <rFont val="Tahoma"/>
            <family val="2"/>
          </rPr>
          <t xml:space="preserve">
District repayments:
2011-12  $1,499,329
2012-13  $1,499,330
2013-14  $1,499,330
Add $1,107,182 for Brentwood Center in 2012-13.
Do not need to subtract $1,107,182 for Brentwood Center in 2013-14.</t>
        </r>
      </text>
    </comment>
    <comment ref="C23" authorId="0">
      <text>
        <r>
          <rPr>
            <b/>
            <sz val="9"/>
            <color indexed="81"/>
            <rFont val="Tahoma"/>
            <family val="2"/>
          </rPr>
          <t>Fong, Randy:</t>
        </r>
        <r>
          <rPr>
            <sz val="9"/>
            <color indexed="81"/>
            <rFont val="Tahoma"/>
            <family val="2"/>
          </rPr>
          <t xml:space="preserve">
1/20/15:
reverse annual $1.1M adjustment every year</t>
        </r>
      </text>
    </comment>
    <comment ref="AA23" authorId="0">
      <text>
        <r>
          <rPr>
            <b/>
            <sz val="9"/>
            <color indexed="81"/>
            <rFont val="Tahoma"/>
            <family val="2"/>
          </rPr>
          <t>Fong, Randy:</t>
        </r>
        <r>
          <rPr>
            <sz val="9"/>
            <color indexed="81"/>
            <rFont val="Tahoma"/>
            <family val="2"/>
          </rPr>
          <t xml:space="preserve">
$1,107,182 annual funding for overseeing Compton Center</t>
        </r>
      </text>
    </comment>
    <comment ref="C33" authorId="0">
      <text>
        <r>
          <rPr>
            <b/>
            <sz val="9"/>
            <color indexed="81"/>
            <rFont val="Tahoma"/>
            <family val="2"/>
          </rPr>
          <t>Fong, Randy:</t>
        </r>
        <r>
          <rPr>
            <sz val="9"/>
            <color indexed="81"/>
            <rFont val="Tahoma"/>
            <family val="2"/>
          </rPr>
          <t xml:space="preserve">
reverse the $57,307 payback from 2012-13</t>
        </r>
      </text>
    </comment>
    <comment ref="AA33" authorId="0">
      <text>
        <r>
          <rPr>
            <b/>
            <sz val="9"/>
            <color indexed="81"/>
            <rFont val="Tahoma"/>
            <family val="2"/>
          </rPr>
          <t>Fong, Randy:</t>
        </r>
        <r>
          <rPr>
            <sz val="9"/>
            <color indexed="81"/>
            <rFont val="Tahoma"/>
            <family val="2"/>
          </rPr>
          <t xml:space="preserve">
$162,047 annual payback for FYs 2013-18 per 2008 agreement.
Original $1,708,423 payback from 2007-18.</t>
        </r>
      </text>
    </comment>
    <comment ref="C37" authorId="0">
      <text>
        <r>
          <rPr>
            <b/>
            <sz val="9"/>
            <color indexed="81"/>
            <rFont val="Tahoma"/>
            <family val="2"/>
          </rPr>
          <t>Fong, Randy:</t>
        </r>
        <r>
          <rPr>
            <sz val="9"/>
            <color indexed="81"/>
            <rFont val="Tahoma"/>
            <family val="2"/>
          </rPr>
          <t xml:space="preserve">
</t>
        </r>
      </text>
    </comment>
    <comment ref="BD37" authorId="0">
      <text>
        <r>
          <rPr>
            <b/>
            <sz val="9"/>
            <color indexed="81"/>
            <rFont val="Tahoma"/>
            <family val="2"/>
          </rPr>
          <t>Fong, Randy:</t>
        </r>
        <r>
          <rPr>
            <sz val="9"/>
            <color indexed="81"/>
            <rFont val="Tahoma"/>
            <family val="2"/>
          </rPr>
          <t xml:space="preserve">
2/11/15:
no carryover for basic aid CCDs</t>
        </r>
      </text>
    </comment>
    <comment ref="C40" authorId="0">
      <text>
        <r>
          <rPr>
            <b/>
            <sz val="9"/>
            <color indexed="81"/>
            <rFont val="Tahoma"/>
            <family val="2"/>
          </rPr>
          <t>Fong, Randy:</t>
        </r>
        <r>
          <rPr>
            <sz val="9"/>
            <color indexed="81"/>
            <rFont val="Tahoma"/>
            <family val="2"/>
          </rPr>
          <t xml:space="preserve">
don't need to reverse basic allocation change from 2012-13.</t>
        </r>
      </text>
    </comment>
    <comment ref="BD40" authorId="0">
      <text>
        <r>
          <rPr>
            <b/>
            <sz val="9"/>
            <color indexed="81"/>
            <rFont val="Tahoma"/>
            <family val="2"/>
          </rPr>
          <t>Fong, Randy:</t>
        </r>
        <r>
          <rPr>
            <sz val="9"/>
            <color indexed="81"/>
            <rFont val="Tahoma"/>
            <family val="2"/>
          </rPr>
          <t xml:space="preserve">
2/11/15:
no carryover for basic aid CCDs</t>
        </r>
      </text>
    </comment>
    <comment ref="BB44" authorId="0">
      <text>
        <r>
          <rPr>
            <b/>
            <sz val="9"/>
            <color indexed="81"/>
            <rFont val="Tahoma"/>
            <family val="2"/>
          </rPr>
          <t>Fong, Randy:</t>
        </r>
        <r>
          <rPr>
            <sz val="9"/>
            <color indexed="81"/>
            <rFont val="Tahoma"/>
            <family val="2"/>
          </rPr>
          <t xml:space="preserve">
used 2011-12 P2 figure since no R1 prop tax figure was available as of 11/7/12.</t>
        </r>
      </text>
    </comment>
    <comment ref="C46" authorId="0">
      <text>
        <r>
          <rPr>
            <b/>
            <sz val="9"/>
            <color indexed="81"/>
            <rFont val="Tahoma"/>
            <family val="2"/>
          </rPr>
          <t>Fong, Randy:</t>
        </r>
        <r>
          <rPr>
            <sz val="9"/>
            <color indexed="81"/>
            <rFont val="Tahoma"/>
            <family val="2"/>
          </rPr>
          <t xml:space="preserve">
= reversed prior year district adjustment</t>
        </r>
      </text>
    </comment>
    <comment ref="C47" authorId="0">
      <text>
        <r>
          <rPr>
            <b/>
            <sz val="9"/>
            <color indexed="81"/>
            <rFont val="Tahoma"/>
            <family val="2"/>
          </rPr>
          <t>Fong, Randy:</t>
        </r>
        <r>
          <rPr>
            <sz val="9"/>
            <color indexed="81"/>
            <rFont val="Tahoma"/>
            <family val="2"/>
          </rPr>
          <t xml:space="preserve">
1/20/15:
Determine if the grandfathered Needles Center &gt; 100 FTES</t>
        </r>
      </text>
    </comment>
    <comment ref="A57" authorId="0">
      <text>
        <r>
          <rPr>
            <b/>
            <sz val="9"/>
            <color indexed="81"/>
            <rFont val="Tahoma"/>
            <family val="2"/>
          </rPr>
          <t>Fong, Randy:</t>
        </r>
        <r>
          <rPr>
            <sz val="9"/>
            <color indexed="81"/>
            <rFont val="Tahoma"/>
            <family val="2"/>
          </rPr>
          <t xml:space="preserve">
San Francisco receives 2-year stability:
2013-14, 2014-15 are guaranteed the 2012-13 funded FTES levels
</t>
        </r>
      </text>
    </comment>
    <comment ref="X57" authorId="0">
      <text>
        <r>
          <rPr>
            <b/>
            <sz val="9"/>
            <color indexed="81"/>
            <rFont val="Tahoma"/>
            <family val="2"/>
          </rPr>
          <t>Fong, Randy:</t>
        </r>
        <r>
          <rPr>
            <sz val="9"/>
            <color indexed="81"/>
            <rFont val="Tahoma"/>
            <family val="2"/>
          </rPr>
          <t xml:space="preserve">
San Francisco receives 2-year stability:
2013-14, 2014-15 are guaranteed the 2012-13 funded FTES levels
</t>
        </r>
      </text>
    </comment>
    <comment ref="AA57" authorId="2">
      <text>
        <r>
          <rPr>
            <b/>
            <sz val="9"/>
            <color indexed="81"/>
            <rFont val="Tahoma"/>
            <family val="2"/>
          </rPr>
          <t>Lee, Chino:</t>
        </r>
        <r>
          <rPr>
            <sz val="9"/>
            <color indexed="81"/>
            <rFont val="Tahoma"/>
            <family val="2"/>
          </rPr>
          <t xml:space="preserve">
revenue adjustment into the San Francisco Exhibit C, item V.A, of $830,088 Ed 062012
It was because a large center was funded as medium-large.  There's no funding needed in 2013-14.
$289K special trustee funds taken out after the net gen is calculated and then recorded separately on the Exhibit A as restricted funds per F. Harris 2/11/14.</t>
        </r>
      </text>
    </comment>
    <comment ref="AY57" authorId="0">
      <text>
        <r>
          <rPr>
            <b/>
            <sz val="9"/>
            <color indexed="81"/>
            <rFont val="Tahoma"/>
            <family val="2"/>
          </rPr>
          <t>Fong, Randy:</t>
        </r>
        <r>
          <rPr>
            <sz val="9"/>
            <color indexed="81"/>
            <rFont val="Tahoma"/>
            <family val="2"/>
          </rPr>
          <t xml:space="preserve">
Don't show $289K in the Exhibit E.</t>
        </r>
      </text>
    </comment>
    <comment ref="BD59" authorId="0">
      <text>
        <r>
          <rPr>
            <b/>
            <sz val="9"/>
            <color indexed="81"/>
            <rFont val="Tahoma"/>
            <family val="2"/>
          </rPr>
          <t>Fong, Randy:</t>
        </r>
        <r>
          <rPr>
            <sz val="9"/>
            <color indexed="81"/>
            <rFont val="Tahoma"/>
            <family val="2"/>
          </rPr>
          <t xml:space="preserve">
2/11/15:
no carryover for basic aid CCDs</t>
        </r>
      </text>
    </comment>
    <comment ref="C60" authorId="0">
      <text>
        <r>
          <rPr>
            <b/>
            <sz val="9"/>
            <color indexed="81"/>
            <rFont val="Tahoma"/>
            <family val="2"/>
          </rPr>
          <t>Fong, Randy:</t>
        </r>
        <r>
          <rPr>
            <sz val="9"/>
            <color indexed="81"/>
            <rFont val="Tahoma"/>
            <family val="2"/>
          </rPr>
          <t xml:space="preserve">
don't need to reverse basic allocation change from 2012-13.</t>
        </r>
      </text>
    </comment>
    <comment ref="AR61" authorId="0">
      <text>
        <r>
          <rPr>
            <b/>
            <sz val="9"/>
            <color indexed="81"/>
            <rFont val="Tahoma"/>
            <family val="2"/>
          </rPr>
          <t>Fong, Randy:</t>
        </r>
        <r>
          <rPr>
            <sz val="9"/>
            <color indexed="81"/>
            <rFont val="Tahoma"/>
            <family val="2"/>
          </rPr>
          <t xml:space="preserve">
Reserve $11K for prop tax refund to county</t>
        </r>
      </text>
    </comment>
    <comment ref="BD61" authorId="0">
      <text>
        <r>
          <rPr>
            <b/>
            <sz val="9"/>
            <color indexed="81"/>
            <rFont val="Tahoma"/>
            <family val="2"/>
          </rPr>
          <t>Fong, Randy:</t>
        </r>
        <r>
          <rPr>
            <sz val="9"/>
            <color indexed="81"/>
            <rFont val="Tahoma"/>
            <family val="2"/>
          </rPr>
          <t xml:space="preserve">
2/11/15:
no carryover for basic aid CCDs</t>
        </r>
      </text>
    </comment>
    <comment ref="C63" authorId="0">
      <text>
        <r>
          <rPr>
            <b/>
            <sz val="9"/>
            <color indexed="81"/>
            <rFont val="Tahoma"/>
            <family val="2"/>
          </rPr>
          <t>Fong, Randy:</t>
        </r>
        <r>
          <rPr>
            <sz val="9"/>
            <color indexed="81"/>
            <rFont val="Tahoma"/>
            <family val="2"/>
          </rPr>
          <t xml:space="preserve">
2/19/14
adjustment based on deficit level.
District adjustment based on agreement for overstated FTES analysis.
District also agreed to no 2012-13 stability.</t>
        </r>
      </text>
    </comment>
    <comment ref="AA63" authorId="0">
      <text>
        <r>
          <rPr>
            <b/>
            <sz val="9"/>
            <color indexed="81"/>
            <rFont val="Tahoma"/>
            <family val="2"/>
          </rPr>
          <t>Fong, Randy:</t>
        </r>
        <r>
          <rPr>
            <sz val="9"/>
            <color indexed="81"/>
            <rFont val="Tahoma"/>
            <family val="2"/>
          </rPr>
          <t xml:space="preserve">
1. The District’s apportionment will be decreased one time, for the 2011-12 fiscal year by $1,522,372.
However, it'll occur at 2012-13 R1 instead.  Don't forget to include the deficit factor adjustment.</t>
        </r>
      </text>
    </comment>
    <comment ref="BD71" authorId="0">
      <text>
        <r>
          <rPr>
            <b/>
            <sz val="9"/>
            <color indexed="81"/>
            <rFont val="Tahoma"/>
            <family val="2"/>
          </rPr>
          <t>Fong, Randy:</t>
        </r>
        <r>
          <rPr>
            <sz val="9"/>
            <color indexed="81"/>
            <rFont val="Tahoma"/>
            <family val="2"/>
          </rPr>
          <t xml:space="preserve">
2/11/15:
no carryover for basic aid CCDs</t>
        </r>
      </text>
    </comment>
    <comment ref="AC72" authorId="0">
      <text>
        <r>
          <rPr>
            <b/>
            <sz val="9"/>
            <color indexed="81"/>
            <rFont val="Tahoma"/>
            <family val="2"/>
          </rPr>
          <t>Fong, Randy:</t>
        </r>
        <r>
          <rPr>
            <sz val="9"/>
            <color indexed="81"/>
            <rFont val="Tahoma"/>
            <family val="2"/>
          </rPr>
          <t xml:space="preserve">
Southwestern CCD added National City and San Ysrido in early 2013 to be funded starting in 2013-14.</t>
        </r>
      </text>
    </comment>
    <comment ref="BD78" authorId="0">
      <text>
        <r>
          <rPr>
            <b/>
            <sz val="9"/>
            <color indexed="81"/>
            <rFont val="Tahoma"/>
            <family val="2"/>
          </rPr>
          <t>Fong, Randy:</t>
        </r>
        <r>
          <rPr>
            <sz val="9"/>
            <color indexed="81"/>
            <rFont val="Tahoma"/>
            <family val="2"/>
          </rPr>
          <t xml:space="preserve">
2/11/15:
no carryover for basic aid CCDs</t>
        </r>
      </text>
    </comment>
    <comment ref="C80" authorId="0">
      <text>
        <r>
          <rPr>
            <b/>
            <sz val="9"/>
            <color indexed="81"/>
            <rFont val="Tahoma"/>
            <family val="2"/>
          </rPr>
          <t>Fong, Randy:</t>
        </r>
        <r>
          <rPr>
            <sz val="9"/>
            <color indexed="81"/>
            <rFont val="Tahoma"/>
            <family val="2"/>
          </rPr>
          <t xml:space="preserve">
Don't need to reverse 2012-13 reduction of center activity.</t>
        </r>
      </text>
    </comment>
    <comment ref="AC80" authorId="0">
      <text>
        <r>
          <rPr>
            <b/>
            <sz val="9"/>
            <color indexed="81"/>
            <rFont val="Tahoma"/>
            <family val="2"/>
          </rPr>
          <t>Fong, Randy:</t>
        </r>
        <r>
          <rPr>
            <sz val="9"/>
            <color indexed="81"/>
            <rFont val="Tahoma"/>
            <family val="2"/>
          </rPr>
          <t xml:space="preserve">
Yuba CCD added Sutter County Ed Center in 2013 to be funded starting in 2013-14.
BOG approved in July 2013, but was approved for 2013-14 funding.</t>
        </r>
      </text>
    </comment>
    <comment ref="AF83" authorId="0">
      <text>
        <r>
          <rPr>
            <b/>
            <sz val="9"/>
            <color indexed="81"/>
            <rFont val="Tahoma"/>
            <family val="2"/>
          </rPr>
          <t>Fong, Randy:</t>
        </r>
        <r>
          <rPr>
            <sz val="9"/>
            <color indexed="81"/>
            <rFont val="Tahoma"/>
            <family val="2"/>
          </rPr>
          <t xml:space="preserve">
This is off due to Sierra's 100% EPA funding cap.</t>
        </r>
      </text>
    </comment>
    <comment ref="AS85"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86"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87"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R88"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88"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89"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90"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 ref="AS91" authorId="0">
      <text>
        <r>
          <rPr>
            <b/>
            <sz val="9"/>
            <color indexed="81"/>
            <rFont val="Tahoma"/>
            <family val="2"/>
          </rPr>
          <t>Fong, Randy:</t>
        </r>
        <r>
          <rPr>
            <sz val="9"/>
            <color indexed="81"/>
            <rFont val="Tahoma"/>
            <family val="2"/>
          </rPr>
          <t xml:space="preserve">
1/22/15:
added backfills:
EPA   8,583,000
EPA  -87,994,000
RDA   44,322,000
RDA   64,139,000
Also deduct $11K for San Mateo to be inserted into Exhibit A as a separate line.</t>
        </r>
      </text>
    </comment>
  </commentList>
</comments>
</file>

<file path=xl/comments2.xml><?xml version="1.0" encoding="utf-8"?>
<comments xmlns="http://schemas.openxmlformats.org/spreadsheetml/2006/main">
  <authors>
    <author>Monroe, Ed</author>
    <author>Fong, Randy</author>
  </authors>
  <commentList>
    <comment ref="L35" authorId="0">
      <text>
        <r>
          <rPr>
            <b/>
            <sz val="9"/>
            <color indexed="81"/>
            <rFont val="Tahoma"/>
            <family val="2"/>
          </rPr>
          <t>Monroe, Ed:</t>
        </r>
        <r>
          <rPr>
            <sz val="9"/>
            <color indexed="81"/>
            <rFont val="Tahoma"/>
            <family val="2"/>
          </rPr>
          <t xml:space="preserve">
NCr base decreased by 300 FTES per district request. 5-26-11
</t>
        </r>
      </text>
    </comment>
    <comment ref="BH53" authorId="1">
      <text>
        <r>
          <rPr>
            <b/>
            <sz val="9"/>
            <color indexed="81"/>
            <rFont val="Tahoma"/>
            <family val="2"/>
          </rPr>
          <t>Fong, Randy:</t>
        </r>
        <r>
          <rPr>
            <sz val="9"/>
            <color indexed="81"/>
            <rFont val="Tahoma"/>
            <family val="2"/>
          </rPr>
          <t xml:space="preserve">
Chino - What's this for?</t>
        </r>
      </text>
    </comment>
  </commentList>
</comments>
</file>

<file path=xl/comments3.xml><?xml version="1.0" encoding="utf-8"?>
<comments xmlns="http://schemas.openxmlformats.org/spreadsheetml/2006/main">
  <authors>
    <author>Fong, Randy</author>
  </authors>
  <commentList>
    <comment ref="R19" authorId="0">
      <text>
        <r>
          <rPr>
            <b/>
            <sz val="9"/>
            <color indexed="81"/>
            <rFont val="Tahoma"/>
            <family val="2"/>
          </rPr>
          <t>Fong, Randy:</t>
        </r>
        <r>
          <rPr>
            <sz val="9"/>
            <color indexed="81"/>
            <rFont val="Tahoma"/>
            <family val="2"/>
          </rPr>
          <t xml:space="preserve">
revised formula 2/27/14</t>
        </r>
      </text>
    </comment>
    <comment ref="X19" authorId="0">
      <text>
        <r>
          <rPr>
            <b/>
            <sz val="9"/>
            <color indexed="81"/>
            <rFont val="Tahoma"/>
            <family val="2"/>
          </rPr>
          <t>Fong, Randy:</t>
        </r>
        <r>
          <rPr>
            <sz val="9"/>
            <color indexed="81"/>
            <rFont val="Tahoma"/>
            <family val="2"/>
          </rPr>
          <t xml:space="preserve">
need to verify 2006-07 stability</t>
        </r>
      </text>
    </comment>
    <comment ref="Z19" authorId="0">
      <text>
        <r>
          <rPr>
            <b/>
            <sz val="9"/>
            <color indexed="81"/>
            <rFont val="Tahoma"/>
            <family val="2"/>
          </rPr>
          <t>Fong, Randy:</t>
        </r>
        <r>
          <rPr>
            <sz val="9"/>
            <color indexed="81"/>
            <rFont val="Tahoma"/>
            <family val="2"/>
          </rPr>
          <t xml:space="preserve">
revised formula 2/27/14</t>
        </r>
      </text>
    </comment>
    <comment ref="AH19" authorId="0">
      <text>
        <r>
          <rPr>
            <b/>
            <sz val="9"/>
            <color indexed="81"/>
            <rFont val="Tahoma"/>
            <family val="2"/>
          </rPr>
          <t>Fong, Randy:</t>
        </r>
        <r>
          <rPr>
            <sz val="9"/>
            <color indexed="81"/>
            <rFont val="Tahoma"/>
            <family val="2"/>
          </rPr>
          <t xml:space="preserve">
revised formula 2/27/14</t>
        </r>
      </text>
    </comment>
    <comment ref="AL19" authorId="0">
      <text>
        <r>
          <rPr>
            <b/>
            <sz val="9"/>
            <color indexed="81"/>
            <rFont val="Tahoma"/>
            <family val="2"/>
          </rPr>
          <t>Fong, Randy:</t>
        </r>
        <r>
          <rPr>
            <sz val="9"/>
            <color indexed="81"/>
            <rFont val="Tahoma"/>
            <family val="2"/>
          </rPr>
          <t xml:space="preserve">
Compton's restoration eligibility should be the equivalent of the difference between the prior year funding and the current year base guarantee.</t>
        </r>
      </text>
    </comment>
    <comment ref="AM19" authorId="0">
      <text>
        <r>
          <rPr>
            <b/>
            <sz val="9"/>
            <color indexed="81"/>
            <rFont val="Tahoma"/>
            <family val="2"/>
          </rPr>
          <t>Fong, Randy:</t>
        </r>
        <r>
          <rPr>
            <sz val="9"/>
            <color indexed="81"/>
            <rFont val="Tahoma"/>
            <family val="2"/>
          </rPr>
          <t xml:space="preserve">
Compton's restoration eligibility should be the equivalent of the difference between the prior year funding and the current year base guarantee.</t>
        </r>
      </text>
    </comment>
    <comment ref="AP19" authorId="0">
      <text>
        <r>
          <rPr>
            <b/>
            <sz val="9"/>
            <color indexed="81"/>
            <rFont val="Tahoma"/>
            <family val="2"/>
          </rPr>
          <t>Fong, Randy:</t>
        </r>
        <r>
          <rPr>
            <sz val="9"/>
            <color indexed="81"/>
            <rFont val="Tahoma"/>
            <family val="2"/>
          </rPr>
          <t xml:space="preserve">
revised formula 2/27/14</t>
        </r>
      </text>
    </comment>
    <comment ref="AQ19" authorId="0">
      <text>
        <r>
          <rPr>
            <b/>
            <sz val="9"/>
            <color indexed="81"/>
            <rFont val="Tahoma"/>
            <family val="2"/>
          </rPr>
          <t>Fong, Randy:</t>
        </r>
        <r>
          <rPr>
            <sz val="9"/>
            <color indexed="81"/>
            <rFont val="Tahoma"/>
            <family val="2"/>
          </rPr>
          <t xml:space="preserve">
restoration based on Compton's "district adjustment" calculations for overstated FTES per audit report</t>
        </r>
      </text>
    </comment>
    <comment ref="AY19" authorId="0">
      <text>
        <r>
          <rPr>
            <b/>
            <sz val="9"/>
            <color indexed="81"/>
            <rFont val="Tahoma"/>
            <family val="2"/>
          </rPr>
          <t>Fong, Randy:</t>
        </r>
        <r>
          <rPr>
            <sz val="9"/>
            <color indexed="81"/>
            <rFont val="Tahoma"/>
            <family val="2"/>
          </rPr>
          <t xml:space="preserve">
2009-10 R1 stability restoration per distict adjustment workbook.
Used the original $4.8M figure even though Compton was eligible for only $2.9M
RF 5/22/14</t>
        </r>
      </text>
    </comment>
    <comment ref="AZ19" authorId="0">
      <text>
        <r>
          <rPr>
            <b/>
            <sz val="9"/>
            <color indexed="81"/>
            <rFont val="Tahoma"/>
            <family val="2"/>
          </rPr>
          <t>Fong, Randy:</t>
        </r>
        <r>
          <rPr>
            <sz val="9"/>
            <color indexed="81"/>
            <rFont val="Tahoma"/>
            <family val="2"/>
          </rPr>
          <t xml:space="preserve">
2009-10 R1 stability restoration per distict adjustment workbook.
Used the original $4.8M figure even though Compton was eligible for only $2.9M
RF 5/22/14</t>
        </r>
      </text>
    </comment>
    <comment ref="BQ22" authorId="0">
      <text>
        <r>
          <rPr>
            <b/>
            <sz val="9"/>
            <color indexed="81"/>
            <rFont val="Tahoma"/>
            <family val="2"/>
          </rPr>
          <t>Fong, Randy:</t>
        </r>
        <r>
          <rPr>
            <sz val="9"/>
            <color indexed="81"/>
            <rFont val="Tahoma"/>
            <family val="2"/>
          </rPr>
          <t xml:space="preserve">
Since Desert was rebenched $951,516 between 2011-12 and 2012-13, it's eligible for that amount of "stability restoration" plus any COLA.</t>
        </r>
      </text>
    </comment>
    <comment ref="BV22" authorId="0">
      <text>
        <r>
          <rPr>
            <b/>
            <sz val="9"/>
            <color indexed="81"/>
            <rFont val="Tahoma"/>
            <family val="2"/>
          </rPr>
          <t>Fong, Randy:</t>
        </r>
        <r>
          <rPr>
            <sz val="9"/>
            <color indexed="81"/>
            <rFont val="Tahoma"/>
            <family val="2"/>
          </rPr>
          <t xml:space="preserve">
Since Desert was rebenched $951,516 between 2011-12 and 2012-13, it's eligible for that amount of "stability restoration" plus any COLA.
In 2012-13 it had $130,280 (after 1.57% COLA) in unfunded FTES, which had to be recorded as a 2013-14 adjustment.
2/4/15:  Actually, didn't restore the $130K at R1.  Also holding off on restoring any in 2014-15 pending decision to be made between Desert and CCCCO.  See Dec 2014 emails.
The district adjustment calculation is supposed to take into account the restoration of FTES as early as possible to reduce the amount of liability.</t>
        </r>
      </text>
    </comment>
    <comment ref="BX22" authorId="0">
      <text>
        <r>
          <rPr>
            <b/>
            <sz val="9"/>
            <color indexed="81"/>
            <rFont val="Tahoma"/>
            <family val="2"/>
          </rPr>
          <t>Fong, Randy:</t>
        </r>
        <r>
          <rPr>
            <sz val="9"/>
            <color indexed="81"/>
            <rFont val="Tahoma"/>
            <family val="2"/>
          </rPr>
          <t xml:space="preserve">
Since Desert was rebenched $951,516 between 2011-12 and 2012-13, it's eligible for that amount of "stability restoration" plus any COLA.
In 2012-13 it had $130,280 (after 1.57% COLA) in unfunded FTES, which had to be recorded as a 2013-14 adjustment.
2/4/15:  Actually, didn't restore the $130K at R1.  Also holding off on restoring any in 2014-15 pending decision to be made between Desert and CCCCO.  See Dec 2014 emails.
The district adjustment calculation is supposed to take into account the restoration of FTES as early as possible to reduce the amount of liability.
2/9/15:  Not sure what is Desert's eligibility.</t>
        </r>
      </text>
    </comment>
    <comment ref="CD22" authorId="0">
      <text>
        <r>
          <rPr>
            <b/>
            <sz val="9"/>
            <color indexed="81"/>
            <rFont val="Tahoma"/>
            <family val="2"/>
          </rPr>
          <t>Fong, Randy:</t>
        </r>
        <r>
          <rPr>
            <sz val="9"/>
            <color indexed="81"/>
            <rFont val="Tahoma"/>
            <family val="2"/>
          </rPr>
          <t xml:space="preserve">
Since Desert was rebenched $951,516 between 2011-12 and 2012-13, it's eligible for that amount of "stability restoration" plus any COLA.
In 2012-13 it had $130,280 (after 1.57% COLA) in unfunded FTES, which had to be recorded as a 2013-14 adjustment.
2/4/15:  Actually, didn't restore the $130K at R1.  Also holding off on restoring any in 2014-15 pending decision to be made between Desert and CCCCO.  See Dec 2014 emails.
The district adjustment calculation is supposed to take into account the restoration of FTES as early as possible to reduce the amount of liability.</t>
        </r>
      </text>
    </comment>
    <comment ref="BZ57" authorId="0">
      <text>
        <r>
          <rPr>
            <b/>
            <sz val="9"/>
            <color indexed="81"/>
            <rFont val="Tahoma"/>
            <family val="2"/>
          </rPr>
          <t>Fong, Randy:</t>
        </r>
        <r>
          <rPr>
            <sz val="9"/>
            <color indexed="81"/>
            <rFont val="Tahoma"/>
            <family val="2"/>
          </rPr>
          <t xml:space="preserve">
SB 860 provided special legislation which gave CCSF additional stability protection.  Therefore, it's not eligible for restoring the 2013-14 stability amount.</t>
        </r>
      </text>
    </comment>
    <comment ref="BF63" authorId="0">
      <text>
        <r>
          <rPr>
            <b/>
            <sz val="9"/>
            <color indexed="81"/>
            <rFont val="Tahoma"/>
            <family val="2"/>
          </rPr>
          <t>Fong, Randy:</t>
        </r>
        <r>
          <rPr>
            <sz val="9"/>
            <color indexed="81"/>
            <rFont val="Tahoma"/>
            <family val="2"/>
          </rPr>
          <t xml:space="preserve">
is it 4,551,628 or 4,331,766?</t>
        </r>
      </text>
    </comment>
  </commentList>
</comments>
</file>

<file path=xl/sharedStrings.xml><?xml version="1.0" encoding="utf-8"?>
<sst xmlns="http://schemas.openxmlformats.org/spreadsheetml/2006/main" count="1823" uniqueCount="793">
  <si>
    <t>2013-14</t>
  </si>
  <si>
    <t>R1</t>
  </si>
  <si>
    <t>DOF projection</t>
  </si>
  <si>
    <t>Legislative bill</t>
  </si>
  <si>
    <t>COLA</t>
  </si>
  <si>
    <t>Statewide</t>
  </si>
  <si>
    <t xml:space="preserve">Growth </t>
  </si>
  <si>
    <t>Total Net Gen</t>
  </si>
  <si>
    <t>Computed NetGen</t>
  </si>
  <si>
    <t>Non-Credit</t>
  </si>
  <si>
    <t>CD&amp;CP</t>
  </si>
  <si>
    <t>Rates</t>
  </si>
  <si>
    <t>Credit</t>
  </si>
  <si>
    <t>Statewide Average</t>
  </si>
  <si>
    <t>% Reg. COLA</t>
  </si>
  <si>
    <t>Prop Tax Est.</t>
  </si>
  <si>
    <t>Student Fees</t>
  </si>
  <si>
    <t>Growth</t>
  </si>
  <si>
    <t>$ To Sched 1</t>
  </si>
  <si>
    <t>Available</t>
  </si>
  <si>
    <t>69 Districts</t>
  </si>
  <si>
    <t>need to change to 66 CCDs</t>
  </si>
  <si>
    <t>NC Base Rate</t>
  </si>
  <si>
    <t>NC Grow Rate</t>
  </si>
  <si>
    <t>CDCP Base Rate</t>
  </si>
  <si>
    <t>CDCP Grow Rate</t>
  </si>
  <si>
    <t>CR Base Rate</t>
  </si>
  <si>
    <t>CR Grow Rate</t>
  </si>
  <si>
    <t>Replacement Cost</t>
  </si>
  <si>
    <t>Budget $:</t>
  </si>
  <si>
    <t>$2.364B figure not updated for basic aid yet</t>
  </si>
  <si>
    <t>GF Deficit:</t>
  </si>
  <si>
    <t>2012-13 P2</t>
  </si>
  <si>
    <t>2013-14 R1</t>
  </si>
  <si>
    <t>2012-13 R1 TCR</t>
  </si>
  <si>
    <t>change to newest R1 data</t>
  </si>
  <si>
    <t>Deficit %:</t>
  </si>
  <si>
    <t>Foundation</t>
  </si>
  <si>
    <t>Base</t>
  </si>
  <si>
    <t>Amount</t>
  </si>
  <si>
    <t xml:space="preserve"> </t>
  </si>
  <si>
    <t>Calculations</t>
  </si>
  <si>
    <t>With</t>
  </si>
  <si>
    <t xml:space="preserve">Guarantee </t>
  </si>
  <si>
    <t>CR Base</t>
  </si>
  <si>
    <t>Allocations</t>
  </si>
  <si>
    <t>CR Revenue</t>
  </si>
  <si>
    <t>BaseRev</t>
  </si>
  <si>
    <t>Workload</t>
  </si>
  <si>
    <t>Restoration of</t>
  </si>
  <si>
    <t>Revenue</t>
  </si>
  <si>
    <t>Current Year</t>
  </si>
  <si>
    <t>CDCP</t>
  </si>
  <si>
    <t>Audit</t>
  </si>
  <si>
    <t>Other</t>
  </si>
  <si>
    <t>Grant</t>
  </si>
  <si>
    <t>Compute</t>
  </si>
  <si>
    <t>Revenues</t>
  </si>
  <si>
    <t xml:space="preserve">Available </t>
  </si>
  <si>
    <t>Total</t>
  </si>
  <si>
    <t>$688.743M</t>
  </si>
  <si>
    <t>EPA +</t>
  </si>
  <si>
    <t>Revised</t>
  </si>
  <si>
    <t>Sources</t>
  </si>
  <si>
    <t xml:space="preserve">Excess </t>
  </si>
  <si>
    <t xml:space="preserve">Subsequent </t>
  </si>
  <si>
    <t xml:space="preserve">FT Fac </t>
  </si>
  <si>
    <t>FT Fac</t>
  </si>
  <si>
    <t xml:space="preserve">Special Trustee AB318 </t>
  </si>
  <si>
    <t>$289K categorical - San Francisco</t>
  </si>
  <si>
    <t>DistName</t>
  </si>
  <si>
    <t>Reduction</t>
  </si>
  <si>
    <t>Adjusted Base</t>
  </si>
  <si>
    <t>NC Base</t>
  </si>
  <si>
    <t>CD&amp;CP Base</t>
  </si>
  <si>
    <t>SB 361 Base</t>
  </si>
  <si>
    <t>Guarantee $</t>
  </si>
  <si>
    <t>Guar. Base</t>
  </si>
  <si>
    <t>Per FTES</t>
  </si>
  <si>
    <t>C.O.L.A.</t>
  </si>
  <si>
    <t>Base &amp; COLA</t>
  </si>
  <si>
    <t>per FTES</t>
  </si>
  <si>
    <t>CK'n</t>
  </si>
  <si>
    <t>Restoration</t>
  </si>
  <si>
    <t>PY Declines</t>
  </si>
  <si>
    <t>Regular</t>
  </si>
  <si>
    <t>Deficit</t>
  </si>
  <si>
    <t>Stability</t>
  </si>
  <si>
    <t>Noncredit $</t>
  </si>
  <si>
    <t>Adjustment</t>
  </si>
  <si>
    <t>Adjust 2</t>
  </si>
  <si>
    <t>Adjust 3</t>
  </si>
  <si>
    <t>Adjust (COLA)</t>
  </si>
  <si>
    <t>Computational</t>
  </si>
  <si>
    <t>All Fund Sources w/o Excess</t>
  </si>
  <si>
    <t xml:space="preserve">RDA 5 Yr </t>
  </si>
  <si>
    <t>Fees</t>
  </si>
  <si>
    <t>Property Tax</t>
  </si>
  <si>
    <t>EPA</t>
  </si>
  <si>
    <t>State G.F.</t>
  </si>
  <si>
    <t>$8.583M EPA backfill</t>
  </si>
  <si>
    <t>$44.322M RDA backfill</t>
  </si>
  <si>
    <t>$64.139M RDA backfill</t>
  </si>
  <si>
    <t>Net Gen without backfills</t>
  </si>
  <si>
    <t>deficit analysis</t>
  </si>
  <si>
    <t>Year Base</t>
  </si>
  <si>
    <t>Not Hired</t>
  </si>
  <si>
    <t>$ Adj</t>
  </si>
  <si>
    <t>Restricted Exp.</t>
  </si>
  <si>
    <t>Prop Tax Roll Forward</t>
  </si>
  <si>
    <t>Allan Hancock</t>
  </si>
  <si>
    <t>Antelope Valley</t>
  </si>
  <si>
    <t>Barstow</t>
  </si>
  <si>
    <t>Butte</t>
  </si>
  <si>
    <t>Cabrillo</t>
  </si>
  <si>
    <t>Cerritos</t>
  </si>
  <si>
    <t>Chabot-Las Positas</t>
  </si>
  <si>
    <t>Chaffey</t>
  </si>
  <si>
    <t>Citrus</t>
  </si>
  <si>
    <t>Coast</t>
  </si>
  <si>
    <t>Compton</t>
  </si>
  <si>
    <t>Contra Costa</t>
  </si>
  <si>
    <t>Copper Mt.</t>
  </si>
  <si>
    <t>Desert</t>
  </si>
  <si>
    <t>El Camino</t>
  </si>
  <si>
    <t>Feather River</t>
  </si>
  <si>
    <t>Foothill-DeAnza</t>
  </si>
  <si>
    <t>Gavilan</t>
  </si>
  <si>
    <t>Glendale</t>
  </si>
  <si>
    <t>Grossmont-Cuyamaca</t>
  </si>
  <si>
    <t>Hartnell</t>
  </si>
  <si>
    <t>Imperial</t>
  </si>
  <si>
    <t>Kern</t>
  </si>
  <si>
    <t>Lake Tahoe</t>
  </si>
  <si>
    <t>Lassen</t>
  </si>
  <si>
    <t>Long Beach</t>
  </si>
  <si>
    <t>Los Angeles</t>
  </si>
  <si>
    <t>Los Rios</t>
  </si>
  <si>
    <t>Marin</t>
  </si>
  <si>
    <t>Mendocino-Lake</t>
  </si>
  <si>
    <t>Merced</t>
  </si>
  <si>
    <t>Mira Costa</t>
  </si>
  <si>
    <t>Monterey Peninsula</t>
  </si>
  <si>
    <t>Mt. San Antonio</t>
  </si>
  <si>
    <t>Mt. San Jacinto</t>
  </si>
  <si>
    <t>Napa Valley</t>
  </si>
  <si>
    <t>North Orange County</t>
  </si>
  <si>
    <t>Ohlone</t>
  </si>
  <si>
    <t>Palo Verde</t>
  </si>
  <si>
    <t>Palomar</t>
  </si>
  <si>
    <t>Pasadena Area</t>
  </si>
  <si>
    <t>Peralta</t>
  </si>
  <si>
    <t>Rancho Santiago</t>
  </si>
  <si>
    <t>Redwoods</t>
  </si>
  <si>
    <t>Rio Hondo</t>
  </si>
  <si>
    <t>Riverside</t>
  </si>
  <si>
    <t>San Bernardino</t>
  </si>
  <si>
    <t>San Diego</t>
  </si>
  <si>
    <t>San Francisco</t>
  </si>
  <si>
    <t>San Joaquin Delta</t>
  </si>
  <si>
    <t>San Jose-Evergreen</t>
  </si>
  <si>
    <t>San Luis Obispo</t>
  </si>
  <si>
    <t>San Mateo</t>
  </si>
  <si>
    <t>Santa Barbara</t>
  </si>
  <si>
    <t>Santa Clarita</t>
  </si>
  <si>
    <t>Santa Monica</t>
  </si>
  <si>
    <t>Sequoias</t>
  </si>
  <si>
    <t>Shasta-Tehama-Trinity</t>
  </si>
  <si>
    <t>Sierra</t>
  </si>
  <si>
    <t>Siskiyou</t>
  </si>
  <si>
    <t>Solano</t>
  </si>
  <si>
    <t>Sonoma</t>
  </si>
  <si>
    <t>South Orange</t>
  </si>
  <si>
    <t>Southwestern</t>
  </si>
  <si>
    <t>State Center</t>
  </si>
  <si>
    <t>Ventura</t>
  </si>
  <si>
    <t>Victor Valley</t>
  </si>
  <si>
    <t>West Hills</t>
  </si>
  <si>
    <t>West Kern</t>
  </si>
  <si>
    <t>West Valley-Mission</t>
  </si>
  <si>
    <t>Yosemite</t>
  </si>
  <si>
    <t>Yuba</t>
  </si>
  <si>
    <t>Statewide Total</t>
  </si>
  <si>
    <t>GOAL SEEK:</t>
  </si>
  <si>
    <t>DOF estimate</t>
  </si>
  <si>
    <t>goal seek</t>
  </si>
  <si>
    <t>Base Need $ Amount</t>
  </si>
  <si>
    <t>goal seek to</t>
  </si>
  <si>
    <t>Budget Act Base</t>
  </si>
  <si>
    <t>Total Minus Basic Aid</t>
  </si>
  <si>
    <t>Structural Deficit</t>
  </si>
  <si>
    <t>RDA - R1</t>
  </si>
  <si>
    <t>Procedure for mod fundation grant</t>
  </si>
  <si>
    <t>Revenue Avail.</t>
  </si>
  <si>
    <t>1 update college/center number in Foundation Grant tab</t>
  </si>
  <si>
    <t>Local Rev</t>
  </si>
  <si>
    <t>Budget Act Local Rev</t>
  </si>
  <si>
    <t xml:space="preserve">2 in PBF Run col F apply formular  (e.g.  = 'Foundation Grant'!N26-'Foundation Grant'!$J$1) which is Foundation Grant - added institution unit amount </t>
  </si>
  <si>
    <t>State $ Need</t>
  </si>
  <si>
    <t>Local Rev Shortfall</t>
  </si>
  <si>
    <t>RDA - P2</t>
  </si>
  <si>
    <t>3. in BPF Run col "Other Adj 3"  referring Col: R in "Fundation Grant"</t>
  </si>
  <si>
    <t>BA All for TCR</t>
  </si>
  <si>
    <t>Avail for Growth</t>
  </si>
  <si>
    <t>State GF Shortfall</t>
  </si>
  <si>
    <t>folder</t>
  </si>
  <si>
    <t>I:\PBF\eddie\2012-13\2012-13 Recalc\Funding Model\calculations</t>
  </si>
  <si>
    <t>I:\PBF\eddie\Appropriations - Budgets\2013-14</t>
  </si>
  <si>
    <t>I:\CFFP\Fiscal\Apportionment\eddie\District Adjustments\Ohlone</t>
  </si>
  <si>
    <t>I:\PBF\eddie\2013-14\2013-14 Recalc\Enrollment Fees</t>
  </si>
  <si>
    <t>I:\PBF\eddie\2014-15\2014-15 P1\Property Tax\calculation, preparation</t>
  </si>
  <si>
    <t>file</t>
  </si>
  <si>
    <t>2012-13_R1_PBF 41 (add RDA backfill to shortfall).xls</t>
  </si>
  <si>
    <t>2012-13_R1_PBF 112 (R2 recalc).xls</t>
  </si>
  <si>
    <t>New Budget 2013-14.xls</t>
  </si>
  <si>
    <t>Ohlone FTES adjustments FINAL.xls</t>
  </si>
  <si>
    <t>FY 2013-14 Actual Enrollment Fee Revenue Report review 2014-12-19.xls</t>
  </si>
  <si>
    <t>2014-15 P1 ERAF, property tax (2013-14 R1) v8 as of 2015-02-05</t>
  </si>
  <si>
    <t>tab</t>
  </si>
  <si>
    <t>PBF Run</t>
  </si>
  <si>
    <t>P1</t>
  </si>
  <si>
    <t>detail-shows original liability</t>
  </si>
  <si>
    <t>Summary all 3 Periods</t>
  </si>
  <si>
    <t>4. CCD - 311 (NA)</t>
  </si>
  <si>
    <t>column</t>
  </si>
  <si>
    <t>AF</t>
  </si>
  <si>
    <t>X - AD</t>
  </si>
  <si>
    <t>cell D21 for cell P4</t>
  </si>
  <si>
    <t>U</t>
  </si>
  <si>
    <t>F</t>
  </si>
  <si>
    <t>N</t>
  </si>
  <si>
    <t>input date</t>
  </si>
  <si>
    <t>verification date</t>
  </si>
  <si>
    <t>notes 1</t>
  </si>
  <si>
    <t>DOF 2013-14 funding:
     1.57% COLA
     1.63% Growth</t>
  </si>
  <si>
    <t>Cell P4:  Get figure from budget analysis</t>
  </si>
  <si>
    <t>Still need to revise adjustment based on deficit level.  Currently estimate it at 2%.  See 4/30/13 email authorization.</t>
  </si>
  <si>
    <t>Locked in workload restoration for the 6 CCDs.  Reduced EPA by the same amount.</t>
  </si>
  <si>
    <t>Large reduction for Mira Costa - basic aid CCD - no statewide effect.</t>
  </si>
  <si>
    <t>reduced prop tax for Chabot due to overstated 2012-13.</t>
  </si>
  <si>
    <t>Revised EPA to limit Sierra and West Valley-Mission EPA since it would exceed 100% P1 certification.  (correction:  WVMCCD gets $100/FTES, which exceeds TCR.</t>
  </si>
  <si>
    <t>calculate distribution of backfills based on TCRs for non-basic aid CCDs</t>
  </si>
  <si>
    <t>Goal seeked this column by changing budget shortfall factor.</t>
  </si>
  <si>
    <t>Display $289K categorical split for San Francisco</t>
  </si>
  <si>
    <t>notes 2</t>
  </si>
  <si>
    <t>Use this column to subtract stability and other adjustments</t>
  </si>
  <si>
    <t>Still waiting for San Bernardino's final figures.</t>
  </si>
  <si>
    <t>10/7/14:  Temporarily put in P2 values for EPA.  This will be revised with a formula at R1.</t>
  </si>
  <si>
    <t>Hold back $44.3M for timing of RDA liquidation funds that DOF "loaned" because of the 4/15/14 reporting deadline.</t>
  </si>
  <si>
    <t>Revised formula for basic aid CCDs and SJECCD.
San Jose - Evergreen's $100 EPA guarantee is more than the calculated EPA.  Therefore, SJECCD has excess funds  (5/10/13)</t>
  </si>
  <si>
    <t>notes 3</t>
  </si>
  <si>
    <t>2/5/15:  Revised San Francisco</t>
  </si>
  <si>
    <t>1/15/15:  change back to formula for R1</t>
  </si>
  <si>
    <t>changed</t>
  </si>
  <si>
    <t>A</t>
  </si>
  <si>
    <t>ZZZSTATEWIDE TOTAL</t>
  </si>
  <si>
    <t>zzz</t>
  </si>
  <si>
    <t>2013-2014</t>
  </si>
  <si>
    <t>YUBA</t>
  </si>
  <si>
    <t>290</t>
  </si>
  <si>
    <t>YOSEMITE</t>
  </si>
  <si>
    <t>590</t>
  </si>
  <si>
    <t>WEST VALLEY-MISSION</t>
  </si>
  <si>
    <t>490</t>
  </si>
  <si>
    <t>WEST KERN</t>
  </si>
  <si>
    <t>690</t>
  </si>
  <si>
    <t>WEST HILLS</t>
  </si>
  <si>
    <t>580</t>
  </si>
  <si>
    <t>VICTOR VALLEY</t>
  </si>
  <si>
    <t>990</t>
  </si>
  <si>
    <t>VENTURA</t>
  </si>
  <si>
    <t>680</t>
  </si>
  <si>
    <t>STATE CENTER</t>
  </si>
  <si>
    <t>570</t>
  </si>
  <si>
    <t>SOUTHWESTERN</t>
  </si>
  <si>
    <t>090</t>
  </si>
  <si>
    <t>SOUTH ORANGE</t>
  </si>
  <si>
    <t>890</t>
  </si>
  <si>
    <t>SONOMA</t>
  </si>
  <si>
    <t>260</t>
  </si>
  <si>
    <t>SOLANO</t>
  </si>
  <si>
    <t>280</t>
  </si>
  <si>
    <t>SISKIYOU</t>
  </si>
  <si>
    <t>180</t>
  </si>
  <si>
    <t>SIERRA</t>
  </si>
  <si>
    <t>270</t>
  </si>
  <si>
    <t>SHASTA-TEHAMA-TRINITY</t>
  </si>
  <si>
    <t>170</t>
  </si>
  <si>
    <t>SEQUOIAS</t>
  </si>
  <si>
    <t>560</t>
  </si>
  <si>
    <t>SANTA MONICA</t>
  </si>
  <si>
    <t>780</t>
  </si>
  <si>
    <t>SANTA CLARITA</t>
  </si>
  <si>
    <t>660</t>
  </si>
  <si>
    <t>SANTA BARBARA</t>
  </si>
  <si>
    <t>650</t>
  </si>
  <si>
    <t>SAN MATEO</t>
  </si>
  <si>
    <t>370</t>
  </si>
  <si>
    <t>SAN LUIS OBISPO</t>
  </si>
  <si>
    <t>640</t>
  </si>
  <si>
    <t>SAN JOSE-EVERGREEN</t>
  </si>
  <si>
    <t>470</t>
  </si>
  <si>
    <t>SAN JOAQUIN DELTA</t>
  </si>
  <si>
    <t>550</t>
  </si>
  <si>
    <t>SAN FRANCISCO</t>
  </si>
  <si>
    <t>360</t>
  </si>
  <si>
    <t>SAN DIEGO</t>
  </si>
  <si>
    <t>070</t>
  </si>
  <si>
    <t>SAN BERNARDINO</t>
  </si>
  <si>
    <t>980</t>
  </si>
  <si>
    <t>RIVERSIDE</t>
  </si>
  <si>
    <t>960</t>
  </si>
  <si>
    <t>RIO HONDO</t>
  </si>
  <si>
    <t>880</t>
  </si>
  <si>
    <t>REDWOODS</t>
  </si>
  <si>
    <t>160</t>
  </si>
  <si>
    <t>RANCHO SANTIAGO</t>
  </si>
  <si>
    <t>870</t>
  </si>
  <si>
    <t>PERALTA</t>
  </si>
  <si>
    <t>340</t>
  </si>
  <si>
    <t>PASADENA AREA</t>
  </si>
  <si>
    <t>770</t>
  </si>
  <si>
    <t>PALOMAR</t>
  </si>
  <si>
    <t>060</t>
  </si>
  <si>
    <t>PALO VERDE</t>
  </si>
  <si>
    <t>950</t>
  </si>
  <si>
    <t>OHLONE</t>
  </si>
  <si>
    <t>430</t>
  </si>
  <si>
    <t>NORTH ORANGE COUNTY</t>
  </si>
  <si>
    <t>860</t>
  </si>
  <si>
    <t>NAPA VALLEY</t>
  </si>
  <si>
    <t>240</t>
  </si>
  <si>
    <t>MT. SAN JACINTO</t>
  </si>
  <si>
    <t>940</t>
  </si>
  <si>
    <t>MT. SAN ANTONIO</t>
  </si>
  <si>
    <t>850</t>
  </si>
  <si>
    <t>MONTEREY PENINSULA</t>
  </si>
  <si>
    <t>460</t>
  </si>
  <si>
    <t>MIRACOSTA</t>
  </si>
  <si>
    <t>050</t>
  </si>
  <si>
    <t>MERCED</t>
  </si>
  <si>
    <t>530</t>
  </si>
  <si>
    <t>MENDOCINO-LAKE</t>
  </si>
  <si>
    <t>140</t>
  </si>
  <si>
    <t>MARIN</t>
  </si>
  <si>
    <t>330</t>
  </si>
  <si>
    <t>LOS RIOS</t>
  </si>
  <si>
    <t>230</t>
  </si>
  <si>
    <t>LOS ANGELES</t>
  </si>
  <si>
    <t>740</t>
  </si>
  <si>
    <t>LONG BEACH</t>
  </si>
  <si>
    <t>840</t>
  </si>
  <si>
    <t>LASSEN</t>
  </si>
  <si>
    <t>130</t>
  </si>
  <si>
    <t>LAKE TAHOE</t>
  </si>
  <si>
    <t>220</t>
  </si>
  <si>
    <t>KERN</t>
  </si>
  <si>
    <t>520</t>
  </si>
  <si>
    <t>IMPERIAL</t>
  </si>
  <si>
    <t>030</t>
  </si>
  <si>
    <t>HARTNELL</t>
  </si>
  <si>
    <t>450</t>
  </si>
  <si>
    <t>GROSSMONT-CUYAMACA</t>
  </si>
  <si>
    <t>020</t>
  </si>
  <si>
    <t>GLENDALE</t>
  </si>
  <si>
    <t>730</t>
  </si>
  <si>
    <t>GAVILAN</t>
  </si>
  <si>
    <t>440</t>
  </si>
  <si>
    <t>FOOTHILL-DEANZA</t>
  </si>
  <si>
    <t>420</t>
  </si>
  <si>
    <t>FEATHER RIVER</t>
  </si>
  <si>
    <t>120</t>
  </si>
  <si>
    <t>EL CAMINO</t>
  </si>
  <si>
    <t>720</t>
  </si>
  <si>
    <t>DESERT</t>
  </si>
  <si>
    <t>930</t>
  </si>
  <si>
    <t>COPPER MT.</t>
  </si>
  <si>
    <t>970</t>
  </si>
  <si>
    <t>CONTRA COSTA</t>
  </si>
  <si>
    <t>310</t>
  </si>
  <si>
    <t>COMPTON</t>
  </si>
  <si>
    <t>710</t>
  </si>
  <si>
    <t>COAST</t>
  </si>
  <si>
    <t>830</t>
  </si>
  <si>
    <t>CITRUS</t>
  </si>
  <si>
    <t>820</t>
  </si>
  <si>
    <t>CHAFFEY</t>
  </si>
  <si>
    <t>920</t>
  </si>
  <si>
    <t>CHABOT-LAS POSITAS</t>
  </si>
  <si>
    <t>480</t>
  </si>
  <si>
    <t>CERRITOS</t>
  </si>
  <si>
    <t>810</t>
  </si>
  <si>
    <t>CABRILLO</t>
  </si>
  <si>
    <t>410</t>
  </si>
  <si>
    <t>BUTTE</t>
  </si>
  <si>
    <t>110</t>
  </si>
  <si>
    <t>BARSTOW</t>
  </si>
  <si>
    <t>910</t>
  </si>
  <si>
    <t>ANTELOPE VALLEY</t>
  </si>
  <si>
    <t>620</t>
  </si>
  <si>
    <t>ALLAN HANCOCK</t>
  </si>
  <si>
    <t>610</t>
  </si>
  <si>
    <t>P2</t>
  </si>
  <si>
    <t>0910WkldRstTotal</t>
  </si>
  <si>
    <t>0910WkldRstCDCP</t>
  </si>
  <si>
    <t>0910WkldRstNCr</t>
  </si>
  <si>
    <t>0910WkldRstCr</t>
  </si>
  <si>
    <t>AvailRev</t>
  </si>
  <si>
    <t>PYWkldRst</t>
  </si>
  <si>
    <t>WorkldRst</t>
  </si>
  <si>
    <t>BsRvb4Rd</t>
  </si>
  <si>
    <t>AB318</t>
  </si>
  <si>
    <t>TotalAdj</t>
  </si>
  <si>
    <t>CDCPAdj</t>
  </si>
  <si>
    <t>NcAdj</t>
  </si>
  <si>
    <t>CrAdj</t>
  </si>
  <si>
    <t>GwthEligibility</t>
  </si>
  <si>
    <t>Wkld_Reduction</t>
  </si>
  <si>
    <t>RvTotal</t>
  </si>
  <si>
    <t>RvCDCP</t>
  </si>
  <si>
    <t>RvNc</t>
  </si>
  <si>
    <t>RvCr</t>
  </si>
  <si>
    <t>RdTotal</t>
  </si>
  <si>
    <t>RdCDCP</t>
  </si>
  <si>
    <t>RdNc</t>
  </si>
  <si>
    <t>RdCr</t>
  </si>
  <si>
    <t>UnfundedTotal</t>
  </si>
  <si>
    <t>UnfundedCDCP</t>
  </si>
  <si>
    <t>UnfundedNC</t>
  </si>
  <si>
    <t>UnfundedCr</t>
  </si>
  <si>
    <t>SGcThreshHd</t>
  </si>
  <si>
    <t>SMGcThreshHd</t>
  </si>
  <si>
    <t>MGcThreshHd</t>
  </si>
  <si>
    <t>MLGcThreshHd</t>
  </si>
  <si>
    <t>LGcThreshHd</t>
  </si>
  <si>
    <t>SCThreshHd</t>
  </si>
  <si>
    <t>MCThreshHd</t>
  </si>
  <si>
    <t>LCThreshHd</t>
  </si>
  <si>
    <t>CDCPApv</t>
  </si>
  <si>
    <t>RuralCtr</t>
  </si>
  <si>
    <t>CtrS</t>
  </si>
  <si>
    <t>CtrSM</t>
  </si>
  <si>
    <t>CtrM</t>
  </si>
  <si>
    <t>CtrML</t>
  </si>
  <si>
    <t>CtrL</t>
  </si>
  <si>
    <t>MultS</t>
  </si>
  <si>
    <t>MultM</t>
  </si>
  <si>
    <t>MultL</t>
  </si>
  <si>
    <t>SingleS</t>
  </si>
  <si>
    <t>SingleM</t>
  </si>
  <si>
    <t>SingleL</t>
  </si>
  <si>
    <t>FG_CPEC ApprovedCenters</t>
  </si>
  <si>
    <t>FG_RuralGrant Cnt</t>
  </si>
  <si>
    <t>FG_FoundationGrant</t>
  </si>
  <si>
    <t>FG_Single /Multi</t>
  </si>
  <si>
    <t>FG_# ofCenters</t>
  </si>
  <si>
    <t>FG_SmallCenters</t>
  </si>
  <si>
    <t>FG_Small Med Centers</t>
  </si>
  <si>
    <t>FG_MediumCenters</t>
  </si>
  <si>
    <t>FG_Med LargeCenters</t>
  </si>
  <si>
    <t>FG_LargeCenters</t>
  </si>
  <si>
    <t>M_FG_# ofColleges</t>
  </si>
  <si>
    <t>M_FG_SmallColleges</t>
  </si>
  <si>
    <t>M_FG_MediumColleges</t>
  </si>
  <si>
    <t>M_FG_LargeColleges</t>
  </si>
  <si>
    <t>S_FG_# ofColleges</t>
  </si>
  <si>
    <t>S_FG_SmallColleges</t>
  </si>
  <si>
    <t>S_FG_MediumColleges</t>
  </si>
  <si>
    <t>S_FG_LargeColleges</t>
  </si>
  <si>
    <t>GrwthDeficitFactor</t>
  </si>
  <si>
    <t>X_Total</t>
  </si>
  <si>
    <t>X_Year1</t>
  </si>
  <si>
    <t>X_Year2</t>
  </si>
  <si>
    <t>X_Year3</t>
  </si>
  <si>
    <t>IX_NetStateGen</t>
  </si>
  <si>
    <t>IX_ReplacementCost</t>
  </si>
  <si>
    <t>IX_NumFacNotHired</t>
  </si>
  <si>
    <t>IX_FTFacAdj</t>
  </si>
  <si>
    <t>IX_GenFund</t>
  </si>
  <si>
    <t>VIII_GenFundAvailable</t>
  </si>
  <si>
    <t>VIII_EnrollFee</t>
  </si>
  <si>
    <t>VIII_Ptax</t>
  </si>
  <si>
    <t>VIII_GenFundAvailable_net</t>
  </si>
  <si>
    <t>III_First_Year_Center</t>
  </si>
  <si>
    <t>VIII_Ptax_Excess</t>
  </si>
  <si>
    <t>VII_GenFundAvailable</t>
  </si>
  <si>
    <t>VII_DeficitRevenue</t>
  </si>
  <si>
    <t>VII_DeficitFactor</t>
  </si>
  <si>
    <t>VII_TCRCy</t>
  </si>
  <si>
    <t>VI_Stability</t>
  </si>
  <si>
    <t>V_AdjTotal</t>
  </si>
  <si>
    <t>V_OtherAdj3</t>
  </si>
  <si>
    <t>V_FundationGrandAdj</t>
  </si>
  <si>
    <t>V_OtherAdj2</t>
  </si>
  <si>
    <t>V_AuditAdj</t>
  </si>
  <si>
    <t>IV_GrowthRevTotal</t>
  </si>
  <si>
    <t>IV_ActualGwCDCP</t>
  </si>
  <si>
    <t>IV_ActualGwNC</t>
  </si>
  <si>
    <t>IV_ActualGwCr</t>
  </si>
  <si>
    <t>IV_UnfundedGrowthTotal</t>
  </si>
  <si>
    <t>IV_ActualGrowthTotal</t>
  </si>
  <si>
    <t>IV_AdjGwCap</t>
  </si>
  <si>
    <t>IV_UnadjGwCap</t>
  </si>
  <si>
    <t>IV_UnadjGwRateCap</t>
  </si>
  <si>
    <t>III_RestorationTotal</t>
  </si>
  <si>
    <t>III_Restoration</t>
  </si>
  <si>
    <t>III_BaseAlloAdj</t>
  </si>
  <si>
    <t>II_BaseCOLA</t>
  </si>
  <si>
    <t>II_COLA</t>
  </si>
  <si>
    <t>II_COLApct</t>
  </si>
  <si>
    <t>I_TTRevLessDecline</t>
  </si>
  <si>
    <t>I_CYDecline</t>
  </si>
  <si>
    <t>I_BaseCDCPRev</t>
  </si>
  <si>
    <t>I_BaseNCRev</t>
  </si>
  <si>
    <t>I_BaseCrRev</t>
  </si>
  <si>
    <t>I_BaseRev</t>
  </si>
  <si>
    <t>I_FoundationGrant</t>
  </si>
  <si>
    <t>FundedTotal</t>
  </si>
  <si>
    <t>ActualTotal</t>
  </si>
  <si>
    <t>DcTotal</t>
  </si>
  <si>
    <t>GrTotal</t>
  </si>
  <si>
    <t>RstTotal</t>
  </si>
  <si>
    <t>BaseTotal</t>
  </si>
  <si>
    <t>FundedCDCP</t>
  </si>
  <si>
    <t>FundedNC</t>
  </si>
  <si>
    <t>FundedCr</t>
  </si>
  <si>
    <t>ActualCDCP</t>
  </si>
  <si>
    <t>DcCDCP</t>
  </si>
  <si>
    <t>GrCDCP</t>
  </si>
  <si>
    <t>RstCDCP</t>
  </si>
  <si>
    <t>BaseCDCP</t>
  </si>
  <si>
    <t>ActualNC</t>
  </si>
  <si>
    <t>DcNC</t>
  </si>
  <si>
    <t>GrNC</t>
  </si>
  <si>
    <t>RstNC</t>
  </si>
  <si>
    <t>BaseNC</t>
  </si>
  <si>
    <t>ActualCr</t>
  </si>
  <si>
    <t>DcCr</t>
  </si>
  <si>
    <t>GrCr</t>
  </si>
  <si>
    <t>RstCr</t>
  </si>
  <si>
    <t>BaseCr</t>
  </si>
  <si>
    <t>CDCPGrowthRate</t>
  </si>
  <si>
    <t>CDCPBaseRate</t>
  </si>
  <si>
    <t>NCGrowthRate</t>
  </si>
  <si>
    <t>NCBaseRate</t>
  </si>
  <si>
    <t>CrGrowthRate</t>
  </si>
  <si>
    <t>CrBaseRate</t>
  </si>
  <si>
    <t>DistCode</t>
  </si>
  <si>
    <t>Period</t>
  </si>
  <si>
    <t>Fyear</t>
  </si>
  <si>
    <t>District</t>
  </si>
  <si>
    <t>2013-14 Workload Increase</t>
  </si>
  <si>
    <t>2014-15 Workload Increase</t>
  </si>
  <si>
    <t>Foothill-Deanza</t>
  </si>
  <si>
    <t>Miracosta</t>
  </si>
  <si>
    <t>Credit Growth Rate</t>
  </si>
  <si>
    <t>Nc Growht Rate</t>
  </si>
  <si>
    <t>CDCP Growth Rate</t>
  </si>
  <si>
    <t>Funded</t>
  </si>
  <si>
    <t>FTES</t>
  </si>
  <si>
    <t>Calcs</t>
  </si>
  <si>
    <t>for</t>
  </si>
  <si>
    <t>Determinations By Type</t>
  </si>
  <si>
    <t>Unfunded Dollar</t>
  </si>
  <si>
    <t>Conformation Check for FTES Adjustments of Exhibit C</t>
  </si>
  <si>
    <t>Revised Base</t>
  </si>
  <si>
    <t>Actuals</t>
  </si>
  <si>
    <t>Stability Restored</t>
  </si>
  <si>
    <t xml:space="preserve">Workload Restored </t>
  </si>
  <si>
    <t>FTES Rates</t>
  </si>
  <si>
    <t>Unfunded</t>
  </si>
  <si>
    <t>Check</t>
  </si>
  <si>
    <t>against Funded</t>
  </si>
  <si>
    <t>against Actual and Unfunded</t>
  </si>
  <si>
    <t>Revenue Ck</t>
  </si>
  <si>
    <t>Actual</t>
  </si>
  <si>
    <t>Restored</t>
  </si>
  <si>
    <t>Workload Restored</t>
  </si>
  <si>
    <t>Category</t>
  </si>
  <si>
    <t>Noncredit</t>
  </si>
  <si>
    <t>NonCr</t>
  </si>
  <si>
    <t>Unfund FTES Enough to Be Offset</t>
  </si>
  <si>
    <t>Cr Adjust FTES</t>
  </si>
  <si>
    <t>Cr offset$</t>
  </si>
  <si>
    <t>$ Left for Cr</t>
  </si>
  <si>
    <t>NonCr Adjsut FTES</t>
  </si>
  <si>
    <t>NCr offset$</t>
  </si>
  <si>
    <t>$ Left for NonCr</t>
  </si>
  <si>
    <t>CDCP Adjust FTES</t>
  </si>
  <si>
    <t>CDCP offset$</t>
  </si>
  <si>
    <t>Credit $</t>
  </si>
  <si>
    <t>NonCredit $</t>
  </si>
  <si>
    <t>CDCP $</t>
  </si>
  <si>
    <t>NonCredit</t>
  </si>
  <si>
    <t>from WR+ tab</t>
  </si>
  <si>
    <t>difference</t>
  </si>
  <si>
    <t>FineTune</t>
  </si>
  <si>
    <t xml:space="preserve">Credit </t>
  </si>
  <si>
    <t>Cr</t>
  </si>
  <si>
    <t>NC</t>
  </si>
  <si>
    <t>Guarantee</t>
  </si>
  <si>
    <t>TCR</t>
  </si>
  <si>
    <t>Ck'n</t>
  </si>
  <si>
    <t>Chino - What's this for?</t>
  </si>
  <si>
    <t>Stability Rst is based on 13-14 $86M Col:N</t>
  </si>
  <si>
    <t>2014-2015</t>
  </si>
  <si>
    <t>VIII_AvailableRev</t>
  </si>
  <si>
    <t>COPPER MOUNTAIN</t>
  </si>
  <si>
    <t>MIRA COSTA</t>
  </si>
  <si>
    <t>MONTEREY</t>
  </si>
  <si>
    <t>NORTH ORANGE</t>
  </si>
  <si>
    <t>PASADENA</t>
  </si>
  <si>
    <t>SISKIYOUS</t>
  </si>
  <si>
    <t>Unemployed Adults</t>
  </si>
  <si>
    <t>TOTAL</t>
  </si>
  <si>
    <t>Poverty</t>
  </si>
  <si>
    <t>Need for Access</t>
  </si>
  <si>
    <t>Current Access</t>
  </si>
  <si>
    <t>Difference</t>
  </si>
  <si>
    <t>Only Positive Need</t>
  </si>
  <si>
    <t>Weighted
Growth Rate</t>
  </si>
  <si>
    <t>49.9% on Access</t>
  </si>
  <si>
    <t>Unconstrained Additional</t>
  </si>
  <si>
    <t>Constrained Additional</t>
  </si>
  <si>
    <t xml:space="preserve">Restoration Eligible in the </t>
  </si>
  <si>
    <t xml:space="preserve">Restoration Eligibility Calculations </t>
  </si>
  <si>
    <t>3 years following Stability</t>
  </si>
  <si>
    <t>COLA  Adjustments initiated with 2006-07 Restoration totals; applied only to 2005-06 stability</t>
  </si>
  <si>
    <t>2009-10</t>
  </si>
  <si>
    <t>2010-11</t>
  </si>
  <si>
    <t>2011-12</t>
  </si>
  <si>
    <t>SAVE UPDATED COPY WITH EACH APPORTIONMENT!!</t>
  </si>
  <si>
    <t>Not Yet Incorporated</t>
  </si>
  <si>
    <t>Contra Costa CCD based on preliminary CCD calculations</t>
  </si>
  <si>
    <t>need to re-evaluate Desert eligibility - did it get rebenched?  Hold off on rebenching.  Therefore, hold off on acknowledging any eligibility - 2/3/15)</t>
  </si>
  <si>
    <t>Desert eligibility - it got rebenched - $951K.  Hold off on reversing any rebenching.  Therefore, hold off on acknowledging any eligibility - 2/3/15)</t>
  </si>
  <si>
    <t>Compton (AB-318)</t>
  </si>
  <si>
    <t>Compton (Title 5)</t>
  </si>
  <si>
    <t>Used This Value</t>
  </si>
  <si>
    <t>After 0.85% COLA</t>
  </si>
  <si>
    <t xml:space="preserve">District </t>
  </si>
  <si>
    <t>2000-01 Stability</t>
  </si>
  <si>
    <t>2001-02 Stability</t>
  </si>
  <si>
    <t>2002-03 Stability</t>
  </si>
  <si>
    <t>2003-04 Stability</t>
  </si>
  <si>
    <t>2003-04</t>
  </si>
  <si>
    <t>2004-05 Stability</t>
  </si>
  <si>
    <t>2004-05</t>
  </si>
  <si>
    <t>2005-06 Stability</t>
  </si>
  <si>
    <t>2005-06 Stability Credit FTES</t>
  </si>
  <si>
    <t>2005-06 Stability Noncredit FTES</t>
  </si>
  <si>
    <t>2005-06 with COLA Adj only</t>
  </si>
  <si>
    <t>2005-06 - Updated for FTES Adj from 2005-06 to 2006-07</t>
  </si>
  <si>
    <t>Restoration Eligibility for 2006-07</t>
  </si>
  <si>
    <t>2006-07 Restoration</t>
  </si>
  <si>
    <t>Remaining Restoration Eligibility</t>
  </si>
  <si>
    <t>2005-06</t>
  </si>
  <si>
    <t>2006-07 Stability</t>
  </si>
  <si>
    <t>2006-07</t>
  </si>
  <si>
    <t>Restoration Eligibility for 2007-08</t>
  </si>
  <si>
    <t>2007-08 Restoration</t>
  </si>
  <si>
    <t>2007-08 Stability</t>
  </si>
  <si>
    <t>2007-08</t>
  </si>
  <si>
    <t>Restoration Eligibility for 2008-09</t>
  </si>
  <si>
    <t>2008-09 Restoration</t>
  </si>
  <si>
    <t>2008-09 Stability</t>
  </si>
  <si>
    <t>2008-09</t>
  </si>
  <si>
    <t>Restoration Eligibility for 2009-010</t>
  </si>
  <si>
    <t>2009-10 Restoration (as of Mar 2011)</t>
  </si>
  <si>
    <t>2009-10 Stability</t>
  </si>
  <si>
    <t>Restoration Eligibility for 2010-11</t>
  </si>
  <si>
    <t>2010-11 Restoration Per R1</t>
  </si>
  <si>
    <t>2008-09 Carryover</t>
  </si>
  <si>
    <t>2009-10 Carryover</t>
  </si>
  <si>
    <t>2010-11 Stability</t>
  </si>
  <si>
    <t>Restoration Eligibility for 2011-12</t>
  </si>
  <si>
    <t>2011-12 Restoration</t>
  </si>
  <si>
    <t>2010-11 Carryover</t>
  </si>
  <si>
    <t>2011-12 Stability</t>
  </si>
  <si>
    <t>Restoration Eligibility for 2012-13</t>
  </si>
  <si>
    <t>2012-13 Restoration Per R1</t>
  </si>
  <si>
    <t>2011-12 Carryover</t>
  </si>
  <si>
    <t>2012-13 Stability</t>
  </si>
  <si>
    <t>Restoration Eligibility for 2013-14 P1 before COLA</t>
  </si>
  <si>
    <t>Restoration Eligibility for 2013-14 P1 after COLA</t>
  </si>
  <si>
    <t>2013-14 Restoration Per R1</t>
  </si>
  <si>
    <t>2012-13 Carryover</t>
  </si>
  <si>
    <t>2013-14 Stability</t>
  </si>
  <si>
    <t>Restoration Eligibility for 2014-15 P1 before COLA</t>
  </si>
  <si>
    <t>Restoration Eligibility for 2014-15 P1 after COLA</t>
  </si>
  <si>
    <t>2014-15 Restoration Per P1</t>
  </si>
  <si>
    <t>OK</t>
  </si>
  <si>
    <t>Siskiyous</t>
  </si>
  <si>
    <t>Santa Clarita restoration</t>
  </si>
  <si>
    <t xml:space="preserve">authorized as part of the </t>
  </si>
  <si>
    <t>recalculation and repayment</t>
  </si>
  <si>
    <t xml:space="preserve">agreement between CCCCO </t>
  </si>
  <si>
    <t>the district to resolve the issue</t>
  </si>
  <si>
    <t xml:space="preserve">of inapporpriately claimed </t>
  </si>
  <si>
    <t>FTES in its ISA program</t>
  </si>
  <si>
    <t>I:\PBF\eddie\2012-13\2012-13 Recalc 3 Apr\Funding Model (need to change Lassen's adjustment to 57,307)</t>
  </si>
  <si>
    <t>I:\PBF\eddie\2013-14\2013-14 Recalc\Funding Model\calculations</t>
  </si>
  <si>
    <t>2012-13_R1_PBF 12 (remove extra columns from 12-13 def grow EPA 3).xls</t>
  </si>
  <si>
    <t>2013-14_R1_PBF 25 (Net Gens after SF, FON)</t>
  </si>
  <si>
    <t>As of 12-13 R1</t>
  </si>
  <si>
    <t>BM</t>
  </si>
  <si>
    <t>X</t>
  </si>
  <si>
    <t>T</t>
  </si>
  <si>
    <t>notes</t>
  </si>
  <si>
    <t>Updated Foothill DeAnza restoration.</t>
  </si>
  <si>
    <t>Updated 2011-12 R1 stability</t>
  </si>
  <si>
    <t>3 years of stability restoration eligibility for 2012-13.  It's linked to column B of the "Restoration and Growth" tab.</t>
  </si>
  <si>
    <t>Updated 2010-11 R1 stability</t>
  </si>
  <si>
    <t>Updated 2012-13 R1 stability</t>
  </si>
  <si>
    <t>Updated 2011-12 stability</t>
  </si>
  <si>
    <t>Updated 2012-13 P2 stability</t>
  </si>
  <si>
    <t>Updated 2013-14 R1 stability. San Francisco is in 2nd year of guaranteed base, so no 2013-14 R1 stability carried over as eligibility.</t>
  </si>
  <si>
    <t>notes - verification data</t>
  </si>
  <si>
    <t>Restoration eligibility caused by 2011-12 R1 stability</t>
  </si>
  <si>
    <t>There's no 2009-10 stability eligibility so nothing dropped off for 2013-14.</t>
  </si>
  <si>
    <t>Some College or Less</t>
  </si>
  <si>
    <t>Adults w/o College Attainment</t>
  </si>
  <si>
    <t>2015-16 Restoration
Availability</t>
  </si>
  <si>
    <t>Households Below the Poverty Line</t>
  </si>
  <si>
    <t>Targeted Growth</t>
  </si>
  <si>
    <t>50.1%  Unmet Need</t>
  </si>
  <si>
    <t>Targeted Growth Rate</t>
  </si>
  <si>
    <t>Constrained Targeted Growth Rate</t>
  </si>
  <si>
    <t>Constrained Targeted Growth</t>
  </si>
  <si>
    <t>Minimum 1%</t>
  </si>
  <si>
    <t>Long Beach Breakdown by Column</t>
  </si>
  <si>
    <r>
      <rPr>
        <b/>
        <sz val="10"/>
        <rFont val="Arial"/>
        <family val="2"/>
      </rPr>
      <t>Column C</t>
    </r>
    <r>
      <rPr>
        <sz val="10"/>
        <rFont val="Arial"/>
        <family val="2"/>
      </rPr>
      <t xml:space="preserve"> = 2013-14 Growth at Recalc</t>
    </r>
  </si>
  <si>
    <r>
      <rPr>
        <b/>
        <sz val="10"/>
        <rFont val="Arial"/>
        <family val="2"/>
      </rPr>
      <t>Column D</t>
    </r>
    <r>
      <rPr>
        <sz val="10"/>
        <rFont val="Arial"/>
        <family val="2"/>
      </rPr>
      <t xml:space="preserve"> = 2014-15 Growth at P-1 in April</t>
    </r>
  </si>
  <si>
    <r>
      <rPr>
        <b/>
        <sz val="10"/>
        <rFont val="Arial"/>
        <family val="2"/>
      </rPr>
      <t>Column G</t>
    </r>
    <r>
      <rPr>
        <sz val="10"/>
        <rFont val="Arial"/>
        <family val="2"/>
      </rPr>
      <t xml:space="preserve"> - Adults w/o College Attainment</t>
    </r>
  </si>
  <si>
    <t xml:space="preserve">   Long Beach Counts</t>
  </si>
  <si>
    <t xml:space="preserve">   Statewide Counts</t>
  </si>
  <si>
    <t>Long Beach Percentage</t>
  </si>
  <si>
    <r>
      <rPr>
        <b/>
        <sz val="10"/>
        <rFont val="Arial"/>
        <family val="2"/>
      </rPr>
      <t>Column H</t>
    </r>
    <r>
      <rPr>
        <sz val="10"/>
        <rFont val="Arial"/>
        <family val="2"/>
      </rPr>
      <t xml:space="preserve"> - Unemployed Adults</t>
    </r>
  </si>
  <si>
    <r>
      <t xml:space="preserve">Column I </t>
    </r>
    <r>
      <rPr>
        <sz val="10"/>
        <rFont val="Arial"/>
        <family val="2"/>
      </rPr>
      <t>- Households below Poverty</t>
    </r>
  </si>
  <si>
    <r>
      <t>Column J</t>
    </r>
    <r>
      <rPr>
        <sz val="10"/>
        <rFont val="Arial"/>
        <family val="2"/>
      </rPr>
      <t xml:space="preserve"> - Need for Access</t>
    </r>
  </si>
  <si>
    <t xml:space="preserve">   Unemployed Adults at 25%</t>
  </si>
  <si>
    <t xml:space="preserve">   Households below Poverty Line at 25%</t>
  </si>
  <si>
    <t xml:space="preserve">   Adults w/o College Attainment at 50%</t>
  </si>
  <si>
    <r>
      <t>Column K</t>
    </r>
    <r>
      <rPr>
        <sz val="10"/>
        <rFont val="Arial"/>
        <family val="2"/>
      </rPr>
      <t xml:space="preserve"> - Current Access</t>
    </r>
  </si>
  <si>
    <t xml:space="preserve">   2014-15 Base Revenue from P-1</t>
  </si>
  <si>
    <t>State</t>
  </si>
  <si>
    <t xml:space="preserve">   2014-15 Decline</t>
  </si>
  <si>
    <t xml:space="preserve">   2014-15 Restoration</t>
  </si>
  <si>
    <t xml:space="preserve">   2014-15 Growth</t>
  </si>
  <si>
    <r>
      <t>Column L</t>
    </r>
    <r>
      <rPr>
        <sz val="10"/>
        <rFont val="Arial"/>
        <family val="2"/>
      </rPr>
      <t xml:space="preserve"> - Difference</t>
    </r>
  </si>
  <si>
    <t xml:space="preserve">   Need for Access</t>
  </si>
  <si>
    <t xml:space="preserve">   Current Access</t>
  </si>
  <si>
    <t>Long Beach Total</t>
  </si>
  <si>
    <r>
      <t>Column O</t>
    </r>
    <r>
      <rPr>
        <sz val="10"/>
        <rFont val="Arial"/>
        <family val="2"/>
      </rPr>
      <t xml:space="preserve"> - 49.9% on Access</t>
    </r>
  </si>
  <si>
    <t>Total Current Access</t>
  </si>
  <si>
    <t xml:space="preserve">   Current Access Total</t>
  </si>
  <si>
    <t xml:space="preserve">   Statewide Growth % (assume 3%) times .499</t>
  </si>
  <si>
    <t>Column P - 50.1% Unmet Need</t>
  </si>
  <si>
    <t xml:space="preserve">   Only Positive Need from Column M if L is &gt;0</t>
  </si>
  <si>
    <t xml:space="preserve">   Divided by Total Positve Need (Line M74)</t>
  </si>
  <si>
    <t xml:space="preserve">   Times Total Unmet Need (Line P74)</t>
  </si>
  <si>
    <r>
      <t xml:space="preserve">   Total of Unmet Need Dollar Amount = Statewide Growth % (assume 3%) times .511 or </t>
    </r>
    <r>
      <rPr>
        <b/>
        <sz val="10"/>
        <rFont val="Arial"/>
        <family val="2"/>
      </rPr>
      <t>1.503%</t>
    </r>
  </si>
  <si>
    <t xml:space="preserve">   49.9% Access   plus</t>
  </si>
  <si>
    <t xml:space="preserve">   50.1 Unmet Need</t>
  </si>
  <si>
    <t>Column R - Targeted Growth Rate</t>
  </si>
  <si>
    <t xml:space="preserve">   2013-14 Growth Amount</t>
  </si>
  <si>
    <t xml:space="preserve">   Weighted Measure = 25%</t>
  </si>
  <si>
    <t xml:space="preserve">   2014-15 Growth Amount</t>
  </si>
  <si>
    <t xml:space="preserve">   Targeted Growth (Column Q)</t>
  </si>
  <si>
    <t xml:space="preserve">   Weighted Measure = 50%</t>
  </si>
  <si>
    <t xml:space="preserve">   Less: Restoration</t>
  </si>
  <si>
    <t>Column U - Minimum 1%</t>
  </si>
  <si>
    <t xml:space="preserve">   Current Access Dollar Amount</t>
  </si>
  <si>
    <t xml:space="preserve">   Times 1%</t>
  </si>
  <si>
    <t>Column Q - Targeted Growth</t>
  </si>
  <si>
    <t>Column V - Unconstrained Additional</t>
  </si>
  <si>
    <t xml:space="preserve">   Weighted Growth Rate (Column T)</t>
  </si>
  <si>
    <t>Column T - Targeted Growth Rate</t>
  </si>
  <si>
    <t xml:space="preserve">   Less: Minimum 1% Amount (Column U)</t>
  </si>
  <si>
    <t>Column W - Constrained Additional</t>
  </si>
  <si>
    <t xml:space="preserve">   Unconstrained Amount (Column V)</t>
  </si>
  <si>
    <t xml:space="preserve">   Divided by: Total Unconstrained Amount (V74)</t>
  </si>
  <si>
    <t xml:space="preserve">        Times</t>
  </si>
  <si>
    <t xml:space="preserve">   Total Targeted Growth (Q74)</t>
  </si>
  <si>
    <t xml:space="preserve">   Less: Minimum Growth Total (U74)</t>
  </si>
  <si>
    <t>Column X - Constrained Targeted Growth</t>
  </si>
  <si>
    <t xml:space="preserve">   Minimum 1% Amount (Column U)</t>
  </si>
  <si>
    <t xml:space="preserve">   Plus: Constrained Additional Amount (Column W)</t>
  </si>
  <si>
    <t>Column Y - Constrained Target Growth Rate</t>
  </si>
  <si>
    <t xml:space="preserve">   Constrained Targeted Growth Amount (Column X)</t>
  </si>
  <si>
    <t xml:space="preserve">   Divided By: Current Access Amount</t>
  </si>
  <si>
    <t xml:space="preserve">   Targeted Growth Amount (Column Q)</t>
  </si>
  <si>
    <t xml:space="preserve">   Divided by: Current Access Amount</t>
  </si>
</sst>
</file>

<file path=xl/styles.xml><?xml version="1.0" encoding="utf-8"?>
<styleSheet xmlns="http://schemas.openxmlformats.org/spreadsheetml/2006/main">
  <numFmts count="34">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0000"/>
    <numFmt numFmtId="166" formatCode="&quot;$&quot;#,##0.00"/>
    <numFmt numFmtId="167" formatCode="_(* #,##0.00000000_);_(* \(#,##0.00000000\);_(* &quot;-&quot;??_);_(@_)"/>
    <numFmt numFmtId="168" formatCode="_(* #,##0_);_(* \(#,##0\);_(* &quot;-&quot;??_);_(@_)"/>
    <numFmt numFmtId="169" formatCode="0.000000%"/>
    <numFmt numFmtId="170" formatCode="0.0000%"/>
    <numFmt numFmtId="171" formatCode="0.0000000000000000"/>
    <numFmt numFmtId="172" formatCode="0.000000000%"/>
    <numFmt numFmtId="173" formatCode="#,##0.00000000"/>
    <numFmt numFmtId="174" formatCode="_(&quot;$&quot;* #,##0_);_(&quot;$&quot;* \(#,##0\);_(&quot;$&quot;* &quot;-&quot;??_);_(@_)"/>
    <numFmt numFmtId="175" formatCode="0.00000000000000%"/>
    <numFmt numFmtId="176" formatCode="&quot;$&quot;#,##0.0000000000"/>
    <numFmt numFmtId="177" formatCode="_(* #,##0.0000000_);_(* \(#,##0.0000000\);_(* &quot;-&quot;??_);_(@_)"/>
    <numFmt numFmtId="178" formatCode="0.0000000000%"/>
    <numFmt numFmtId="179" formatCode="0.000000000000000"/>
    <numFmt numFmtId="180" formatCode="m/d/yy;@"/>
    <numFmt numFmtId="181" formatCode="0.000000"/>
    <numFmt numFmtId="182" formatCode="0.00_);\(0.00\)"/>
    <numFmt numFmtId="183" formatCode="#,##0.000"/>
    <numFmt numFmtId="184" formatCode="#,##0.000_);[Red]\(#,##0.000\)"/>
    <numFmt numFmtId="185" formatCode="0.00_);[Red]\(0.00\)"/>
    <numFmt numFmtId="186" formatCode="#,##0.000000"/>
    <numFmt numFmtId="187" formatCode="#,##0.00000"/>
    <numFmt numFmtId="188" formatCode="_(* #,##0.000000000_);_(* \(#,##0.000000000\);_(* &quot;-&quot;??_);_(@_)"/>
    <numFmt numFmtId="189" formatCode="_(* #,##0.0000_);_(* \(#,##0.0000\);_(* &quot;-&quot;??_);_(@_)"/>
    <numFmt numFmtId="190" formatCode="_(* #,##0.000_);_(* \(#,##0.000\);_(* &quot;-&quot;??_);_(@_)"/>
    <numFmt numFmtId="191" formatCode="_(* #,##0.000000_);_(* \(#,##0.000000\);_(* &quot;-&quot;??_);_(@_)"/>
    <numFmt numFmtId="192" formatCode="#,##0.0000000"/>
    <numFmt numFmtId="195" formatCode="0.00000%"/>
  </numFmts>
  <fonts count="38">
    <font>
      <sz val="10"/>
      <name val="Arial"/>
    </font>
    <font>
      <sz val="11"/>
      <color theme="1"/>
      <name val="Calibri"/>
      <family val="2"/>
      <scheme val="minor"/>
    </font>
    <font>
      <sz val="11"/>
      <color theme="1"/>
      <name val="Calibri"/>
      <family val="2"/>
      <scheme val="minor"/>
    </font>
    <font>
      <sz val="10"/>
      <name val="Arial"/>
    </font>
    <font>
      <b/>
      <sz val="10"/>
      <name val="Arial"/>
      <family val="2"/>
    </font>
    <font>
      <sz val="10"/>
      <color rgb="FFFF0000"/>
      <name val="Arial"/>
      <family val="2"/>
    </font>
    <font>
      <sz val="10"/>
      <name val="Arial"/>
      <family val="2"/>
    </font>
    <font>
      <sz val="11"/>
      <name val="Calibri"/>
      <family val="2"/>
    </font>
    <font>
      <b/>
      <sz val="9"/>
      <name val="Arial"/>
      <family val="2"/>
    </font>
    <font>
      <sz val="10"/>
      <color indexed="10"/>
      <name val="Arial"/>
      <family val="2"/>
    </font>
    <font>
      <b/>
      <sz val="10"/>
      <color rgb="FFFF0000"/>
      <name val="Arial"/>
      <family val="2"/>
    </font>
    <font>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1"/>
      <color indexed="8"/>
      <name val="Calibri"/>
      <family val="2"/>
    </font>
    <font>
      <sz val="9.75"/>
      <name val="Helv"/>
    </font>
    <font>
      <sz val="10"/>
      <color theme="1"/>
      <name val="Arial"/>
      <family val="2"/>
    </font>
    <font>
      <b/>
      <sz val="10"/>
      <name val="Arial Narrow"/>
      <family val="2"/>
    </font>
    <font>
      <sz val="10"/>
      <name val="Arial Narrow"/>
      <family val="2"/>
    </font>
    <font>
      <sz val="11"/>
      <color rgb="FFFF0000"/>
      <name val="Calibri"/>
      <family val="2"/>
    </font>
    <font>
      <sz val="11"/>
      <color indexed="56"/>
      <name val="Calibri"/>
      <family val="2"/>
    </font>
    <font>
      <sz val="10"/>
      <name val="MS Sans Serif"/>
      <family val="2"/>
    </font>
    <font>
      <sz val="10"/>
      <name val="Calibri"/>
      <family val="2"/>
      <scheme val="minor"/>
    </font>
    <font>
      <b/>
      <sz val="10"/>
      <color rgb="FFFF0000"/>
      <name val="Arial Narrow"/>
      <family val="2"/>
    </font>
    <font>
      <sz val="11"/>
      <color rgb="FFFF0000"/>
      <name val="Calibri"/>
      <family val="2"/>
      <scheme val="minor"/>
    </font>
    <font>
      <b/>
      <sz val="11"/>
      <color theme="1"/>
      <name val="Calibri"/>
      <family val="2"/>
      <scheme val="minor"/>
    </font>
    <font>
      <sz val="10"/>
      <name val="MS Sans Serif"/>
    </font>
    <font>
      <b/>
      <sz val="10"/>
      <name val="Calibri"/>
      <family val="2"/>
      <scheme val="minor"/>
    </font>
    <font>
      <b/>
      <sz val="11"/>
      <color rgb="FFC00000"/>
      <name val="Calibri"/>
      <family val="2"/>
      <scheme val="minor"/>
    </font>
    <font>
      <b/>
      <sz val="11"/>
      <color rgb="FFFF0000"/>
      <name val="Calibri"/>
      <family val="2"/>
      <scheme val="minor"/>
    </font>
    <font>
      <b/>
      <sz val="10"/>
      <color rgb="FFC00000"/>
      <name val="Arial"/>
      <family val="2"/>
    </font>
    <font>
      <sz val="11"/>
      <name val="Calibri"/>
      <family val="2"/>
      <scheme val="minor"/>
    </font>
    <font>
      <b/>
      <u/>
      <sz val="10"/>
      <color theme="7" tint="-0.249977111117893"/>
      <name val="Arial"/>
      <family val="2"/>
    </font>
    <font>
      <b/>
      <u/>
      <sz val="10"/>
      <name val="Arial"/>
      <family val="2"/>
    </font>
    <font>
      <u/>
      <sz val="11"/>
      <color theme="1"/>
      <name val="Calibri"/>
      <family val="2"/>
      <scheme val="minor"/>
    </font>
    <font>
      <b/>
      <sz val="10"/>
      <color theme="1"/>
      <name val="Calibri"/>
      <family val="2"/>
      <scheme val="minor"/>
    </font>
  </fonts>
  <fills count="33">
    <fill>
      <patternFill patternType="none"/>
    </fill>
    <fill>
      <patternFill patternType="gray125"/>
    </fill>
    <fill>
      <patternFill patternType="solid">
        <fgColor rgb="FFFFFFCC"/>
      </patternFill>
    </fill>
    <fill>
      <patternFill patternType="solid">
        <fgColor rgb="FFCCFFCC"/>
        <bgColor indexed="64"/>
      </patternFill>
    </fill>
    <fill>
      <patternFill patternType="solid">
        <fgColor rgb="FFFFCCCC"/>
        <bgColor indexed="64"/>
      </patternFill>
    </fill>
    <fill>
      <patternFill patternType="solid">
        <fgColor rgb="FFFFFF00"/>
        <bgColor indexed="64"/>
      </patternFill>
    </fill>
    <fill>
      <patternFill patternType="solid">
        <fgColor rgb="FFFF0000"/>
        <bgColor indexed="64"/>
      </patternFill>
    </fill>
    <fill>
      <patternFill patternType="solid">
        <fgColor indexed="13"/>
        <bgColor indexed="64"/>
      </patternFill>
    </fill>
    <fill>
      <patternFill patternType="solid">
        <fgColor rgb="FFFFCCFF"/>
        <bgColor indexed="64"/>
      </patternFill>
    </fill>
    <fill>
      <patternFill patternType="solid">
        <fgColor rgb="FFFFFFCC"/>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CCFFFF"/>
        <bgColor indexed="64"/>
      </patternFill>
    </fill>
    <fill>
      <patternFill patternType="solid">
        <fgColor theme="7" tint="0.59999389629810485"/>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249977111117893"/>
        <bgColor indexed="64"/>
      </patternFill>
    </fill>
    <fill>
      <patternFill patternType="solid">
        <fgColor rgb="FF92D050"/>
        <bgColor indexed="64"/>
      </patternFill>
    </fill>
    <fill>
      <patternFill patternType="solid">
        <fgColor indexed="2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39997558519241921"/>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5">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6" fillId="0" borderId="0"/>
    <xf numFmtId="0" fontId="16" fillId="0" borderId="0"/>
    <xf numFmtId="0" fontId="16" fillId="0" borderId="0"/>
    <xf numFmtId="0" fontId="1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2" fillId="0" borderId="0"/>
    <xf numFmtId="0" fontId="6" fillId="0" borderId="0">
      <alignment wrapText="1"/>
    </xf>
    <xf numFmtId="0" fontId="6" fillId="0" borderId="0">
      <alignment wrapText="1"/>
    </xf>
    <xf numFmtId="0" fontId="17"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2"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2" borderId="1" applyNumberFormat="0" applyFont="0" applyAlignment="0" applyProtection="0"/>
    <xf numFmtId="9" fontId="6" fillId="0" borderId="0" applyFont="0" applyFill="0" applyBorder="0" applyAlignment="0" applyProtection="0"/>
    <xf numFmtId="9" fontId="2" fillId="0" borderId="0" applyFont="0" applyFill="0" applyBorder="0" applyAlignment="0" applyProtection="0"/>
    <xf numFmtId="0" fontId="3" fillId="0" borderId="0"/>
    <xf numFmtId="0" fontId="23" fillId="0" borderId="0"/>
    <xf numFmtId="43" fontId="23" fillId="0" borderId="0" applyFont="0" applyFill="0" applyBorder="0" applyAlignment="0" applyProtection="0"/>
    <xf numFmtId="0" fontId="28" fillId="0" borderId="0"/>
    <xf numFmtId="43" fontId="28" fillId="0" borderId="0" applyFont="0" applyFill="0" applyBorder="0" applyAlignment="0" applyProtection="0"/>
    <xf numFmtId="43" fontId="1" fillId="0" borderId="0" applyFont="0" applyFill="0" applyBorder="0" applyAlignment="0" applyProtection="0"/>
  </cellStyleXfs>
  <cellXfs count="703">
    <xf numFmtId="0" fontId="0" fillId="0" borderId="0" xfId="0"/>
    <xf numFmtId="49" fontId="4" fillId="0" borderId="0" xfId="0" applyNumberFormat="1" applyFont="1" applyAlignment="1">
      <alignment vertical="top"/>
    </xf>
    <xf numFmtId="49" fontId="4" fillId="3" borderId="0" xfId="0" applyNumberFormat="1" applyFont="1" applyFill="1" applyAlignment="1">
      <alignment vertical="top"/>
    </xf>
    <xf numFmtId="0" fontId="5" fillId="0" borderId="0" xfId="0" applyFont="1"/>
    <xf numFmtId="49" fontId="6" fillId="4" borderId="0" xfId="0" applyNumberFormat="1" applyFont="1" applyFill="1" applyAlignment="1">
      <alignment horizontal="center" vertical="top"/>
    </xf>
    <xf numFmtId="49" fontId="4" fillId="0" borderId="0" xfId="0" applyNumberFormat="1" applyFont="1" applyBorder="1" applyAlignment="1">
      <alignment vertical="top"/>
    </xf>
    <xf numFmtId="164" fontId="0" fillId="0" borderId="0" xfId="0" applyNumberFormat="1"/>
    <xf numFmtId="165" fontId="0" fillId="0" borderId="0" xfId="0" applyNumberFormat="1" applyFill="1"/>
    <xf numFmtId="3" fontId="7" fillId="0" borderId="0" xfId="0" applyNumberFormat="1" applyFont="1"/>
    <xf numFmtId="166" fontId="0" fillId="0" borderId="0" xfId="0" applyNumberFormat="1" applyFill="1"/>
    <xf numFmtId="164" fontId="0" fillId="0" borderId="0" xfId="0" applyNumberFormat="1" applyFill="1"/>
    <xf numFmtId="164" fontId="6" fillId="0" borderId="0" xfId="0" applyNumberFormat="1" applyFont="1"/>
    <xf numFmtId="164" fontId="0" fillId="0" borderId="0" xfId="0" applyNumberFormat="1" applyBorder="1"/>
    <xf numFmtId="1" fontId="0" fillId="0" borderId="0" xfId="0" applyNumberFormat="1" applyBorder="1"/>
    <xf numFmtId="167" fontId="0" fillId="0" borderId="0" xfId="1" applyNumberFormat="1" applyFont="1"/>
    <xf numFmtId="3" fontId="4" fillId="4" borderId="0" xfId="0" applyNumberFormat="1" applyFont="1" applyFill="1"/>
    <xf numFmtId="0" fontId="0" fillId="0" borderId="0" xfId="0" applyFill="1"/>
    <xf numFmtId="0" fontId="6" fillId="0" borderId="0" xfId="0" applyFont="1" applyFill="1"/>
    <xf numFmtId="4" fontId="0" fillId="0" borderId="0" xfId="0" applyNumberFormat="1"/>
    <xf numFmtId="0" fontId="4" fillId="0" borderId="0" xfId="0" applyFont="1"/>
    <xf numFmtId="3" fontId="0" fillId="0" borderId="0" xfId="0" applyNumberFormat="1"/>
    <xf numFmtId="164" fontId="4" fillId="0" borderId="2" xfId="0" applyNumberFormat="1" applyFont="1" applyBorder="1" applyAlignment="1">
      <alignment horizontal="center"/>
    </xf>
    <xf numFmtId="164" fontId="4" fillId="0" borderId="0" xfId="0" applyNumberFormat="1" applyFont="1" applyBorder="1" applyAlignment="1">
      <alignment horizontal="center"/>
    </xf>
    <xf numFmtId="164" fontId="4" fillId="0" borderId="2" xfId="0" applyNumberFormat="1" applyFont="1" applyBorder="1"/>
    <xf numFmtId="164" fontId="4" fillId="0" borderId="0" xfId="0" applyNumberFormat="1" applyFont="1" applyBorder="1"/>
    <xf numFmtId="164" fontId="4" fillId="0" borderId="0" xfId="0" applyNumberFormat="1" applyFont="1"/>
    <xf numFmtId="164" fontId="4" fillId="0" borderId="0" xfId="0" applyNumberFormat="1" applyFont="1" applyFill="1" applyBorder="1"/>
    <xf numFmtId="1" fontId="6" fillId="0" borderId="0" xfId="0" applyNumberFormat="1" applyFont="1" applyFill="1" applyBorder="1"/>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xf numFmtId="3" fontId="0" fillId="5" borderId="0" xfId="0" applyNumberFormat="1" applyFill="1"/>
    <xf numFmtId="164" fontId="4" fillId="0" borderId="6" xfId="0" applyNumberFormat="1" applyFont="1" applyBorder="1" applyAlignment="1">
      <alignment horizontal="center"/>
    </xf>
    <xf numFmtId="0" fontId="4" fillId="0" borderId="0" xfId="0" applyFont="1" applyBorder="1"/>
    <xf numFmtId="164" fontId="4" fillId="3" borderId="6" xfId="0" applyNumberFormat="1" applyFont="1" applyFill="1" applyBorder="1"/>
    <xf numFmtId="164" fontId="4" fillId="0" borderId="0" xfId="0" applyNumberFormat="1" applyFont="1" applyAlignment="1">
      <alignment horizontal="center"/>
    </xf>
    <xf numFmtId="0" fontId="4" fillId="6" borderId="0" xfId="0" applyFont="1" applyFill="1"/>
    <xf numFmtId="164" fontId="4" fillId="0" borderId="7" xfId="0" applyNumberFormat="1" applyFont="1" applyBorder="1"/>
    <xf numFmtId="168" fontId="6" fillId="5" borderId="0" xfId="1" applyNumberFormat="1" applyFont="1" applyFill="1"/>
    <xf numFmtId="169" fontId="4" fillId="3" borderId="8" xfId="0" applyNumberFormat="1" applyFont="1" applyFill="1" applyBorder="1"/>
    <xf numFmtId="0" fontId="4" fillId="0" borderId="0" xfId="0" applyFont="1" applyFill="1" applyBorder="1" applyAlignment="1">
      <alignment horizontal="center"/>
    </xf>
    <xf numFmtId="164" fontId="4" fillId="3" borderId="7" xfId="0" applyNumberFormat="1" applyFont="1" applyFill="1" applyBorder="1"/>
    <xf numFmtId="3" fontId="7" fillId="3" borderId="0" xfId="0" applyNumberFormat="1" applyFont="1" applyFill="1"/>
    <xf numFmtId="164" fontId="4" fillId="7" borderId="0" xfId="0" applyNumberFormat="1" applyFont="1" applyFill="1"/>
    <xf numFmtId="0" fontId="0" fillId="6" borderId="0" xfId="0" applyFill="1"/>
    <xf numFmtId="1" fontId="0" fillId="0" borderId="0" xfId="0" applyNumberFormat="1"/>
    <xf numFmtId="165" fontId="4" fillId="7" borderId="8" xfId="0" applyNumberFormat="1" applyFont="1" applyFill="1" applyBorder="1"/>
    <xf numFmtId="166" fontId="4" fillId="0" borderId="0" xfId="0" applyNumberFormat="1" applyFont="1" applyFill="1" applyBorder="1"/>
    <xf numFmtId="165" fontId="4" fillId="8" borderId="8" xfId="0" applyNumberFormat="1" applyFont="1" applyFill="1" applyBorder="1"/>
    <xf numFmtId="166" fontId="4" fillId="3" borderId="8" xfId="0" applyNumberFormat="1" applyFont="1" applyFill="1" applyBorder="1"/>
    <xf numFmtId="0" fontId="0" fillId="5" borderId="0" xfId="0" applyFill="1"/>
    <xf numFmtId="0" fontId="4" fillId="0" borderId="6" xfId="0" applyFont="1" applyBorder="1" applyAlignment="1">
      <alignment horizontal="center"/>
    </xf>
    <xf numFmtId="164" fontId="4" fillId="0" borderId="0" xfId="0" applyNumberFormat="1" applyFont="1" applyAlignment="1">
      <alignment horizontal="right"/>
    </xf>
    <xf numFmtId="164" fontId="4" fillId="0" borderId="8" xfId="0" applyNumberFormat="1" applyFont="1" applyBorder="1"/>
    <xf numFmtId="170" fontId="4" fillId="0" borderId="0" xfId="0" applyNumberFormat="1" applyFont="1" applyFill="1" applyBorder="1"/>
    <xf numFmtId="169" fontId="4" fillId="0" borderId="0" xfId="0" applyNumberFormat="1" applyFont="1" applyFill="1" applyBorder="1"/>
    <xf numFmtId="168" fontId="8" fillId="0" borderId="9" xfId="1" applyNumberFormat="1" applyFont="1" applyFill="1" applyBorder="1"/>
    <xf numFmtId="168" fontId="4" fillId="0" borderId="0" xfId="1" applyNumberFormat="1" applyFont="1"/>
    <xf numFmtId="171" fontId="0" fillId="0" borderId="0" xfId="0" applyNumberFormat="1"/>
    <xf numFmtId="1" fontId="4" fillId="0" borderId="0" xfId="0" applyNumberFormat="1" applyFont="1" applyBorder="1" applyAlignment="1">
      <alignment horizontal="center"/>
    </xf>
    <xf numFmtId="0" fontId="0" fillId="8" borderId="0" xfId="0" applyFill="1"/>
    <xf numFmtId="3" fontId="0" fillId="5" borderId="0" xfId="0" applyNumberFormat="1" applyFill="1" applyAlignment="1">
      <alignment horizontal="center"/>
    </xf>
    <xf numFmtId="0" fontId="4" fillId="3" borderId="0" xfId="0" applyFont="1" applyFill="1"/>
    <xf numFmtId="49" fontId="4" fillId="3" borderId="0" xfId="0" applyNumberFormat="1" applyFont="1" applyFill="1"/>
    <xf numFmtId="0" fontId="4" fillId="6" borderId="8" xfId="0" applyFont="1" applyFill="1" applyBorder="1" applyAlignment="1">
      <alignment horizontal="center" wrapText="1"/>
    </xf>
    <xf numFmtId="49" fontId="4" fillId="0" borderId="8" xfId="0" applyNumberFormat="1" applyFont="1" applyFill="1" applyBorder="1" applyAlignment="1">
      <alignment horizontal="center"/>
    </xf>
    <xf numFmtId="0" fontId="4" fillId="0" borderId="0" xfId="0" applyFont="1" applyAlignment="1">
      <alignment horizontal="right"/>
    </xf>
    <xf numFmtId="172" fontId="4" fillId="0" borderId="0" xfId="0" applyNumberFormat="1" applyFont="1"/>
    <xf numFmtId="173" fontId="0" fillId="0" borderId="0" xfId="0" applyNumberFormat="1"/>
    <xf numFmtId="164" fontId="4" fillId="8" borderId="6" xfId="0" applyNumberFormat="1" applyFont="1" applyFill="1" applyBorder="1" applyAlignment="1">
      <alignment horizontal="center"/>
    </xf>
    <xf numFmtId="0" fontId="0" fillId="0" borderId="0" xfId="0" applyBorder="1"/>
    <xf numFmtId="49" fontId="4" fillId="0" borderId="0" xfId="0" applyNumberFormat="1" applyFont="1" applyAlignment="1">
      <alignment horizontal="center"/>
    </xf>
    <xf numFmtId="164" fontId="4" fillId="6" borderId="6" xfId="0" applyNumberFormat="1" applyFont="1" applyFill="1" applyBorder="1" applyAlignment="1">
      <alignment horizontal="center"/>
    </xf>
    <xf numFmtId="164" fontId="4" fillId="0" borderId="4" xfId="0" applyNumberFormat="1" applyFont="1" applyFill="1" applyBorder="1" applyAlignment="1">
      <alignment horizontal="center"/>
    </xf>
    <xf numFmtId="164" fontId="4" fillId="6" borderId="4" xfId="0" applyNumberFormat="1" applyFont="1" applyFill="1" applyBorder="1" applyAlignment="1">
      <alignment horizontal="center"/>
    </xf>
    <xf numFmtId="165" fontId="4" fillId="0" borderId="0" xfId="0" applyNumberFormat="1" applyFont="1" applyFill="1" applyBorder="1" applyAlignment="1">
      <alignment horizontal="center"/>
    </xf>
    <xf numFmtId="164" fontId="4" fillId="0" borderId="5" xfId="0" applyNumberFormat="1" applyFont="1" applyFill="1" applyBorder="1" applyAlignment="1">
      <alignment horizontal="center"/>
    </xf>
    <xf numFmtId="166" fontId="4" fillId="0" borderId="6" xfId="0" applyNumberFormat="1" applyFont="1" applyFill="1" applyBorder="1" applyAlignment="1">
      <alignment horizontal="center"/>
    </xf>
    <xf numFmtId="164" fontId="4" fillId="0" borderId="6" xfId="0" applyNumberFormat="1" applyFont="1" applyFill="1" applyBorder="1" applyAlignment="1">
      <alignment horizontal="center"/>
    </xf>
    <xf numFmtId="164" fontId="4" fillId="0" borderId="3" xfId="0" applyNumberFormat="1" applyFont="1" applyFill="1" applyBorder="1" applyAlignment="1">
      <alignment horizontal="center"/>
    </xf>
    <xf numFmtId="164" fontId="4" fillId="3" borderId="6" xfId="0" applyNumberFormat="1" applyFont="1" applyFill="1" applyBorder="1" applyAlignment="1">
      <alignment horizontal="center"/>
    </xf>
    <xf numFmtId="164" fontId="4" fillId="3" borderId="10" xfId="0" applyNumberFormat="1" applyFont="1" applyFill="1" applyBorder="1" applyAlignment="1">
      <alignment horizontal="center"/>
    </xf>
    <xf numFmtId="164" fontId="4" fillId="8" borderId="7" xfId="0" applyNumberFormat="1" applyFont="1" applyFill="1" applyBorder="1" applyAlignment="1">
      <alignment horizontal="center"/>
    </xf>
    <xf numFmtId="164" fontId="4" fillId="8" borderId="11" xfId="0" applyNumberFormat="1" applyFont="1" applyFill="1" applyBorder="1" applyAlignment="1">
      <alignment horizontal="center"/>
    </xf>
    <xf numFmtId="0" fontId="4" fillId="0" borderId="4" xfId="0" applyFont="1" applyBorder="1" applyAlignment="1">
      <alignment horizontal="center"/>
    </xf>
    <xf numFmtId="1" fontId="4" fillId="0" borderId="0" xfId="0" applyNumberFormat="1" applyFont="1" applyFill="1" applyBorder="1" applyAlignment="1">
      <alignment horizontal="center"/>
    </xf>
    <xf numFmtId="164" fontId="4" fillId="6" borderId="3" xfId="0" applyNumberFormat="1" applyFont="1" applyFill="1" applyBorder="1" applyAlignment="1">
      <alignment horizontal="center"/>
    </xf>
    <xf numFmtId="164" fontId="4" fillId="3" borderId="4" xfId="0" applyNumberFormat="1" applyFont="1" applyFill="1" applyBorder="1" applyAlignment="1">
      <alignment horizontal="center"/>
    </xf>
    <xf numFmtId="164" fontId="4" fillId="8" borderId="4" xfId="0" applyNumberFormat="1" applyFont="1" applyFill="1" applyBorder="1" applyAlignment="1">
      <alignment horizontal="center"/>
    </xf>
    <xf numFmtId="164" fontId="4" fillId="0" borderId="0" xfId="0" applyNumberFormat="1" applyFont="1" applyFill="1" applyBorder="1" applyAlignment="1">
      <alignment horizontal="center"/>
    </xf>
    <xf numFmtId="164" fontId="4" fillId="6" borderId="0" xfId="0" applyNumberFormat="1" applyFont="1" applyFill="1"/>
    <xf numFmtId="3" fontId="4" fillId="4" borderId="0" xfId="0" applyNumberFormat="1" applyFont="1" applyFill="1" applyAlignment="1">
      <alignment horizontal="center" wrapText="1"/>
    </xf>
    <xf numFmtId="174" fontId="4" fillId="9" borderId="0" xfId="2" applyNumberFormat="1" applyFont="1" applyFill="1" applyAlignment="1">
      <alignment wrapText="1"/>
    </xf>
    <xf numFmtId="0" fontId="4" fillId="0" borderId="0" xfId="0" applyFont="1" applyAlignment="1">
      <alignment horizontal="center"/>
    </xf>
    <xf numFmtId="49" fontId="4" fillId="0" borderId="3" xfId="0" applyNumberFormat="1" applyFont="1" applyBorder="1" applyAlignment="1">
      <alignment horizontal="center"/>
    </xf>
    <xf numFmtId="164" fontId="4" fillId="0" borderId="6" xfId="0" applyNumberFormat="1" applyFont="1" applyBorder="1" applyAlignment="1">
      <alignment horizontal="center" wrapText="1"/>
    </xf>
    <xf numFmtId="164" fontId="4" fillId="0" borderId="11" xfId="0" applyNumberFormat="1" applyFont="1" applyBorder="1" applyAlignment="1">
      <alignment horizontal="center"/>
    </xf>
    <xf numFmtId="164" fontId="4" fillId="6" borderId="7" xfId="0" applyNumberFormat="1" applyFont="1" applyFill="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166" fontId="4" fillId="0" borderId="8" xfId="0" applyNumberFormat="1" applyFont="1" applyFill="1" applyBorder="1" applyAlignment="1">
      <alignment horizontal="center"/>
    </xf>
    <xf numFmtId="164" fontId="4" fillId="0" borderId="7" xfId="0" applyNumberFormat="1" applyFont="1" applyFill="1" applyBorder="1" applyAlignment="1">
      <alignment horizontal="center"/>
    </xf>
    <xf numFmtId="164" fontId="4" fillId="0" borderId="7" xfId="0" applyNumberFormat="1" applyFont="1" applyBorder="1" applyAlignment="1">
      <alignment horizontal="center"/>
    </xf>
    <xf numFmtId="0" fontId="4" fillId="0" borderId="7" xfId="0" applyFont="1" applyBorder="1" applyAlignment="1">
      <alignment horizontal="center"/>
    </xf>
    <xf numFmtId="0" fontId="4" fillId="3" borderId="7" xfId="0" applyFont="1" applyFill="1" applyBorder="1" applyAlignment="1">
      <alignment horizontal="center"/>
    </xf>
    <xf numFmtId="0" fontId="4" fillId="3" borderId="12" xfId="0" applyFont="1" applyFill="1" applyBorder="1" applyAlignment="1">
      <alignment horizontal="center"/>
    </xf>
    <xf numFmtId="0" fontId="4" fillId="8" borderId="13" xfId="0" applyFont="1" applyFill="1" applyBorder="1" applyAlignment="1">
      <alignment horizontal="center"/>
    </xf>
    <xf numFmtId="0" fontId="4" fillId="0" borderId="6" xfId="0" applyFont="1" applyBorder="1"/>
    <xf numFmtId="0" fontId="4" fillId="8" borderId="6" xfId="0" applyFont="1" applyFill="1" applyBorder="1" applyAlignment="1">
      <alignment wrapText="1"/>
    </xf>
    <xf numFmtId="1" fontId="4" fillId="0" borderId="0" xfId="0" applyNumberFormat="1" applyFont="1"/>
    <xf numFmtId="164" fontId="4" fillId="6" borderId="2" xfId="0" applyNumberFormat="1" applyFont="1" applyFill="1" applyBorder="1" applyAlignment="1">
      <alignment horizontal="center"/>
    </xf>
    <xf numFmtId="164" fontId="4" fillId="8" borderId="6" xfId="0" applyNumberFormat="1" applyFont="1" applyFill="1" applyBorder="1" applyAlignment="1">
      <alignment horizontal="center" wrapText="1"/>
    </xf>
    <xf numFmtId="167" fontId="4" fillId="0" borderId="0" xfId="1" applyNumberFormat="1" applyFont="1" applyAlignment="1">
      <alignment wrapText="1"/>
    </xf>
    <xf numFmtId="0" fontId="4" fillId="0" borderId="0" xfId="0" applyFont="1" applyBorder="1" applyAlignment="1">
      <alignment horizontal="center"/>
    </xf>
    <xf numFmtId="0" fontId="4" fillId="5" borderId="0" xfId="0" applyFont="1" applyFill="1" applyAlignment="1">
      <alignment horizontal="center"/>
    </xf>
    <xf numFmtId="0" fontId="4" fillId="0" borderId="0" xfId="0" applyFont="1" applyFill="1"/>
    <xf numFmtId="0" fontId="4" fillId="3" borderId="0" xfId="0" applyFont="1" applyFill="1" applyAlignment="1">
      <alignment wrapText="1"/>
    </xf>
    <xf numFmtId="164" fontId="0" fillId="3" borderId="0" xfId="0" applyNumberFormat="1" applyFill="1"/>
    <xf numFmtId="164" fontId="6" fillId="3" borderId="0" xfId="0" applyNumberFormat="1" applyFont="1" applyFill="1" applyBorder="1"/>
    <xf numFmtId="164" fontId="0" fillId="0" borderId="14" xfId="0" applyNumberFormat="1" applyFill="1" applyBorder="1"/>
    <xf numFmtId="164" fontId="0" fillId="10" borderId="7" xfId="0" applyNumberFormat="1" applyFill="1" applyBorder="1"/>
    <xf numFmtId="4" fontId="0" fillId="0" borderId="0" xfId="0" applyNumberFormat="1" applyFill="1" applyBorder="1"/>
    <xf numFmtId="5" fontId="0" fillId="10" borderId="0" xfId="0" applyNumberFormat="1" applyFill="1" applyBorder="1"/>
    <xf numFmtId="164" fontId="0" fillId="10" borderId="0" xfId="0" applyNumberFormat="1" applyFill="1" applyBorder="1"/>
    <xf numFmtId="164" fontId="0" fillId="0" borderId="0" xfId="0" applyNumberFormat="1" applyFill="1" applyBorder="1"/>
    <xf numFmtId="165" fontId="0" fillId="0" borderId="0" xfId="0" applyNumberFormat="1" applyFill="1" applyBorder="1"/>
    <xf numFmtId="166" fontId="0" fillId="0" borderId="13" xfId="0" applyNumberFormat="1" applyFill="1" applyBorder="1"/>
    <xf numFmtId="164" fontId="0" fillId="11" borderId="0" xfId="0" applyNumberFormat="1" applyFill="1" applyBorder="1"/>
    <xf numFmtId="164" fontId="0" fillId="12" borderId="0" xfId="0" applyNumberFormat="1" applyFill="1" applyBorder="1"/>
    <xf numFmtId="164" fontId="9" fillId="12" borderId="0" xfId="0" applyNumberFormat="1" applyFont="1" applyFill="1" applyBorder="1"/>
    <xf numFmtId="164" fontId="6" fillId="0" borderId="0" xfId="0" applyNumberFormat="1" applyFont="1" applyFill="1" applyBorder="1"/>
    <xf numFmtId="164" fontId="0" fillId="3" borderId="0" xfId="0" applyNumberFormat="1" applyFill="1" applyBorder="1"/>
    <xf numFmtId="168" fontId="6" fillId="3" borderId="0" xfId="4" applyNumberFormat="1" applyFont="1" applyFill="1"/>
    <xf numFmtId="168" fontId="6" fillId="12" borderId="0" xfId="1" applyNumberFormat="1" applyFont="1" applyFill="1" applyBorder="1"/>
    <xf numFmtId="164" fontId="0" fillId="8" borderId="0" xfId="0" quotePrefix="1" applyNumberFormat="1" applyFill="1"/>
    <xf numFmtId="164" fontId="0" fillId="0" borderId="0" xfId="0" applyNumberFormat="1" applyFill="1" applyBorder="1" applyAlignment="1">
      <alignment horizontal="right"/>
    </xf>
    <xf numFmtId="167" fontId="0" fillId="0" borderId="0" xfId="1" applyNumberFormat="1" applyFont="1" applyFill="1"/>
    <xf numFmtId="164" fontId="0" fillId="0" borderId="7" xfId="0" applyNumberFormat="1" applyFill="1" applyBorder="1"/>
    <xf numFmtId="4" fontId="0" fillId="0" borderId="0" xfId="0" applyNumberFormat="1" applyFill="1"/>
    <xf numFmtId="164" fontId="0" fillId="13" borderId="0" xfId="0" applyNumberFormat="1" applyFill="1"/>
    <xf numFmtId="3" fontId="0" fillId="3" borderId="0" xfId="0" applyNumberFormat="1" applyFill="1"/>
    <xf numFmtId="168" fontId="0" fillId="0" borderId="0" xfId="1" applyNumberFormat="1" applyFont="1" applyFill="1"/>
    <xf numFmtId="164" fontId="0" fillId="3" borderId="0" xfId="0" quotePrefix="1" applyNumberFormat="1" applyFill="1"/>
    <xf numFmtId="3" fontId="0" fillId="0" borderId="0" xfId="0" applyNumberFormat="1" applyFill="1"/>
    <xf numFmtId="168" fontId="6" fillId="8" borderId="0" xfId="4" applyNumberFormat="1" applyFont="1" applyFill="1"/>
    <xf numFmtId="164" fontId="6" fillId="8" borderId="0" xfId="0" applyNumberFormat="1" applyFont="1" applyFill="1" applyBorder="1"/>
    <xf numFmtId="164" fontId="0" fillId="14" borderId="0" xfId="0" quotePrefix="1" applyNumberFormat="1" applyFill="1"/>
    <xf numFmtId="164" fontId="0" fillId="14" borderId="0" xfId="0" applyNumberFormat="1" applyFill="1" applyBorder="1" applyAlignment="1">
      <alignment horizontal="right"/>
    </xf>
    <xf numFmtId="164" fontId="6" fillId="10" borderId="0" xfId="0" applyNumberFormat="1" applyFont="1" applyFill="1" applyBorder="1"/>
    <xf numFmtId="5" fontId="0" fillId="0" borderId="0" xfId="0" applyNumberFormat="1" applyFill="1" applyBorder="1"/>
    <xf numFmtId="164" fontId="9" fillId="0" borderId="0" xfId="0" applyNumberFormat="1" applyFont="1" applyFill="1" applyBorder="1"/>
    <xf numFmtId="164" fontId="0" fillId="5" borderId="0" xfId="0" applyNumberFormat="1" applyFill="1"/>
    <xf numFmtId="164" fontId="0" fillId="5" borderId="14" xfId="0" applyNumberFormat="1" applyFill="1" applyBorder="1"/>
    <xf numFmtId="164" fontId="0" fillId="5" borderId="7" xfId="0" applyNumberFormat="1" applyFill="1" applyBorder="1"/>
    <xf numFmtId="4" fontId="0" fillId="5" borderId="0" xfId="0" applyNumberFormat="1" applyFill="1" applyBorder="1"/>
    <xf numFmtId="5" fontId="0" fillId="5" borderId="0" xfId="0" applyNumberFormat="1" applyFill="1" applyBorder="1"/>
    <xf numFmtId="164" fontId="0" fillId="5" borderId="0" xfId="0" applyNumberFormat="1" applyFill="1" applyBorder="1"/>
    <xf numFmtId="166" fontId="0" fillId="5" borderId="13" xfId="0" applyNumberFormat="1" applyFill="1" applyBorder="1"/>
    <xf numFmtId="164" fontId="9" fillId="5" borderId="0" xfId="0" applyNumberFormat="1" applyFont="1" applyFill="1" applyBorder="1"/>
    <xf numFmtId="164" fontId="6" fillId="5" borderId="0" xfId="0" applyNumberFormat="1" applyFont="1" applyFill="1" applyBorder="1"/>
    <xf numFmtId="168" fontId="6" fillId="5" borderId="0" xfId="4" applyNumberFormat="1" applyFont="1" applyFill="1"/>
    <xf numFmtId="164" fontId="0" fillId="5" borderId="0" xfId="0" quotePrefix="1" applyNumberFormat="1" applyFill="1"/>
    <xf numFmtId="168" fontId="6" fillId="0" borderId="0" xfId="1" applyNumberFormat="1" applyFont="1" applyFill="1"/>
    <xf numFmtId="168" fontId="6" fillId="8" borderId="0" xfId="1" applyNumberFormat="1" applyFont="1" applyFill="1"/>
    <xf numFmtId="4" fontId="0" fillId="5" borderId="0" xfId="0" applyNumberFormat="1" applyFill="1"/>
    <xf numFmtId="0" fontId="4" fillId="5" borderId="0" xfId="0" applyFont="1" applyFill="1"/>
    <xf numFmtId="4" fontId="4" fillId="6" borderId="0" xfId="0" applyNumberFormat="1" applyFont="1" applyFill="1" applyBorder="1"/>
    <xf numFmtId="164" fontId="0" fillId="8" borderId="0" xfId="0" applyNumberFormat="1" applyFill="1" applyBorder="1"/>
    <xf numFmtId="164" fontId="6" fillId="6" borderId="0" xfId="0" applyNumberFormat="1" applyFont="1" applyFill="1" applyBorder="1"/>
    <xf numFmtId="3" fontId="0" fillId="8" borderId="0" xfId="0" applyNumberFormat="1" applyFill="1"/>
    <xf numFmtId="168" fontId="0" fillId="0" borderId="0" xfId="4" applyNumberFormat="1" applyFont="1" applyFill="1"/>
    <xf numFmtId="164" fontId="0" fillId="0" borderId="0" xfId="0" quotePrefix="1" applyNumberFormat="1" applyFill="1"/>
    <xf numFmtId="0" fontId="0" fillId="15" borderId="0" xfId="0" applyFill="1"/>
    <xf numFmtId="4" fontId="0" fillId="15" borderId="0" xfId="0" applyNumberFormat="1" applyFill="1"/>
    <xf numFmtId="0" fontId="0" fillId="0" borderId="0" xfId="0" applyFill="1" applyBorder="1"/>
    <xf numFmtId="164" fontId="4" fillId="0" borderId="15" xfId="0" applyNumberFormat="1" applyFont="1" applyBorder="1"/>
    <xf numFmtId="164" fontId="4" fillId="15" borderId="15" xfId="0" applyNumberFormat="1" applyFont="1" applyFill="1" applyBorder="1"/>
    <xf numFmtId="164" fontId="4" fillId="0" borderId="16" xfId="0" applyNumberFormat="1" applyFont="1" applyBorder="1"/>
    <xf numFmtId="164" fontId="4" fillId="0" borderId="17" xfId="0" applyNumberFormat="1" applyFont="1" applyBorder="1"/>
    <xf numFmtId="164" fontId="4" fillId="0" borderId="15" xfId="0" applyNumberFormat="1" applyFont="1" applyFill="1" applyBorder="1"/>
    <xf numFmtId="164" fontId="10" fillId="5" borderId="17" xfId="0" applyNumberFormat="1" applyFont="1" applyFill="1" applyBorder="1"/>
    <xf numFmtId="164" fontId="4" fillId="5" borderId="16" xfId="0" applyNumberFormat="1" applyFont="1" applyFill="1" applyBorder="1"/>
    <xf numFmtId="164" fontId="4" fillId="5" borderId="17" xfId="0" applyNumberFormat="1" applyFont="1" applyFill="1" applyBorder="1"/>
    <xf numFmtId="167" fontId="4" fillId="5" borderId="16" xfId="1" applyNumberFormat="1" applyFont="1" applyFill="1" applyBorder="1"/>
    <xf numFmtId="4" fontId="4" fillId="0" borderId="0" xfId="0" applyNumberFormat="1" applyFont="1"/>
    <xf numFmtId="168" fontId="4" fillId="0" borderId="0" xfId="0" applyNumberFormat="1" applyFont="1"/>
    <xf numFmtId="166" fontId="4" fillId="0" borderId="0" xfId="0" applyNumberFormat="1" applyFont="1"/>
    <xf numFmtId="164" fontId="6" fillId="0" borderId="0" xfId="0" applyNumberFormat="1" applyFont="1" applyFill="1"/>
    <xf numFmtId="175" fontId="10" fillId="16" borderId="0" xfId="0" applyNumberFormat="1" applyFont="1" applyFill="1"/>
    <xf numFmtId="1" fontId="4" fillId="17" borderId="0" xfId="0" applyNumberFormat="1" applyFont="1" applyFill="1"/>
    <xf numFmtId="167" fontId="10" fillId="14" borderId="0" xfId="1" applyNumberFormat="1" applyFont="1" applyFill="1"/>
    <xf numFmtId="164" fontId="10" fillId="0" borderId="17" xfId="0" applyNumberFormat="1" applyFont="1" applyBorder="1"/>
    <xf numFmtId="164" fontId="9" fillId="0" borderId="0" xfId="0" applyNumberFormat="1" applyFont="1"/>
    <xf numFmtId="0" fontId="7" fillId="0" borderId="0" xfId="0" applyFont="1"/>
    <xf numFmtId="176" fontId="0" fillId="0" borderId="0" xfId="0" applyNumberFormat="1"/>
    <xf numFmtId="164" fontId="10" fillId="5" borderId="0" xfId="0" applyNumberFormat="1" applyFont="1" applyFill="1" applyAlignment="1">
      <alignment horizontal="right"/>
    </xf>
    <xf numFmtId="164" fontId="5" fillId="5" borderId="0" xfId="0" applyNumberFormat="1" applyFont="1" applyFill="1"/>
    <xf numFmtId="168" fontId="6" fillId="3" borderId="0" xfId="1" applyNumberFormat="1" applyFont="1" applyFill="1"/>
    <xf numFmtId="164" fontId="4" fillId="16" borderId="0" xfId="0" applyNumberFormat="1" applyFont="1" applyFill="1"/>
    <xf numFmtId="164" fontId="4" fillId="16" borderId="17" xfId="0" applyNumberFormat="1" applyFont="1" applyFill="1" applyBorder="1"/>
    <xf numFmtId="0" fontId="0" fillId="16" borderId="0" xfId="0" applyFill="1"/>
    <xf numFmtId="0" fontId="5" fillId="0" borderId="0" xfId="0" applyFont="1" applyFill="1"/>
    <xf numFmtId="164" fontId="0" fillId="8" borderId="0" xfId="0" applyNumberFormat="1" applyFill="1"/>
    <xf numFmtId="1" fontId="0" fillId="18" borderId="0" xfId="0" applyNumberFormat="1" applyFill="1"/>
    <xf numFmtId="164" fontId="0" fillId="18" borderId="0" xfId="0" applyNumberFormat="1" applyFill="1"/>
    <xf numFmtId="177" fontId="6" fillId="16" borderId="0" xfId="1" applyNumberFormat="1" applyFont="1" applyFill="1"/>
    <xf numFmtId="0" fontId="6" fillId="0" borderId="0" xfId="0" quotePrefix="1" applyFont="1"/>
    <xf numFmtId="10" fontId="0" fillId="0" borderId="0" xfId="0" applyNumberFormat="1"/>
    <xf numFmtId="6" fontId="0" fillId="16" borderId="0" xfId="0" applyNumberFormat="1" applyFill="1"/>
    <xf numFmtId="164" fontId="5" fillId="0" borderId="0" xfId="0" applyNumberFormat="1" applyFont="1" applyAlignment="1">
      <alignment wrapText="1"/>
    </xf>
    <xf numFmtId="168" fontId="0" fillId="0" borderId="0" xfId="1" applyNumberFormat="1" applyFont="1"/>
    <xf numFmtId="168" fontId="0" fillId="16" borderId="0" xfId="0" applyNumberFormat="1" applyFill="1"/>
    <xf numFmtId="168" fontId="0" fillId="0" borderId="0" xfId="4" applyNumberFormat="1" applyFont="1"/>
    <xf numFmtId="168" fontId="0" fillId="0" borderId="0" xfId="0" applyNumberFormat="1"/>
    <xf numFmtId="165" fontId="4" fillId="0" borderId="0" xfId="0" applyNumberFormat="1" applyFont="1" applyFill="1"/>
    <xf numFmtId="164" fontId="4" fillId="0" borderId="0" xfId="0" applyNumberFormat="1" applyFont="1" applyFill="1"/>
    <xf numFmtId="166" fontId="4" fillId="0" borderId="0" xfId="0" applyNumberFormat="1" applyFont="1" applyFill="1"/>
    <xf numFmtId="1" fontId="6" fillId="0" borderId="0" xfId="0" applyNumberFormat="1" applyFont="1"/>
    <xf numFmtId="3" fontId="4" fillId="0" borderId="0" xfId="0" applyNumberFormat="1" applyFont="1"/>
    <xf numFmtId="168" fontId="4" fillId="0" borderId="0" xfId="1" applyNumberFormat="1" applyFont="1" applyFill="1"/>
    <xf numFmtId="168" fontId="4" fillId="9" borderId="0" xfId="1" applyNumberFormat="1" applyFont="1" applyFill="1" applyAlignment="1">
      <alignment horizontal="center"/>
    </xf>
    <xf numFmtId="168" fontId="4" fillId="9" borderId="0" xfId="1" applyNumberFormat="1" applyFont="1" applyFill="1"/>
    <xf numFmtId="164" fontId="4" fillId="0" borderId="0" xfId="0" applyNumberFormat="1" applyFont="1" applyFill="1" applyAlignment="1">
      <alignment horizontal="right"/>
    </xf>
    <xf numFmtId="164" fontId="0" fillId="0" borderId="18" xfId="0" applyNumberFormat="1" applyFill="1" applyBorder="1"/>
    <xf numFmtId="1" fontId="6" fillId="0" borderId="0" xfId="0" applyNumberFormat="1" applyFont="1" applyFill="1"/>
    <xf numFmtId="164" fontId="11" fillId="0" borderId="0" xfId="0" applyNumberFormat="1" applyFont="1" applyFill="1" applyBorder="1"/>
    <xf numFmtId="168" fontId="4" fillId="5" borderId="0" xfId="4" applyNumberFormat="1" applyFont="1" applyFill="1"/>
    <xf numFmtId="0" fontId="0" fillId="9" borderId="0" xfId="0" applyFill="1"/>
    <xf numFmtId="168" fontId="6" fillId="9" borderId="0" xfId="1" applyNumberFormat="1" applyFont="1" applyFill="1"/>
    <xf numFmtId="178" fontId="4" fillId="0" borderId="0" xfId="0" applyNumberFormat="1" applyFont="1" applyFill="1"/>
    <xf numFmtId="1" fontId="0" fillId="0" borderId="0" xfId="0" applyNumberFormat="1" applyFill="1"/>
    <xf numFmtId="172" fontId="0" fillId="0" borderId="0" xfId="0" applyNumberFormat="1" applyFill="1"/>
    <xf numFmtId="0" fontId="6" fillId="0" borderId="0" xfId="0" applyFont="1"/>
    <xf numFmtId="179" fontId="0" fillId="0" borderId="0" xfId="0" applyNumberFormat="1" applyFill="1"/>
    <xf numFmtId="164" fontId="0" fillId="0" borderId="0" xfId="0" applyNumberFormat="1" applyAlignment="1">
      <alignment horizontal="right"/>
    </xf>
    <xf numFmtId="170" fontId="0" fillId="0" borderId="0" xfId="3" applyNumberFormat="1" applyFont="1" applyFill="1"/>
    <xf numFmtId="0" fontId="6" fillId="0" borderId="0" xfId="0" applyFont="1" applyFill="1" applyAlignment="1">
      <alignment wrapText="1"/>
    </xf>
    <xf numFmtId="164" fontId="0" fillId="0" borderId="0" xfId="0" applyNumberFormat="1" applyFill="1" applyAlignment="1">
      <alignment wrapText="1"/>
    </xf>
    <xf numFmtId="164" fontId="6" fillId="0" borderId="0" xfId="0" applyNumberFormat="1" applyFont="1" applyAlignment="1">
      <alignment wrapText="1"/>
    </xf>
    <xf numFmtId="0" fontId="6" fillId="0" borderId="0" xfId="0" applyFont="1" applyFill="1" applyAlignment="1">
      <alignment horizontal="center" wrapText="1"/>
    </xf>
    <xf numFmtId="3" fontId="0" fillId="0" borderId="0" xfId="0" applyNumberFormat="1" applyAlignment="1">
      <alignment wrapText="1"/>
    </xf>
    <xf numFmtId="0" fontId="0" fillId="0" borderId="0" xfId="0" applyAlignment="1">
      <alignment wrapText="1"/>
    </xf>
    <xf numFmtId="0" fontId="6" fillId="8" borderId="0" xfId="0" applyFont="1" applyFill="1" applyAlignment="1">
      <alignment wrapText="1"/>
    </xf>
    <xf numFmtId="164" fontId="0" fillId="0" borderId="0" xfId="0" applyNumberFormat="1" applyAlignment="1">
      <alignment wrapText="1"/>
    </xf>
    <xf numFmtId="165" fontId="0" fillId="0" borderId="0" xfId="0" applyNumberFormat="1" applyFill="1" applyAlignment="1">
      <alignment wrapText="1"/>
    </xf>
    <xf numFmtId="166" fontId="0" fillId="0" borderId="0" xfId="0" applyNumberFormat="1" applyFill="1" applyAlignment="1">
      <alignment wrapText="1"/>
    </xf>
    <xf numFmtId="0" fontId="0" fillId="0" borderId="0" xfId="0" applyFill="1" applyAlignment="1">
      <alignment wrapText="1"/>
    </xf>
    <xf numFmtId="1" fontId="0" fillId="0" borderId="0" xfId="0" applyNumberFormat="1" applyFill="1" applyAlignment="1">
      <alignment wrapText="1"/>
    </xf>
    <xf numFmtId="167" fontId="0" fillId="0" borderId="0" xfId="1" applyNumberFormat="1" applyFont="1" applyAlignment="1">
      <alignment wrapText="1"/>
    </xf>
    <xf numFmtId="0" fontId="4" fillId="0" borderId="0" xfId="0" applyFont="1" applyAlignment="1">
      <alignment wrapText="1"/>
    </xf>
    <xf numFmtId="0" fontId="0" fillId="8" borderId="0" xfId="0" applyFill="1" applyAlignment="1">
      <alignment wrapText="1"/>
    </xf>
    <xf numFmtId="0" fontId="6" fillId="0" borderId="0" xfId="0" applyFont="1" applyAlignment="1">
      <alignment wrapText="1"/>
    </xf>
    <xf numFmtId="164" fontId="6" fillId="0" borderId="0" xfId="0" applyNumberFormat="1" applyFont="1" applyFill="1" applyAlignment="1">
      <alignment wrapText="1"/>
    </xf>
    <xf numFmtId="180" fontId="6" fillId="8" borderId="0" xfId="0" applyNumberFormat="1" applyFont="1" applyFill="1" applyAlignment="1">
      <alignment wrapText="1"/>
    </xf>
    <xf numFmtId="180" fontId="0" fillId="0" borderId="0" xfId="0" applyNumberFormat="1" applyAlignment="1">
      <alignment wrapText="1"/>
    </xf>
    <xf numFmtId="180" fontId="0" fillId="0" borderId="0" xfId="0" applyNumberFormat="1"/>
    <xf numFmtId="180" fontId="0" fillId="0" borderId="0" xfId="0" applyNumberFormat="1" applyFill="1" applyAlignment="1">
      <alignment wrapText="1"/>
    </xf>
    <xf numFmtId="180" fontId="6" fillId="0" borderId="0" xfId="0" applyNumberFormat="1" applyFont="1" applyFill="1" applyAlignment="1">
      <alignment wrapText="1"/>
    </xf>
    <xf numFmtId="180" fontId="0" fillId="0" borderId="0" xfId="0" applyNumberFormat="1" applyFill="1"/>
    <xf numFmtId="180" fontId="4" fillId="0" borderId="0" xfId="0" applyNumberFormat="1" applyFont="1" applyAlignment="1">
      <alignment wrapText="1"/>
    </xf>
    <xf numFmtId="180" fontId="6" fillId="0" borderId="0" xfId="0" applyNumberFormat="1" applyFont="1"/>
    <xf numFmtId="180" fontId="4" fillId="0" borderId="0" xfId="0" applyNumberFormat="1" applyFont="1"/>
    <xf numFmtId="164" fontId="6" fillId="6" borderId="0" xfId="0" applyNumberFormat="1" applyFont="1" applyFill="1" applyAlignment="1">
      <alignment wrapText="1"/>
    </xf>
    <xf numFmtId="3" fontId="6" fillId="0" borderId="0" xfId="0" applyNumberFormat="1" applyFont="1" applyAlignment="1">
      <alignment wrapText="1"/>
    </xf>
    <xf numFmtId="0" fontId="6" fillId="3" borderId="0" xfId="0" applyFont="1" applyFill="1" applyAlignment="1">
      <alignment wrapText="1"/>
    </xf>
    <xf numFmtId="166" fontId="0" fillId="19" borderId="0" xfId="0" applyNumberFormat="1" applyFill="1"/>
    <xf numFmtId="168" fontId="5" fillId="0" borderId="0" xfId="4" applyNumberFormat="1" applyFont="1" applyFill="1"/>
    <xf numFmtId="0" fontId="18" fillId="0" borderId="0" xfId="0" applyFont="1" applyFill="1"/>
    <xf numFmtId="0" fontId="0" fillId="0" borderId="0" xfId="0" applyNumberFormat="1" applyFill="1"/>
    <xf numFmtId="2" fontId="0" fillId="0" borderId="0" xfId="0" applyNumberFormat="1" applyFill="1"/>
    <xf numFmtId="181" fontId="0" fillId="0" borderId="0" xfId="0" applyNumberFormat="1" applyFill="1"/>
    <xf numFmtId="169" fontId="0" fillId="0" borderId="0" xfId="0" applyNumberFormat="1" applyFill="1"/>
    <xf numFmtId="182" fontId="5" fillId="0" borderId="0" xfId="0" applyNumberFormat="1" applyFont="1" applyFill="1"/>
    <xf numFmtId="3" fontId="0" fillId="0" borderId="19" xfId="0" applyNumberFormat="1" applyFill="1" applyBorder="1"/>
    <xf numFmtId="183" fontId="0" fillId="0" borderId="19" xfId="0" applyNumberFormat="1" applyFill="1" applyBorder="1"/>
    <xf numFmtId="183" fontId="0" fillId="0" borderId="0" xfId="0" applyNumberFormat="1" applyFill="1"/>
    <xf numFmtId="184" fontId="18" fillId="0" borderId="19" xfId="0" applyNumberFormat="1" applyFont="1" applyFill="1" applyBorder="1"/>
    <xf numFmtId="5" fontId="0" fillId="0" borderId="19" xfId="0" applyNumberFormat="1" applyFill="1" applyBorder="1"/>
    <xf numFmtId="0" fontId="0" fillId="0" borderId="19" xfId="0" applyNumberFormat="1" applyFill="1" applyBorder="1"/>
    <xf numFmtId="2" fontId="0" fillId="0" borderId="19" xfId="0" applyNumberFormat="1" applyFill="1" applyBorder="1"/>
    <xf numFmtId="5" fontId="9" fillId="0" borderId="19" xfId="0" applyNumberFormat="1" applyFont="1" applyFill="1" applyBorder="1"/>
    <xf numFmtId="181" fontId="0" fillId="0" borderId="19" xfId="0" applyNumberFormat="1" applyFill="1" applyBorder="1"/>
    <xf numFmtId="164" fontId="0" fillId="0" borderId="19" xfId="0" applyNumberFormat="1" applyFill="1" applyBorder="1"/>
    <xf numFmtId="169" fontId="6" fillId="0" borderId="19" xfId="0" applyNumberFormat="1" applyFont="1" applyFill="1" applyBorder="1"/>
    <xf numFmtId="0" fontId="0" fillId="0" borderId="19" xfId="0" applyFill="1" applyBorder="1"/>
    <xf numFmtId="5" fontId="6" fillId="0" borderId="19" xfId="0" applyNumberFormat="1" applyFont="1" applyFill="1" applyBorder="1"/>
    <xf numFmtId="185" fontId="18" fillId="0" borderId="0" xfId="0" applyNumberFormat="1" applyFont="1" applyFill="1"/>
    <xf numFmtId="181" fontId="0" fillId="12" borderId="19" xfId="0" applyNumberFormat="1" applyFill="1" applyBorder="1"/>
    <xf numFmtId="0" fontId="4" fillId="0" borderId="19" xfId="0" applyFont="1" applyFill="1" applyBorder="1"/>
    <xf numFmtId="0" fontId="6" fillId="0" borderId="19" xfId="0" applyNumberFormat="1" applyFont="1" applyFill="1" applyBorder="1"/>
    <xf numFmtId="49" fontId="6" fillId="0" borderId="19" xfId="0" applyNumberFormat="1" applyFont="1" applyFill="1" applyBorder="1"/>
    <xf numFmtId="0" fontId="0" fillId="3" borderId="0" xfId="0" applyFill="1"/>
    <xf numFmtId="5" fontId="0" fillId="0" borderId="0" xfId="0" applyNumberFormat="1" applyFill="1"/>
    <xf numFmtId="168" fontId="6" fillId="12" borderId="0" xfId="4" applyNumberFormat="1" applyFont="1" applyFill="1"/>
    <xf numFmtId="183" fontId="0" fillId="12" borderId="0" xfId="0" applyNumberFormat="1" applyFill="1"/>
    <xf numFmtId="184" fontId="18" fillId="12" borderId="19" xfId="0" applyNumberFormat="1" applyFont="1" applyFill="1" applyBorder="1"/>
    <xf numFmtId="3" fontId="0" fillId="12" borderId="0" xfId="0" applyNumberFormat="1" applyFill="1"/>
    <xf numFmtId="164" fontId="0" fillId="12" borderId="0" xfId="0" applyNumberFormat="1" applyFill="1"/>
    <xf numFmtId="1" fontId="0" fillId="12" borderId="19" xfId="0" applyNumberFormat="1" applyFill="1" applyBorder="1"/>
    <xf numFmtId="0" fontId="0" fillId="12" borderId="19" xfId="0" applyFill="1" applyBorder="1"/>
    <xf numFmtId="0" fontId="0" fillId="12" borderId="19" xfId="0" applyNumberFormat="1" applyFill="1" applyBorder="1"/>
    <xf numFmtId="5" fontId="0" fillId="12" borderId="19" xfId="0" applyNumberFormat="1" applyFill="1" applyBorder="1"/>
    <xf numFmtId="2" fontId="0" fillId="12" borderId="19" xfId="0" applyNumberFormat="1" applyFill="1" applyBorder="1"/>
    <xf numFmtId="169" fontId="6" fillId="12" borderId="19" xfId="0" applyNumberFormat="1" applyFont="1" applyFill="1" applyBorder="1"/>
    <xf numFmtId="164" fontId="0" fillId="12" borderId="19" xfId="0" applyNumberFormat="1" applyFill="1" applyBorder="1"/>
    <xf numFmtId="5" fontId="6" fillId="12" borderId="19" xfId="0" applyNumberFormat="1" applyFont="1" applyFill="1" applyBorder="1"/>
    <xf numFmtId="185" fontId="18" fillId="12" borderId="19" xfId="0" applyNumberFormat="1" applyFont="1" applyFill="1" applyBorder="1"/>
    <xf numFmtId="183" fontId="0" fillId="12" borderId="19" xfId="0" applyNumberFormat="1" applyFill="1" applyBorder="1"/>
    <xf numFmtId="168" fontId="6" fillId="0" borderId="20" xfId="4" applyNumberFormat="1" applyFont="1" applyFill="1" applyBorder="1"/>
    <xf numFmtId="168" fontId="6" fillId="5" borderId="20" xfId="4" applyNumberFormat="1" applyFont="1" applyFill="1" applyBorder="1"/>
    <xf numFmtId="168" fontId="5" fillId="0" borderId="20" xfId="4" applyNumberFormat="1" applyFont="1" applyFill="1" applyBorder="1"/>
    <xf numFmtId="0" fontId="6" fillId="0" borderId="20" xfId="0" applyFont="1" applyFill="1" applyBorder="1"/>
    <xf numFmtId="0" fontId="6" fillId="5" borderId="20" xfId="0" applyFont="1" applyFill="1" applyBorder="1"/>
    <xf numFmtId="0" fontId="18" fillId="5" borderId="19" xfId="0" applyFont="1" applyFill="1" applyBorder="1"/>
    <xf numFmtId="0" fontId="5" fillId="0" borderId="19" xfId="0" applyFont="1" applyFill="1" applyBorder="1"/>
    <xf numFmtId="3" fontId="6" fillId="0" borderId="20" xfId="0" applyNumberFormat="1" applyFont="1" applyFill="1" applyBorder="1"/>
    <xf numFmtId="164" fontId="6" fillId="0" borderId="20" xfId="0" applyNumberFormat="1" applyFont="1" applyFill="1" applyBorder="1"/>
    <xf numFmtId="0" fontId="6" fillId="0" borderId="19" xfId="0" applyFont="1" applyFill="1" applyBorder="1"/>
    <xf numFmtId="0" fontId="6" fillId="5" borderId="19" xfId="0" applyFont="1" applyFill="1" applyBorder="1"/>
    <xf numFmtId="2" fontId="6" fillId="0" borderId="19" xfId="0" applyNumberFormat="1" applyFont="1" applyFill="1" applyBorder="1"/>
    <xf numFmtId="181" fontId="6" fillId="5" borderId="19" xfId="0" applyNumberFormat="1" applyFont="1" applyFill="1" applyBorder="1"/>
    <xf numFmtId="166" fontId="6" fillId="0" borderId="19" xfId="0" applyNumberFormat="1" applyFont="1" applyFill="1" applyBorder="1"/>
    <xf numFmtId="182" fontId="5" fillId="0" borderId="19" xfId="0" applyNumberFormat="1" applyFont="1" applyFill="1" applyBorder="1"/>
    <xf numFmtId="182" fontId="6" fillId="0" borderId="19" xfId="0" applyNumberFormat="1" applyFont="1" applyFill="1" applyBorder="1"/>
    <xf numFmtId="181" fontId="6" fillId="0" borderId="19" xfId="0" applyNumberFormat="1" applyFont="1" applyFill="1" applyBorder="1"/>
    <xf numFmtId="3" fontId="0" fillId="23" borderId="0" xfId="0" applyNumberFormat="1" applyFill="1"/>
    <xf numFmtId="182" fontId="5" fillId="24" borderId="19" xfId="56" applyNumberFormat="1" applyFont="1" applyFill="1" applyBorder="1"/>
    <xf numFmtId="3" fontId="6" fillId="0" borderId="0" xfId="0" applyNumberFormat="1" applyFont="1" applyFill="1" applyBorder="1"/>
    <xf numFmtId="0" fontId="18" fillId="26" borderId="19" xfId="56" applyFont="1" applyFill="1" applyBorder="1"/>
    <xf numFmtId="0" fontId="18" fillId="15" borderId="19" xfId="56" applyFont="1" applyFill="1" applyBorder="1"/>
    <xf numFmtId="0" fontId="6" fillId="5" borderId="19" xfId="56" applyFont="1" applyFill="1" applyBorder="1"/>
    <xf numFmtId="0" fontId="6" fillId="25" borderId="19" xfId="56" applyFont="1" applyFill="1" applyBorder="1"/>
    <xf numFmtId="0" fontId="6" fillId="13" borderId="19" xfId="56" applyFill="1" applyBorder="1"/>
    <xf numFmtId="0" fontId="6" fillId="25" borderId="19" xfId="56" applyFill="1" applyBorder="1"/>
    <xf numFmtId="169" fontId="6" fillId="10" borderId="19" xfId="56" applyNumberFormat="1" applyFill="1" applyBorder="1"/>
    <xf numFmtId="0" fontId="6" fillId="15" borderId="19" xfId="56" applyFill="1" applyBorder="1"/>
    <xf numFmtId="181" fontId="6" fillId="21" borderId="19" xfId="56" applyNumberFormat="1" applyFill="1" applyBorder="1"/>
    <xf numFmtId="0" fontId="6" fillId="21" borderId="19" xfId="56" applyFill="1" applyBorder="1"/>
    <xf numFmtId="2" fontId="6" fillId="24" borderId="19" xfId="56" applyNumberFormat="1" applyFill="1" applyBorder="1"/>
    <xf numFmtId="0" fontId="6" fillId="24" borderId="19" xfId="56" applyFill="1" applyBorder="1"/>
    <xf numFmtId="0" fontId="6" fillId="10" borderId="19" xfId="56" applyFill="1" applyBorder="1"/>
    <xf numFmtId="0" fontId="6" fillId="23" borderId="19" xfId="56" applyNumberFormat="1" applyFill="1" applyBorder="1"/>
    <xf numFmtId="0" fontId="6" fillId="23" borderId="19" xfId="56" applyFill="1" applyBorder="1"/>
    <xf numFmtId="164" fontId="6" fillId="20" borderId="19" xfId="56" applyNumberFormat="1" applyFill="1" applyBorder="1"/>
    <xf numFmtId="3" fontId="6" fillId="15" borderId="19" xfId="56" applyNumberFormat="1" applyFill="1" applyBorder="1"/>
    <xf numFmtId="0" fontId="6" fillId="0" borderId="19" xfId="56" applyFill="1" applyBorder="1"/>
    <xf numFmtId="184" fontId="18" fillId="6" borderId="19" xfId="0" applyNumberFormat="1" applyFont="1" applyFill="1" applyBorder="1"/>
    <xf numFmtId="5" fontId="0" fillId="6" borderId="19" xfId="0" applyNumberFormat="1" applyFill="1" applyBorder="1"/>
    <xf numFmtId="14" fontId="0" fillId="0" borderId="0" xfId="0" applyNumberFormat="1" applyFill="1" applyAlignment="1">
      <alignment wrapText="1"/>
    </xf>
    <xf numFmtId="3" fontId="0" fillId="0" borderId="18" xfId="0" applyNumberFormat="1" applyFill="1" applyBorder="1"/>
    <xf numFmtId="4" fontId="6" fillId="0" borderId="0" xfId="0" applyNumberFormat="1" applyFont="1" applyFill="1" applyBorder="1"/>
    <xf numFmtId="0" fontId="22" fillId="0" borderId="0" xfId="0" applyFont="1" applyFill="1"/>
    <xf numFmtId="181" fontId="22" fillId="0" borderId="0" xfId="0" applyNumberFormat="1" applyFont="1" applyFill="1"/>
    <xf numFmtId="0" fontId="6" fillId="0" borderId="18" xfId="0" applyFont="1" applyFill="1" applyBorder="1"/>
    <xf numFmtId="0" fontId="21" fillId="0" borderId="18" xfId="0" applyFont="1" applyFill="1" applyBorder="1"/>
    <xf numFmtId="181" fontId="21" fillId="0" borderId="18" xfId="0" applyNumberFormat="1" applyFont="1" applyFill="1" applyBorder="1"/>
    <xf numFmtId="192" fontId="0" fillId="0" borderId="0" xfId="0" applyNumberFormat="1" applyFill="1"/>
    <xf numFmtId="181" fontId="5" fillId="0" borderId="0" xfId="0" applyNumberFormat="1" applyFont="1" applyFill="1"/>
    <xf numFmtId="187" fontId="0" fillId="0" borderId="0" xfId="0" applyNumberFormat="1" applyFill="1"/>
    <xf numFmtId="189" fontId="0" fillId="0" borderId="0" xfId="1" applyNumberFormat="1" applyFont="1" applyFill="1"/>
    <xf numFmtId="3" fontId="4" fillId="0" borderId="17" xfId="0" applyNumberFormat="1" applyFont="1" applyFill="1" applyBorder="1"/>
    <xf numFmtId="3" fontId="4" fillId="0" borderId="29" xfId="0" applyNumberFormat="1" applyFont="1" applyFill="1" applyBorder="1"/>
    <xf numFmtId="181" fontId="4" fillId="0" borderId="16" xfId="0" applyNumberFormat="1" applyFont="1" applyFill="1" applyBorder="1"/>
    <xf numFmtId="4" fontId="4" fillId="0" borderId="16" xfId="0" applyNumberFormat="1" applyFont="1" applyFill="1" applyBorder="1"/>
    <xf numFmtId="186" fontId="4" fillId="0" borderId="16" xfId="0" applyNumberFormat="1" applyFont="1" applyFill="1" applyBorder="1"/>
    <xf numFmtId="191" fontId="6" fillId="0" borderId="0" xfId="0" applyNumberFormat="1" applyFont="1" applyFill="1"/>
    <xf numFmtId="168" fontId="6" fillId="0" borderId="0" xfId="0" applyNumberFormat="1" applyFont="1" applyFill="1"/>
    <xf numFmtId="168" fontId="5" fillId="5" borderId="0" xfId="0" applyNumberFormat="1" applyFont="1" applyFill="1"/>
    <xf numFmtId="168" fontId="6" fillId="0" borderId="0" xfId="4" applyNumberFormat="1" applyFont="1" applyFill="1"/>
    <xf numFmtId="168" fontId="0" fillId="5" borderId="0" xfId="0" applyNumberFormat="1" applyFill="1" applyAlignment="1">
      <alignment wrapText="1"/>
    </xf>
    <xf numFmtId="186" fontId="0" fillId="21" borderId="0" xfId="0" applyNumberFormat="1" applyFill="1"/>
    <xf numFmtId="191" fontId="0" fillId="0" borderId="0" xfId="0" applyNumberFormat="1" applyFill="1"/>
    <xf numFmtId="166" fontId="5" fillId="0" borderId="0" xfId="0" applyNumberFormat="1" applyFont="1" applyFill="1"/>
    <xf numFmtId="186" fontId="6" fillId="0" borderId="0" xfId="0" applyNumberFormat="1" applyFont="1" applyFill="1"/>
    <xf numFmtId="3" fontId="0" fillId="0" borderId="0" xfId="0" applyNumberFormat="1" applyFill="1" applyBorder="1"/>
    <xf numFmtId="3" fontId="0" fillId="0" borderId="26" xfId="0" applyNumberFormat="1" applyFill="1" applyBorder="1"/>
    <xf numFmtId="0" fontId="4" fillId="23" borderId="0" xfId="0" applyFont="1" applyFill="1"/>
    <xf numFmtId="0" fontId="4" fillId="0" borderId="0" xfId="0" applyFont="1" applyFill="1" applyBorder="1" applyAlignment="1">
      <alignment wrapText="1"/>
    </xf>
    <xf numFmtId="0" fontId="4" fillId="21" borderId="28" xfId="0" applyFont="1" applyFill="1" applyBorder="1"/>
    <xf numFmtId="0" fontId="4" fillId="21" borderId="18" xfId="0" applyFont="1" applyFill="1" applyBorder="1"/>
    <xf numFmtId="0" fontId="4" fillId="21" borderId="27" xfId="0" applyFont="1" applyFill="1" applyBorder="1"/>
    <xf numFmtId="0" fontId="4" fillId="15" borderId="0" xfId="0" applyFont="1" applyFill="1"/>
    <xf numFmtId="0" fontId="4" fillId="0" borderId="15" xfId="0" applyFont="1" applyFill="1" applyBorder="1"/>
    <xf numFmtId="0" fontId="4" fillId="0" borderId="17" xfId="0" applyFont="1" applyFill="1" applyBorder="1"/>
    <xf numFmtId="0" fontId="4" fillId="0" borderId="16" xfId="0" applyFont="1" applyFill="1" applyBorder="1"/>
    <xf numFmtId="0" fontId="4" fillId="0" borderId="28" xfId="0" applyFont="1" applyFill="1" applyBorder="1"/>
    <xf numFmtId="0" fontId="4" fillId="0" borderId="18" xfId="0" applyFont="1" applyFill="1" applyBorder="1"/>
    <xf numFmtId="0" fontId="4" fillId="0" borderId="27" xfId="0" applyFont="1" applyFill="1" applyBorder="1"/>
    <xf numFmtId="168" fontId="0" fillId="22" borderId="0" xfId="0" applyNumberFormat="1" applyFill="1"/>
    <xf numFmtId="0" fontId="4" fillId="0" borderId="0" xfId="0" applyFont="1" applyFill="1" applyAlignment="1">
      <alignment wrapText="1"/>
    </xf>
    <xf numFmtId="0" fontId="4" fillId="0" borderId="0" xfId="0" applyFont="1" applyFill="1" applyBorder="1" applyAlignment="1">
      <alignment horizontal="center" wrapText="1"/>
    </xf>
    <xf numFmtId="0" fontId="4" fillId="0" borderId="26" xfId="0" applyFont="1" applyFill="1" applyBorder="1" applyAlignment="1">
      <alignment horizontal="center" wrapText="1"/>
    </xf>
    <xf numFmtId="0" fontId="4" fillId="0" borderId="25" xfId="0" applyFont="1" applyFill="1" applyBorder="1" applyAlignment="1">
      <alignment horizontal="center"/>
    </xf>
    <xf numFmtId="0" fontId="4" fillId="0" borderId="10" xfId="0" applyFont="1" applyFill="1" applyBorder="1" applyAlignment="1">
      <alignment horizontal="center"/>
    </xf>
    <xf numFmtId="186" fontId="4" fillId="0" borderId="10" xfId="0" applyNumberFormat="1" applyFont="1" applyFill="1" applyBorder="1" applyAlignment="1">
      <alignment horizontal="center"/>
    </xf>
    <xf numFmtId="0" fontId="4" fillId="0" borderId="5" xfId="0" applyFont="1" applyFill="1" applyBorder="1" applyAlignment="1">
      <alignment horizontal="center"/>
    </xf>
    <xf numFmtId="0" fontId="4" fillId="21" borderId="24" xfId="0" applyFont="1" applyFill="1" applyBorder="1"/>
    <xf numFmtId="0" fontId="4" fillId="21" borderId="9" xfId="0" applyFont="1" applyFill="1" applyBorder="1"/>
    <xf numFmtId="0" fontId="4" fillId="21" borderId="23" xfId="0" applyFont="1" applyFill="1" applyBorder="1"/>
    <xf numFmtId="0" fontId="4" fillId="0" borderId="0" xfId="0" applyFont="1" applyFill="1" applyBorder="1"/>
    <xf numFmtId="0" fontId="4" fillId="0" borderId="11" xfId="0" applyFont="1" applyFill="1" applyBorder="1"/>
    <xf numFmtId="0" fontId="4" fillId="0" borderId="25" xfId="0" applyFont="1" applyFill="1" applyBorder="1"/>
    <xf numFmtId="0" fontId="4" fillId="0" borderId="10" xfId="0" applyFont="1" applyFill="1" applyBorder="1"/>
    <xf numFmtId="0" fontId="4" fillId="0" borderId="24" xfId="0" applyFont="1" applyFill="1" applyBorder="1"/>
    <xf numFmtId="0" fontId="4" fillId="0" borderId="9" xfId="0" applyFont="1" applyFill="1" applyBorder="1"/>
    <xf numFmtId="0" fontId="4" fillId="0" borderId="23" xfId="0" applyFont="1" applyFill="1" applyBorder="1"/>
    <xf numFmtId="0" fontId="4" fillId="0" borderId="0" xfId="0" applyFont="1" applyFill="1" applyAlignment="1">
      <alignment horizontal="center"/>
    </xf>
    <xf numFmtId="0" fontId="4" fillId="0" borderId="22" xfId="0" applyFont="1" applyFill="1" applyBorder="1" applyAlignment="1">
      <alignment horizontal="center"/>
    </xf>
    <xf numFmtId="186" fontId="4" fillId="0" borderId="3" xfId="0" applyNumberFormat="1" applyFont="1" applyFill="1" applyBorder="1" applyAlignment="1">
      <alignment horizontal="center"/>
    </xf>
    <xf numFmtId="181" fontId="4" fillId="0" borderId="3" xfId="0" applyNumberFormat="1" applyFont="1" applyFill="1" applyBorder="1" applyAlignment="1">
      <alignment horizontal="center"/>
    </xf>
    <xf numFmtId="0" fontId="4" fillId="0" borderId="5" xfId="0" applyFont="1" applyFill="1" applyBorder="1" applyAlignment="1">
      <alignment horizontal="left"/>
    </xf>
    <xf numFmtId="0" fontId="4" fillId="0" borderId="4" xfId="0" applyFont="1" applyFill="1" applyBorder="1" applyAlignment="1">
      <alignment horizontal="right"/>
    </xf>
    <xf numFmtId="4" fontId="4" fillId="0" borderId="4" xfId="0" applyNumberFormat="1"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181" fontId="4" fillId="0" borderId="2" xfId="0" applyNumberFormat="1" applyFont="1" applyFill="1" applyBorder="1" applyAlignment="1">
      <alignment horizontal="center"/>
    </xf>
    <xf numFmtId="0" fontId="0" fillId="0" borderId="21" xfId="0" applyFill="1" applyBorder="1"/>
    <xf numFmtId="186" fontId="4" fillId="0" borderId="7" xfId="0" applyNumberFormat="1" applyFont="1" applyFill="1" applyBorder="1" applyAlignment="1">
      <alignment horizontal="center"/>
    </xf>
    <xf numFmtId="181" fontId="4" fillId="0" borderId="7" xfId="0" applyNumberFormat="1" applyFont="1" applyFill="1" applyBorder="1" applyAlignment="1">
      <alignment horizontal="center"/>
    </xf>
    <xf numFmtId="186" fontId="6" fillId="0" borderId="0" xfId="56" applyNumberFormat="1" applyFill="1" applyBorder="1"/>
    <xf numFmtId="181" fontId="4" fillId="0" borderId="6" xfId="0" applyNumberFormat="1" applyFont="1" applyFill="1" applyBorder="1" applyAlignment="1">
      <alignment horizontal="center"/>
    </xf>
    <xf numFmtId="186" fontId="6" fillId="0" borderId="0" xfId="125" applyNumberFormat="1" applyFill="1" applyBorder="1"/>
    <xf numFmtId="44" fontId="0" fillId="0" borderId="0" xfId="48" applyFont="1" applyFill="1"/>
    <xf numFmtId="4" fontId="6" fillId="0" borderId="0" xfId="0" applyNumberFormat="1" applyFont="1" applyFill="1"/>
    <xf numFmtId="189" fontId="6" fillId="0" borderId="0" xfId="39" applyNumberFormat="1" applyFont="1" applyFill="1"/>
    <xf numFmtId="6" fontId="0" fillId="0" borderId="0" xfId="0" applyNumberFormat="1" applyFill="1"/>
    <xf numFmtId="174" fontId="0" fillId="0" borderId="0" xfId="0" applyNumberFormat="1" applyFill="1"/>
    <xf numFmtId="43" fontId="0" fillId="0" borderId="0" xfId="0" applyNumberFormat="1" applyFill="1"/>
    <xf numFmtId="190" fontId="0" fillId="0" borderId="0" xfId="4" applyNumberFormat="1" applyFont="1" applyFill="1"/>
    <xf numFmtId="187" fontId="6" fillId="0" borderId="0" xfId="0" applyNumberFormat="1" applyFont="1" applyFill="1"/>
    <xf numFmtId="0" fontId="4" fillId="0" borderId="5" xfId="0" applyFont="1" applyFill="1" applyBorder="1"/>
    <xf numFmtId="181" fontId="0" fillId="0" borderId="4" xfId="0" applyNumberFormat="1" applyFill="1" applyBorder="1"/>
    <xf numFmtId="0" fontId="4" fillId="0" borderId="3" xfId="0" applyFont="1" applyFill="1" applyBorder="1"/>
    <xf numFmtId="174" fontId="0" fillId="0" borderId="0" xfId="48" applyNumberFormat="1" applyFont="1" applyFill="1"/>
    <xf numFmtId="189" fontId="0" fillId="0" borderId="0" xfId="0" applyNumberFormat="1" applyFill="1"/>
    <xf numFmtId="188" fontId="0" fillId="0" borderId="0" xfId="0" applyNumberFormat="1" applyFill="1"/>
    <xf numFmtId="187" fontId="5" fillId="0" borderId="0" xfId="0" applyNumberFormat="1" applyFont="1" applyFill="1"/>
    <xf numFmtId="168" fontId="0" fillId="0" borderId="0" xfId="0" applyNumberFormat="1" applyFill="1"/>
    <xf numFmtId="186" fontId="0" fillId="0" borderId="0" xfId="0" applyNumberFormat="1" applyFill="1"/>
    <xf numFmtId="43" fontId="0" fillId="0" borderId="0" xfId="4" applyFont="1" applyFill="1"/>
    <xf numFmtId="181" fontId="0" fillId="0" borderId="0" xfId="0" applyNumberFormat="1" applyFill="1" applyBorder="1"/>
    <xf numFmtId="49" fontId="4" fillId="0" borderId="0" xfId="0" applyNumberFormat="1" applyFont="1" applyFill="1" applyAlignment="1">
      <alignment vertical="top"/>
    </xf>
    <xf numFmtId="168" fontId="19" fillId="20" borderId="19" xfId="7" applyNumberFormat="1" applyFont="1" applyFill="1" applyBorder="1" applyAlignment="1">
      <alignment horizontal="center" wrapText="1"/>
    </xf>
    <xf numFmtId="168" fontId="20" fillId="0" borderId="19" xfId="7" applyNumberFormat="1" applyFont="1" applyBorder="1" applyAlignment="1">
      <alignment wrapText="1"/>
    </xf>
    <xf numFmtId="168" fontId="19" fillId="0" borderId="19" xfId="7" applyNumberFormat="1" applyFont="1" applyBorder="1" applyAlignment="1">
      <alignment wrapText="1"/>
    </xf>
    <xf numFmtId="168" fontId="20" fillId="20" borderId="19" xfId="7" applyNumberFormat="1" applyFont="1" applyFill="1" applyBorder="1" applyAlignment="1">
      <alignment horizontal="center" wrapText="1"/>
    </xf>
    <xf numFmtId="0" fontId="6" fillId="27" borderId="19" xfId="56" applyFill="1" applyBorder="1"/>
    <xf numFmtId="0" fontId="6" fillId="28" borderId="19" xfId="56" applyFill="1" applyBorder="1"/>
    <xf numFmtId="181" fontId="6" fillId="24" borderId="19" xfId="56" applyNumberFormat="1" applyFill="1" applyBorder="1"/>
    <xf numFmtId="0" fontId="4" fillId="0" borderId="19" xfId="56" applyFont="1" applyFill="1" applyBorder="1"/>
    <xf numFmtId="0" fontId="6" fillId="0" borderId="19" xfId="56" applyNumberFormat="1" applyFill="1" applyBorder="1"/>
    <xf numFmtId="1" fontId="6" fillId="23" borderId="19" xfId="56" applyNumberFormat="1" applyFill="1" applyBorder="1"/>
    <xf numFmtId="5" fontId="6" fillId="10" borderId="19" xfId="56" applyNumberFormat="1" applyFill="1" applyBorder="1"/>
    <xf numFmtId="5" fontId="6" fillId="24" borderId="19" xfId="56" applyNumberFormat="1" applyFill="1" applyBorder="1"/>
    <xf numFmtId="5" fontId="6" fillId="21" borderId="19" xfId="56" applyNumberFormat="1" applyFill="1" applyBorder="1"/>
    <xf numFmtId="5" fontId="6" fillId="15" borderId="19" xfId="56" applyNumberFormat="1" applyFill="1" applyBorder="1"/>
    <xf numFmtId="5" fontId="6" fillId="23" borderId="19" xfId="56" applyNumberFormat="1" applyFill="1" applyBorder="1"/>
    <xf numFmtId="5" fontId="6" fillId="25" borderId="19" xfId="56" applyNumberFormat="1" applyFill="1" applyBorder="1"/>
    <xf numFmtId="5" fontId="6" fillId="13" borderId="19" xfId="56" applyNumberFormat="1" applyFill="1" applyBorder="1"/>
    <xf numFmtId="5" fontId="6" fillId="25" borderId="19" xfId="56" applyNumberFormat="1" applyFont="1" applyFill="1" applyBorder="1"/>
    <xf numFmtId="164" fontId="6" fillId="25" borderId="19" xfId="56" applyNumberFormat="1" applyFont="1" applyFill="1" applyBorder="1"/>
    <xf numFmtId="5" fontId="6" fillId="5" borderId="19" xfId="56" applyNumberFormat="1" applyFont="1" applyFill="1" applyBorder="1"/>
    <xf numFmtId="183" fontId="6" fillId="15" borderId="19" xfId="56" applyNumberFormat="1" applyFill="1" applyBorder="1"/>
    <xf numFmtId="184" fontId="18" fillId="15" borderId="19" xfId="56" applyNumberFormat="1" applyFont="1" applyFill="1" applyBorder="1"/>
    <xf numFmtId="183" fontId="6" fillId="23" borderId="19" xfId="56" applyNumberFormat="1" applyFill="1" applyBorder="1"/>
    <xf numFmtId="3" fontId="6" fillId="24" borderId="19" xfId="56" applyNumberFormat="1" applyFill="1" applyBorder="1"/>
    <xf numFmtId="184" fontId="18" fillId="26" borderId="19" xfId="56" applyNumberFormat="1" applyFont="1" applyFill="1" applyBorder="1"/>
    <xf numFmtId="185" fontId="18" fillId="24" borderId="19" xfId="56" applyNumberFormat="1" applyFont="1" applyFill="1" applyBorder="1"/>
    <xf numFmtId="183" fontId="6" fillId="10" borderId="19" xfId="56" applyNumberFormat="1" applyFill="1" applyBorder="1"/>
    <xf numFmtId="183" fontId="6" fillId="24" borderId="19" xfId="56" applyNumberFormat="1" applyFill="1" applyBorder="1"/>
    <xf numFmtId="183" fontId="6" fillId="27" borderId="19" xfId="56" applyNumberFormat="1" applyFill="1" applyBorder="1"/>
    <xf numFmtId="183" fontId="6" fillId="28" borderId="19" xfId="56" applyNumberFormat="1" applyFill="1" applyBorder="1"/>
    <xf numFmtId="4" fontId="6" fillId="15" borderId="19" xfId="56" applyNumberFormat="1" applyFill="1" applyBorder="1"/>
    <xf numFmtId="4" fontId="6" fillId="24" borderId="19" xfId="56" applyNumberFormat="1" applyFill="1" applyBorder="1"/>
    <xf numFmtId="0" fontId="6" fillId="0" borderId="19" xfId="56" applyNumberFormat="1" applyFont="1" applyFill="1" applyBorder="1"/>
    <xf numFmtId="49" fontId="6" fillId="0" borderId="19" xfId="56" applyNumberFormat="1" applyFont="1" applyFill="1" applyBorder="1"/>
    <xf numFmtId="5" fontId="6" fillId="0" borderId="19" xfId="56" applyNumberFormat="1" applyFill="1" applyBorder="1"/>
    <xf numFmtId="169" fontId="6" fillId="10" borderId="19" xfId="56" applyNumberFormat="1" applyFont="1" applyFill="1" applyBorder="1"/>
    <xf numFmtId="0" fontId="6" fillId="0" borderId="19" xfId="56" applyFont="1" applyFill="1" applyBorder="1"/>
    <xf numFmtId="3" fontId="6" fillId="15" borderId="19" xfId="56" applyNumberFormat="1" applyFont="1" applyFill="1" applyBorder="1"/>
    <xf numFmtId="164" fontId="6" fillId="20" borderId="19" xfId="56" applyNumberFormat="1" applyFont="1" applyFill="1" applyBorder="1"/>
    <xf numFmtId="0" fontId="6" fillId="23" borderId="19" xfId="56" applyFont="1" applyFill="1" applyBorder="1"/>
    <xf numFmtId="0" fontId="6" fillId="23" borderId="19" xfId="56" applyNumberFormat="1" applyFont="1" applyFill="1" applyBorder="1"/>
    <xf numFmtId="0" fontId="6" fillId="10" borderId="19" xfId="56" applyFont="1" applyFill="1" applyBorder="1"/>
    <xf numFmtId="0" fontId="6" fillId="24" borderId="19" xfId="56" applyFont="1" applyFill="1" applyBorder="1"/>
    <xf numFmtId="2" fontId="6" fillId="24" borderId="19" xfId="56" applyNumberFormat="1" applyFont="1" applyFill="1" applyBorder="1"/>
    <xf numFmtId="0" fontId="6" fillId="21" borderId="19" xfId="56" applyFont="1" applyFill="1" applyBorder="1"/>
    <xf numFmtId="181" fontId="6" fillId="21" borderId="19" xfId="56" applyNumberFormat="1" applyFont="1" applyFill="1" applyBorder="1"/>
    <xf numFmtId="0" fontId="6" fillId="15" borderId="19" xfId="56" applyFont="1" applyFill="1" applyBorder="1"/>
    <xf numFmtId="0" fontId="6" fillId="13" borderId="19" xfId="56" applyFont="1" applyFill="1" applyBorder="1"/>
    <xf numFmtId="168" fontId="6" fillId="24" borderId="19" xfId="4" applyNumberFormat="1" applyFont="1" applyFill="1" applyBorder="1"/>
    <xf numFmtId="0" fontId="6" fillId="27" borderId="19" xfId="56" applyFont="1" applyFill="1" applyBorder="1"/>
    <xf numFmtId="0" fontId="6" fillId="28" borderId="19" xfId="56" applyFont="1" applyFill="1" applyBorder="1"/>
    <xf numFmtId="181" fontId="6" fillId="24" borderId="19" xfId="56" applyNumberFormat="1" applyFont="1" applyFill="1" applyBorder="1"/>
    <xf numFmtId="5" fontId="6" fillId="6" borderId="19" xfId="56" applyNumberFormat="1" applyFill="1" applyBorder="1"/>
    <xf numFmtId="184" fontId="18" fillId="6" borderId="19" xfId="56" applyNumberFormat="1" applyFont="1" applyFill="1" applyBorder="1"/>
    <xf numFmtId="10" fontId="20" fillId="0" borderId="19" xfId="3" applyNumberFormat="1" applyFont="1" applyBorder="1" applyAlignment="1">
      <alignment wrapText="1"/>
    </xf>
    <xf numFmtId="10" fontId="19" fillId="0" borderId="19" xfId="3" applyNumberFormat="1" applyFont="1" applyBorder="1" applyAlignment="1">
      <alignment wrapText="1"/>
    </xf>
    <xf numFmtId="0" fontId="20" fillId="0" borderId="0" xfId="0" applyFont="1"/>
    <xf numFmtId="168" fontId="20" fillId="0" borderId="0" xfId="7" applyNumberFormat="1" applyFont="1"/>
    <xf numFmtId="10" fontId="25" fillId="0" borderId="0" xfId="3" applyNumberFormat="1" applyFont="1"/>
    <xf numFmtId="168" fontId="20" fillId="0" borderId="19" xfId="1" quotePrefix="1" applyNumberFormat="1" applyFont="1" applyBorder="1" applyAlignment="1">
      <alignment wrapText="1"/>
    </xf>
    <xf numFmtId="168" fontId="19" fillId="20" borderId="19" xfId="1" applyNumberFormat="1" applyFont="1" applyFill="1" applyBorder="1" applyAlignment="1">
      <alignment horizontal="center" wrapText="1"/>
    </xf>
    <xf numFmtId="168" fontId="20" fillId="0" borderId="19" xfId="1" applyNumberFormat="1" applyFont="1" applyBorder="1" applyAlignment="1">
      <alignment wrapText="1"/>
    </xf>
    <xf numFmtId="168" fontId="19" fillId="0" borderId="19" xfId="1" applyNumberFormat="1" applyFont="1" applyBorder="1" applyAlignment="1">
      <alignment wrapText="1"/>
    </xf>
    <xf numFmtId="168" fontId="25" fillId="0" borderId="0" xfId="1" applyNumberFormat="1" applyFont="1"/>
    <xf numFmtId="168" fontId="20" fillId="0" borderId="0" xfId="1" applyNumberFormat="1" applyFont="1"/>
    <xf numFmtId="0" fontId="24" fillId="0" borderId="0" xfId="130" quotePrefix="1" applyNumberFormat="1" applyFont="1" applyBorder="1"/>
    <xf numFmtId="168" fontId="24" fillId="0" borderId="0" xfId="131" quotePrefix="1" applyNumberFormat="1" applyFont="1" applyBorder="1"/>
    <xf numFmtId="168" fontId="24" fillId="0" borderId="0" xfId="131" applyNumberFormat="1" applyFont="1" applyBorder="1"/>
    <xf numFmtId="0" fontId="24" fillId="0" borderId="0" xfId="130" applyFont="1" applyBorder="1"/>
    <xf numFmtId="0" fontId="29" fillId="0" borderId="0" xfId="130" quotePrefix="1" applyNumberFormat="1" applyFont="1" applyBorder="1" applyAlignment="1">
      <alignment horizontal="center" wrapText="1"/>
    </xf>
    <xf numFmtId="168" fontId="29" fillId="0" borderId="0" xfId="131" quotePrefix="1" applyNumberFormat="1" applyFont="1" applyBorder="1" applyAlignment="1">
      <alignment horizontal="center" wrapText="1"/>
    </xf>
    <xf numFmtId="0" fontId="29" fillId="0" borderId="0" xfId="130" applyFont="1" applyBorder="1" applyAlignment="1">
      <alignment horizontal="center" wrapText="1"/>
    </xf>
    <xf numFmtId="168" fontId="29" fillId="5" borderId="0" xfId="131" quotePrefix="1" applyNumberFormat="1" applyFont="1" applyFill="1" applyBorder="1" applyAlignment="1">
      <alignment horizontal="center" wrapText="1"/>
    </xf>
    <xf numFmtId="0" fontId="29" fillId="0" borderId="0" xfId="130" quotePrefix="1" applyNumberFormat="1" applyFont="1" applyBorder="1"/>
    <xf numFmtId="168" fontId="29" fillId="0" borderId="0" xfId="131" quotePrefix="1" applyNumberFormat="1" applyFont="1" applyBorder="1"/>
    <xf numFmtId="0" fontId="29" fillId="0" borderId="0" xfId="130" applyFont="1" applyBorder="1"/>
    <xf numFmtId="168" fontId="29" fillId="0" borderId="0" xfId="131" applyNumberFormat="1" applyFont="1" applyBorder="1"/>
    <xf numFmtId="10" fontId="25" fillId="29" borderId="0" xfId="3" applyNumberFormat="1" applyFont="1" applyFill="1"/>
    <xf numFmtId="10" fontId="25" fillId="21" borderId="0" xfId="3" applyNumberFormat="1" applyFont="1" applyFill="1"/>
    <xf numFmtId="0" fontId="30" fillId="0" borderId="6" xfId="56" applyFont="1" applyBorder="1"/>
    <xf numFmtId="0" fontId="6" fillId="0" borderId="0" xfId="56"/>
    <xf numFmtId="0" fontId="6" fillId="0" borderId="0" xfId="56" applyFill="1"/>
    <xf numFmtId="9" fontId="6" fillId="0" borderId="0" xfId="56" applyNumberFormat="1" applyFill="1"/>
    <xf numFmtId="0" fontId="31" fillId="0" borderId="0" xfId="56" applyFont="1" applyFill="1"/>
    <xf numFmtId="168" fontId="6" fillId="0" borderId="0" xfId="56" applyNumberFormat="1" applyFill="1"/>
    <xf numFmtId="2" fontId="6" fillId="0" borderId="0" xfId="56" applyNumberFormat="1"/>
    <xf numFmtId="0" fontId="6" fillId="29" borderId="0" xfId="56" applyFill="1"/>
    <xf numFmtId="49" fontId="4" fillId="0" borderId="0" xfId="56" applyNumberFormat="1" applyFont="1" applyAlignment="1">
      <alignment vertical="top"/>
    </xf>
    <xf numFmtId="0" fontId="32" fillId="0" borderId="8" xfId="56" applyFont="1" applyBorder="1"/>
    <xf numFmtId="0" fontId="4" fillId="0" borderId="0" xfId="56" applyFont="1"/>
    <xf numFmtId="168" fontId="33" fillId="0" borderId="0" xfId="56" applyNumberFormat="1" applyFont="1" applyFill="1"/>
    <xf numFmtId="43" fontId="6" fillId="0" borderId="0" xfId="56" applyNumberFormat="1" applyFill="1"/>
    <xf numFmtId="168" fontId="6" fillId="0" borderId="0" xfId="56" applyNumberFormat="1"/>
    <xf numFmtId="0" fontId="6" fillId="0" borderId="18" xfId="56" applyBorder="1"/>
    <xf numFmtId="0" fontId="6" fillId="0" borderId="18" xfId="56" applyBorder="1" applyAlignment="1">
      <alignment horizontal="center"/>
    </xf>
    <xf numFmtId="0" fontId="34" fillId="0" borderId="0" xfId="56" applyFont="1" applyBorder="1"/>
    <xf numFmtId="0" fontId="35" fillId="0" borderId="0" xfId="56" applyFont="1"/>
    <xf numFmtId="0" fontId="36" fillId="0" borderId="0" xfId="56" applyFont="1"/>
    <xf numFmtId="43" fontId="6" fillId="0" borderId="0" xfId="56" applyNumberFormat="1"/>
    <xf numFmtId="168" fontId="37" fillId="0" borderId="0" xfId="1" applyNumberFormat="1" applyFont="1" applyFill="1"/>
    <xf numFmtId="0" fontId="6" fillId="16" borderId="0" xfId="56" applyFill="1"/>
    <xf numFmtId="10" fontId="6" fillId="29" borderId="0" xfId="3" applyNumberFormat="1" applyFont="1" applyFill="1"/>
    <xf numFmtId="0" fontId="6" fillId="0" borderId="0" xfId="56" applyAlignment="1">
      <alignment wrapText="1"/>
    </xf>
    <xf numFmtId="0" fontId="6" fillId="6" borderId="0" xfId="56" applyFill="1" applyAlignment="1">
      <alignment wrapText="1"/>
    </xf>
    <xf numFmtId="168" fontId="6" fillId="30" borderId="0" xfId="1" applyNumberFormat="1" applyFont="1" applyFill="1"/>
    <xf numFmtId="168" fontId="6" fillId="30" borderId="0" xfId="56" applyNumberFormat="1" applyFill="1"/>
    <xf numFmtId="0" fontId="6" fillId="23" borderId="0" xfId="56" applyFill="1"/>
    <xf numFmtId="168" fontId="6" fillId="23" borderId="0" xfId="1" applyNumberFormat="1" applyFont="1" applyFill="1"/>
    <xf numFmtId="168" fontId="6" fillId="23" borderId="0" xfId="56" applyNumberFormat="1" applyFill="1"/>
    <xf numFmtId="0" fontId="31" fillId="0" borderId="2" xfId="56" applyFont="1" applyBorder="1" applyAlignment="1">
      <alignment horizontal="center"/>
    </xf>
    <xf numFmtId="0" fontId="31" fillId="0" borderId="3" xfId="56" applyFont="1" applyBorder="1" applyAlignment="1">
      <alignment horizontal="center"/>
    </xf>
    <xf numFmtId="0" fontId="6" fillId="0" borderId="30" xfId="56" applyBorder="1"/>
    <xf numFmtId="0" fontId="31" fillId="0" borderId="0" xfId="56" applyFont="1" applyBorder="1" applyAlignment="1">
      <alignment horizontal="center"/>
    </xf>
    <xf numFmtId="0" fontId="6" fillId="5" borderId="0" xfId="56" applyFill="1"/>
    <xf numFmtId="0" fontId="4" fillId="0" borderId="18" xfId="56" applyFont="1" applyBorder="1"/>
    <xf numFmtId="0" fontId="6" fillId="0" borderId="0" xfId="56" applyBorder="1"/>
    <xf numFmtId="0" fontId="27" fillId="31" borderId="18" xfId="56" applyFont="1" applyFill="1" applyBorder="1" applyAlignment="1">
      <alignment horizontal="center" wrapText="1"/>
    </xf>
    <xf numFmtId="0" fontId="27" fillId="31" borderId="0" xfId="56" applyFont="1" applyFill="1" applyBorder="1" applyAlignment="1">
      <alignment horizontal="center" wrapText="1"/>
    </xf>
    <xf numFmtId="0" fontId="27" fillId="0" borderId="27" xfId="56" applyFont="1" applyBorder="1" applyAlignment="1">
      <alignment horizontal="center"/>
    </xf>
    <xf numFmtId="0" fontId="27" fillId="0" borderId="18" xfId="56" applyFont="1" applyBorder="1" applyAlignment="1">
      <alignment horizontal="center"/>
    </xf>
    <xf numFmtId="0" fontId="27" fillId="0" borderId="19" xfId="56" applyFont="1" applyFill="1" applyBorder="1" applyAlignment="1">
      <alignment horizontal="center" wrapText="1"/>
    </xf>
    <xf numFmtId="0" fontId="27" fillId="5" borderId="18" xfId="56" applyFont="1" applyFill="1" applyBorder="1" applyAlignment="1">
      <alignment horizontal="center" wrapText="1"/>
    </xf>
    <xf numFmtId="0" fontId="27" fillId="0" borderId="18" xfId="56" applyFont="1" applyBorder="1" applyAlignment="1">
      <alignment horizontal="center" wrapText="1"/>
    </xf>
    <xf numFmtId="0" fontId="27" fillId="0" borderId="0" xfId="56" applyFont="1" applyAlignment="1">
      <alignment horizontal="center"/>
    </xf>
    <xf numFmtId="0" fontId="27" fillId="3" borderId="18" xfId="56" applyFont="1" applyFill="1" applyBorder="1" applyAlignment="1">
      <alignment horizontal="center" wrapText="1"/>
    </xf>
    <xf numFmtId="168" fontId="1" fillId="0" borderId="0" xfId="1" applyNumberFormat="1" applyFont="1" applyBorder="1"/>
    <xf numFmtId="168" fontId="0" fillId="0" borderId="30" xfId="1" applyNumberFormat="1" applyFont="1" applyBorder="1"/>
    <xf numFmtId="43" fontId="0" fillId="0" borderId="0" xfId="1" applyNumberFormat="1" applyFont="1"/>
    <xf numFmtId="168" fontId="6" fillId="3" borderId="0" xfId="56" applyNumberFormat="1" applyFill="1"/>
    <xf numFmtId="168" fontId="6" fillId="12" borderId="0" xfId="56" applyNumberFormat="1" applyFill="1"/>
    <xf numFmtId="168" fontId="31" fillId="5" borderId="3" xfId="1" applyNumberFormat="1" applyFont="1" applyFill="1" applyBorder="1"/>
    <xf numFmtId="168" fontId="31" fillId="5" borderId="2" xfId="1" applyNumberFormat="1" applyFont="1" applyFill="1" applyBorder="1"/>
    <xf numFmtId="168" fontId="1" fillId="23" borderId="0" xfId="1" applyNumberFormat="1" applyFont="1" applyFill="1" applyBorder="1"/>
    <xf numFmtId="168" fontId="6" fillId="23" borderId="30" xfId="1" applyNumberFormat="1" applyFont="1" applyFill="1" applyBorder="1"/>
    <xf numFmtId="43" fontId="6" fillId="23" borderId="0" xfId="1" applyNumberFormat="1" applyFont="1" applyFill="1"/>
    <xf numFmtId="168" fontId="6" fillId="8" borderId="0" xfId="56" applyNumberFormat="1" applyFill="1"/>
    <xf numFmtId="168" fontId="6" fillId="6" borderId="0" xfId="1" applyNumberFormat="1" applyFont="1" applyFill="1"/>
    <xf numFmtId="168" fontId="1" fillId="8" borderId="0" xfId="134" applyNumberFormat="1" applyFont="1" applyFill="1"/>
    <xf numFmtId="168" fontId="6" fillId="6" borderId="0" xfId="56" applyNumberFormat="1" applyFill="1"/>
    <xf numFmtId="43" fontId="31" fillId="0" borderId="0" xfId="1" applyNumberFormat="1" applyFont="1" applyFill="1" applyBorder="1"/>
    <xf numFmtId="43" fontId="0" fillId="0" borderId="0" xfId="1" applyNumberFormat="1" applyFont="1" applyFill="1"/>
    <xf numFmtId="168" fontId="31" fillId="0" borderId="2" xfId="1" applyNumberFormat="1" applyFont="1" applyBorder="1"/>
    <xf numFmtId="168" fontId="26" fillId="0" borderId="0" xfId="1" applyNumberFormat="1" applyFont="1" applyBorder="1"/>
    <xf numFmtId="168" fontId="6" fillId="14" borderId="0" xfId="1" applyNumberFormat="1" applyFont="1" applyFill="1"/>
    <xf numFmtId="168" fontId="31" fillId="0" borderId="3" xfId="1" applyNumberFormat="1" applyFont="1" applyBorder="1"/>
    <xf numFmtId="168" fontId="33" fillId="0" borderId="0" xfId="1" applyNumberFormat="1" applyFont="1" applyBorder="1"/>
    <xf numFmtId="168" fontId="0" fillId="0" borderId="30" xfId="1" applyNumberFormat="1" applyFont="1" applyFill="1" applyBorder="1"/>
    <xf numFmtId="168" fontId="6" fillId="5" borderId="0" xfId="56" applyNumberFormat="1" applyFill="1"/>
    <xf numFmtId="0" fontId="6" fillId="32" borderId="0" xfId="56" applyFill="1"/>
    <xf numFmtId="37" fontId="0" fillId="0" borderId="0" xfId="1" applyNumberFormat="1" applyFont="1"/>
    <xf numFmtId="168" fontId="31" fillId="0" borderId="0" xfId="1" applyNumberFormat="1" applyFont="1" applyBorder="1"/>
    <xf numFmtId="168" fontId="1" fillId="5" borderId="0" xfId="1" applyNumberFormat="1" applyFont="1" applyFill="1" applyBorder="1"/>
    <xf numFmtId="168" fontId="6" fillId="16" borderId="0" xfId="56" applyNumberFormat="1" applyFill="1"/>
    <xf numFmtId="168" fontId="31" fillId="5" borderId="0" xfId="1" applyNumberFormat="1" applyFont="1" applyFill="1" applyBorder="1"/>
    <xf numFmtId="168" fontId="26" fillId="0" borderId="18" xfId="1" applyNumberFormat="1" applyFont="1" applyBorder="1"/>
    <xf numFmtId="168" fontId="0" fillId="0" borderId="18" xfId="1" applyNumberFormat="1" applyFont="1" applyBorder="1"/>
    <xf numFmtId="168" fontId="6" fillId="5" borderId="18" xfId="1" applyNumberFormat="1" applyFont="1" applyFill="1" applyBorder="1"/>
    <xf numFmtId="168" fontId="0" fillId="0" borderId="31" xfId="1" applyNumberFormat="1" applyFont="1" applyBorder="1"/>
    <xf numFmtId="43" fontId="0" fillId="0" borderId="18" xfId="1" applyNumberFormat="1" applyFont="1" applyFill="1" applyBorder="1"/>
    <xf numFmtId="168" fontId="6" fillId="0" borderId="18" xfId="56" applyNumberFormat="1" applyBorder="1"/>
    <xf numFmtId="168" fontId="6" fillId="3" borderId="18" xfId="1" applyNumberFormat="1" applyFont="1" applyFill="1" applyBorder="1"/>
    <xf numFmtId="168" fontId="6" fillId="3" borderId="18" xfId="56" applyNumberFormat="1" applyFill="1" applyBorder="1"/>
    <xf numFmtId="0" fontId="6" fillId="0" borderId="0" xfId="56" applyAlignment="1">
      <alignment horizontal="center"/>
    </xf>
    <xf numFmtId="0" fontId="6" fillId="8" borderId="0" xfId="56" applyFill="1" applyAlignment="1">
      <alignment wrapText="1"/>
    </xf>
    <xf numFmtId="0" fontId="6" fillId="8" borderId="0" xfId="56" applyFont="1" applyFill="1" applyAlignment="1">
      <alignment wrapText="1"/>
    </xf>
    <xf numFmtId="180" fontId="6" fillId="8" borderId="0" xfId="56" applyNumberFormat="1" applyFont="1" applyFill="1" applyAlignment="1">
      <alignment wrapText="1"/>
    </xf>
    <xf numFmtId="180" fontId="6" fillId="0" borderId="0" xfId="56" applyNumberFormat="1" applyAlignment="1">
      <alignment wrapText="1"/>
    </xf>
    <xf numFmtId="180" fontId="6" fillId="0" borderId="0" xfId="56" applyNumberFormat="1"/>
    <xf numFmtId="0" fontId="6" fillId="0" borderId="0" xfId="56" applyFont="1" applyAlignment="1">
      <alignment wrapText="1"/>
    </xf>
    <xf numFmtId="168" fontId="19" fillId="5" borderId="19" xfId="1" applyNumberFormat="1" applyFont="1" applyFill="1" applyBorder="1" applyAlignment="1">
      <alignment horizontal="center" wrapText="1"/>
    </xf>
    <xf numFmtId="10" fontId="20" fillId="5" borderId="19" xfId="3" applyNumberFormat="1" applyFont="1" applyFill="1" applyBorder="1" applyAlignment="1">
      <alignment wrapText="1"/>
    </xf>
    <xf numFmtId="10" fontId="19" fillId="5" borderId="19" xfId="3" applyNumberFormat="1" applyFont="1" applyFill="1" applyBorder="1" applyAlignment="1">
      <alignment wrapText="1"/>
    </xf>
    <xf numFmtId="168" fontId="24" fillId="0" borderId="0" xfId="133" quotePrefix="1" applyNumberFormat="1" applyFont="1"/>
    <xf numFmtId="9" fontId="20" fillId="0" borderId="0" xfId="3" applyFont="1"/>
    <xf numFmtId="10" fontId="25" fillId="22" borderId="0" xfId="3" applyNumberFormat="1" applyFont="1" applyFill="1" applyAlignment="1">
      <alignment horizontal="center"/>
    </xf>
    <xf numFmtId="0" fontId="4" fillId="5" borderId="0" xfId="0" applyFont="1" applyFill="1" applyAlignment="1">
      <alignment horizontal="center"/>
    </xf>
    <xf numFmtId="0" fontId="6" fillId="4" borderId="0" xfId="0" applyFont="1" applyFill="1" applyAlignment="1">
      <alignment horizontal="center"/>
    </xf>
    <xf numFmtId="0" fontId="4" fillId="0" borderId="18" xfId="0" applyFont="1" applyFill="1" applyBorder="1" applyAlignment="1">
      <alignment horizontal="center"/>
    </xf>
    <xf numFmtId="0" fontId="4" fillId="0" borderId="18" xfId="56" applyFont="1" applyBorder="1" applyAlignment="1">
      <alignment horizontal="center"/>
    </xf>
    <xf numFmtId="0" fontId="24" fillId="18" borderId="0" xfId="130" quotePrefix="1" applyNumberFormat="1" applyFont="1" applyFill="1" applyBorder="1"/>
    <xf numFmtId="168" fontId="24" fillId="18" borderId="0" xfId="131" quotePrefix="1" applyNumberFormat="1" applyFont="1" applyFill="1" applyBorder="1"/>
    <xf numFmtId="168" fontId="24" fillId="18" borderId="0" xfId="133" quotePrefix="1" applyNumberFormat="1" applyFont="1" applyFill="1"/>
    <xf numFmtId="195" fontId="24" fillId="0" borderId="0" xfId="3" applyNumberFormat="1" applyFont="1" applyBorder="1"/>
    <xf numFmtId="49" fontId="6" fillId="18" borderId="19" xfId="0" applyNumberFormat="1" applyFont="1" applyFill="1" applyBorder="1"/>
    <xf numFmtId="0" fontId="6" fillId="18" borderId="19" xfId="0" applyNumberFormat="1" applyFont="1" applyFill="1" applyBorder="1"/>
    <xf numFmtId="0" fontId="0" fillId="18" borderId="19" xfId="0" applyFill="1" applyBorder="1"/>
    <xf numFmtId="0" fontId="4" fillId="18" borderId="19" xfId="0" applyFont="1" applyFill="1" applyBorder="1"/>
    <xf numFmtId="181" fontId="0" fillId="18" borderId="19" xfId="0" applyNumberFormat="1" applyFill="1" applyBorder="1"/>
    <xf numFmtId="183" fontId="0" fillId="18" borderId="19" xfId="0" applyNumberFormat="1" applyFill="1" applyBorder="1"/>
    <xf numFmtId="185" fontId="18" fillId="18" borderId="19" xfId="0" applyNumberFormat="1" applyFont="1" applyFill="1" applyBorder="1"/>
    <xf numFmtId="5" fontId="0" fillId="18" borderId="19" xfId="0" applyNumberFormat="1" applyFill="1" applyBorder="1"/>
    <xf numFmtId="5" fontId="6" fillId="18" borderId="19" xfId="0" applyNumberFormat="1" applyFont="1" applyFill="1" applyBorder="1"/>
    <xf numFmtId="164" fontId="0" fillId="18" borderId="19" xfId="0" applyNumberFormat="1" applyFill="1" applyBorder="1"/>
    <xf numFmtId="169" fontId="6" fillId="18" borderId="19" xfId="0" applyNumberFormat="1" applyFont="1" applyFill="1" applyBorder="1"/>
    <xf numFmtId="2" fontId="0" fillId="18" borderId="19" xfId="0" applyNumberFormat="1" applyFill="1" applyBorder="1"/>
    <xf numFmtId="0" fontId="0" fillId="18" borderId="19" xfId="0" applyNumberFormat="1" applyFill="1" applyBorder="1"/>
    <xf numFmtId="1" fontId="0" fillId="18" borderId="19" xfId="0" applyNumberFormat="1" applyFill="1" applyBorder="1"/>
    <xf numFmtId="3" fontId="0" fillId="18" borderId="0" xfId="0" applyNumberFormat="1" applyFill="1"/>
    <xf numFmtId="184" fontId="18" fillId="18" borderId="19" xfId="0" applyNumberFormat="1" applyFont="1" applyFill="1" applyBorder="1"/>
    <xf numFmtId="183" fontId="0" fillId="18" borderId="0" xfId="0" applyNumberFormat="1" applyFill="1"/>
    <xf numFmtId="168" fontId="6" fillId="18" borderId="0" xfId="4" applyNumberFormat="1" applyFont="1" applyFill="1"/>
    <xf numFmtId="5" fontId="0" fillId="18" borderId="0" xfId="0" applyNumberFormat="1" applyFill="1"/>
    <xf numFmtId="0" fontId="0" fillId="18" borderId="0" xfId="0" applyFill="1"/>
    <xf numFmtId="49" fontId="6" fillId="18" borderId="19" xfId="56" applyNumberFormat="1" applyFont="1" applyFill="1" applyBorder="1"/>
    <xf numFmtId="0" fontId="6" fillId="18" borderId="19" xfId="56" applyNumberFormat="1" applyFont="1" applyFill="1" applyBorder="1"/>
    <xf numFmtId="0" fontId="6" fillId="18" borderId="19" xfId="56" applyFill="1" applyBorder="1"/>
    <xf numFmtId="0" fontId="4" fillId="18" borderId="19" xfId="56" applyFont="1" applyFill="1" applyBorder="1"/>
    <xf numFmtId="181" fontId="6" fillId="18" borderId="19" xfId="56" applyNumberFormat="1" applyFill="1" applyBorder="1"/>
    <xf numFmtId="4" fontId="6" fillId="18" borderId="19" xfId="56" applyNumberFormat="1" applyFill="1" applyBorder="1"/>
    <xf numFmtId="183" fontId="6" fillId="18" borderId="19" xfId="56" applyNumberFormat="1" applyFill="1" applyBorder="1"/>
    <xf numFmtId="185" fontId="18" fillId="18" borderId="19" xfId="56" applyNumberFormat="1" applyFont="1" applyFill="1" applyBorder="1"/>
    <xf numFmtId="184" fontId="18" fillId="18" borderId="19" xfId="56" applyNumberFormat="1" applyFont="1" applyFill="1" applyBorder="1"/>
    <xf numFmtId="5" fontId="6" fillId="18" borderId="19" xfId="56" applyNumberFormat="1" applyFont="1" applyFill="1" applyBorder="1"/>
    <xf numFmtId="164" fontId="6" fillId="18" borderId="19" xfId="56" applyNumberFormat="1" applyFont="1" applyFill="1" applyBorder="1"/>
    <xf numFmtId="5" fontId="6" fillId="18" borderId="19" xfId="56" applyNumberFormat="1" applyFill="1" applyBorder="1"/>
    <xf numFmtId="169" fontId="6" fillId="18" borderId="19" xfId="56" applyNumberFormat="1" applyFont="1" applyFill="1" applyBorder="1"/>
    <xf numFmtId="2" fontId="6" fillId="18" borderId="19" xfId="56" applyNumberFormat="1" applyFill="1" applyBorder="1"/>
    <xf numFmtId="0" fontId="6" fillId="18" borderId="19" xfId="56" applyNumberFormat="1" applyFill="1" applyBorder="1"/>
    <xf numFmtId="1" fontId="6" fillId="18" borderId="19" xfId="56" applyNumberFormat="1" applyFill="1" applyBorder="1"/>
    <xf numFmtId="164" fontId="6" fillId="18" borderId="19" xfId="56" applyNumberFormat="1" applyFill="1" applyBorder="1"/>
    <xf numFmtId="3" fontId="6" fillId="18" borderId="19" xfId="56" applyNumberFormat="1" applyFill="1" applyBorder="1"/>
    <xf numFmtId="195" fontId="24" fillId="0" borderId="0" xfId="130" applyNumberFormat="1" applyFont="1" applyBorder="1"/>
    <xf numFmtId="195" fontId="25" fillId="22" borderId="0" xfId="3" applyNumberFormat="1" applyFont="1" applyFill="1"/>
    <xf numFmtId="195" fontId="20" fillId="0" borderId="19" xfId="3" applyNumberFormat="1" applyFont="1" applyBorder="1" applyAlignment="1">
      <alignment wrapText="1"/>
    </xf>
    <xf numFmtId="167" fontId="20" fillId="0" borderId="0" xfId="1" applyNumberFormat="1" applyFont="1"/>
    <xf numFmtId="169" fontId="20" fillId="0" borderId="0" xfId="3" applyNumberFormat="1" applyFont="1"/>
    <xf numFmtId="0" fontId="4" fillId="0" borderId="0" xfId="0" applyFont="1" applyAlignment="1">
      <alignment horizontal="center"/>
    </xf>
    <xf numFmtId="0" fontId="6" fillId="0" borderId="32" xfId="0" applyFont="1" applyBorder="1"/>
    <xf numFmtId="0" fontId="6" fillId="0" borderId="23" xfId="0" applyFont="1" applyBorder="1"/>
    <xf numFmtId="0" fontId="0" fillId="0" borderId="9" xfId="0" applyBorder="1"/>
    <xf numFmtId="0" fontId="0" fillId="0" borderId="24" xfId="0" applyBorder="1"/>
    <xf numFmtId="0" fontId="6" fillId="0" borderId="30" xfId="0" applyFont="1" applyBorder="1"/>
    <xf numFmtId="168" fontId="0" fillId="0" borderId="0" xfId="1" applyNumberFormat="1" applyFont="1" applyBorder="1"/>
    <xf numFmtId="0" fontId="0" fillId="0" borderId="14" xfId="0" applyBorder="1"/>
    <xf numFmtId="0" fontId="4" fillId="0" borderId="27" xfId="0" applyFont="1" applyBorder="1" applyAlignment="1">
      <alignment horizontal="center"/>
    </xf>
    <xf numFmtId="10" fontId="4" fillId="0" borderId="18" xfId="3" applyNumberFormat="1" applyFont="1" applyBorder="1"/>
    <xf numFmtId="0" fontId="0" fillId="0" borderId="28" xfId="0" applyBorder="1"/>
    <xf numFmtId="168" fontId="0" fillId="0" borderId="33" xfId="1" applyNumberFormat="1" applyFont="1" applyBorder="1"/>
    <xf numFmtId="168" fontId="0" fillId="0" borderId="14" xfId="1" applyNumberFormat="1" applyFont="1" applyBorder="1"/>
    <xf numFmtId="10" fontId="4" fillId="0" borderId="28" xfId="3" applyNumberFormat="1" applyFont="1" applyBorder="1"/>
    <xf numFmtId="0" fontId="4" fillId="0" borderId="23" xfId="0" applyFont="1" applyBorder="1"/>
    <xf numFmtId="10" fontId="0" fillId="0" borderId="14" xfId="3" applyNumberFormat="1" applyFont="1" applyBorder="1"/>
    <xf numFmtId="0" fontId="6" fillId="0" borderId="9" xfId="0" applyFont="1" applyBorder="1" applyAlignment="1">
      <alignment horizontal="center"/>
    </xf>
    <xf numFmtId="0" fontId="6" fillId="0" borderId="24" xfId="0" applyFont="1" applyBorder="1" applyAlignment="1">
      <alignment horizontal="center"/>
    </xf>
    <xf numFmtId="0" fontId="6" fillId="0" borderId="30" xfId="0" applyFont="1" applyBorder="1" applyAlignment="1">
      <alignment horizontal="center"/>
    </xf>
    <xf numFmtId="10" fontId="0" fillId="0" borderId="14" xfId="0" applyNumberFormat="1" applyBorder="1"/>
    <xf numFmtId="10" fontId="4" fillId="0" borderId="28" xfId="0" applyNumberFormat="1" applyFont="1" applyBorder="1"/>
    <xf numFmtId="168" fontId="0" fillId="0" borderId="14" xfId="0" applyNumberFormat="1" applyBorder="1"/>
    <xf numFmtId="170" fontId="6" fillId="0" borderId="14" xfId="3" applyNumberFormat="1" applyFont="1" applyBorder="1"/>
    <xf numFmtId="168" fontId="4" fillId="0" borderId="28" xfId="1" applyNumberFormat="1" applyFont="1" applyBorder="1"/>
    <xf numFmtId="0" fontId="4" fillId="0" borderId="9" xfId="0" applyFont="1" applyBorder="1"/>
    <xf numFmtId="0" fontId="4" fillId="0" borderId="24" xfId="0" applyFont="1" applyBorder="1"/>
    <xf numFmtId="0" fontId="0" fillId="0" borderId="30" xfId="0" applyBorder="1"/>
    <xf numFmtId="0" fontId="6" fillId="0" borderId="27" xfId="0" applyFont="1" applyBorder="1"/>
    <xf numFmtId="0" fontId="0" fillId="0" borderId="18" xfId="0" applyBorder="1"/>
    <xf numFmtId="168" fontId="4" fillId="0" borderId="28" xfId="0" applyNumberFormat="1" applyFont="1" applyBorder="1"/>
    <xf numFmtId="43" fontId="0" fillId="0" borderId="0" xfId="1" applyNumberFormat="1" applyFont="1" applyBorder="1"/>
    <xf numFmtId="168" fontId="0" fillId="0" borderId="0" xfId="0" applyNumberFormat="1" applyBorder="1"/>
    <xf numFmtId="2" fontId="0" fillId="0" borderId="0" xfId="0" applyNumberFormat="1" applyBorder="1"/>
    <xf numFmtId="167" fontId="0" fillId="0" borderId="14" xfId="0" applyNumberFormat="1" applyBorder="1"/>
  </cellXfs>
  <cellStyles count="135">
    <cellStyle name="Comma" xfId="1" builtinId="3"/>
    <cellStyle name="Comma 2" xfId="5"/>
    <cellStyle name="Comma 2 2" xfId="6"/>
    <cellStyle name="Comma 2 2 2" xfId="7"/>
    <cellStyle name="Comma 2 2 2 2" xfId="134"/>
    <cellStyle name="Comma 2 2 3" xfId="8"/>
    <cellStyle name="Comma 2 2 4" xfId="9"/>
    <cellStyle name="Comma 2 2 5" xfId="10"/>
    <cellStyle name="Comma 2 2 6" xfId="11"/>
    <cellStyle name="Comma 2 2 7" xfId="12"/>
    <cellStyle name="Comma 2 2 8" xfId="13"/>
    <cellStyle name="Comma 2 3" xfId="14"/>
    <cellStyle name="Comma 2 3 2" xfId="15"/>
    <cellStyle name="Comma 2 3 3" xfId="16"/>
    <cellStyle name="Comma 2 3 4" xfId="17"/>
    <cellStyle name="Comma 2 3 5" xfId="18"/>
    <cellStyle name="Comma 2 3 6" xfId="19"/>
    <cellStyle name="Comma 2 3 7" xfId="20"/>
    <cellStyle name="Comma 2 3 8" xfId="21"/>
    <cellStyle name="Comma 2 4" xfId="22"/>
    <cellStyle name="Comma 2 5" xfId="23"/>
    <cellStyle name="Comma 2 6" xfId="24"/>
    <cellStyle name="Comma 2 7" xfId="25"/>
    <cellStyle name="Comma 2 8" xfId="26"/>
    <cellStyle name="Comma 3" xfId="4"/>
    <cellStyle name="Comma 4" xfId="27"/>
    <cellStyle name="Comma 4 10" xfId="28"/>
    <cellStyle name="Comma 4 11" xfId="29"/>
    <cellStyle name="Comma 4 12" xfId="30"/>
    <cellStyle name="Comma 4 2" xfId="31"/>
    <cellStyle name="Comma 4 3" xfId="32"/>
    <cellStyle name="Comma 4 4" xfId="33"/>
    <cellStyle name="Comma 4 5" xfId="34"/>
    <cellStyle name="Comma 4 6" xfId="35"/>
    <cellStyle name="Comma 4 7" xfId="36"/>
    <cellStyle name="Comma 4 8" xfId="37"/>
    <cellStyle name="Comma 4 9" xfId="38"/>
    <cellStyle name="Comma 5" xfId="39"/>
    <cellStyle name="Comma 5 2" xfId="40"/>
    <cellStyle name="Comma 5 3" xfId="41"/>
    <cellStyle name="Comma 5 4" xfId="42"/>
    <cellStyle name="Comma 5 5" xfId="43"/>
    <cellStyle name="Comma 6" xfId="44"/>
    <cellStyle name="Comma 7" xfId="45"/>
    <cellStyle name="Comma 8" xfId="131"/>
    <cellStyle name="Comma 9" xfId="133"/>
    <cellStyle name="Currency" xfId="2" builtinId="4"/>
    <cellStyle name="Currency 2" xfId="46"/>
    <cellStyle name="Currency 2 2" xfId="47"/>
    <cellStyle name="Currency 2 2 2" xfId="48"/>
    <cellStyle name="Currency 2 2 3" xfId="49"/>
    <cellStyle name="Currency 2 2 4" xfId="50"/>
    <cellStyle name="Currency 2 2 5" xfId="51"/>
    <cellStyle name="Currency 2 3" xfId="52"/>
    <cellStyle name="Currency 2 4" xfId="53"/>
    <cellStyle name="Currency 2 5" xfId="54"/>
    <cellStyle name="Currency 3" xfId="55"/>
    <cellStyle name="Normal" xfId="0" builtinId="0"/>
    <cellStyle name="Normal 10" xfId="56"/>
    <cellStyle name="Normal 11" xfId="57"/>
    <cellStyle name="Normal 12" xfId="58"/>
    <cellStyle name="Normal 13" xfId="59"/>
    <cellStyle name="Normal 14" xfId="129"/>
    <cellStyle name="Normal 15" xfId="130"/>
    <cellStyle name="Normal 16" xfId="132"/>
    <cellStyle name="Normal 2" xfId="60"/>
    <cellStyle name="Normal 2 10" xfId="61"/>
    <cellStyle name="Normal 2 11" xfId="62"/>
    <cellStyle name="Normal 2 12" xfId="63"/>
    <cellStyle name="Normal 2 13" xfId="64"/>
    <cellStyle name="Normal 2 14" xfId="65"/>
    <cellStyle name="Normal 2 15" xfId="66"/>
    <cellStyle name="Normal 2 16" xfId="67"/>
    <cellStyle name="Normal 2 17" xfId="68"/>
    <cellStyle name="Normal 2 2" xfId="69"/>
    <cellStyle name="Normal 2 2 10" xfId="70"/>
    <cellStyle name="Normal 2 2 11" xfId="71"/>
    <cellStyle name="Normal 2 2 12" xfId="72"/>
    <cellStyle name="Normal 2 2 2" xfId="73"/>
    <cellStyle name="Normal 2 2 3" xfId="74"/>
    <cellStyle name="Normal 2 2 4" xfId="75"/>
    <cellStyle name="Normal 2 2 5" xfId="76"/>
    <cellStyle name="Normal 2 2 6" xfId="77"/>
    <cellStyle name="Normal 2 2 7" xfId="78"/>
    <cellStyle name="Normal 2 2 8" xfId="79"/>
    <cellStyle name="Normal 2 2 9" xfId="80"/>
    <cellStyle name="Normal 2 3" xfId="81"/>
    <cellStyle name="Normal 2 3 2" xfId="82"/>
    <cellStyle name="Normal 2 3 2 2" xfId="83"/>
    <cellStyle name="Normal 2 3 2 3" xfId="84"/>
    <cellStyle name="Normal 2 3 2 4" xfId="85"/>
    <cellStyle name="Normal 2 3 2 5" xfId="86"/>
    <cellStyle name="Normal 2 3 3" xfId="87"/>
    <cellStyle name="Normal 2 3 4" xfId="88"/>
    <cellStyle name="Normal 2 3 5" xfId="89"/>
    <cellStyle name="Normal 2 4" xfId="90"/>
    <cellStyle name="Normal 2 5" xfId="91"/>
    <cellStyle name="Normal 2 6" xfId="92"/>
    <cellStyle name="Normal 2 7" xfId="93"/>
    <cellStyle name="Normal 2 8" xfId="94"/>
    <cellStyle name="Normal 2 9" xfId="95"/>
    <cellStyle name="Normal 3" xfId="96"/>
    <cellStyle name="Normal 4" xfId="97"/>
    <cellStyle name="Normal 4 2" xfId="98"/>
    <cellStyle name="Normal 4 2 2" xfId="99"/>
    <cellStyle name="Normal 4 2 3" xfId="100"/>
    <cellStyle name="Normal 4 2 4" xfId="101"/>
    <cellStyle name="Normal 4 2 5" xfId="102"/>
    <cellStyle name="Normal 4 2 6" xfId="103"/>
    <cellStyle name="Normal 4 2 7" xfId="104"/>
    <cellStyle name="Normal 4 2 8" xfId="105"/>
    <cellStyle name="Normal 4 3" xfId="106"/>
    <cellStyle name="Normal 5" xfId="107"/>
    <cellStyle name="Normal 5 2" xfId="108"/>
    <cellStyle name="Normal 5 3" xfId="109"/>
    <cellStyle name="Normal 6" xfId="110"/>
    <cellStyle name="Normal 6 10" xfId="111"/>
    <cellStyle name="Normal 6 11" xfId="112"/>
    <cellStyle name="Normal 6 12" xfId="113"/>
    <cellStyle name="Normal 6 2" xfId="114"/>
    <cellStyle name="Normal 6 3" xfId="115"/>
    <cellStyle name="Normal 6 4" xfId="116"/>
    <cellStyle name="Normal 6 5" xfId="117"/>
    <cellStyle name="Normal 6 6" xfId="118"/>
    <cellStyle name="Normal 6 7" xfId="119"/>
    <cellStyle name="Normal 6 8" xfId="120"/>
    <cellStyle name="Normal 6 9" xfId="121"/>
    <cellStyle name="Normal 7" xfId="122"/>
    <cellStyle name="Normal 7 2" xfId="123"/>
    <cellStyle name="Normal 8" xfId="124"/>
    <cellStyle name="Normal 9" xfId="125"/>
    <cellStyle name="Note 2" xfId="126"/>
    <cellStyle name="Percent" xfId="3" builtinId="5"/>
    <cellStyle name="Percent 2" xfId="127"/>
    <cellStyle name="Percent 3"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wagner/AppData/Local/Microsoft/Windows/Temporary%20Internet%20Files/Content.Outlook/62JA4VZS/2013-14_R1_PBF%2071%20(revise%20neg%20monthly%20PYC)%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wagner/AppData/Local/Microsoft/Windows/Temporary%20Internet%20Files/Content.Outlook/62JA4VZS/2014-15_P1_PBF%2061%20(verify%20net%20gen)%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wagner/AppData/Local/Microsoft/Windows/Temporary%20Internet%20Files/Content.Outlook/62JA4VZS/2014-15_P1_PBF%2061%20(verify%20net%20g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ote"/>
      <sheetName val="PBF Run"/>
      <sheetName val="13-14 deferrals, growth, EPA 1"/>
      <sheetName val="12-13 deferrals, growth, EPA 3"/>
      <sheetName val="12-13 deferrals, growth, EPA 2"/>
      <sheetName val="12-13 deferrals, growth, EPA"/>
      <sheetName val="FTES"/>
      <sheetName val="FTES Adjustment"/>
      <sheetName val="Restoration and Growth"/>
      <sheetName val="13-14 $86M Workload Restore"/>
      <sheetName val="12-13 $48.9M Workload Restore"/>
      <sheetName val="11-12 Workload Reduction"/>
      <sheetName val="10-11 growth deficit"/>
      <sheetName val="10-11 WkLd126M"/>
      <sheetName val="09-10 189M reduction"/>
      <sheetName val="As of 12-13 R1"/>
      <sheetName val="Growth Deficit"/>
      <sheetName val="Foundation Grant"/>
      <sheetName val="Foundation Grant (OLD)"/>
      <sheetName val="Rates"/>
      <sheetName val="FTES rates, COLA"/>
      <sheetName val="basic allocation"/>
      <sheetName val="Sheet1"/>
    </sheetNames>
    <sheetDataSet>
      <sheetData sheetId="0" refreshError="1"/>
      <sheetData sheetId="1">
        <row r="4">
          <cell r="C4">
            <v>1.5699999999999999E-2</v>
          </cell>
          <cell r="AF4">
            <v>2788.0536374600001</v>
          </cell>
          <cell r="AJ4">
            <v>3282.8110613200001</v>
          </cell>
          <cell r="AS4">
            <v>4636.4928540700002</v>
          </cell>
        </row>
        <row r="9">
          <cell r="F9">
            <v>5535909</v>
          </cell>
          <cell r="L9">
            <v>0</v>
          </cell>
          <cell r="X9">
            <v>0</v>
          </cell>
          <cell r="AA9">
            <v>0</v>
          </cell>
          <cell r="AC9">
            <v>0</v>
          </cell>
          <cell r="AD9">
            <v>0</v>
          </cell>
          <cell r="AE9">
            <v>47583587</v>
          </cell>
        </row>
        <row r="10">
          <cell r="F10">
            <v>5535909</v>
          </cell>
          <cell r="L10">
            <v>0</v>
          </cell>
          <cell r="X10">
            <v>0</v>
          </cell>
          <cell r="AA10">
            <v>0</v>
          </cell>
          <cell r="AC10">
            <v>0</v>
          </cell>
          <cell r="AD10">
            <v>0</v>
          </cell>
          <cell r="AE10">
            <v>56161050</v>
          </cell>
        </row>
        <row r="11">
          <cell r="F11">
            <v>3875136</v>
          </cell>
          <cell r="L11">
            <v>0</v>
          </cell>
          <cell r="X11">
            <v>0</v>
          </cell>
          <cell r="AA11">
            <v>0</v>
          </cell>
          <cell r="AC11">
            <v>0</v>
          </cell>
          <cell r="AD11">
            <v>0</v>
          </cell>
          <cell r="AE11">
            <v>14928285</v>
          </cell>
        </row>
        <row r="12">
          <cell r="F12">
            <v>5535909</v>
          </cell>
          <cell r="L12">
            <v>0</v>
          </cell>
          <cell r="X12">
            <v>0</v>
          </cell>
          <cell r="AA12">
            <v>0</v>
          </cell>
          <cell r="AC12">
            <v>0</v>
          </cell>
          <cell r="AD12">
            <v>0</v>
          </cell>
          <cell r="AE12">
            <v>55384098</v>
          </cell>
        </row>
        <row r="13">
          <cell r="F13">
            <v>5535909</v>
          </cell>
          <cell r="L13">
            <v>0</v>
          </cell>
          <cell r="X13">
            <v>3503295</v>
          </cell>
          <cell r="AA13">
            <v>0</v>
          </cell>
          <cell r="AC13">
            <v>0</v>
          </cell>
          <cell r="AD13">
            <v>0</v>
          </cell>
          <cell r="AE13">
            <v>55665416</v>
          </cell>
        </row>
        <row r="14">
          <cell r="F14">
            <v>4428727</v>
          </cell>
          <cell r="L14">
            <v>0</v>
          </cell>
          <cell r="X14">
            <v>0</v>
          </cell>
          <cell r="AA14">
            <v>0</v>
          </cell>
          <cell r="AC14">
            <v>0</v>
          </cell>
          <cell r="AD14">
            <v>0</v>
          </cell>
          <cell r="AE14">
            <v>80012434</v>
          </cell>
        </row>
        <row r="15">
          <cell r="F15">
            <v>7196681</v>
          </cell>
          <cell r="L15">
            <v>0</v>
          </cell>
          <cell r="X15">
            <v>0</v>
          </cell>
          <cell r="AA15">
            <v>0</v>
          </cell>
          <cell r="AC15">
            <v>0</v>
          </cell>
          <cell r="AD15">
            <v>0</v>
          </cell>
          <cell r="AE15">
            <v>83423512</v>
          </cell>
        </row>
        <row r="16">
          <cell r="F16">
            <v>6643091</v>
          </cell>
          <cell r="L16">
            <v>0</v>
          </cell>
          <cell r="X16">
            <v>0</v>
          </cell>
          <cell r="AA16">
            <v>0</v>
          </cell>
          <cell r="AC16">
            <v>0</v>
          </cell>
          <cell r="AD16">
            <v>0</v>
          </cell>
          <cell r="AE16">
            <v>71115905</v>
          </cell>
        </row>
        <row r="17">
          <cell r="F17">
            <v>4428727</v>
          </cell>
          <cell r="L17">
            <v>0</v>
          </cell>
          <cell r="X17">
            <v>0</v>
          </cell>
          <cell r="AA17">
            <v>0</v>
          </cell>
          <cell r="AC17">
            <v>0</v>
          </cell>
          <cell r="AD17">
            <v>0</v>
          </cell>
          <cell r="AE17">
            <v>54644996</v>
          </cell>
        </row>
        <row r="18">
          <cell r="F18">
            <v>11071817</v>
          </cell>
          <cell r="L18">
            <v>0</v>
          </cell>
          <cell r="X18">
            <v>0</v>
          </cell>
          <cell r="AA18">
            <v>0</v>
          </cell>
          <cell r="AC18">
            <v>0</v>
          </cell>
          <cell r="AD18">
            <v>0</v>
          </cell>
          <cell r="AE18">
            <v>162038188</v>
          </cell>
        </row>
        <row r="19">
          <cell r="F19">
            <v>3321545</v>
          </cell>
          <cell r="L19">
            <v>0</v>
          </cell>
          <cell r="X19">
            <v>0</v>
          </cell>
          <cell r="AA19">
            <v>0</v>
          </cell>
          <cell r="AC19">
            <v>0</v>
          </cell>
          <cell r="AD19">
            <v>0</v>
          </cell>
          <cell r="AE19">
            <v>31428695</v>
          </cell>
        </row>
        <row r="20">
          <cell r="F20">
            <v>12732590</v>
          </cell>
          <cell r="L20">
            <v>0</v>
          </cell>
          <cell r="X20">
            <v>0</v>
          </cell>
          <cell r="AA20">
            <v>-1499329</v>
          </cell>
          <cell r="AC20">
            <v>0</v>
          </cell>
          <cell r="AD20">
            <v>0</v>
          </cell>
          <cell r="AE20">
            <v>144708439</v>
          </cell>
        </row>
        <row r="21">
          <cell r="F21">
            <v>3875136</v>
          </cell>
          <cell r="L21">
            <v>0</v>
          </cell>
          <cell r="X21">
            <v>466754</v>
          </cell>
          <cell r="AA21">
            <v>0</v>
          </cell>
          <cell r="AC21">
            <v>0</v>
          </cell>
          <cell r="AD21">
            <v>0</v>
          </cell>
          <cell r="AE21">
            <v>11125320</v>
          </cell>
        </row>
        <row r="22">
          <cell r="F22">
            <v>3321545</v>
          </cell>
          <cell r="L22">
            <v>0</v>
          </cell>
          <cell r="X22">
            <v>0</v>
          </cell>
          <cell r="AA22">
            <v>0</v>
          </cell>
          <cell r="AC22">
            <v>0</v>
          </cell>
          <cell r="AD22">
            <v>0</v>
          </cell>
          <cell r="AE22">
            <v>36638039</v>
          </cell>
        </row>
        <row r="23">
          <cell r="F23">
            <v>8857454</v>
          </cell>
          <cell r="L23">
            <v>0</v>
          </cell>
          <cell r="X23">
            <v>0</v>
          </cell>
          <cell r="AA23">
            <v>1107182</v>
          </cell>
          <cell r="AC23">
            <v>-1107182</v>
          </cell>
          <cell r="AD23">
            <v>-17383</v>
          </cell>
          <cell r="AE23">
            <v>94600110</v>
          </cell>
        </row>
        <row r="24">
          <cell r="F24">
            <v>3875136</v>
          </cell>
          <cell r="L24">
            <v>0</v>
          </cell>
          <cell r="X24">
            <v>0</v>
          </cell>
          <cell r="AA24">
            <v>0</v>
          </cell>
          <cell r="AC24">
            <v>0</v>
          </cell>
          <cell r="AD24">
            <v>0</v>
          </cell>
          <cell r="AE24">
            <v>10956531</v>
          </cell>
        </row>
        <row r="25">
          <cell r="F25">
            <v>8857454</v>
          </cell>
          <cell r="L25">
            <v>620088</v>
          </cell>
          <cell r="X25">
            <v>1676463</v>
          </cell>
          <cell r="AA25">
            <v>0</v>
          </cell>
          <cell r="AC25">
            <v>0</v>
          </cell>
          <cell r="AD25">
            <v>0</v>
          </cell>
          <cell r="AE25">
            <v>137993605</v>
          </cell>
        </row>
        <row r="26">
          <cell r="F26">
            <v>3875136</v>
          </cell>
          <cell r="L26">
            <v>0</v>
          </cell>
          <cell r="X26">
            <v>0</v>
          </cell>
          <cell r="AA26">
            <v>0</v>
          </cell>
          <cell r="AC26">
            <v>0</v>
          </cell>
          <cell r="AD26">
            <v>0</v>
          </cell>
          <cell r="AE26">
            <v>26894244</v>
          </cell>
        </row>
        <row r="27">
          <cell r="F27">
            <v>5535909</v>
          </cell>
          <cell r="L27">
            <v>0</v>
          </cell>
          <cell r="X27">
            <v>0</v>
          </cell>
          <cell r="AA27">
            <v>0</v>
          </cell>
          <cell r="AC27">
            <v>0</v>
          </cell>
          <cell r="AD27">
            <v>0</v>
          </cell>
          <cell r="AE27">
            <v>72574884</v>
          </cell>
        </row>
        <row r="28">
          <cell r="F28">
            <v>7196681</v>
          </cell>
          <cell r="L28">
            <v>0</v>
          </cell>
          <cell r="X28">
            <v>0</v>
          </cell>
          <cell r="AA28">
            <v>0</v>
          </cell>
          <cell r="AC28">
            <v>0</v>
          </cell>
          <cell r="AD28">
            <v>0</v>
          </cell>
          <cell r="AE28">
            <v>88123594</v>
          </cell>
        </row>
        <row r="29">
          <cell r="F29">
            <v>3598340</v>
          </cell>
          <cell r="L29">
            <v>0</v>
          </cell>
          <cell r="X29">
            <v>0</v>
          </cell>
          <cell r="AA29">
            <v>0</v>
          </cell>
          <cell r="AC29">
            <v>0</v>
          </cell>
          <cell r="AD29">
            <v>0</v>
          </cell>
          <cell r="AE29">
            <v>34785582</v>
          </cell>
        </row>
        <row r="30">
          <cell r="F30">
            <v>3321545</v>
          </cell>
          <cell r="L30">
            <v>0</v>
          </cell>
          <cell r="X30">
            <v>0</v>
          </cell>
          <cell r="AA30">
            <v>0</v>
          </cell>
          <cell r="AC30">
            <v>0</v>
          </cell>
          <cell r="AD30">
            <v>0</v>
          </cell>
          <cell r="AE30">
            <v>34012377</v>
          </cell>
        </row>
        <row r="31">
          <cell r="F31">
            <v>14116567</v>
          </cell>
          <cell r="L31">
            <v>0</v>
          </cell>
          <cell r="X31">
            <v>0</v>
          </cell>
          <cell r="AA31">
            <v>0</v>
          </cell>
          <cell r="AC31">
            <v>0</v>
          </cell>
          <cell r="AD31">
            <v>0</v>
          </cell>
          <cell r="AE31">
            <v>102072582</v>
          </cell>
        </row>
        <row r="32">
          <cell r="F32">
            <v>3875136</v>
          </cell>
          <cell r="L32">
            <v>203324</v>
          </cell>
          <cell r="X32">
            <v>0</v>
          </cell>
          <cell r="AA32">
            <v>0</v>
          </cell>
          <cell r="AC32">
            <v>0</v>
          </cell>
          <cell r="AD32">
            <v>0</v>
          </cell>
          <cell r="AE32">
            <v>11720630</v>
          </cell>
        </row>
        <row r="33">
          <cell r="F33">
            <v>3875136</v>
          </cell>
          <cell r="L33">
            <v>142010</v>
          </cell>
          <cell r="X33">
            <v>557318</v>
          </cell>
          <cell r="AA33">
            <v>-162047</v>
          </cell>
          <cell r="AC33">
            <v>0</v>
          </cell>
          <cell r="AD33">
            <v>0</v>
          </cell>
          <cell r="AE33">
            <v>10904194</v>
          </cell>
        </row>
        <row r="34">
          <cell r="F34">
            <v>6643091</v>
          </cell>
          <cell r="L34">
            <v>0</v>
          </cell>
          <cell r="X34">
            <v>0</v>
          </cell>
          <cell r="AA34">
            <v>0</v>
          </cell>
          <cell r="AC34">
            <v>0</v>
          </cell>
          <cell r="AD34">
            <v>0</v>
          </cell>
          <cell r="AE34">
            <v>98675514</v>
          </cell>
        </row>
        <row r="35">
          <cell r="F35">
            <v>33215451</v>
          </cell>
          <cell r="L35">
            <v>0</v>
          </cell>
          <cell r="X35">
            <v>0</v>
          </cell>
          <cell r="AA35">
            <v>0</v>
          </cell>
          <cell r="AC35">
            <v>0</v>
          </cell>
          <cell r="AD35">
            <v>0</v>
          </cell>
          <cell r="AE35">
            <v>487214568</v>
          </cell>
        </row>
        <row r="36">
          <cell r="F36">
            <v>18822090</v>
          </cell>
          <cell r="L36">
            <v>0</v>
          </cell>
          <cell r="X36">
            <v>0</v>
          </cell>
          <cell r="AA36">
            <v>0</v>
          </cell>
          <cell r="AC36">
            <v>0</v>
          </cell>
          <cell r="AD36">
            <v>0</v>
          </cell>
          <cell r="AE36">
            <v>251059339</v>
          </cell>
        </row>
        <row r="37">
          <cell r="F37">
            <v>3321545</v>
          </cell>
          <cell r="L37">
            <v>2500555</v>
          </cell>
          <cell r="X37">
            <v>1458254</v>
          </cell>
          <cell r="AA37">
            <v>0</v>
          </cell>
          <cell r="AC37">
            <v>0</v>
          </cell>
          <cell r="AD37">
            <v>0</v>
          </cell>
          <cell r="AE37">
            <v>27185206</v>
          </cell>
        </row>
        <row r="38">
          <cell r="F38">
            <v>4428726</v>
          </cell>
          <cell r="L38">
            <v>0</v>
          </cell>
          <cell r="X38">
            <v>3261348</v>
          </cell>
          <cell r="AA38">
            <v>0</v>
          </cell>
          <cell r="AC38">
            <v>0</v>
          </cell>
          <cell r="AD38">
            <v>0</v>
          </cell>
          <cell r="AE38">
            <v>18488541</v>
          </cell>
        </row>
        <row r="39">
          <cell r="F39">
            <v>5535909</v>
          </cell>
          <cell r="L39">
            <v>0</v>
          </cell>
          <cell r="X39">
            <v>0</v>
          </cell>
          <cell r="AA39">
            <v>0</v>
          </cell>
          <cell r="AC39">
            <v>0</v>
          </cell>
          <cell r="AD39">
            <v>0</v>
          </cell>
          <cell r="AE39">
            <v>47761812</v>
          </cell>
        </row>
        <row r="40">
          <cell r="F40">
            <v>5535909</v>
          </cell>
          <cell r="L40">
            <v>89801</v>
          </cell>
          <cell r="X40">
            <v>0</v>
          </cell>
          <cell r="AA40">
            <v>0</v>
          </cell>
          <cell r="AC40">
            <v>0</v>
          </cell>
          <cell r="AD40">
            <v>0</v>
          </cell>
          <cell r="AE40">
            <v>53713671</v>
          </cell>
        </row>
        <row r="41">
          <cell r="F41">
            <v>3598340</v>
          </cell>
          <cell r="L41">
            <v>0</v>
          </cell>
          <cell r="X41">
            <v>1251953</v>
          </cell>
          <cell r="AA41">
            <v>0</v>
          </cell>
          <cell r="AC41">
            <v>0</v>
          </cell>
          <cell r="AD41">
            <v>0</v>
          </cell>
          <cell r="AE41">
            <v>34299994</v>
          </cell>
        </row>
        <row r="42">
          <cell r="F42">
            <v>5535909</v>
          </cell>
          <cell r="L42">
            <v>0</v>
          </cell>
          <cell r="X42">
            <v>0</v>
          </cell>
          <cell r="AA42">
            <v>0</v>
          </cell>
          <cell r="AC42">
            <v>0</v>
          </cell>
          <cell r="AD42">
            <v>0</v>
          </cell>
          <cell r="AE42">
            <v>130970033</v>
          </cell>
        </row>
        <row r="43">
          <cell r="F43">
            <v>5535909</v>
          </cell>
          <cell r="L43">
            <v>0</v>
          </cell>
          <cell r="X43">
            <v>0</v>
          </cell>
          <cell r="AA43">
            <v>0</v>
          </cell>
          <cell r="AC43">
            <v>0</v>
          </cell>
          <cell r="AD43">
            <v>0</v>
          </cell>
          <cell r="AE43">
            <v>51630894</v>
          </cell>
        </row>
        <row r="44">
          <cell r="F44">
            <v>4151931</v>
          </cell>
          <cell r="L44">
            <v>0</v>
          </cell>
          <cell r="X44">
            <v>104360</v>
          </cell>
          <cell r="AA44">
            <v>0</v>
          </cell>
          <cell r="AC44">
            <v>-276795</v>
          </cell>
          <cell r="AD44">
            <v>-4346</v>
          </cell>
          <cell r="AE44">
            <v>28537450</v>
          </cell>
        </row>
        <row r="45">
          <cell r="F45">
            <v>8857454</v>
          </cell>
          <cell r="L45">
            <v>0</v>
          </cell>
          <cell r="X45">
            <v>0</v>
          </cell>
          <cell r="AA45">
            <v>0</v>
          </cell>
          <cell r="AC45">
            <v>0</v>
          </cell>
          <cell r="AD45">
            <v>0</v>
          </cell>
          <cell r="AE45">
            <v>153341258</v>
          </cell>
        </row>
        <row r="46">
          <cell r="F46">
            <v>4428727</v>
          </cell>
          <cell r="L46">
            <v>0</v>
          </cell>
          <cell r="X46">
            <v>0</v>
          </cell>
          <cell r="AA46">
            <v>0</v>
          </cell>
          <cell r="AC46">
            <v>0</v>
          </cell>
          <cell r="AD46">
            <v>0</v>
          </cell>
          <cell r="AE46">
            <v>41068866</v>
          </cell>
        </row>
        <row r="47">
          <cell r="F47">
            <v>3875136</v>
          </cell>
          <cell r="L47">
            <v>0</v>
          </cell>
          <cell r="X47">
            <v>924330</v>
          </cell>
          <cell r="AA47">
            <v>0</v>
          </cell>
          <cell r="AC47">
            <v>138398</v>
          </cell>
          <cell r="AD47">
            <v>2173</v>
          </cell>
          <cell r="AE47">
            <v>11427078</v>
          </cell>
        </row>
        <row r="48">
          <cell r="F48">
            <v>6643091</v>
          </cell>
          <cell r="L48">
            <v>0</v>
          </cell>
          <cell r="X48">
            <v>0</v>
          </cell>
          <cell r="AA48">
            <v>0</v>
          </cell>
          <cell r="AC48">
            <v>0</v>
          </cell>
          <cell r="AD48">
            <v>0</v>
          </cell>
          <cell r="AE48">
            <v>92593490</v>
          </cell>
        </row>
        <row r="49">
          <cell r="F49">
            <v>6643091</v>
          </cell>
          <cell r="L49">
            <v>0</v>
          </cell>
          <cell r="X49">
            <v>0</v>
          </cell>
          <cell r="AA49">
            <v>0</v>
          </cell>
          <cell r="AC49">
            <v>0</v>
          </cell>
          <cell r="AD49">
            <v>0</v>
          </cell>
          <cell r="AE49">
            <v>103040236</v>
          </cell>
        </row>
        <row r="50">
          <cell r="F50">
            <v>13286180</v>
          </cell>
          <cell r="L50">
            <v>0</v>
          </cell>
          <cell r="X50">
            <v>0</v>
          </cell>
          <cell r="AA50">
            <v>0</v>
          </cell>
          <cell r="AC50">
            <v>0</v>
          </cell>
          <cell r="AD50">
            <v>0</v>
          </cell>
          <cell r="AE50">
            <v>99852867</v>
          </cell>
        </row>
        <row r="51">
          <cell r="F51">
            <v>9964636</v>
          </cell>
          <cell r="L51">
            <v>0</v>
          </cell>
          <cell r="X51">
            <v>0</v>
          </cell>
          <cell r="AA51">
            <v>0</v>
          </cell>
          <cell r="AC51">
            <v>0</v>
          </cell>
          <cell r="AD51">
            <v>0</v>
          </cell>
          <cell r="AE51">
            <v>134278414</v>
          </cell>
        </row>
        <row r="52">
          <cell r="F52">
            <v>4705522</v>
          </cell>
          <cell r="L52">
            <v>0</v>
          </cell>
          <cell r="X52">
            <v>2847716</v>
          </cell>
          <cell r="AA52">
            <v>0</v>
          </cell>
          <cell r="AC52">
            <v>0</v>
          </cell>
          <cell r="AD52">
            <v>0</v>
          </cell>
          <cell r="AE52">
            <v>25098850</v>
          </cell>
        </row>
        <row r="53">
          <cell r="F53">
            <v>4428727</v>
          </cell>
          <cell r="L53">
            <v>0</v>
          </cell>
          <cell r="X53">
            <v>0</v>
          </cell>
          <cell r="AA53">
            <v>0</v>
          </cell>
          <cell r="AC53">
            <v>0</v>
          </cell>
          <cell r="AD53">
            <v>0</v>
          </cell>
          <cell r="AE53">
            <v>62399259</v>
          </cell>
        </row>
        <row r="54">
          <cell r="F54">
            <v>10518226</v>
          </cell>
          <cell r="L54">
            <v>0</v>
          </cell>
          <cell r="X54">
            <v>0</v>
          </cell>
          <cell r="AA54">
            <v>0</v>
          </cell>
          <cell r="AC54">
            <v>0</v>
          </cell>
          <cell r="AD54">
            <v>0</v>
          </cell>
          <cell r="AE54">
            <v>130048508</v>
          </cell>
        </row>
        <row r="55">
          <cell r="F55">
            <v>7196681</v>
          </cell>
          <cell r="L55">
            <v>0</v>
          </cell>
          <cell r="X55">
            <v>0</v>
          </cell>
          <cell r="AA55">
            <v>0</v>
          </cell>
          <cell r="AC55">
            <v>0</v>
          </cell>
          <cell r="AD55">
            <v>0</v>
          </cell>
          <cell r="AE55">
            <v>70243052</v>
          </cell>
        </row>
        <row r="56">
          <cell r="F56">
            <v>16607727</v>
          </cell>
          <cell r="L56">
            <v>0</v>
          </cell>
          <cell r="X56">
            <v>0</v>
          </cell>
          <cell r="AA56">
            <v>0</v>
          </cell>
          <cell r="AC56">
            <v>0</v>
          </cell>
          <cell r="AD56">
            <v>0</v>
          </cell>
          <cell r="AE56">
            <v>190510423</v>
          </cell>
        </row>
        <row r="57">
          <cell r="F57">
            <v>12455796</v>
          </cell>
          <cell r="L57">
            <v>1524643</v>
          </cell>
          <cell r="X57">
            <v>27752498</v>
          </cell>
          <cell r="AC57">
            <v>0</v>
          </cell>
          <cell r="AD57">
            <v>0</v>
          </cell>
          <cell r="AE57">
            <v>150955037</v>
          </cell>
        </row>
        <row r="58">
          <cell r="F58">
            <v>5535909</v>
          </cell>
          <cell r="L58">
            <v>0</v>
          </cell>
          <cell r="X58">
            <v>0</v>
          </cell>
          <cell r="AA58">
            <v>0</v>
          </cell>
          <cell r="AC58">
            <v>0</v>
          </cell>
          <cell r="AD58">
            <v>0</v>
          </cell>
          <cell r="AE58">
            <v>77004217</v>
          </cell>
        </row>
        <row r="59">
          <cell r="F59">
            <v>6643090</v>
          </cell>
          <cell r="L59">
            <v>248844</v>
          </cell>
          <cell r="X59">
            <v>2263093</v>
          </cell>
          <cell r="AA59">
            <v>0</v>
          </cell>
          <cell r="AC59">
            <v>0</v>
          </cell>
          <cell r="AD59">
            <v>0</v>
          </cell>
          <cell r="AE59">
            <v>69582654</v>
          </cell>
        </row>
        <row r="60">
          <cell r="F60">
            <v>4428727</v>
          </cell>
          <cell r="L60">
            <v>0</v>
          </cell>
          <cell r="X60">
            <v>0</v>
          </cell>
          <cell r="AA60">
            <v>0</v>
          </cell>
          <cell r="AC60">
            <v>0</v>
          </cell>
          <cell r="AD60">
            <v>0</v>
          </cell>
          <cell r="AE60">
            <v>43028768</v>
          </cell>
        </row>
        <row r="61">
          <cell r="F61">
            <v>9964635</v>
          </cell>
          <cell r="L61">
            <v>0</v>
          </cell>
          <cell r="X61">
            <v>3462110</v>
          </cell>
          <cell r="AA61">
            <v>0</v>
          </cell>
          <cell r="AC61">
            <v>0</v>
          </cell>
          <cell r="AD61">
            <v>0</v>
          </cell>
          <cell r="AE61">
            <v>99188204</v>
          </cell>
        </row>
        <row r="62">
          <cell r="F62">
            <v>6643091</v>
          </cell>
          <cell r="L62">
            <v>0</v>
          </cell>
          <cell r="X62">
            <v>3291079</v>
          </cell>
          <cell r="AA62">
            <v>0</v>
          </cell>
          <cell r="AC62">
            <v>0</v>
          </cell>
          <cell r="AD62">
            <v>0</v>
          </cell>
          <cell r="AE62">
            <v>71689748</v>
          </cell>
        </row>
        <row r="63">
          <cell r="F63">
            <v>5535909</v>
          </cell>
          <cell r="L63">
            <v>0</v>
          </cell>
          <cell r="X63">
            <v>0</v>
          </cell>
          <cell r="AA63">
            <v>0</v>
          </cell>
          <cell r="AC63">
            <v>0</v>
          </cell>
          <cell r="AD63">
            <v>0</v>
          </cell>
          <cell r="AE63">
            <v>72271269</v>
          </cell>
        </row>
        <row r="64">
          <cell r="F64">
            <v>6643091</v>
          </cell>
          <cell r="L64">
            <v>1479044</v>
          </cell>
          <cell r="X64">
            <v>0</v>
          </cell>
          <cell r="AA64">
            <v>0</v>
          </cell>
          <cell r="AC64">
            <v>0</v>
          </cell>
          <cell r="AD64">
            <v>0</v>
          </cell>
          <cell r="AE64">
            <v>105331452</v>
          </cell>
        </row>
        <row r="65">
          <cell r="F65">
            <v>5535909</v>
          </cell>
          <cell r="L65">
            <v>0</v>
          </cell>
          <cell r="X65">
            <v>0</v>
          </cell>
          <cell r="AA65">
            <v>0</v>
          </cell>
          <cell r="AC65">
            <v>0</v>
          </cell>
          <cell r="AD65">
            <v>0</v>
          </cell>
          <cell r="AE65">
            <v>45072350</v>
          </cell>
        </row>
        <row r="66">
          <cell r="F66">
            <v>3321545</v>
          </cell>
          <cell r="L66">
            <v>0</v>
          </cell>
          <cell r="X66">
            <v>3786008</v>
          </cell>
          <cell r="AA66">
            <v>0</v>
          </cell>
          <cell r="AC66">
            <v>0</v>
          </cell>
          <cell r="AD66">
            <v>0</v>
          </cell>
          <cell r="AE66">
            <v>36732331</v>
          </cell>
        </row>
        <row r="67">
          <cell r="F67">
            <v>5674307</v>
          </cell>
          <cell r="L67">
            <v>0</v>
          </cell>
          <cell r="X67">
            <v>5644315</v>
          </cell>
          <cell r="AA67">
            <v>0</v>
          </cell>
          <cell r="AC67">
            <v>0</v>
          </cell>
          <cell r="AD67">
            <v>0</v>
          </cell>
          <cell r="AE67">
            <v>72737525</v>
          </cell>
        </row>
        <row r="68">
          <cell r="F68">
            <v>3875136</v>
          </cell>
          <cell r="L68">
            <v>0</v>
          </cell>
          <cell r="X68">
            <v>627078</v>
          </cell>
          <cell r="AA68">
            <v>0</v>
          </cell>
          <cell r="AC68">
            <v>0</v>
          </cell>
          <cell r="AD68">
            <v>0</v>
          </cell>
          <cell r="AE68">
            <v>14684732</v>
          </cell>
        </row>
        <row r="69">
          <cell r="F69">
            <v>5535909</v>
          </cell>
          <cell r="L69">
            <v>0</v>
          </cell>
          <cell r="X69">
            <v>0</v>
          </cell>
          <cell r="AA69">
            <v>0</v>
          </cell>
          <cell r="AC69">
            <v>0</v>
          </cell>
          <cell r="AD69">
            <v>0</v>
          </cell>
          <cell r="AE69">
            <v>43545601</v>
          </cell>
        </row>
        <row r="70">
          <cell r="F70">
            <v>8027068</v>
          </cell>
          <cell r="L70">
            <v>0</v>
          </cell>
          <cell r="X70">
            <v>0</v>
          </cell>
          <cell r="AA70">
            <v>0</v>
          </cell>
          <cell r="AC70">
            <v>0</v>
          </cell>
          <cell r="AD70">
            <v>0</v>
          </cell>
          <cell r="AE70">
            <v>94204353</v>
          </cell>
        </row>
        <row r="71">
          <cell r="F71">
            <v>7750272</v>
          </cell>
          <cell r="L71">
            <v>3287275</v>
          </cell>
          <cell r="X71">
            <v>12086343</v>
          </cell>
          <cell r="AA71">
            <v>0</v>
          </cell>
          <cell r="AC71">
            <v>0</v>
          </cell>
          <cell r="AD71">
            <v>0</v>
          </cell>
          <cell r="AE71">
            <v>135220055</v>
          </cell>
        </row>
        <row r="72">
          <cell r="F72">
            <v>5535909</v>
          </cell>
          <cell r="L72">
            <v>0</v>
          </cell>
          <cell r="X72">
            <v>0</v>
          </cell>
          <cell r="AA72">
            <v>0</v>
          </cell>
          <cell r="AC72">
            <v>2214364</v>
          </cell>
          <cell r="AD72">
            <v>34766</v>
          </cell>
          <cell r="AE72">
            <v>76941803</v>
          </cell>
        </row>
        <row r="73">
          <cell r="F73">
            <v>11071818</v>
          </cell>
          <cell r="L73">
            <v>0</v>
          </cell>
          <cell r="X73">
            <v>0</v>
          </cell>
          <cell r="AA73">
            <v>0</v>
          </cell>
          <cell r="AC73">
            <v>0</v>
          </cell>
          <cell r="AD73">
            <v>0</v>
          </cell>
          <cell r="AE73">
            <v>132098806</v>
          </cell>
        </row>
        <row r="74">
          <cell r="F74">
            <v>11071817</v>
          </cell>
          <cell r="L74">
            <v>0</v>
          </cell>
          <cell r="X74">
            <v>0</v>
          </cell>
          <cell r="AA74">
            <v>0</v>
          </cell>
          <cell r="AC74">
            <v>0</v>
          </cell>
          <cell r="AD74">
            <v>0</v>
          </cell>
          <cell r="AE74">
            <v>127763957</v>
          </cell>
        </row>
        <row r="75">
          <cell r="F75">
            <v>4428727</v>
          </cell>
          <cell r="L75">
            <v>0</v>
          </cell>
          <cell r="X75">
            <v>0</v>
          </cell>
          <cell r="AA75">
            <v>0</v>
          </cell>
          <cell r="AC75">
            <v>0</v>
          </cell>
          <cell r="AD75">
            <v>0</v>
          </cell>
          <cell r="AE75">
            <v>47132802</v>
          </cell>
        </row>
        <row r="76">
          <cell r="F76">
            <v>6919885</v>
          </cell>
          <cell r="L76">
            <v>0</v>
          </cell>
          <cell r="X76">
            <v>0</v>
          </cell>
          <cell r="AA76">
            <v>0</v>
          </cell>
          <cell r="AC76">
            <v>0</v>
          </cell>
          <cell r="AD76">
            <v>0</v>
          </cell>
          <cell r="AE76">
            <v>29102329</v>
          </cell>
        </row>
        <row r="77">
          <cell r="F77">
            <v>3875136</v>
          </cell>
          <cell r="L77">
            <v>4270266</v>
          </cell>
          <cell r="X77">
            <v>0</v>
          </cell>
          <cell r="AA77">
            <v>0</v>
          </cell>
          <cell r="AC77">
            <v>0</v>
          </cell>
          <cell r="AD77">
            <v>0</v>
          </cell>
          <cell r="AE77">
            <v>19892872</v>
          </cell>
        </row>
        <row r="78">
          <cell r="F78">
            <v>7196681</v>
          </cell>
          <cell r="L78">
            <v>0</v>
          </cell>
          <cell r="X78">
            <v>5973118</v>
          </cell>
          <cell r="AA78">
            <v>0</v>
          </cell>
          <cell r="AC78">
            <v>0</v>
          </cell>
          <cell r="AD78">
            <v>0</v>
          </cell>
          <cell r="AE78">
            <v>78643251</v>
          </cell>
        </row>
        <row r="79">
          <cell r="F79">
            <v>7196681</v>
          </cell>
          <cell r="L79">
            <v>0</v>
          </cell>
          <cell r="X79">
            <v>0</v>
          </cell>
          <cell r="AA79">
            <v>0</v>
          </cell>
          <cell r="AC79">
            <v>0</v>
          </cell>
          <cell r="AD79">
            <v>0</v>
          </cell>
          <cell r="AE79">
            <v>83679865</v>
          </cell>
        </row>
        <row r="80">
          <cell r="F80">
            <v>7196681</v>
          </cell>
          <cell r="L80">
            <v>0</v>
          </cell>
          <cell r="X80">
            <v>3889836</v>
          </cell>
          <cell r="AA80">
            <v>0</v>
          </cell>
          <cell r="AC80">
            <v>1107182</v>
          </cell>
          <cell r="AD80">
            <v>17383</v>
          </cell>
          <cell r="AE80">
            <v>43058370</v>
          </cell>
        </row>
      </sheetData>
      <sheetData sheetId="2">
        <row r="9">
          <cell r="I9">
            <v>7227157</v>
          </cell>
          <cell r="AA9">
            <v>79821</v>
          </cell>
          <cell r="AB9">
            <v>412191</v>
          </cell>
          <cell r="AC9">
            <v>596488</v>
          </cell>
        </row>
        <row r="10">
          <cell r="I10">
            <v>8640406</v>
          </cell>
          <cell r="AA10">
            <v>94199</v>
          </cell>
          <cell r="AB10">
            <v>486435</v>
          </cell>
          <cell r="AC10">
            <v>703927</v>
          </cell>
        </row>
        <row r="11">
          <cell r="I11">
            <v>2315064</v>
          </cell>
          <cell r="AA11">
            <v>25002</v>
          </cell>
          <cell r="AB11">
            <v>129109</v>
          </cell>
          <cell r="AC11">
            <v>186836</v>
          </cell>
        </row>
        <row r="12">
          <cell r="I12">
            <v>8367201</v>
          </cell>
          <cell r="AA12">
            <v>92578</v>
          </cell>
          <cell r="AB12">
            <v>478068</v>
          </cell>
          <cell r="AC12">
            <v>691820</v>
          </cell>
        </row>
        <row r="13">
          <cell r="I13">
            <v>8192614</v>
          </cell>
          <cell r="AA13">
            <v>93229</v>
          </cell>
          <cell r="AB13">
            <v>481430</v>
          </cell>
          <cell r="AC13">
            <v>696684</v>
          </cell>
        </row>
        <row r="14">
          <cell r="I14">
            <v>12186778</v>
          </cell>
          <cell r="AA14">
            <v>134214</v>
          </cell>
          <cell r="AB14">
            <v>693071</v>
          </cell>
          <cell r="AC14">
            <v>1002953</v>
          </cell>
        </row>
        <row r="15">
          <cell r="I15">
            <v>12112919</v>
          </cell>
          <cell r="AA15">
            <v>138476</v>
          </cell>
          <cell r="AB15">
            <v>715081</v>
          </cell>
          <cell r="AC15">
            <v>1034803</v>
          </cell>
        </row>
        <row r="16">
          <cell r="I16">
            <v>10643278</v>
          </cell>
          <cell r="AA16">
            <v>119282</v>
          </cell>
          <cell r="AB16">
            <v>615963</v>
          </cell>
          <cell r="AC16">
            <v>891369</v>
          </cell>
        </row>
        <row r="17">
          <cell r="I17">
            <v>8055894</v>
          </cell>
          <cell r="AA17">
            <v>91658</v>
          </cell>
          <cell r="AB17">
            <v>473317</v>
          </cell>
          <cell r="AC17">
            <v>684944</v>
          </cell>
        </row>
        <row r="18">
          <cell r="I18">
            <v>23733579</v>
          </cell>
          <cell r="AA18">
            <v>271424</v>
          </cell>
          <cell r="AB18">
            <v>1401615</v>
          </cell>
          <cell r="AC18">
            <v>2028297</v>
          </cell>
        </row>
        <row r="19">
          <cell r="I19">
            <v>4904025</v>
          </cell>
          <cell r="AA19">
            <v>52618</v>
          </cell>
          <cell r="AB19">
            <v>271717</v>
          </cell>
          <cell r="AC19">
            <v>393205</v>
          </cell>
        </row>
        <row r="20">
          <cell r="I20">
            <v>20592039</v>
          </cell>
          <cell r="AA20">
            <v>229816</v>
          </cell>
          <cell r="AB20">
            <v>1186752</v>
          </cell>
          <cell r="AC20">
            <v>1717366</v>
          </cell>
        </row>
        <row r="21">
          <cell r="I21">
            <v>1751371</v>
          </cell>
          <cell r="AA21">
            <v>18633</v>
          </cell>
          <cell r="AB21">
            <v>96219</v>
          </cell>
          <cell r="AC21">
            <v>139240</v>
          </cell>
        </row>
        <row r="22">
          <cell r="I22">
            <v>3641332</v>
          </cell>
          <cell r="AA22">
            <v>61456</v>
          </cell>
          <cell r="AB22">
            <v>317356</v>
          </cell>
          <cell r="AC22">
            <v>459250</v>
          </cell>
        </row>
        <row r="23">
          <cell r="I23">
            <v>14009648</v>
          </cell>
          <cell r="AA23">
            <v>158441</v>
          </cell>
          <cell r="AB23">
            <v>818177</v>
          </cell>
          <cell r="AC23">
            <v>1183995</v>
          </cell>
        </row>
        <row r="24">
          <cell r="I24">
            <v>1651040</v>
          </cell>
          <cell r="AA24">
            <v>18776</v>
          </cell>
          <cell r="AB24">
            <v>96956</v>
          </cell>
          <cell r="AC24">
            <v>140306</v>
          </cell>
        </row>
        <row r="25">
          <cell r="I25">
            <v>18706805</v>
          </cell>
          <cell r="AA25">
            <v>231114</v>
          </cell>
          <cell r="AB25">
            <v>1193457</v>
          </cell>
          <cell r="AC25">
            <v>1727068</v>
          </cell>
        </row>
        <row r="26">
          <cell r="I26">
            <v>4049053</v>
          </cell>
          <cell r="AA26">
            <v>45106</v>
          </cell>
          <cell r="AB26">
            <v>232924</v>
          </cell>
          <cell r="AC26">
            <v>337068</v>
          </cell>
        </row>
        <row r="27">
          <cell r="I27">
            <v>11011423</v>
          </cell>
          <cell r="AA27">
            <v>121022</v>
          </cell>
          <cell r="AB27">
            <v>624950</v>
          </cell>
          <cell r="AC27">
            <v>904374</v>
          </cell>
          <cell r="BX27">
            <v>1</v>
          </cell>
        </row>
        <row r="28">
          <cell r="I28">
            <v>12966358</v>
          </cell>
          <cell r="AA28">
            <v>147813</v>
          </cell>
          <cell r="AB28">
            <v>763297</v>
          </cell>
          <cell r="AC28">
            <v>1104578</v>
          </cell>
        </row>
        <row r="29">
          <cell r="I29">
            <v>5307335</v>
          </cell>
          <cell r="AA29">
            <v>58345</v>
          </cell>
          <cell r="AB29">
            <v>301290</v>
          </cell>
          <cell r="AC29">
            <v>436000</v>
          </cell>
          <cell r="BX29">
            <v>2</v>
          </cell>
        </row>
        <row r="30">
          <cell r="I30">
            <v>5279464</v>
          </cell>
          <cell r="AA30">
            <v>56964</v>
          </cell>
          <cell r="AB30">
            <v>294159</v>
          </cell>
          <cell r="AC30">
            <v>425681</v>
          </cell>
        </row>
        <row r="31">
          <cell r="I31">
            <v>15441917</v>
          </cell>
          <cell r="AA31">
            <v>169464</v>
          </cell>
          <cell r="AB31">
            <v>875102</v>
          </cell>
          <cell r="AC31">
            <v>1266373</v>
          </cell>
        </row>
        <row r="32">
          <cell r="I32">
            <v>1760322</v>
          </cell>
          <cell r="AA32">
            <v>19860</v>
          </cell>
          <cell r="AB32">
            <v>102553</v>
          </cell>
          <cell r="AC32">
            <v>148407</v>
          </cell>
        </row>
        <row r="33">
          <cell r="I33">
            <v>1682453</v>
          </cell>
          <cell r="AA33">
            <v>18954</v>
          </cell>
          <cell r="AB33">
            <v>97875</v>
          </cell>
          <cell r="AC33">
            <v>141636</v>
          </cell>
        </row>
        <row r="34">
          <cell r="I34">
            <v>15141099</v>
          </cell>
          <cell r="AA34">
            <v>165270</v>
          </cell>
          <cell r="AB34">
            <v>853441</v>
          </cell>
          <cell r="AC34">
            <v>1235026</v>
          </cell>
          <cell r="BX34">
            <v>16.930000000000007</v>
          </cell>
        </row>
        <row r="35">
          <cell r="I35">
            <v>74724100</v>
          </cell>
          <cell r="AA35">
            <v>817243</v>
          </cell>
          <cell r="AB35">
            <v>4220183</v>
          </cell>
          <cell r="AC35">
            <v>6107088</v>
          </cell>
        </row>
        <row r="36">
          <cell r="I36">
            <v>37934728</v>
          </cell>
          <cell r="AA36">
            <v>421116</v>
          </cell>
          <cell r="AB36">
            <v>2174615</v>
          </cell>
          <cell r="AC36">
            <v>3146917</v>
          </cell>
        </row>
        <row r="37">
          <cell r="I37">
            <v>436604</v>
          </cell>
          <cell r="AA37">
            <v>0</v>
          </cell>
          <cell r="AB37">
            <v>0</v>
          </cell>
          <cell r="AC37">
            <v>0</v>
          </cell>
        </row>
        <row r="38">
          <cell r="I38">
            <v>2857496</v>
          </cell>
          <cell r="AA38">
            <v>30965</v>
          </cell>
          <cell r="AB38">
            <v>159901</v>
          </cell>
          <cell r="AC38">
            <v>231395</v>
          </cell>
        </row>
        <row r="39">
          <cell r="I39">
            <v>7363695</v>
          </cell>
          <cell r="AA39">
            <v>80775</v>
          </cell>
          <cell r="AB39">
            <v>417118</v>
          </cell>
          <cell r="AC39">
            <v>603618</v>
          </cell>
        </row>
        <row r="40">
          <cell r="I40">
            <v>1094837</v>
          </cell>
          <cell r="AA40">
            <v>0</v>
          </cell>
          <cell r="AB40">
            <v>0</v>
          </cell>
          <cell r="AC40">
            <v>0</v>
          </cell>
        </row>
        <row r="41">
          <cell r="I41">
            <v>5045099</v>
          </cell>
          <cell r="AA41">
            <v>57446</v>
          </cell>
          <cell r="AB41">
            <v>296648</v>
          </cell>
          <cell r="AC41">
            <v>429284</v>
          </cell>
        </row>
        <row r="42">
          <cell r="I42">
            <v>19790034</v>
          </cell>
          <cell r="AA42">
            <v>219696</v>
          </cell>
          <cell r="AB42">
            <v>1134493</v>
          </cell>
          <cell r="AC42">
            <v>1641742</v>
          </cell>
        </row>
        <row r="43">
          <cell r="I43">
            <v>7849604</v>
          </cell>
          <cell r="AA43">
            <v>86599</v>
          </cell>
          <cell r="AB43">
            <v>447190</v>
          </cell>
          <cell r="AC43">
            <v>647135</v>
          </cell>
        </row>
        <row r="44">
          <cell r="I44">
            <v>4232084</v>
          </cell>
          <cell r="AA44">
            <v>49047</v>
          </cell>
          <cell r="AB44">
            <v>253277</v>
          </cell>
          <cell r="AC44">
            <v>366520</v>
          </cell>
          <cell r="BX44">
            <v>1</v>
          </cell>
        </row>
        <row r="45">
          <cell r="I45">
            <v>22706269</v>
          </cell>
          <cell r="AA45">
            <v>257216</v>
          </cell>
          <cell r="AB45">
            <v>1328244</v>
          </cell>
          <cell r="AC45">
            <v>1922120</v>
          </cell>
        </row>
        <row r="46">
          <cell r="I46">
            <v>5914751</v>
          </cell>
          <cell r="AA46">
            <v>68791</v>
          </cell>
          <cell r="AB46">
            <v>355230</v>
          </cell>
          <cell r="AC46">
            <v>514058</v>
          </cell>
        </row>
        <row r="47">
          <cell r="I47">
            <v>1759892</v>
          </cell>
          <cell r="AA47">
            <v>18903</v>
          </cell>
          <cell r="AB47">
            <v>97613</v>
          </cell>
          <cell r="AC47">
            <v>141257</v>
          </cell>
        </row>
        <row r="48">
          <cell r="I48">
            <v>13391269</v>
          </cell>
          <cell r="AA48">
            <v>155788</v>
          </cell>
          <cell r="AB48">
            <v>804477</v>
          </cell>
          <cell r="AC48">
            <v>1164171</v>
          </cell>
        </row>
        <row r="49">
          <cell r="I49">
            <v>15228962</v>
          </cell>
          <cell r="AA49">
            <v>173671</v>
          </cell>
          <cell r="AB49">
            <v>896823</v>
          </cell>
          <cell r="AC49">
            <v>1297806</v>
          </cell>
        </row>
        <row r="50">
          <cell r="I50">
            <v>15050695</v>
          </cell>
          <cell r="AA50">
            <v>163573</v>
          </cell>
          <cell r="AB50">
            <v>844679</v>
          </cell>
          <cell r="AC50">
            <v>1222346</v>
          </cell>
        </row>
        <row r="51">
          <cell r="I51">
            <v>20278507</v>
          </cell>
          <cell r="AA51">
            <v>226542</v>
          </cell>
          <cell r="AB51">
            <v>1169846</v>
          </cell>
          <cell r="AC51">
            <v>1692901</v>
          </cell>
          <cell r="BX51">
            <v>11</v>
          </cell>
        </row>
        <row r="52">
          <cell r="I52">
            <v>3836748</v>
          </cell>
          <cell r="AA52">
            <v>42036</v>
          </cell>
          <cell r="AB52">
            <v>217071</v>
          </cell>
          <cell r="AC52">
            <v>314126</v>
          </cell>
        </row>
        <row r="53">
          <cell r="I53">
            <v>9519175</v>
          </cell>
          <cell r="AA53">
            <v>104167</v>
          </cell>
          <cell r="AB53">
            <v>537913</v>
          </cell>
          <cell r="AC53">
            <v>778421</v>
          </cell>
        </row>
        <row r="54">
          <cell r="I54">
            <v>19548536</v>
          </cell>
          <cell r="AA54">
            <v>218136</v>
          </cell>
          <cell r="AB54">
            <v>1126439</v>
          </cell>
          <cell r="AC54">
            <v>1630086</v>
          </cell>
        </row>
        <row r="55">
          <cell r="I55">
            <v>10671827</v>
          </cell>
          <cell r="AA55">
            <v>117817</v>
          </cell>
          <cell r="AB55">
            <v>608400</v>
          </cell>
          <cell r="AC55">
            <v>880425</v>
          </cell>
        </row>
        <row r="56">
          <cell r="I56">
            <v>28891394</v>
          </cell>
          <cell r="AA56">
            <v>319548</v>
          </cell>
          <cell r="AB56">
            <v>1650121</v>
          </cell>
          <cell r="AC56">
            <v>2387914</v>
          </cell>
        </row>
        <row r="57">
          <cell r="I57">
            <v>22701291</v>
          </cell>
          <cell r="AA57">
            <v>252822</v>
          </cell>
          <cell r="AB57">
            <v>1305555</v>
          </cell>
          <cell r="AC57">
            <v>1889288</v>
          </cell>
        </row>
        <row r="58">
          <cell r="I58">
            <v>11760540</v>
          </cell>
          <cell r="AA58">
            <v>129119</v>
          </cell>
          <cell r="AB58">
            <v>666761</v>
          </cell>
          <cell r="AC58">
            <v>964879</v>
          </cell>
        </row>
        <row r="59">
          <cell r="I59">
            <v>1305216</v>
          </cell>
          <cell r="AA59">
            <v>0</v>
          </cell>
          <cell r="AB59">
            <v>0</v>
          </cell>
          <cell r="AC59">
            <v>0</v>
          </cell>
        </row>
        <row r="60">
          <cell r="I60">
            <v>6269389</v>
          </cell>
          <cell r="AA60">
            <v>72233</v>
          </cell>
          <cell r="AB60">
            <v>373005</v>
          </cell>
          <cell r="AC60">
            <v>539781</v>
          </cell>
        </row>
        <row r="61">
          <cell r="I61">
            <v>1849328</v>
          </cell>
          <cell r="AA61">
            <v>0</v>
          </cell>
          <cell r="AB61">
            <v>0</v>
          </cell>
          <cell r="AC61">
            <v>0</v>
          </cell>
        </row>
        <row r="62">
          <cell r="I62">
            <v>10170744</v>
          </cell>
          <cell r="AA62">
            <v>120067</v>
          </cell>
          <cell r="AB62">
            <v>620019</v>
          </cell>
          <cell r="AC62">
            <v>897238</v>
          </cell>
        </row>
        <row r="63">
          <cell r="I63">
            <v>10326812</v>
          </cell>
          <cell r="AA63">
            <v>121079</v>
          </cell>
          <cell r="AB63">
            <v>625241</v>
          </cell>
          <cell r="AC63">
            <v>904795</v>
          </cell>
        </row>
        <row r="64">
          <cell r="I64">
            <v>14841553</v>
          </cell>
          <cell r="AA64">
            <v>176682</v>
          </cell>
          <cell r="AB64">
            <v>912374</v>
          </cell>
          <cell r="AC64">
            <v>1320309</v>
          </cell>
        </row>
        <row r="65">
          <cell r="I65">
            <v>6878911</v>
          </cell>
          <cell r="AA65">
            <v>75596</v>
          </cell>
          <cell r="AB65">
            <v>390374</v>
          </cell>
          <cell r="AC65">
            <v>564916</v>
          </cell>
        </row>
        <row r="66">
          <cell r="I66">
            <v>5561223</v>
          </cell>
          <cell r="AA66">
            <v>61520</v>
          </cell>
          <cell r="AB66">
            <v>317685</v>
          </cell>
          <cell r="AC66">
            <v>459726</v>
          </cell>
        </row>
        <row r="67">
          <cell r="I67">
            <v>6457835</v>
          </cell>
          <cell r="AA67">
            <v>32908</v>
          </cell>
          <cell r="AB67">
            <v>169937</v>
          </cell>
          <cell r="AC67">
            <v>245919</v>
          </cell>
        </row>
        <row r="68">
          <cell r="I68">
            <v>2177377</v>
          </cell>
          <cell r="AA68">
            <v>24594</v>
          </cell>
          <cell r="AB68">
            <v>127003</v>
          </cell>
          <cell r="AC68">
            <v>183788</v>
          </cell>
        </row>
        <row r="69">
          <cell r="I69">
            <v>6449837</v>
          </cell>
          <cell r="AA69">
            <v>75426</v>
          </cell>
          <cell r="AB69">
            <v>389494</v>
          </cell>
          <cell r="AC69">
            <v>563642</v>
          </cell>
        </row>
        <row r="70">
          <cell r="I70">
            <v>13785416</v>
          </cell>
          <cell r="AA70">
            <v>159572</v>
          </cell>
          <cell r="AB70">
            <v>824018</v>
          </cell>
          <cell r="AC70">
            <v>1192448</v>
          </cell>
        </row>
        <row r="71">
          <cell r="I71">
            <v>2489214</v>
          </cell>
          <cell r="AA71">
            <v>0</v>
          </cell>
          <cell r="AB71">
            <v>0</v>
          </cell>
          <cell r="AC71">
            <v>0</v>
          </cell>
        </row>
        <row r="72">
          <cell r="I72">
            <v>11682539</v>
          </cell>
          <cell r="AA72">
            <v>128859</v>
          </cell>
          <cell r="AB72">
            <v>665417</v>
          </cell>
          <cell r="AC72">
            <v>962934</v>
          </cell>
          <cell r="BX72">
            <v>2.4000000000000057</v>
          </cell>
        </row>
        <row r="73">
          <cell r="I73">
            <v>20191716</v>
          </cell>
          <cell r="AA73">
            <v>221574</v>
          </cell>
          <cell r="AB73">
            <v>1144191</v>
          </cell>
          <cell r="AC73">
            <v>1655775</v>
          </cell>
        </row>
        <row r="74">
          <cell r="I74">
            <v>18591089</v>
          </cell>
          <cell r="AA74">
            <v>215319</v>
          </cell>
          <cell r="AB74">
            <v>1111893</v>
          </cell>
          <cell r="AC74">
            <v>1609036</v>
          </cell>
        </row>
        <row r="75">
          <cell r="I75">
            <v>7286531</v>
          </cell>
          <cell r="AA75">
            <v>79056</v>
          </cell>
          <cell r="AB75">
            <v>408240</v>
          </cell>
          <cell r="AC75">
            <v>590770</v>
          </cell>
        </row>
        <row r="76">
          <cell r="I76">
            <v>4517893</v>
          </cell>
          <cell r="AA76">
            <v>48802</v>
          </cell>
          <cell r="AB76">
            <v>252008</v>
          </cell>
          <cell r="AC76">
            <v>364685</v>
          </cell>
        </row>
        <row r="77">
          <cell r="I77">
            <v>3057083</v>
          </cell>
          <cell r="AA77">
            <v>33317</v>
          </cell>
          <cell r="AB77">
            <v>172046</v>
          </cell>
          <cell r="AC77">
            <v>248971</v>
          </cell>
        </row>
        <row r="78">
          <cell r="I78">
            <v>1439654</v>
          </cell>
          <cell r="AA78">
            <v>0</v>
          </cell>
          <cell r="AB78">
            <v>0</v>
          </cell>
          <cell r="AC78">
            <v>0</v>
          </cell>
          <cell r="BX78">
            <v>4</v>
          </cell>
        </row>
        <row r="79">
          <cell r="I79">
            <v>12737722</v>
          </cell>
          <cell r="AA79">
            <v>140672</v>
          </cell>
          <cell r="AB79">
            <v>726420</v>
          </cell>
          <cell r="AC79">
            <v>1051213</v>
          </cell>
        </row>
        <row r="80">
          <cell r="I80">
            <v>6677717</v>
          </cell>
          <cell r="AA80">
            <v>71173</v>
          </cell>
          <cell r="AB80">
            <v>367533</v>
          </cell>
          <cell r="AC80">
            <v>531863</v>
          </cell>
        </row>
      </sheetData>
      <sheetData sheetId="3" refreshError="1"/>
      <sheetData sheetId="4" refreshError="1"/>
      <sheetData sheetId="5" refreshError="1"/>
      <sheetData sheetId="6">
        <row r="5">
          <cell r="C5" t="str">
            <v>2012-13 R1</v>
          </cell>
        </row>
        <row r="9">
          <cell r="C9">
            <v>8260.3823260000008</v>
          </cell>
          <cell r="D9">
            <v>8260.3823260000008</v>
          </cell>
          <cell r="E9">
            <v>8462.58</v>
          </cell>
          <cell r="H9">
            <v>0</v>
          </cell>
          <cell r="I9">
            <v>0</v>
          </cell>
          <cell r="J9">
            <v>8260.3823260000008</v>
          </cell>
          <cell r="K9">
            <v>0</v>
          </cell>
          <cell r="L9">
            <v>202.19767400000001</v>
          </cell>
          <cell r="M9">
            <v>0</v>
          </cell>
          <cell r="N9">
            <v>594.4</v>
          </cell>
          <cell r="O9">
            <v>594.4</v>
          </cell>
          <cell r="P9">
            <v>594.39</v>
          </cell>
          <cell r="S9">
            <v>0</v>
          </cell>
          <cell r="T9">
            <v>0</v>
          </cell>
          <cell r="U9">
            <v>594.39</v>
          </cell>
          <cell r="V9">
            <v>0</v>
          </cell>
          <cell r="W9">
            <v>0</v>
          </cell>
          <cell r="X9">
            <v>0</v>
          </cell>
          <cell r="Y9">
            <v>320.27999999999997</v>
          </cell>
          <cell r="Z9">
            <v>320.27999999999997</v>
          </cell>
          <cell r="AA9">
            <v>324.99</v>
          </cell>
          <cell r="AD9">
            <v>0</v>
          </cell>
          <cell r="AE9">
            <v>0</v>
          </cell>
          <cell r="AF9">
            <v>320.27999999999997</v>
          </cell>
          <cell r="AG9">
            <v>0</v>
          </cell>
          <cell r="AH9">
            <v>4.71</v>
          </cell>
          <cell r="AI9">
            <v>0</v>
          </cell>
          <cell r="AT9">
            <v>0</v>
          </cell>
        </row>
        <row r="10">
          <cell r="C10">
            <v>10619.170071999999</v>
          </cell>
          <cell r="D10">
            <v>10619.170071999999</v>
          </cell>
          <cell r="E10">
            <v>11140.49</v>
          </cell>
          <cell r="H10">
            <v>0</v>
          </cell>
          <cell r="I10">
            <v>0</v>
          </cell>
          <cell r="J10">
            <v>10619.170072000001</v>
          </cell>
          <cell r="K10">
            <v>0</v>
          </cell>
          <cell r="L10">
            <v>521.319928</v>
          </cell>
          <cell r="M10">
            <v>0</v>
          </cell>
          <cell r="N10">
            <v>0</v>
          </cell>
          <cell r="O10">
            <v>0</v>
          </cell>
          <cell r="P10">
            <v>0</v>
          </cell>
          <cell r="S10">
            <v>0</v>
          </cell>
          <cell r="T10">
            <v>0</v>
          </cell>
          <cell r="U10">
            <v>0</v>
          </cell>
          <cell r="V10">
            <v>0</v>
          </cell>
          <cell r="W10">
            <v>0</v>
          </cell>
          <cell r="X10">
            <v>0</v>
          </cell>
          <cell r="Y10">
            <v>0</v>
          </cell>
          <cell r="Z10">
            <v>0</v>
          </cell>
          <cell r="AA10">
            <v>0</v>
          </cell>
          <cell r="AD10">
            <v>0</v>
          </cell>
          <cell r="AE10">
            <v>0</v>
          </cell>
          <cell r="AF10">
            <v>0</v>
          </cell>
          <cell r="AG10">
            <v>0</v>
          </cell>
          <cell r="AH10">
            <v>0</v>
          </cell>
          <cell r="AI10">
            <v>0</v>
          </cell>
          <cell r="AT10">
            <v>0</v>
          </cell>
        </row>
        <row r="11">
          <cell r="C11">
            <v>2336.2900059999997</v>
          </cell>
          <cell r="D11">
            <v>2336.2900059999997</v>
          </cell>
          <cell r="E11">
            <v>2562.27</v>
          </cell>
          <cell r="H11">
            <v>0</v>
          </cell>
          <cell r="I11">
            <v>0</v>
          </cell>
          <cell r="J11">
            <v>2336.2900060000002</v>
          </cell>
          <cell r="K11">
            <v>0</v>
          </cell>
          <cell r="L11">
            <v>225.979994</v>
          </cell>
          <cell r="M11">
            <v>0</v>
          </cell>
          <cell r="N11">
            <v>57.43</v>
          </cell>
          <cell r="O11">
            <v>57.43</v>
          </cell>
          <cell r="P11">
            <v>34.6</v>
          </cell>
          <cell r="S11">
            <v>0</v>
          </cell>
          <cell r="T11">
            <v>0</v>
          </cell>
          <cell r="U11">
            <v>34.6</v>
          </cell>
          <cell r="V11">
            <v>0</v>
          </cell>
          <cell r="W11">
            <v>0</v>
          </cell>
          <cell r="X11">
            <v>0</v>
          </cell>
          <cell r="Y11">
            <v>0</v>
          </cell>
          <cell r="Z11">
            <v>0</v>
          </cell>
          <cell r="AA11">
            <v>0</v>
          </cell>
          <cell r="AD11">
            <v>0</v>
          </cell>
          <cell r="AE11">
            <v>0</v>
          </cell>
          <cell r="AF11">
            <v>0</v>
          </cell>
          <cell r="AG11">
            <v>0</v>
          </cell>
          <cell r="AH11">
            <v>0</v>
          </cell>
          <cell r="AI11">
            <v>0</v>
          </cell>
          <cell r="AT11">
            <v>0</v>
          </cell>
        </row>
        <row r="12">
          <cell r="C12">
            <v>9929.2332230000011</v>
          </cell>
          <cell r="D12">
            <v>9929.2332230000011</v>
          </cell>
          <cell r="E12">
            <v>10107.219999999999</v>
          </cell>
          <cell r="H12">
            <v>0</v>
          </cell>
          <cell r="I12">
            <v>0</v>
          </cell>
          <cell r="J12">
            <v>9929.2332229999993</v>
          </cell>
          <cell r="K12">
            <v>0</v>
          </cell>
          <cell r="L12">
            <v>177.98677699999999</v>
          </cell>
          <cell r="M12">
            <v>0</v>
          </cell>
          <cell r="N12">
            <v>923.27</v>
          </cell>
          <cell r="O12">
            <v>923.27</v>
          </cell>
          <cell r="P12">
            <v>1012.38</v>
          </cell>
          <cell r="S12">
            <v>0</v>
          </cell>
          <cell r="T12">
            <v>0</v>
          </cell>
          <cell r="U12">
            <v>923.27</v>
          </cell>
          <cell r="V12">
            <v>0</v>
          </cell>
          <cell r="W12">
            <v>89.11</v>
          </cell>
          <cell r="X12">
            <v>0</v>
          </cell>
          <cell r="Y12">
            <v>25.11</v>
          </cell>
          <cell r="Z12">
            <v>25.11</v>
          </cell>
          <cell r="AA12">
            <v>23.35</v>
          </cell>
          <cell r="AD12">
            <v>0</v>
          </cell>
          <cell r="AE12">
            <v>0</v>
          </cell>
          <cell r="AF12">
            <v>23.35</v>
          </cell>
          <cell r="AG12">
            <v>0</v>
          </cell>
          <cell r="AH12">
            <v>0</v>
          </cell>
          <cell r="AI12">
            <v>0</v>
          </cell>
          <cell r="AT12">
            <v>0</v>
          </cell>
        </row>
        <row r="13">
          <cell r="C13">
            <v>10652.169977</v>
          </cell>
          <cell r="D13">
            <v>10652.169977</v>
          </cell>
          <cell r="E13">
            <v>9955.19</v>
          </cell>
          <cell r="H13">
            <v>0</v>
          </cell>
          <cell r="I13">
            <v>0</v>
          </cell>
          <cell r="J13">
            <v>9955.19</v>
          </cell>
          <cell r="K13">
            <v>-696.97997699999996</v>
          </cell>
          <cell r="L13">
            <v>0</v>
          </cell>
          <cell r="M13">
            <v>0</v>
          </cell>
          <cell r="N13">
            <v>234.53</v>
          </cell>
          <cell r="O13">
            <v>234.53</v>
          </cell>
          <cell r="P13">
            <v>137.06</v>
          </cell>
          <cell r="S13">
            <v>0</v>
          </cell>
          <cell r="T13">
            <v>0</v>
          </cell>
          <cell r="U13">
            <v>137.06</v>
          </cell>
          <cell r="V13">
            <v>-97.47</v>
          </cell>
          <cell r="W13">
            <v>0</v>
          </cell>
          <cell r="X13">
            <v>0</v>
          </cell>
          <cell r="Y13">
            <v>0</v>
          </cell>
          <cell r="Z13">
            <v>0</v>
          </cell>
          <cell r="AA13">
            <v>0</v>
          </cell>
          <cell r="AD13">
            <v>0</v>
          </cell>
          <cell r="AE13">
            <v>0</v>
          </cell>
          <cell r="AF13">
            <v>0</v>
          </cell>
          <cell r="AG13">
            <v>0</v>
          </cell>
          <cell r="AH13">
            <v>0</v>
          </cell>
          <cell r="AI13">
            <v>0</v>
          </cell>
          <cell r="AT13">
            <v>0</v>
          </cell>
        </row>
        <row r="14">
          <cell r="C14">
            <v>15680.699893000001</v>
          </cell>
          <cell r="D14">
            <v>15680.699893000001</v>
          </cell>
          <cell r="E14">
            <v>16446.13</v>
          </cell>
          <cell r="H14">
            <v>0</v>
          </cell>
          <cell r="I14">
            <v>0</v>
          </cell>
          <cell r="J14">
            <v>15680.699893000001</v>
          </cell>
          <cell r="K14">
            <v>0</v>
          </cell>
          <cell r="L14">
            <v>765.43010700000002</v>
          </cell>
          <cell r="M14">
            <v>0</v>
          </cell>
          <cell r="N14">
            <v>137.18</v>
          </cell>
          <cell r="O14">
            <v>137.18</v>
          </cell>
          <cell r="P14">
            <v>219.29999999999998</v>
          </cell>
          <cell r="S14">
            <v>0</v>
          </cell>
          <cell r="T14">
            <v>0</v>
          </cell>
          <cell r="U14">
            <v>137.18</v>
          </cell>
          <cell r="V14">
            <v>0</v>
          </cell>
          <cell r="W14">
            <v>82.12</v>
          </cell>
          <cell r="X14">
            <v>0</v>
          </cell>
          <cell r="Y14">
            <v>209.59</v>
          </cell>
          <cell r="Z14">
            <v>209.59</v>
          </cell>
          <cell r="AA14">
            <v>198.1</v>
          </cell>
          <cell r="AD14">
            <v>0</v>
          </cell>
          <cell r="AE14">
            <v>0</v>
          </cell>
          <cell r="AF14">
            <v>198.1</v>
          </cell>
          <cell r="AG14">
            <v>0</v>
          </cell>
          <cell r="AH14">
            <v>0</v>
          </cell>
          <cell r="AI14">
            <v>0</v>
          </cell>
          <cell r="AT14">
            <v>0</v>
          </cell>
        </row>
        <row r="15">
          <cell r="C15">
            <v>16017.399209000001</v>
          </cell>
          <cell r="D15">
            <v>16017.399209000001</v>
          </cell>
          <cell r="E15">
            <v>16355.73</v>
          </cell>
          <cell r="H15">
            <v>0</v>
          </cell>
          <cell r="I15">
            <v>0</v>
          </cell>
          <cell r="J15">
            <v>16017.399208999999</v>
          </cell>
          <cell r="K15">
            <v>0</v>
          </cell>
          <cell r="L15">
            <v>338.33079099999998</v>
          </cell>
          <cell r="M15">
            <v>0</v>
          </cell>
          <cell r="N15">
            <v>126.32</v>
          </cell>
          <cell r="O15">
            <v>126.32</v>
          </cell>
          <cell r="P15">
            <v>100.65</v>
          </cell>
          <cell r="S15">
            <v>0</v>
          </cell>
          <cell r="T15">
            <v>0</v>
          </cell>
          <cell r="U15">
            <v>100.65</v>
          </cell>
          <cell r="V15">
            <v>0</v>
          </cell>
          <cell r="W15">
            <v>0</v>
          </cell>
          <cell r="X15">
            <v>0</v>
          </cell>
          <cell r="Y15">
            <v>0</v>
          </cell>
          <cell r="Z15">
            <v>0</v>
          </cell>
          <cell r="AA15">
            <v>0</v>
          </cell>
          <cell r="AD15">
            <v>0</v>
          </cell>
          <cell r="AE15">
            <v>0</v>
          </cell>
          <cell r="AF15">
            <v>0</v>
          </cell>
          <cell r="AG15">
            <v>0</v>
          </cell>
          <cell r="AH15">
            <v>0</v>
          </cell>
          <cell r="AI15">
            <v>0</v>
          </cell>
          <cell r="AT15">
            <v>0</v>
          </cell>
        </row>
        <row r="16">
          <cell r="C16">
            <v>11953.8</v>
          </cell>
          <cell r="D16">
            <v>11953.8</v>
          </cell>
          <cell r="E16">
            <v>13982.47</v>
          </cell>
          <cell r="H16">
            <v>1124.771927</v>
          </cell>
          <cell r="I16">
            <v>0</v>
          </cell>
          <cell r="J16">
            <v>13078.571927000001</v>
          </cell>
          <cell r="K16">
            <v>0</v>
          </cell>
          <cell r="L16">
            <v>903.89807299999995</v>
          </cell>
          <cell r="M16">
            <v>0</v>
          </cell>
          <cell r="N16">
            <v>313.42</v>
          </cell>
          <cell r="O16">
            <v>313.42</v>
          </cell>
          <cell r="P16">
            <v>336.87</v>
          </cell>
          <cell r="S16">
            <v>0</v>
          </cell>
          <cell r="T16">
            <v>0</v>
          </cell>
          <cell r="U16">
            <v>313.42</v>
          </cell>
          <cell r="V16">
            <v>0</v>
          </cell>
          <cell r="W16">
            <v>23.45</v>
          </cell>
          <cell r="X16">
            <v>0</v>
          </cell>
          <cell r="Y16">
            <v>0</v>
          </cell>
          <cell r="Z16">
            <v>0</v>
          </cell>
          <cell r="AA16">
            <v>0</v>
          </cell>
          <cell r="AD16">
            <v>0</v>
          </cell>
          <cell r="AE16">
            <v>0</v>
          </cell>
          <cell r="AF16">
            <v>0</v>
          </cell>
          <cell r="AG16">
            <v>0</v>
          </cell>
          <cell r="AH16">
            <v>0</v>
          </cell>
          <cell r="AI16">
            <v>0</v>
          </cell>
          <cell r="AT16">
            <v>0</v>
          </cell>
        </row>
        <row r="17">
          <cell r="C17">
            <v>10306.459893000001</v>
          </cell>
          <cell r="D17">
            <v>10306.459893000001</v>
          </cell>
          <cell r="E17">
            <v>11053.1</v>
          </cell>
          <cell r="H17">
            <v>0</v>
          </cell>
          <cell r="I17">
            <v>0</v>
          </cell>
          <cell r="J17">
            <v>10306.459892999999</v>
          </cell>
          <cell r="K17">
            <v>0</v>
          </cell>
          <cell r="L17">
            <v>746.64010699999994</v>
          </cell>
          <cell r="M17">
            <v>0</v>
          </cell>
          <cell r="N17">
            <v>368.73</v>
          </cell>
          <cell r="O17">
            <v>368.73</v>
          </cell>
          <cell r="P17">
            <v>260.43</v>
          </cell>
          <cell r="S17">
            <v>0</v>
          </cell>
          <cell r="T17">
            <v>0</v>
          </cell>
          <cell r="U17">
            <v>260.43</v>
          </cell>
          <cell r="V17">
            <v>0</v>
          </cell>
          <cell r="W17">
            <v>0</v>
          </cell>
          <cell r="X17">
            <v>0</v>
          </cell>
          <cell r="Y17">
            <v>0</v>
          </cell>
          <cell r="Z17">
            <v>0</v>
          </cell>
          <cell r="AA17">
            <v>0</v>
          </cell>
          <cell r="AD17">
            <v>0</v>
          </cell>
          <cell r="AE17">
            <v>0</v>
          </cell>
          <cell r="AF17">
            <v>0</v>
          </cell>
          <cell r="AG17">
            <v>0</v>
          </cell>
          <cell r="AH17">
            <v>0</v>
          </cell>
          <cell r="AI17">
            <v>0</v>
          </cell>
          <cell r="AT17">
            <v>0</v>
          </cell>
        </row>
        <row r="18">
          <cell r="C18">
            <v>29855.079999999998</v>
          </cell>
          <cell r="D18">
            <v>29855.079999999998</v>
          </cell>
          <cell r="E18">
            <v>32372.95</v>
          </cell>
          <cell r="H18">
            <v>2315.953532</v>
          </cell>
          <cell r="I18">
            <v>0</v>
          </cell>
          <cell r="J18">
            <v>32171.033532000001</v>
          </cell>
          <cell r="K18">
            <v>0</v>
          </cell>
          <cell r="L18">
            <v>201.91646800000001</v>
          </cell>
          <cell r="M18">
            <v>0</v>
          </cell>
          <cell r="N18">
            <v>247.83</v>
          </cell>
          <cell r="O18">
            <v>247.83</v>
          </cell>
          <cell r="P18">
            <v>249.49</v>
          </cell>
          <cell r="S18">
            <v>0</v>
          </cell>
          <cell r="T18">
            <v>0</v>
          </cell>
          <cell r="U18">
            <v>247.83</v>
          </cell>
          <cell r="V18">
            <v>0</v>
          </cell>
          <cell r="W18">
            <v>1.66</v>
          </cell>
          <cell r="X18">
            <v>0</v>
          </cell>
          <cell r="Y18">
            <v>0</v>
          </cell>
          <cell r="Z18">
            <v>0</v>
          </cell>
          <cell r="AA18">
            <v>0</v>
          </cell>
          <cell r="AD18">
            <v>0</v>
          </cell>
          <cell r="AE18">
            <v>0</v>
          </cell>
          <cell r="AF18">
            <v>0</v>
          </cell>
          <cell r="AG18">
            <v>0</v>
          </cell>
          <cell r="AH18">
            <v>0</v>
          </cell>
          <cell r="AI18">
            <v>0</v>
          </cell>
          <cell r="AT18">
            <v>0</v>
          </cell>
        </row>
        <row r="19">
          <cell r="C19">
            <v>5982.3999360000007</v>
          </cell>
          <cell r="D19">
            <v>5982.3999360000007</v>
          </cell>
          <cell r="E19">
            <v>6037.2</v>
          </cell>
          <cell r="H19">
            <v>0</v>
          </cell>
          <cell r="I19">
            <v>0</v>
          </cell>
          <cell r="J19">
            <v>5982.3999359999998</v>
          </cell>
          <cell r="K19">
            <v>0</v>
          </cell>
          <cell r="L19">
            <v>54.800063999999999</v>
          </cell>
          <cell r="M19">
            <v>0</v>
          </cell>
          <cell r="N19">
            <v>17.600000000000001</v>
          </cell>
          <cell r="O19">
            <v>17.600000000000001</v>
          </cell>
          <cell r="P19">
            <v>22.8</v>
          </cell>
          <cell r="S19">
            <v>0</v>
          </cell>
          <cell r="T19">
            <v>0</v>
          </cell>
          <cell r="U19">
            <v>17.600000000000001</v>
          </cell>
          <cell r="V19">
            <v>0</v>
          </cell>
          <cell r="W19">
            <v>5.2</v>
          </cell>
          <cell r="X19">
            <v>0</v>
          </cell>
          <cell r="Y19">
            <v>0</v>
          </cell>
          <cell r="Z19">
            <v>0</v>
          </cell>
          <cell r="AA19">
            <v>0</v>
          </cell>
          <cell r="AD19">
            <v>0</v>
          </cell>
          <cell r="AE19">
            <v>0</v>
          </cell>
          <cell r="AF19">
            <v>0</v>
          </cell>
          <cell r="AG19">
            <v>0</v>
          </cell>
          <cell r="AH19">
            <v>0</v>
          </cell>
          <cell r="AI19">
            <v>0</v>
          </cell>
          <cell r="AT19">
            <v>0</v>
          </cell>
        </row>
        <row r="20">
          <cell r="C20">
            <v>27073.670000000002</v>
          </cell>
          <cell r="D20">
            <v>27073.670000000002</v>
          </cell>
          <cell r="E20">
            <v>29812.05</v>
          </cell>
          <cell r="H20">
            <v>610.24530600000003</v>
          </cell>
          <cell r="I20">
            <v>0</v>
          </cell>
          <cell r="J20">
            <v>27683.915305999999</v>
          </cell>
          <cell r="K20">
            <v>0</v>
          </cell>
          <cell r="L20">
            <v>2128.1346939999999</v>
          </cell>
          <cell r="M20">
            <v>0</v>
          </cell>
          <cell r="N20">
            <v>92.67</v>
          </cell>
          <cell r="O20">
            <v>92.67</v>
          </cell>
          <cell r="P20">
            <v>71.05</v>
          </cell>
          <cell r="S20">
            <v>0</v>
          </cell>
          <cell r="T20">
            <v>0</v>
          </cell>
          <cell r="U20">
            <v>71.05</v>
          </cell>
          <cell r="V20">
            <v>0</v>
          </cell>
          <cell r="W20">
            <v>0</v>
          </cell>
          <cell r="X20">
            <v>0</v>
          </cell>
          <cell r="Y20">
            <v>0</v>
          </cell>
          <cell r="Z20">
            <v>0</v>
          </cell>
          <cell r="AA20">
            <v>0</v>
          </cell>
          <cell r="AD20">
            <v>0</v>
          </cell>
          <cell r="AE20">
            <v>0</v>
          </cell>
          <cell r="AF20">
            <v>0</v>
          </cell>
          <cell r="AG20">
            <v>0</v>
          </cell>
          <cell r="AH20">
            <v>0</v>
          </cell>
          <cell r="AI20">
            <v>0</v>
          </cell>
          <cell r="AT20">
            <v>0</v>
          </cell>
        </row>
        <row r="21">
          <cell r="C21">
            <v>1508.0759420000002</v>
          </cell>
          <cell r="D21">
            <v>1508.0759420000002</v>
          </cell>
          <cell r="E21">
            <v>1410.78</v>
          </cell>
          <cell r="H21">
            <v>0</v>
          </cell>
          <cell r="I21">
            <v>0</v>
          </cell>
          <cell r="J21">
            <v>1410.78</v>
          </cell>
          <cell r="K21">
            <v>-97.295941999999997</v>
          </cell>
          <cell r="L21">
            <v>0</v>
          </cell>
          <cell r="M21">
            <v>0</v>
          </cell>
          <cell r="N21">
            <v>66.56</v>
          </cell>
          <cell r="O21">
            <v>66.56</v>
          </cell>
          <cell r="P21">
            <v>60.620000000000005</v>
          </cell>
          <cell r="S21">
            <v>0</v>
          </cell>
          <cell r="T21">
            <v>0</v>
          </cell>
          <cell r="U21">
            <v>60.620000000000005</v>
          </cell>
          <cell r="V21">
            <v>-5.94</v>
          </cell>
          <cell r="W21">
            <v>0</v>
          </cell>
          <cell r="X21">
            <v>0</v>
          </cell>
          <cell r="Y21">
            <v>3.5300000000000002</v>
          </cell>
          <cell r="Z21">
            <v>3.5300000000000002</v>
          </cell>
          <cell r="AA21">
            <v>3.81</v>
          </cell>
          <cell r="AD21">
            <v>0</v>
          </cell>
          <cell r="AE21">
            <v>0</v>
          </cell>
          <cell r="AF21">
            <v>3.81</v>
          </cell>
          <cell r="AG21">
            <v>0.28000000000000003</v>
          </cell>
          <cell r="AH21">
            <v>0</v>
          </cell>
          <cell r="AI21">
            <v>0</v>
          </cell>
          <cell r="AT21">
            <v>0</v>
          </cell>
        </row>
        <row r="22">
          <cell r="C22">
            <v>6721.2188150000002</v>
          </cell>
          <cell r="D22">
            <v>6721.2188150000002</v>
          </cell>
          <cell r="E22">
            <v>6983.62</v>
          </cell>
          <cell r="H22">
            <v>0</v>
          </cell>
          <cell r="I22">
            <v>0</v>
          </cell>
          <cell r="J22">
            <v>6721.2188150000002</v>
          </cell>
          <cell r="K22">
            <v>0</v>
          </cell>
          <cell r="L22">
            <v>262.401185</v>
          </cell>
          <cell r="M22">
            <v>0</v>
          </cell>
          <cell r="N22">
            <v>103.40000000000003</v>
          </cell>
          <cell r="O22">
            <v>103.40000000000003</v>
          </cell>
          <cell r="P22">
            <v>25.620000000000005</v>
          </cell>
          <cell r="S22">
            <v>0</v>
          </cell>
          <cell r="T22">
            <v>0</v>
          </cell>
          <cell r="U22">
            <v>25.620000000000005</v>
          </cell>
          <cell r="V22">
            <v>0</v>
          </cell>
          <cell r="W22">
            <v>0</v>
          </cell>
          <cell r="X22">
            <v>0</v>
          </cell>
          <cell r="Y22">
            <v>313.52</v>
          </cell>
          <cell r="Z22">
            <v>313.52</v>
          </cell>
          <cell r="AA22">
            <v>577.73</v>
          </cell>
          <cell r="AD22">
            <v>0</v>
          </cell>
          <cell r="AE22">
            <v>0</v>
          </cell>
          <cell r="AF22">
            <v>313.52</v>
          </cell>
          <cell r="AG22">
            <v>0</v>
          </cell>
          <cell r="AH22">
            <v>264.20999999999998</v>
          </cell>
          <cell r="AI22">
            <v>0</v>
          </cell>
          <cell r="AT22">
            <v>0</v>
          </cell>
        </row>
        <row r="23">
          <cell r="C23">
            <v>18145.600068</v>
          </cell>
          <cell r="D23">
            <v>18145.600068</v>
          </cell>
          <cell r="E23">
            <v>18461.86</v>
          </cell>
          <cell r="H23">
            <v>0</v>
          </cell>
          <cell r="I23">
            <v>0</v>
          </cell>
          <cell r="J23">
            <v>18145.600068</v>
          </cell>
          <cell r="K23">
            <v>0</v>
          </cell>
          <cell r="L23">
            <v>316.25993199999999</v>
          </cell>
          <cell r="M23">
            <v>0</v>
          </cell>
          <cell r="N23">
            <v>14.4</v>
          </cell>
          <cell r="O23">
            <v>14.4</v>
          </cell>
          <cell r="P23">
            <v>8.14</v>
          </cell>
          <cell r="S23">
            <v>0</v>
          </cell>
          <cell r="T23">
            <v>0</v>
          </cell>
          <cell r="U23">
            <v>8.14</v>
          </cell>
          <cell r="V23">
            <v>0</v>
          </cell>
          <cell r="W23">
            <v>0</v>
          </cell>
          <cell r="X23">
            <v>0</v>
          </cell>
          <cell r="Y23">
            <v>0</v>
          </cell>
          <cell r="Z23">
            <v>0</v>
          </cell>
          <cell r="AA23">
            <v>0</v>
          </cell>
          <cell r="AD23">
            <v>0</v>
          </cell>
          <cell r="AE23">
            <v>0</v>
          </cell>
          <cell r="AF23">
            <v>0</v>
          </cell>
          <cell r="AG23">
            <v>0</v>
          </cell>
          <cell r="AH23">
            <v>0</v>
          </cell>
          <cell r="AI23">
            <v>0</v>
          </cell>
          <cell r="AT23">
            <v>0</v>
          </cell>
        </row>
        <row r="24">
          <cell r="C24">
            <v>1410.58</v>
          </cell>
          <cell r="D24">
            <v>1410.58</v>
          </cell>
          <cell r="E24">
            <v>1449.39</v>
          </cell>
          <cell r="H24">
            <v>38.809938000000002</v>
          </cell>
          <cell r="I24">
            <v>0</v>
          </cell>
          <cell r="J24">
            <v>1449.389938</v>
          </cell>
          <cell r="K24">
            <v>0</v>
          </cell>
          <cell r="L24">
            <v>6.2000000000000003E-5</v>
          </cell>
          <cell r="M24">
            <v>0</v>
          </cell>
          <cell r="N24">
            <v>23.099999999999998</v>
          </cell>
          <cell r="O24">
            <v>23.099999999999998</v>
          </cell>
          <cell r="P24">
            <v>107.77</v>
          </cell>
          <cell r="S24">
            <v>84.670179000000005</v>
          </cell>
          <cell r="T24">
            <v>0</v>
          </cell>
          <cell r="U24">
            <v>107.770179</v>
          </cell>
          <cell r="V24">
            <v>0</v>
          </cell>
          <cell r="W24">
            <v>0</v>
          </cell>
          <cell r="X24">
            <v>0</v>
          </cell>
          <cell r="Y24">
            <v>0</v>
          </cell>
          <cell r="Z24">
            <v>0</v>
          </cell>
          <cell r="AA24">
            <v>0</v>
          </cell>
          <cell r="AD24">
            <v>0</v>
          </cell>
          <cell r="AE24">
            <v>0</v>
          </cell>
          <cell r="AF24">
            <v>0</v>
          </cell>
          <cell r="AG24">
            <v>0</v>
          </cell>
          <cell r="AH24">
            <v>0</v>
          </cell>
          <cell r="AI24">
            <v>0</v>
          </cell>
          <cell r="AT24">
            <v>0</v>
          </cell>
        </row>
        <row r="25">
          <cell r="C25">
            <v>27552.649999999998</v>
          </cell>
          <cell r="D25">
            <v>27552.649999999998</v>
          </cell>
          <cell r="E25">
            <v>27115.14</v>
          </cell>
          <cell r="H25">
            <v>0</v>
          </cell>
          <cell r="I25">
            <v>0</v>
          </cell>
          <cell r="J25">
            <v>27115.14</v>
          </cell>
          <cell r="K25">
            <v>-437.51</v>
          </cell>
          <cell r="L25">
            <v>0</v>
          </cell>
          <cell r="M25">
            <v>0</v>
          </cell>
          <cell r="N25">
            <v>201.04</v>
          </cell>
          <cell r="O25">
            <v>201.04</v>
          </cell>
          <cell r="P25">
            <v>200.10999999999999</v>
          </cell>
          <cell r="S25">
            <v>0</v>
          </cell>
          <cell r="T25">
            <v>0</v>
          </cell>
          <cell r="U25">
            <v>200.10999999999999</v>
          </cell>
          <cell r="V25">
            <v>-0.93</v>
          </cell>
          <cell r="W25">
            <v>0</v>
          </cell>
          <cell r="X25">
            <v>0</v>
          </cell>
          <cell r="Y25">
            <v>18</v>
          </cell>
          <cell r="Z25">
            <v>18</v>
          </cell>
          <cell r="AA25">
            <v>126.03</v>
          </cell>
          <cell r="AD25">
            <v>0</v>
          </cell>
          <cell r="AE25">
            <v>0</v>
          </cell>
          <cell r="AF25">
            <v>126.03</v>
          </cell>
          <cell r="AG25">
            <v>108.03</v>
          </cell>
          <cell r="AH25">
            <v>0</v>
          </cell>
          <cell r="AI25">
            <v>0</v>
          </cell>
          <cell r="AT25">
            <v>0</v>
          </cell>
        </row>
        <row r="26">
          <cell r="C26">
            <v>4495.1656420000008</v>
          </cell>
          <cell r="D26">
            <v>4495.1656420000008</v>
          </cell>
          <cell r="E26">
            <v>4646.62</v>
          </cell>
          <cell r="H26">
            <v>0</v>
          </cell>
          <cell r="I26">
            <v>0</v>
          </cell>
          <cell r="J26">
            <v>4495.1656419999999</v>
          </cell>
          <cell r="K26">
            <v>0</v>
          </cell>
          <cell r="L26">
            <v>151.45435800000001</v>
          </cell>
          <cell r="M26">
            <v>0</v>
          </cell>
          <cell r="N26">
            <v>483.62999999999994</v>
          </cell>
          <cell r="O26">
            <v>483.62999999999994</v>
          </cell>
          <cell r="P26">
            <v>516.5</v>
          </cell>
          <cell r="S26">
            <v>0</v>
          </cell>
          <cell r="T26">
            <v>0</v>
          </cell>
          <cell r="U26">
            <v>483.63</v>
          </cell>
          <cell r="V26">
            <v>0</v>
          </cell>
          <cell r="W26">
            <v>32.869999999999997</v>
          </cell>
          <cell r="X26">
            <v>0</v>
          </cell>
          <cell r="Y26">
            <v>74.039999999999992</v>
          </cell>
          <cell r="Z26">
            <v>74.039999999999992</v>
          </cell>
          <cell r="AA26">
            <v>59.71</v>
          </cell>
          <cell r="AD26">
            <v>0</v>
          </cell>
          <cell r="AE26">
            <v>0</v>
          </cell>
          <cell r="AF26">
            <v>59.71</v>
          </cell>
          <cell r="AG26">
            <v>0</v>
          </cell>
          <cell r="AH26">
            <v>0</v>
          </cell>
          <cell r="AI26">
            <v>0</v>
          </cell>
          <cell r="AT26">
            <v>0</v>
          </cell>
        </row>
        <row r="27">
          <cell r="C27">
            <v>12280.350060999999</v>
          </cell>
          <cell r="D27">
            <v>12280.350060999999</v>
          </cell>
          <cell r="E27">
            <v>12507.87</v>
          </cell>
          <cell r="H27">
            <v>0</v>
          </cell>
          <cell r="I27">
            <v>0</v>
          </cell>
          <cell r="J27">
            <v>12280.350060999999</v>
          </cell>
          <cell r="K27">
            <v>0</v>
          </cell>
          <cell r="L27">
            <v>227.51993899999999</v>
          </cell>
          <cell r="M27">
            <v>0</v>
          </cell>
          <cell r="N27">
            <v>343.2800000000002</v>
          </cell>
          <cell r="O27">
            <v>343.2800000000002</v>
          </cell>
          <cell r="P27">
            <v>361.36000000000013</v>
          </cell>
          <cell r="S27">
            <v>0</v>
          </cell>
          <cell r="T27">
            <v>0</v>
          </cell>
          <cell r="U27">
            <v>343.28</v>
          </cell>
          <cell r="V27">
            <v>0</v>
          </cell>
          <cell r="W27">
            <v>18.079999999999998</v>
          </cell>
          <cell r="X27">
            <v>0</v>
          </cell>
          <cell r="Y27">
            <v>2331.08</v>
          </cell>
          <cell r="Z27">
            <v>2331.08</v>
          </cell>
          <cell r="AA27">
            <v>2422.29</v>
          </cell>
          <cell r="AD27">
            <v>0</v>
          </cell>
          <cell r="AE27">
            <v>0</v>
          </cell>
          <cell r="AF27">
            <v>2331.08</v>
          </cell>
          <cell r="AG27">
            <v>0</v>
          </cell>
          <cell r="AH27">
            <v>91.21</v>
          </cell>
          <cell r="AI27">
            <v>0</v>
          </cell>
          <cell r="AT27">
            <v>0</v>
          </cell>
        </row>
        <row r="28">
          <cell r="C28">
            <v>16928.889962000005</v>
          </cell>
          <cell r="D28">
            <v>16928.889962000005</v>
          </cell>
          <cell r="E28">
            <v>17950.38</v>
          </cell>
          <cell r="H28">
            <v>0</v>
          </cell>
          <cell r="I28">
            <v>0</v>
          </cell>
          <cell r="J28">
            <v>16928.889962000001</v>
          </cell>
          <cell r="K28">
            <v>0</v>
          </cell>
          <cell r="L28">
            <v>1021.490038</v>
          </cell>
          <cell r="M28">
            <v>0</v>
          </cell>
          <cell r="N28">
            <v>92.17</v>
          </cell>
          <cell r="O28">
            <v>92.17</v>
          </cell>
          <cell r="P28">
            <v>109.51</v>
          </cell>
          <cell r="S28">
            <v>0</v>
          </cell>
          <cell r="T28">
            <v>0</v>
          </cell>
          <cell r="U28">
            <v>92.17</v>
          </cell>
          <cell r="V28">
            <v>0</v>
          </cell>
          <cell r="W28">
            <v>17.34</v>
          </cell>
          <cell r="X28">
            <v>0</v>
          </cell>
          <cell r="Y28">
            <v>0</v>
          </cell>
          <cell r="Z28">
            <v>0</v>
          </cell>
          <cell r="AA28">
            <v>0</v>
          </cell>
          <cell r="AD28">
            <v>0</v>
          </cell>
          <cell r="AE28">
            <v>0</v>
          </cell>
          <cell r="AF28">
            <v>0</v>
          </cell>
          <cell r="AG28">
            <v>0</v>
          </cell>
          <cell r="AH28">
            <v>0</v>
          </cell>
          <cell r="AI28">
            <v>0</v>
          </cell>
          <cell r="AT28">
            <v>0</v>
          </cell>
        </row>
        <row r="29">
          <cell r="C29">
            <v>6554.2816790000006</v>
          </cell>
          <cell r="D29">
            <v>6554.2816790000006</v>
          </cell>
          <cell r="E29">
            <v>6848.95</v>
          </cell>
          <cell r="H29">
            <v>0</v>
          </cell>
          <cell r="I29">
            <v>0</v>
          </cell>
          <cell r="J29">
            <v>6554.2816789999997</v>
          </cell>
          <cell r="K29">
            <v>0</v>
          </cell>
          <cell r="L29">
            <v>294.66832099999999</v>
          </cell>
          <cell r="M29">
            <v>0</v>
          </cell>
          <cell r="N29">
            <v>10.81</v>
          </cell>
          <cell r="O29">
            <v>10.81</v>
          </cell>
          <cell r="P29">
            <v>4.6500000000000004</v>
          </cell>
          <cell r="S29">
            <v>0</v>
          </cell>
          <cell r="T29">
            <v>0</v>
          </cell>
          <cell r="U29">
            <v>4.6500000000000004</v>
          </cell>
          <cell r="V29">
            <v>0</v>
          </cell>
          <cell r="W29">
            <v>0</v>
          </cell>
          <cell r="X29">
            <v>0</v>
          </cell>
          <cell r="Y29">
            <v>0</v>
          </cell>
          <cell r="Z29">
            <v>0</v>
          </cell>
          <cell r="AA29">
            <v>0</v>
          </cell>
          <cell r="AD29">
            <v>0</v>
          </cell>
          <cell r="AE29">
            <v>0</v>
          </cell>
          <cell r="AF29">
            <v>0</v>
          </cell>
          <cell r="AG29">
            <v>0</v>
          </cell>
          <cell r="AH29">
            <v>0</v>
          </cell>
          <cell r="AI29">
            <v>0</v>
          </cell>
          <cell r="AT29">
            <v>0</v>
          </cell>
        </row>
        <row r="30">
          <cell r="C30">
            <v>6003.1600000000008</v>
          </cell>
          <cell r="D30">
            <v>6003.1600000000008</v>
          </cell>
          <cell r="E30">
            <v>6579.49</v>
          </cell>
          <cell r="H30">
            <v>502.53113100000002</v>
          </cell>
          <cell r="I30">
            <v>0</v>
          </cell>
          <cell r="J30">
            <v>6505.6911309999996</v>
          </cell>
          <cell r="K30">
            <v>0</v>
          </cell>
          <cell r="L30">
            <v>73.798868999999996</v>
          </cell>
          <cell r="M30">
            <v>0</v>
          </cell>
          <cell r="N30">
            <v>39.99</v>
          </cell>
          <cell r="O30">
            <v>39.99</v>
          </cell>
          <cell r="P30">
            <v>33.299999999999997</v>
          </cell>
          <cell r="S30">
            <v>0</v>
          </cell>
          <cell r="T30">
            <v>0</v>
          </cell>
          <cell r="U30">
            <v>33.299999999999997</v>
          </cell>
          <cell r="V30">
            <v>0</v>
          </cell>
          <cell r="W30">
            <v>0</v>
          </cell>
          <cell r="X30">
            <v>0</v>
          </cell>
          <cell r="Y30">
            <v>9.59</v>
          </cell>
          <cell r="Z30">
            <v>9.59</v>
          </cell>
          <cell r="AA30">
            <v>12.21</v>
          </cell>
          <cell r="AD30">
            <v>0</v>
          </cell>
          <cell r="AE30">
            <v>0</v>
          </cell>
          <cell r="AF30">
            <v>9.59</v>
          </cell>
          <cell r="AG30">
            <v>0</v>
          </cell>
          <cell r="AH30">
            <v>2.62</v>
          </cell>
          <cell r="AI30">
            <v>0</v>
          </cell>
          <cell r="AT30">
            <v>0</v>
          </cell>
        </row>
        <row r="31">
          <cell r="C31">
            <v>18463.014979</v>
          </cell>
          <cell r="D31">
            <v>18463.014979</v>
          </cell>
          <cell r="E31">
            <v>19088.91</v>
          </cell>
          <cell r="H31">
            <v>0</v>
          </cell>
          <cell r="I31">
            <v>0</v>
          </cell>
          <cell r="J31">
            <v>18463.014979</v>
          </cell>
          <cell r="K31">
            <v>0</v>
          </cell>
          <cell r="L31">
            <v>625.89502100000004</v>
          </cell>
          <cell r="M31">
            <v>0</v>
          </cell>
          <cell r="N31">
            <v>44.56</v>
          </cell>
          <cell r="O31">
            <v>44.56</v>
          </cell>
          <cell r="P31">
            <v>41.48</v>
          </cell>
          <cell r="S31">
            <v>0</v>
          </cell>
          <cell r="T31">
            <v>0</v>
          </cell>
          <cell r="U31">
            <v>41.48</v>
          </cell>
          <cell r="V31">
            <v>0</v>
          </cell>
          <cell r="W31">
            <v>0</v>
          </cell>
          <cell r="X31">
            <v>0</v>
          </cell>
          <cell r="Y31">
            <v>0</v>
          </cell>
          <cell r="Z31">
            <v>0</v>
          </cell>
          <cell r="AA31">
            <v>0</v>
          </cell>
          <cell r="AD31">
            <v>0</v>
          </cell>
          <cell r="AE31">
            <v>0</v>
          </cell>
          <cell r="AF31">
            <v>0</v>
          </cell>
          <cell r="AG31">
            <v>0</v>
          </cell>
          <cell r="AH31">
            <v>0</v>
          </cell>
          <cell r="AI31">
            <v>0</v>
          </cell>
          <cell r="AT31">
            <v>0</v>
          </cell>
        </row>
        <row r="32">
          <cell r="C32">
            <v>1383.57</v>
          </cell>
          <cell r="D32">
            <v>1383.57</v>
          </cell>
          <cell r="E32">
            <v>1574.02</v>
          </cell>
          <cell r="H32">
            <v>190.449986</v>
          </cell>
          <cell r="I32">
            <v>0</v>
          </cell>
          <cell r="J32">
            <v>1574.019986</v>
          </cell>
          <cell r="K32">
            <v>0</v>
          </cell>
          <cell r="L32">
            <v>1.4E-5</v>
          </cell>
          <cell r="M32">
            <v>0</v>
          </cell>
          <cell r="N32">
            <v>49.64</v>
          </cell>
          <cell r="O32">
            <v>49.64</v>
          </cell>
          <cell r="P32">
            <v>61.670000000000009</v>
          </cell>
          <cell r="S32">
            <v>12.029897999999999</v>
          </cell>
          <cell r="T32">
            <v>0</v>
          </cell>
          <cell r="U32">
            <v>61.669898000000003</v>
          </cell>
          <cell r="V32">
            <v>0</v>
          </cell>
          <cell r="W32">
            <v>1.02E-4</v>
          </cell>
          <cell r="X32">
            <v>0</v>
          </cell>
          <cell r="Y32">
            <v>31.35</v>
          </cell>
          <cell r="Z32">
            <v>31.35</v>
          </cell>
          <cell r="AA32">
            <v>32.979999999999997</v>
          </cell>
          <cell r="AD32">
            <v>1.6300049999999999</v>
          </cell>
          <cell r="AE32">
            <v>0</v>
          </cell>
          <cell r="AF32">
            <v>32.980004999999998</v>
          </cell>
          <cell r="AG32">
            <v>0</v>
          </cell>
          <cell r="AH32">
            <v>0</v>
          </cell>
          <cell r="AI32">
            <v>0</v>
          </cell>
          <cell r="AT32">
            <v>0</v>
          </cell>
        </row>
        <row r="33">
          <cell r="C33">
            <v>1496.02</v>
          </cell>
          <cell r="D33">
            <v>1496.02</v>
          </cell>
          <cell r="E33">
            <v>1341.56</v>
          </cell>
          <cell r="H33">
            <v>0</v>
          </cell>
          <cell r="I33">
            <v>0</v>
          </cell>
          <cell r="J33">
            <v>1341.56</v>
          </cell>
          <cell r="K33">
            <v>-154.46</v>
          </cell>
          <cell r="L33">
            <v>0</v>
          </cell>
          <cell r="M33">
            <v>0</v>
          </cell>
          <cell r="N33">
            <v>17.84</v>
          </cell>
          <cell r="O33">
            <v>17.84</v>
          </cell>
          <cell r="P33">
            <v>74.81</v>
          </cell>
          <cell r="S33">
            <v>0</v>
          </cell>
          <cell r="T33">
            <v>0</v>
          </cell>
          <cell r="U33">
            <v>74.81</v>
          </cell>
          <cell r="V33">
            <v>56.97</v>
          </cell>
          <cell r="W33">
            <v>0</v>
          </cell>
          <cell r="X33">
            <v>0</v>
          </cell>
          <cell r="Y33">
            <v>0</v>
          </cell>
          <cell r="Z33">
            <v>0</v>
          </cell>
          <cell r="AA33">
            <v>0</v>
          </cell>
          <cell r="AD33">
            <v>0</v>
          </cell>
          <cell r="AE33">
            <v>0</v>
          </cell>
          <cell r="AF33">
            <v>0</v>
          </cell>
          <cell r="AG33">
            <v>0</v>
          </cell>
          <cell r="AH33">
            <v>0</v>
          </cell>
          <cell r="AI33">
            <v>0</v>
          </cell>
          <cell r="AT33">
            <v>0</v>
          </cell>
        </row>
        <row r="34">
          <cell r="C34">
            <v>19326.299900000002</v>
          </cell>
          <cell r="D34">
            <v>19326.299900000002</v>
          </cell>
          <cell r="E34">
            <v>19675.759999999998</v>
          </cell>
          <cell r="H34">
            <v>0</v>
          </cell>
          <cell r="I34">
            <v>0</v>
          </cell>
          <cell r="J34">
            <v>19326.299900000002</v>
          </cell>
          <cell r="K34">
            <v>0</v>
          </cell>
          <cell r="L34">
            <v>349.46010000000001</v>
          </cell>
          <cell r="M34">
            <v>0</v>
          </cell>
          <cell r="N34">
            <v>141.57</v>
          </cell>
          <cell r="O34">
            <v>141.57</v>
          </cell>
          <cell r="P34">
            <v>137.01</v>
          </cell>
          <cell r="S34">
            <v>0</v>
          </cell>
          <cell r="T34">
            <v>0</v>
          </cell>
          <cell r="U34">
            <v>137.01</v>
          </cell>
          <cell r="V34">
            <v>0</v>
          </cell>
          <cell r="W34">
            <v>0</v>
          </cell>
          <cell r="X34">
            <v>0</v>
          </cell>
          <cell r="Y34">
            <v>53.36</v>
          </cell>
          <cell r="Z34">
            <v>53.36</v>
          </cell>
          <cell r="AA34">
            <v>97.36</v>
          </cell>
          <cell r="AD34">
            <v>0</v>
          </cell>
          <cell r="AE34">
            <v>0</v>
          </cell>
          <cell r="AF34">
            <v>53.36</v>
          </cell>
          <cell r="AG34">
            <v>0</v>
          </cell>
          <cell r="AH34">
            <v>44</v>
          </cell>
          <cell r="AI34">
            <v>0</v>
          </cell>
          <cell r="AT34">
            <v>0</v>
          </cell>
        </row>
        <row r="35">
          <cell r="C35">
            <v>92539.682948999995</v>
          </cell>
          <cell r="D35">
            <v>92539.682948999995</v>
          </cell>
          <cell r="E35">
            <v>96539.27</v>
          </cell>
          <cell r="H35">
            <v>0</v>
          </cell>
          <cell r="I35">
            <v>0</v>
          </cell>
          <cell r="J35">
            <v>92539.682948999995</v>
          </cell>
          <cell r="K35">
            <v>0</v>
          </cell>
          <cell r="L35">
            <v>3999.587051</v>
          </cell>
          <cell r="M35">
            <v>0</v>
          </cell>
          <cell r="N35">
            <v>1849.2699999999995</v>
          </cell>
          <cell r="O35">
            <v>1849.2699999999995</v>
          </cell>
          <cell r="P35">
            <v>1934.4199999999996</v>
          </cell>
          <cell r="S35">
            <v>0</v>
          </cell>
          <cell r="T35">
            <v>0</v>
          </cell>
          <cell r="U35">
            <v>1849.27</v>
          </cell>
          <cell r="V35">
            <v>0</v>
          </cell>
          <cell r="W35">
            <v>85.15</v>
          </cell>
          <cell r="X35">
            <v>0</v>
          </cell>
          <cell r="Y35">
            <v>2705.46</v>
          </cell>
          <cell r="Z35">
            <v>2705.46</v>
          </cell>
          <cell r="AA35">
            <v>2909.02</v>
          </cell>
          <cell r="AD35">
            <v>0</v>
          </cell>
          <cell r="AE35">
            <v>0</v>
          </cell>
          <cell r="AF35">
            <v>2705.46</v>
          </cell>
          <cell r="AG35">
            <v>0</v>
          </cell>
          <cell r="AH35">
            <v>203.56</v>
          </cell>
          <cell r="AI35">
            <v>0</v>
          </cell>
          <cell r="AT35">
            <v>0</v>
          </cell>
        </row>
        <row r="36">
          <cell r="C36">
            <v>48863.113313000002</v>
          </cell>
          <cell r="D36">
            <v>48863.113313000002</v>
          </cell>
          <cell r="E36">
            <v>50188.67</v>
          </cell>
          <cell r="H36">
            <v>0</v>
          </cell>
          <cell r="I36">
            <v>0</v>
          </cell>
          <cell r="J36">
            <v>48863.113313000002</v>
          </cell>
          <cell r="K36">
            <v>0</v>
          </cell>
          <cell r="L36">
            <v>1325.556687</v>
          </cell>
          <cell r="M36">
            <v>0</v>
          </cell>
          <cell r="N36">
            <v>28.43</v>
          </cell>
          <cell r="O36">
            <v>28.43</v>
          </cell>
          <cell r="P36">
            <v>20.34</v>
          </cell>
          <cell r="S36">
            <v>0</v>
          </cell>
          <cell r="T36">
            <v>0</v>
          </cell>
          <cell r="U36">
            <v>20.34</v>
          </cell>
          <cell r="V36">
            <v>0</v>
          </cell>
          <cell r="W36">
            <v>0</v>
          </cell>
          <cell r="X36">
            <v>0</v>
          </cell>
          <cell r="Y36">
            <v>0</v>
          </cell>
          <cell r="Z36">
            <v>0</v>
          </cell>
          <cell r="AA36">
            <v>0</v>
          </cell>
          <cell r="AD36">
            <v>0</v>
          </cell>
          <cell r="AE36">
            <v>0</v>
          </cell>
          <cell r="AF36">
            <v>0</v>
          </cell>
          <cell r="AG36">
            <v>0</v>
          </cell>
          <cell r="AH36">
            <v>0</v>
          </cell>
          <cell r="AI36">
            <v>0</v>
          </cell>
          <cell r="AT36">
            <v>0</v>
          </cell>
        </row>
        <row r="37">
          <cell r="C37">
            <v>4462.3099999999995</v>
          </cell>
          <cell r="D37">
            <v>4462.3099999999995</v>
          </cell>
          <cell r="E37">
            <v>4133.59</v>
          </cell>
          <cell r="H37">
            <v>0</v>
          </cell>
          <cell r="I37">
            <v>0</v>
          </cell>
          <cell r="J37">
            <v>4133.59</v>
          </cell>
          <cell r="K37">
            <v>-328.72</v>
          </cell>
          <cell r="L37">
            <v>0</v>
          </cell>
          <cell r="M37">
            <v>0</v>
          </cell>
          <cell r="N37">
            <v>208.82999999999998</v>
          </cell>
          <cell r="O37">
            <v>208.82999999999998</v>
          </cell>
          <cell r="P37">
            <v>232.45</v>
          </cell>
          <cell r="S37">
            <v>0</v>
          </cell>
          <cell r="T37">
            <v>0</v>
          </cell>
          <cell r="U37">
            <v>232.45</v>
          </cell>
          <cell r="V37">
            <v>23.62</v>
          </cell>
          <cell r="W37">
            <v>0</v>
          </cell>
          <cell r="X37">
            <v>0</v>
          </cell>
          <cell r="Y37">
            <v>0</v>
          </cell>
          <cell r="Z37">
            <v>0</v>
          </cell>
          <cell r="AA37">
            <v>0</v>
          </cell>
          <cell r="AD37">
            <v>0</v>
          </cell>
          <cell r="AE37">
            <v>0</v>
          </cell>
          <cell r="AF37">
            <v>0</v>
          </cell>
          <cell r="AG37">
            <v>0</v>
          </cell>
          <cell r="AH37">
            <v>0</v>
          </cell>
          <cell r="AI37">
            <v>0</v>
          </cell>
          <cell r="AT37">
            <v>0</v>
          </cell>
        </row>
        <row r="38">
          <cell r="C38">
            <v>2965.8799240000003</v>
          </cell>
          <cell r="D38">
            <v>2965.8799240000003</v>
          </cell>
          <cell r="E38">
            <v>2254.23</v>
          </cell>
          <cell r="H38">
            <v>0</v>
          </cell>
          <cell r="I38">
            <v>0</v>
          </cell>
          <cell r="J38">
            <v>2254.23</v>
          </cell>
          <cell r="K38">
            <v>-711.64992400000006</v>
          </cell>
          <cell r="L38">
            <v>0</v>
          </cell>
          <cell r="M38">
            <v>0</v>
          </cell>
          <cell r="N38">
            <v>30.759999999999998</v>
          </cell>
          <cell r="O38">
            <v>30.759999999999998</v>
          </cell>
          <cell r="P38">
            <v>35.139999999999993</v>
          </cell>
          <cell r="S38">
            <v>0</v>
          </cell>
          <cell r="T38">
            <v>0</v>
          </cell>
          <cell r="U38">
            <v>35.14</v>
          </cell>
          <cell r="V38">
            <v>4.38</v>
          </cell>
          <cell r="W38">
            <v>0</v>
          </cell>
          <cell r="X38">
            <v>0</v>
          </cell>
          <cell r="Y38">
            <v>46.68</v>
          </cell>
          <cell r="Z38">
            <v>46.68</v>
          </cell>
          <cell r="AA38">
            <v>54.6</v>
          </cell>
          <cell r="AD38">
            <v>0</v>
          </cell>
          <cell r="AE38">
            <v>0</v>
          </cell>
          <cell r="AF38">
            <v>54.6</v>
          </cell>
          <cell r="AG38">
            <v>7.92</v>
          </cell>
          <cell r="AH38">
            <v>0</v>
          </cell>
          <cell r="AI38">
            <v>0</v>
          </cell>
          <cell r="AT38">
            <v>0</v>
          </cell>
        </row>
        <row r="39">
          <cell r="C39">
            <v>8277.2298970000011</v>
          </cell>
          <cell r="D39">
            <v>8277.2298970000011</v>
          </cell>
          <cell r="E39">
            <v>8446.0499999999993</v>
          </cell>
          <cell r="H39">
            <v>0</v>
          </cell>
          <cell r="I39">
            <v>0</v>
          </cell>
          <cell r="J39">
            <v>8277.2298969999993</v>
          </cell>
          <cell r="K39">
            <v>0</v>
          </cell>
          <cell r="L39">
            <v>168.82010299999999</v>
          </cell>
          <cell r="M39">
            <v>0</v>
          </cell>
          <cell r="N39">
            <v>323.58999999999997</v>
          </cell>
          <cell r="O39">
            <v>323.58999999999997</v>
          </cell>
          <cell r="P39">
            <v>313.08000000000004</v>
          </cell>
          <cell r="S39">
            <v>0</v>
          </cell>
          <cell r="T39">
            <v>0</v>
          </cell>
          <cell r="U39">
            <v>313.08000000000004</v>
          </cell>
          <cell r="V39">
            <v>0</v>
          </cell>
          <cell r="W39">
            <v>0</v>
          </cell>
          <cell r="X39">
            <v>0</v>
          </cell>
          <cell r="Y39">
            <v>640.30999999999995</v>
          </cell>
          <cell r="Z39">
            <v>640.30999999999995</v>
          </cell>
          <cell r="AA39">
            <v>641.54</v>
          </cell>
          <cell r="AD39">
            <v>0</v>
          </cell>
          <cell r="AE39">
            <v>0</v>
          </cell>
          <cell r="AF39">
            <v>640.30999999999995</v>
          </cell>
          <cell r="AG39">
            <v>0</v>
          </cell>
          <cell r="AH39">
            <v>1.23</v>
          </cell>
          <cell r="AI39">
            <v>0</v>
          </cell>
          <cell r="AT39">
            <v>0</v>
          </cell>
        </row>
        <row r="40">
          <cell r="C40">
            <v>9907.0865630000008</v>
          </cell>
          <cell r="D40">
            <v>9907.0865630000008</v>
          </cell>
          <cell r="E40">
            <v>10211.91</v>
          </cell>
          <cell r="H40">
            <v>0</v>
          </cell>
          <cell r="I40">
            <v>0</v>
          </cell>
          <cell r="J40">
            <v>9907.0865630000008</v>
          </cell>
          <cell r="K40">
            <v>0</v>
          </cell>
          <cell r="L40">
            <v>304.82343700000001</v>
          </cell>
          <cell r="M40">
            <v>0</v>
          </cell>
          <cell r="N40">
            <v>740.84</v>
          </cell>
          <cell r="O40">
            <v>740.84</v>
          </cell>
          <cell r="P40">
            <v>736.46</v>
          </cell>
          <cell r="S40">
            <v>0</v>
          </cell>
          <cell r="T40">
            <v>0</v>
          </cell>
          <cell r="U40">
            <v>736.46</v>
          </cell>
          <cell r="V40">
            <v>0</v>
          </cell>
          <cell r="W40">
            <v>0</v>
          </cell>
          <cell r="X40">
            <v>0</v>
          </cell>
          <cell r="Y40">
            <v>0</v>
          </cell>
          <cell r="Z40">
            <v>0</v>
          </cell>
          <cell r="AA40">
            <v>0</v>
          </cell>
          <cell r="AD40">
            <v>0</v>
          </cell>
          <cell r="AE40">
            <v>0</v>
          </cell>
          <cell r="AF40">
            <v>0</v>
          </cell>
          <cell r="AG40">
            <v>0</v>
          </cell>
          <cell r="AH40">
            <v>0</v>
          </cell>
          <cell r="AI40">
            <v>0</v>
          </cell>
          <cell r="AT40">
            <v>0</v>
          </cell>
        </row>
        <row r="41">
          <cell r="C41">
            <v>6186.39</v>
          </cell>
          <cell r="D41">
            <v>6186.39</v>
          </cell>
          <cell r="E41">
            <v>6032.03</v>
          </cell>
          <cell r="H41">
            <v>0</v>
          </cell>
          <cell r="I41">
            <v>0</v>
          </cell>
          <cell r="J41">
            <v>6032.03</v>
          </cell>
          <cell r="K41">
            <v>-154.36000000000001</v>
          </cell>
          <cell r="L41">
            <v>0</v>
          </cell>
          <cell r="M41">
            <v>0</v>
          </cell>
          <cell r="N41">
            <v>651.56999999999994</v>
          </cell>
          <cell r="O41">
            <v>651.56999999999994</v>
          </cell>
          <cell r="P41">
            <v>381.21999999999997</v>
          </cell>
          <cell r="S41">
            <v>0</v>
          </cell>
          <cell r="T41">
            <v>0</v>
          </cell>
          <cell r="U41">
            <v>381.21999999999997</v>
          </cell>
          <cell r="V41">
            <v>-270.35000000000002</v>
          </cell>
          <cell r="W41">
            <v>0</v>
          </cell>
          <cell r="X41">
            <v>0</v>
          </cell>
          <cell r="Y41">
            <v>44.29</v>
          </cell>
          <cell r="Z41">
            <v>44.29</v>
          </cell>
          <cell r="AA41">
            <v>110.54</v>
          </cell>
          <cell r="AD41">
            <v>0</v>
          </cell>
          <cell r="AE41">
            <v>0</v>
          </cell>
          <cell r="AF41">
            <v>110.54</v>
          </cell>
          <cell r="AG41">
            <v>66.25</v>
          </cell>
          <cell r="AH41">
            <v>0</v>
          </cell>
          <cell r="AI41">
            <v>0</v>
          </cell>
          <cell r="AT41">
            <v>0</v>
          </cell>
        </row>
        <row r="42">
          <cell r="C42">
            <v>22719.983691000001</v>
          </cell>
          <cell r="D42">
            <v>22719.983691000001</v>
          </cell>
          <cell r="E42">
            <v>24083.279999999999</v>
          </cell>
          <cell r="H42">
            <v>0</v>
          </cell>
          <cell r="I42">
            <v>0</v>
          </cell>
          <cell r="J42">
            <v>22719.983691000001</v>
          </cell>
          <cell r="K42">
            <v>0</v>
          </cell>
          <cell r="L42">
            <v>1363.2963090000001</v>
          </cell>
          <cell r="M42">
            <v>0</v>
          </cell>
          <cell r="N42">
            <v>1934.3700000000003</v>
          </cell>
          <cell r="O42">
            <v>1934.3700000000003</v>
          </cell>
          <cell r="P42">
            <v>1902.6399999999999</v>
          </cell>
          <cell r="S42">
            <v>0</v>
          </cell>
          <cell r="T42">
            <v>0</v>
          </cell>
          <cell r="U42">
            <v>1902.6399999999999</v>
          </cell>
          <cell r="V42">
            <v>0</v>
          </cell>
          <cell r="W42">
            <v>0</v>
          </cell>
          <cell r="X42">
            <v>0</v>
          </cell>
          <cell r="Y42">
            <v>3577.06</v>
          </cell>
          <cell r="Z42">
            <v>3577.06</v>
          </cell>
          <cell r="AA42">
            <v>3696.35</v>
          </cell>
          <cell r="AD42">
            <v>0</v>
          </cell>
          <cell r="AE42">
            <v>0</v>
          </cell>
          <cell r="AF42">
            <v>3577.06</v>
          </cell>
          <cell r="AG42">
            <v>0</v>
          </cell>
          <cell r="AH42">
            <v>119.29</v>
          </cell>
          <cell r="AI42">
            <v>0</v>
          </cell>
          <cell r="AT42">
            <v>0</v>
          </cell>
        </row>
        <row r="43">
          <cell r="C43">
            <v>9345.0028579999998</v>
          </cell>
          <cell r="D43">
            <v>9345.0028579999998</v>
          </cell>
          <cell r="E43">
            <v>10056.01</v>
          </cell>
          <cell r="H43">
            <v>0</v>
          </cell>
          <cell r="I43">
            <v>0</v>
          </cell>
          <cell r="J43">
            <v>9345.0028579999998</v>
          </cell>
          <cell r="K43">
            <v>0</v>
          </cell>
          <cell r="L43">
            <v>711.00714200000004</v>
          </cell>
          <cell r="M43">
            <v>0</v>
          </cell>
          <cell r="N43">
            <v>379.71000000000004</v>
          </cell>
          <cell r="O43">
            <v>379.71000000000004</v>
          </cell>
          <cell r="P43">
            <v>376</v>
          </cell>
          <cell r="S43">
            <v>0</v>
          </cell>
          <cell r="T43">
            <v>0</v>
          </cell>
          <cell r="U43">
            <v>376</v>
          </cell>
          <cell r="V43">
            <v>0</v>
          </cell>
          <cell r="W43">
            <v>0</v>
          </cell>
          <cell r="X43">
            <v>0</v>
          </cell>
          <cell r="Y43">
            <v>173.24</v>
          </cell>
          <cell r="Z43">
            <v>173.24</v>
          </cell>
          <cell r="AA43">
            <v>190.01</v>
          </cell>
          <cell r="AD43">
            <v>0</v>
          </cell>
          <cell r="AE43">
            <v>0</v>
          </cell>
          <cell r="AF43">
            <v>173.24</v>
          </cell>
          <cell r="AG43">
            <v>0</v>
          </cell>
          <cell r="AH43">
            <v>16.77</v>
          </cell>
          <cell r="AI43">
            <v>0</v>
          </cell>
          <cell r="AT43">
            <v>0</v>
          </cell>
        </row>
        <row r="44">
          <cell r="C44">
            <v>5129.6300249999995</v>
          </cell>
          <cell r="D44">
            <v>5129.6300249999995</v>
          </cell>
          <cell r="E44">
            <v>5031.88</v>
          </cell>
          <cell r="H44">
            <v>0</v>
          </cell>
          <cell r="I44">
            <v>0</v>
          </cell>
          <cell r="J44">
            <v>5031.88</v>
          </cell>
          <cell r="K44">
            <v>-97.750024999999994</v>
          </cell>
          <cell r="L44">
            <v>0</v>
          </cell>
          <cell r="M44">
            <v>0</v>
          </cell>
          <cell r="N44">
            <v>268.84999999999997</v>
          </cell>
          <cell r="O44">
            <v>268.84999999999997</v>
          </cell>
          <cell r="P44">
            <v>399.38</v>
          </cell>
          <cell r="S44">
            <v>0</v>
          </cell>
          <cell r="T44">
            <v>0</v>
          </cell>
          <cell r="U44">
            <v>399.38</v>
          </cell>
          <cell r="V44">
            <v>130.53</v>
          </cell>
          <cell r="W44">
            <v>0</v>
          </cell>
          <cell r="X44">
            <v>0</v>
          </cell>
          <cell r="Y44">
            <v>20.84</v>
          </cell>
          <cell r="Z44">
            <v>20.84</v>
          </cell>
          <cell r="AA44">
            <v>16.25</v>
          </cell>
          <cell r="AD44">
            <v>0</v>
          </cell>
          <cell r="AE44">
            <v>0</v>
          </cell>
          <cell r="AF44">
            <v>16.25</v>
          </cell>
          <cell r="AG44">
            <v>-4.59</v>
          </cell>
          <cell r="AH44">
            <v>0</v>
          </cell>
          <cell r="AI44">
            <v>0</v>
          </cell>
          <cell r="AT44">
            <v>0</v>
          </cell>
        </row>
        <row r="45">
          <cell r="C45">
            <v>26625.902371</v>
          </cell>
          <cell r="D45">
            <v>26625.902371</v>
          </cell>
          <cell r="E45">
            <v>29824.55</v>
          </cell>
          <cell r="H45">
            <v>0</v>
          </cell>
          <cell r="I45">
            <v>0</v>
          </cell>
          <cell r="J45">
            <v>26625.902371</v>
          </cell>
          <cell r="K45">
            <v>0</v>
          </cell>
          <cell r="L45">
            <v>3198.6476290000001</v>
          </cell>
          <cell r="M45">
            <v>0</v>
          </cell>
          <cell r="N45">
            <v>2606.9899999999998</v>
          </cell>
          <cell r="O45">
            <v>2606.9899999999998</v>
          </cell>
          <cell r="P45">
            <v>2482.6499999999996</v>
          </cell>
          <cell r="S45">
            <v>0</v>
          </cell>
          <cell r="T45">
            <v>0</v>
          </cell>
          <cell r="U45">
            <v>2482.6499999999996</v>
          </cell>
          <cell r="V45">
            <v>0</v>
          </cell>
          <cell r="W45">
            <v>0</v>
          </cell>
          <cell r="X45">
            <v>0</v>
          </cell>
          <cell r="Y45">
            <v>3143.9100000000003</v>
          </cell>
          <cell r="Z45">
            <v>3143.9100000000003</v>
          </cell>
          <cell r="AA45">
            <v>3407.08</v>
          </cell>
          <cell r="AD45">
            <v>0</v>
          </cell>
          <cell r="AE45">
            <v>0</v>
          </cell>
          <cell r="AF45">
            <v>3143.91</v>
          </cell>
          <cell r="AG45">
            <v>0</v>
          </cell>
          <cell r="AH45">
            <v>263.17</v>
          </cell>
          <cell r="AI45">
            <v>0</v>
          </cell>
          <cell r="AT45">
            <v>0</v>
          </cell>
        </row>
        <row r="46">
          <cell r="C46">
            <v>7764.9498960000001</v>
          </cell>
          <cell r="D46">
            <v>7764.9498960000001</v>
          </cell>
          <cell r="E46">
            <v>7886.53</v>
          </cell>
          <cell r="H46">
            <v>0</v>
          </cell>
          <cell r="I46">
            <v>0</v>
          </cell>
          <cell r="J46">
            <v>7764.9498960000001</v>
          </cell>
          <cell r="K46">
            <v>0</v>
          </cell>
          <cell r="L46">
            <v>121.58010400000001</v>
          </cell>
          <cell r="M46">
            <v>0</v>
          </cell>
          <cell r="N46">
            <v>0</v>
          </cell>
          <cell r="O46">
            <v>0</v>
          </cell>
          <cell r="P46">
            <v>1.71</v>
          </cell>
          <cell r="S46">
            <v>0</v>
          </cell>
          <cell r="T46">
            <v>0</v>
          </cell>
          <cell r="U46">
            <v>0</v>
          </cell>
          <cell r="V46">
            <v>0</v>
          </cell>
          <cell r="W46">
            <v>1.71</v>
          </cell>
          <cell r="X46">
            <v>0</v>
          </cell>
          <cell r="Y46">
            <v>0</v>
          </cell>
          <cell r="Z46">
            <v>0</v>
          </cell>
          <cell r="AA46">
            <v>0</v>
          </cell>
          <cell r="AD46">
            <v>0</v>
          </cell>
          <cell r="AE46">
            <v>0</v>
          </cell>
          <cell r="AF46">
            <v>0</v>
          </cell>
          <cell r="AG46">
            <v>0</v>
          </cell>
          <cell r="AH46">
            <v>0</v>
          </cell>
          <cell r="AI46">
            <v>0</v>
          </cell>
          <cell r="AT46">
            <v>0</v>
          </cell>
        </row>
        <row r="47">
          <cell r="C47">
            <v>1566.1399999999999</v>
          </cell>
          <cell r="D47">
            <v>1566.1399999999999</v>
          </cell>
          <cell r="E47">
            <v>1362.12</v>
          </cell>
          <cell r="H47">
            <v>0</v>
          </cell>
          <cell r="I47">
            <v>0</v>
          </cell>
          <cell r="J47">
            <v>1362.12</v>
          </cell>
          <cell r="K47">
            <v>-204.02</v>
          </cell>
          <cell r="L47">
            <v>0</v>
          </cell>
          <cell r="M47">
            <v>0</v>
          </cell>
          <cell r="N47">
            <v>31.970112</v>
          </cell>
          <cell r="O47">
            <v>31.970112</v>
          </cell>
          <cell r="P47">
            <v>39.72</v>
          </cell>
          <cell r="S47">
            <v>0</v>
          </cell>
          <cell r="T47">
            <v>0</v>
          </cell>
          <cell r="U47">
            <v>39.72</v>
          </cell>
          <cell r="V47">
            <v>7.7498880000000003</v>
          </cell>
          <cell r="W47">
            <v>0</v>
          </cell>
          <cell r="X47">
            <v>0</v>
          </cell>
          <cell r="Y47">
            <v>0</v>
          </cell>
          <cell r="Z47">
            <v>0</v>
          </cell>
          <cell r="AA47">
            <v>0</v>
          </cell>
          <cell r="AD47">
            <v>0</v>
          </cell>
          <cell r="AE47">
            <v>0</v>
          </cell>
          <cell r="AF47">
            <v>0</v>
          </cell>
          <cell r="AG47">
            <v>0</v>
          </cell>
          <cell r="AH47">
            <v>0</v>
          </cell>
          <cell r="AI47">
            <v>0</v>
          </cell>
          <cell r="AT47">
            <v>0</v>
          </cell>
        </row>
        <row r="48">
          <cell r="C48">
            <v>17666.460000000003</v>
          </cell>
          <cell r="D48">
            <v>17666.460000000003</v>
          </cell>
          <cell r="E48">
            <v>17940.3</v>
          </cell>
          <cell r="H48">
            <v>0</v>
          </cell>
          <cell r="I48">
            <v>0</v>
          </cell>
          <cell r="J48">
            <v>17666.46</v>
          </cell>
          <cell r="K48">
            <v>0</v>
          </cell>
          <cell r="L48">
            <v>273.83999999999997</v>
          </cell>
          <cell r="M48">
            <v>0</v>
          </cell>
          <cell r="N48">
            <v>330.2</v>
          </cell>
          <cell r="O48">
            <v>330.2</v>
          </cell>
          <cell r="P48">
            <v>331.44000000000005</v>
          </cell>
          <cell r="S48">
            <v>0</v>
          </cell>
          <cell r="T48">
            <v>0</v>
          </cell>
          <cell r="U48">
            <v>330.2</v>
          </cell>
          <cell r="V48">
            <v>0</v>
          </cell>
          <cell r="W48">
            <v>1.24</v>
          </cell>
          <cell r="X48">
            <v>0</v>
          </cell>
          <cell r="Y48">
            <v>534.14</v>
          </cell>
          <cell r="Z48">
            <v>534.14</v>
          </cell>
          <cell r="AA48">
            <v>530.63</v>
          </cell>
          <cell r="AD48">
            <v>0</v>
          </cell>
          <cell r="AE48">
            <v>0</v>
          </cell>
          <cell r="AF48">
            <v>530.63</v>
          </cell>
          <cell r="AG48">
            <v>0</v>
          </cell>
          <cell r="AH48">
            <v>0</v>
          </cell>
          <cell r="AI48">
            <v>0</v>
          </cell>
          <cell r="AT48">
            <v>0</v>
          </cell>
        </row>
        <row r="49">
          <cell r="C49">
            <v>19710.774475000002</v>
          </cell>
          <cell r="D49">
            <v>19710.774475000002</v>
          </cell>
          <cell r="E49">
            <v>20071.800000000003</v>
          </cell>
          <cell r="H49">
            <v>0</v>
          </cell>
          <cell r="I49">
            <v>0</v>
          </cell>
          <cell r="J49">
            <v>19710.774474999998</v>
          </cell>
          <cell r="K49">
            <v>0</v>
          </cell>
          <cell r="L49">
            <v>361.02552500000002</v>
          </cell>
          <cell r="M49">
            <v>0</v>
          </cell>
          <cell r="N49">
            <v>977.98</v>
          </cell>
          <cell r="O49">
            <v>977.98</v>
          </cell>
          <cell r="P49">
            <v>471.36</v>
          </cell>
          <cell r="S49">
            <v>0</v>
          </cell>
          <cell r="T49">
            <v>0</v>
          </cell>
          <cell r="U49">
            <v>471.36</v>
          </cell>
          <cell r="V49">
            <v>0</v>
          </cell>
          <cell r="W49">
            <v>0</v>
          </cell>
          <cell r="X49">
            <v>0</v>
          </cell>
          <cell r="Y49">
            <v>379.69999999999993</v>
          </cell>
          <cell r="Z49">
            <v>379.69999999999993</v>
          </cell>
          <cell r="AA49">
            <v>583.62</v>
          </cell>
          <cell r="AD49">
            <v>0</v>
          </cell>
          <cell r="AE49">
            <v>0</v>
          </cell>
          <cell r="AF49">
            <v>379.7</v>
          </cell>
          <cell r="AG49">
            <v>0</v>
          </cell>
          <cell r="AH49">
            <v>203.92</v>
          </cell>
          <cell r="AI49">
            <v>0</v>
          </cell>
          <cell r="AT49">
            <v>0</v>
          </cell>
        </row>
        <row r="50">
          <cell r="C50">
            <v>18099.079919</v>
          </cell>
          <cell r="D50">
            <v>18099.079919</v>
          </cell>
          <cell r="E50">
            <v>18601.13</v>
          </cell>
          <cell r="H50">
            <v>0</v>
          </cell>
          <cell r="I50">
            <v>0</v>
          </cell>
          <cell r="J50">
            <v>18099.079919</v>
          </cell>
          <cell r="K50">
            <v>0</v>
          </cell>
          <cell r="L50">
            <v>502.05008099999998</v>
          </cell>
          <cell r="M50">
            <v>0</v>
          </cell>
          <cell r="N50">
            <v>91.48</v>
          </cell>
          <cell r="O50">
            <v>91.48</v>
          </cell>
          <cell r="P50">
            <v>40.92</v>
          </cell>
          <cell r="S50">
            <v>0</v>
          </cell>
          <cell r="T50">
            <v>0</v>
          </cell>
          <cell r="U50">
            <v>40.92</v>
          </cell>
          <cell r="V50">
            <v>0</v>
          </cell>
          <cell r="W50">
            <v>0</v>
          </cell>
          <cell r="X50">
            <v>0</v>
          </cell>
          <cell r="Y50">
            <v>0</v>
          </cell>
          <cell r="Z50">
            <v>0</v>
          </cell>
          <cell r="AA50">
            <v>0</v>
          </cell>
          <cell r="AD50">
            <v>0</v>
          </cell>
          <cell r="AE50">
            <v>0</v>
          </cell>
          <cell r="AF50">
            <v>0</v>
          </cell>
          <cell r="AG50">
            <v>0</v>
          </cell>
          <cell r="AH50">
            <v>0</v>
          </cell>
          <cell r="AI50">
            <v>0</v>
          </cell>
          <cell r="AT50">
            <v>0</v>
          </cell>
        </row>
        <row r="51">
          <cell r="C51">
            <v>21734.640040000002</v>
          </cell>
          <cell r="D51">
            <v>21734.640040000002</v>
          </cell>
          <cell r="E51">
            <v>22287.8</v>
          </cell>
          <cell r="H51">
            <v>0</v>
          </cell>
          <cell r="I51">
            <v>0</v>
          </cell>
          <cell r="J51">
            <v>21734.640039999998</v>
          </cell>
          <cell r="K51">
            <v>0</v>
          </cell>
          <cell r="L51">
            <v>553.15995999999996</v>
          </cell>
          <cell r="M51">
            <v>0</v>
          </cell>
          <cell r="N51">
            <v>463.74</v>
          </cell>
          <cell r="O51">
            <v>463.74</v>
          </cell>
          <cell r="P51">
            <v>391.28999999999996</v>
          </cell>
          <cell r="S51">
            <v>0</v>
          </cell>
          <cell r="T51">
            <v>0</v>
          </cell>
          <cell r="U51">
            <v>391.28999999999996</v>
          </cell>
          <cell r="V51">
            <v>0</v>
          </cell>
          <cell r="W51">
            <v>0</v>
          </cell>
          <cell r="X51">
            <v>0</v>
          </cell>
          <cell r="Y51">
            <v>5986.66</v>
          </cell>
          <cell r="Z51">
            <v>5986.66</v>
          </cell>
          <cell r="AA51">
            <v>6009.84</v>
          </cell>
          <cell r="AD51">
            <v>0</v>
          </cell>
          <cell r="AE51">
            <v>0</v>
          </cell>
          <cell r="AF51">
            <v>5986.66</v>
          </cell>
          <cell r="AG51">
            <v>0</v>
          </cell>
          <cell r="AH51">
            <v>23.18</v>
          </cell>
          <cell r="AI51">
            <v>0</v>
          </cell>
          <cell r="AT51">
            <v>0</v>
          </cell>
        </row>
        <row r="52">
          <cell r="C52">
            <v>4382.2699999999995</v>
          </cell>
          <cell r="D52">
            <v>4382.2699999999995</v>
          </cell>
          <cell r="E52">
            <v>3759.98</v>
          </cell>
          <cell r="H52">
            <v>0</v>
          </cell>
          <cell r="I52">
            <v>0</v>
          </cell>
          <cell r="J52">
            <v>3759.98</v>
          </cell>
          <cell r="K52">
            <v>-622.29</v>
          </cell>
          <cell r="L52">
            <v>0</v>
          </cell>
          <cell r="M52">
            <v>0</v>
          </cell>
          <cell r="N52">
            <v>0.3899999999999999</v>
          </cell>
          <cell r="O52">
            <v>0.3899999999999999</v>
          </cell>
          <cell r="P52">
            <v>13.85</v>
          </cell>
          <cell r="S52">
            <v>0</v>
          </cell>
          <cell r="T52">
            <v>0</v>
          </cell>
          <cell r="U52">
            <v>13.85</v>
          </cell>
          <cell r="V52">
            <v>13.46</v>
          </cell>
          <cell r="W52">
            <v>0</v>
          </cell>
          <cell r="X52">
            <v>0</v>
          </cell>
          <cell r="Y52">
            <v>0</v>
          </cell>
          <cell r="Z52">
            <v>0</v>
          </cell>
          <cell r="AA52">
            <v>0</v>
          </cell>
          <cell r="AD52">
            <v>0</v>
          </cell>
          <cell r="AE52">
            <v>0</v>
          </cell>
          <cell r="AF52">
            <v>0</v>
          </cell>
          <cell r="AG52">
            <v>0</v>
          </cell>
          <cell r="AH52">
            <v>0</v>
          </cell>
          <cell r="AI52">
            <v>0</v>
          </cell>
          <cell r="AT52">
            <v>0</v>
          </cell>
        </row>
        <row r="53">
          <cell r="C53">
            <v>11926.332488999999</v>
          </cell>
          <cell r="D53">
            <v>11926.332488999999</v>
          </cell>
          <cell r="E53">
            <v>12128.5</v>
          </cell>
          <cell r="H53">
            <v>0</v>
          </cell>
          <cell r="I53">
            <v>0</v>
          </cell>
          <cell r="J53">
            <v>11926.332489</v>
          </cell>
          <cell r="K53">
            <v>0</v>
          </cell>
          <cell r="L53">
            <v>202.16751099999999</v>
          </cell>
          <cell r="M53">
            <v>0</v>
          </cell>
          <cell r="N53">
            <v>366.89</v>
          </cell>
          <cell r="O53">
            <v>366.89</v>
          </cell>
          <cell r="P53">
            <v>513.70000000000005</v>
          </cell>
          <cell r="S53">
            <v>0</v>
          </cell>
          <cell r="T53">
            <v>0</v>
          </cell>
          <cell r="U53">
            <v>366.89</v>
          </cell>
          <cell r="V53">
            <v>0</v>
          </cell>
          <cell r="W53">
            <v>146.81</v>
          </cell>
          <cell r="X53">
            <v>0</v>
          </cell>
          <cell r="Y53">
            <v>78.09</v>
          </cell>
          <cell r="Z53">
            <v>78.09</v>
          </cell>
          <cell r="AA53">
            <v>78.94</v>
          </cell>
          <cell r="AD53">
            <v>0</v>
          </cell>
          <cell r="AE53">
            <v>0</v>
          </cell>
          <cell r="AF53">
            <v>78.09</v>
          </cell>
          <cell r="AG53">
            <v>0</v>
          </cell>
          <cell r="AH53">
            <v>0.85</v>
          </cell>
          <cell r="AI53">
            <v>0</v>
          </cell>
          <cell r="AT53">
            <v>0</v>
          </cell>
        </row>
        <row r="54">
          <cell r="C54">
            <v>25052.190006999997</v>
          </cell>
          <cell r="D54">
            <v>25052.190006999997</v>
          </cell>
          <cell r="E54">
            <v>26240.639999999999</v>
          </cell>
          <cell r="H54">
            <v>0</v>
          </cell>
          <cell r="I54">
            <v>0</v>
          </cell>
          <cell r="J54">
            <v>25052.190007000001</v>
          </cell>
          <cell r="K54">
            <v>0</v>
          </cell>
          <cell r="L54">
            <v>1188.4499929999999</v>
          </cell>
          <cell r="M54">
            <v>0</v>
          </cell>
          <cell r="N54">
            <v>66.33</v>
          </cell>
          <cell r="O54">
            <v>66.33</v>
          </cell>
          <cell r="P54">
            <v>159.63</v>
          </cell>
          <cell r="S54">
            <v>0</v>
          </cell>
          <cell r="T54">
            <v>0</v>
          </cell>
          <cell r="U54">
            <v>66.33</v>
          </cell>
          <cell r="V54">
            <v>0</v>
          </cell>
          <cell r="W54">
            <v>93.3</v>
          </cell>
          <cell r="X54">
            <v>0</v>
          </cell>
          <cell r="Y54">
            <v>0</v>
          </cell>
          <cell r="Z54">
            <v>0</v>
          </cell>
          <cell r="AA54">
            <v>0</v>
          </cell>
          <cell r="AD54">
            <v>0</v>
          </cell>
          <cell r="AE54">
            <v>0</v>
          </cell>
          <cell r="AF54">
            <v>0</v>
          </cell>
          <cell r="AG54">
            <v>0</v>
          </cell>
          <cell r="AH54">
            <v>0</v>
          </cell>
          <cell r="AI54">
            <v>0</v>
          </cell>
          <cell r="AT54">
            <v>0</v>
          </cell>
        </row>
        <row r="55">
          <cell r="C55">
            <v>13240.619961</v>
          </cell>
          <cell r="D55">
            <v>13240.619961</v>
          </cell>
          <cell r="E55">
            <v>14398.55</v>
          </cell>
          <cell r="H55">
            <v>0</v>
          </cell>
          <cell r="I55">
            <v>0</v>
          </cell>
          <cell r="J55">
            <v>13240.619961</v>
          </cell>
          <cell r="K55">
            <v>0</v>
          </cell>
          <cell r="L55">
            <v>1157.9300390000001</v>
          </cell>
          <cell r="M55">
            <v>0</v>
          </cell>
          <cell r="N55">
            <v>0</v>
          </cell>
          <cell r="O55">
            <v>0</v>
          </cell>
          <cell r="P55">
            <v>2.04</v>
          </cell>
          <cell r="S55">
            <v>0</v>
          </cell>
          <cell r="T55">
            <v>0</v>
          </cell>
          <cell r="U55">
            <v>0</v>
          </cell>
          <cell r="V55">
            <v>0</v>
          </cell>
          <cell r="W55">
            <v>2.04</v>
          </cell>
          <cell r="X55">
            <v>0</v>
          </cell>
          <cell r="Y55">
            <v>0</v>
          </cell>
          <cell r="Z55">
            <v>0</v>
          </cell>
          <cell r="AA55">
            <v>0</v>
          </cell>
          <cell r="AD55">
            <v>0</v>
          </cell>
          <cell r="AE55">
            <v>0</v>
          </cell>
          <cell r="AF55">
            <v>0</v>
          </cell>
          <cell r="AG55">
            <v>0</v>
          </cell>
          <cell r="AH55">
            <v>0</v>
          </cell>
          <cell r="AI55">
            <v>0</v>
          </cell>
          <cell r="AT55">
            <v>0</v>
          </cell>
        </row>
        <row r="56">
          <cell r="C56">
            <v>31026.950368999998</v>
          </cell>
          <cell r="D56">
            <v>31026.950368999998</v>
          </cell>
          <cell r="E56">
            <v>33347.919999999998</v>
          </cell>
          <cell r="H56">
            <v>0</v>
          </cell>
          <cell r="I56">
            <v>0</v>
          </cell>
          <cell r="J56">
            <v>31026.950368999998</v>
          </cell>
          <cell r="K56">
            <v>0</v>
          </cell>
          <cell r="L56">
            <v>2320.9696309999999</v>
          </cell>
          <cell r="M56">
            <v>0</v>
          </cell>
          <cell r="N56">
            <v>2040.9700000000003</v>
          </cell>
          <cell r="O56">
            <v>2040.9700000000003</v>
          </cell>
          <cell r="P56">
            <v>2020.1100000000006</v>
          </cell>
          <cell r="S56">
            <v>0</v>
          </cell>
          <cell r="T56">
            <v>0</v>
          </cell>
          <cell r="U56">
            <v>2020.1100000000006</v>
          </cell>
          <cell r="V56">
            <v>0</v>
          </cell>
          <cell r="W56">
            <v>0</v>
          </cell>
          <cell r="X56">
            <v>0</v>
          </cell>
          <cell r="Y56">
            <v>6129.33</v>
          </cell>
          <cell r="Z56">
            <v>6129.33</v>
          </cell>
          <cell r="AA56">
            <v>6148.03</v>
          </cell>
          <cell r="AD56">
            <v>0</v>
          </cell>
          <cell r="AE56">
            <v>0</v>
          </cell>
          <cell r="AF56">
            <v>6129.33</v>
          </cell>
          <cell r="AG56">
            <v>0</v>
          </cell>
          <cell r="AH56">
            <v>18.7</v>
          </cell>
          <cell r="AI56">
            <v>0</v>
          </cell>
          <cell r="AT56">
            <v>0</v>
          </cell>
        </row>
        <row r="57">
          <cell r="C57">
            <v>22887.040008</v>
          </cell>
          <cell r="D57">
            <v>22887.040008</v>
          </cell>
          <cell r="E57">
            <v>17767.97</v>
          </cell>
          <cell r="H57">
            <v>0</v>
          </cell>
          <cell r="I57">
            <v>0</v>
          </cell>
          <cell r="J57">
            <v>17767.97</v>
          </cell>
          <cell r="K57">
            <v>-5119.0700079999997</v>
          </cell>
          <cell r="L57">
            <v>0</v>
          </cell>
          <cell r="M57">
            <v>0</v>
          </cell>
          <cell r="N57">
            <v>2660.3500000000004</v>
          </cell>
          <cell r="O57">
            <v>2660.3500000000004</v>
          </cell>
          <cell r="P57">
            <v>2562.2200000000003</v>
          </cell>
          <cell r="S57">
            <v>0</v>
          </cell>
          <cell r="T57">
            <v>0</v>
          </cell>
          <cell r="U57">
            <v>2562.2200000000003</v>
          </cell>
          <cell r="V57">
            <v>-98.13</v>
          </cell>
          <cell r="W57">
            <v>0</v>
          </cell>
          <cell r="X57">
            <v>0</v>
          </cell>
          <cell r="Y57">
            <v>7073.91</v>
          </cell>
          <cell r="Z57">
            <v>7073.91</v>
          </cell>
          <cell r="AA57">
            <v>5933.31</v>
          </cell>
          <cell r="AD57">
            <v>0</v>
          </cell>
          <cell r="AE57">
            <v>0</v>
          </cell>
          <cell r="AF57">
            <v>5933.31</v>
          </cell>
          <cell r="AG57">
            <v>-1140.5999999999999</v>
          </cell>
          <cell r="AH57">
            <v>0</v>
          </cell>
          <cell r="AI57">
            <v>0</v>
          </cell>
          <cell r="AT57">
            <v>0</v>
          </cell>
        </row>
        <row r="58">
          <cell r="C58">
            <v>15091.474862999999</v>
          </cell>
          <cell r="D58">
            <v>15091.474862999999</v>
          </cell>
          <cell r="E58">
            <v>15297.74</v>
          </cell>
          <cell r="H58">
            <v>0</v>
          </cell>
          <cell r="I58">
            <v>0</v>
          </cell>
          <cell r="J58">
            <v>15091.474862999999</v>
          </cell>
          <cell r="K58">
            <v>0</v>
          </cell>
          <cell r="L58">
            <v>206.26513700000001</v>
          </cell>
          <cell r="M58">
            <v>0</v>
          </cell>
          <cell r="N58">
            <v>136.07</v>
          </cell>
          <cell r="O58">
            <v>136.07</v>
          </cell>
          <cell r="P58">
            <v>162.66999999999999</v>
          </cell>
          <cell r="S58">
            <v>0</v>
          </cell>
          <cell r="T58">
            <v>0</v>
          </cell>
          <cell r="U58">
            <v>136.07</v>
          </cell>
          <cell r="V58">
            <v>0</v>
          </cell>
          <cell r="W58">
            <v>26.6</v>
          </cell>
          <cell r="X58">
            <v>0</v>
          </cell>
          <cell r="Y58">
            <v>0</v>
          </cell>
          <cell r="Z58">
            <v>0</v>
          </cell>
          <cell r="AA58">
            <v>0</v>
          </cell>
          <cell r="AD58">
            <v>0</v>
          </cell>
          <cell r="AE58">
            <v>0</v>
          </cell>
          <cell r="AF58">
            <v>0</v>
          </cell>
          <cell r="AG58">
            <v>0</v>
          </cell>
          <cell r="AH58">
            <v>0</v>
          </cell>
          <cell r="AI58">
            <v>0</v>
          </cell>
          <cell r="AT58">
            <v>0</v>
          </cell>
        </row>
        <row r="59">
          <cell r="C59">
            <v>13438.119999999999</v>
          </cell>
          <cell r="D59">
            <v>13438.119999999999</v>
          </cell>
          <cell r="E59">
            <v>12945.68</v>
          </cell>
          <cell r="H59">
            <v>0</v>
          </cell>
          <cell r="I59">
            <v>0</v>
          </cell>
          <cell r="J59">
            <v>12945.68</v>
          </cell>
          <cell r="K59">
            <v>-492.44</v>
          </cell>
          <cell r="L59">
            <v>0</v>
          </cell>
          <cell r="M59">
            <v>0</v>
          </cell>
          <cell r="N59">
            <v>99.27</v>
          </cell>
          <cell r="O59">
            <v>99.27</v>
          </cell>
          <cell r="P59">
            <v>106.48</v>
          </cell>
          <cell r="S59">
            <v>0</v>
          </cell>
          <cell r="T59">
            <v>0</v>
          </cell>
          <cell r="U59">
            <v>106.48</v>
          </cell>
          <cell r="V59">
            <v>7.21</v>
          </cell>
          <cell r="W59">
            <v>0</v>
          </cell>
          <cell r="X59">
            <v>0</v>
          </cell>
          <cell r="Y59">
            <v>0</v>
          </cell>
          <cell r="Z59">
            <v>0</v>
          </cell>
          <cell r="AA59">
            <v>0</v>
          </cell>
          <cell r="AD59">
            <v>0</v>
          </cell>
          <cell r="AE59">
            <v>0</v>
          </cell>
          <cell r="AF59">
            <v>0</v>
          </cell>
          <cell r="AG59">
            <v>0</v>
          </cell>
          <cell r="AH59">
            <v>0</v>
          </cell>
          <cell r="AI59">
            <v>0</v>
          </cell>
          <cell r="AT59">
            <v>0</v>
          </cell>
        </row>
        <row r="60">
          <cell r="C60">
            <v>7774.2299999999987</v>
          </cell>
          <cell r="D60">
            <v>7774.2299999999987</v>
          </cell>
          <cell r="E60">
            <v>8166.16</v>
          </cell>
          <cell r="H60">
            <v>391.93007699999998</v>
          </cell>
          <cell r="I60">
            <v>0</v>
          </cell>
          <cell r="J60">
            <v>8166.1600769999995</v>
          </cell>
          <cell r="K60">
            <v>0</v>
          </cell>
          <cell r="L60">
            <v>-7.7000000000000001E-5</v>
          </cell>
          <cell r="M60">
            <v>0</v>
          </cell>
          <cell r="N60">
            <v>57.17</v>
          </cell>
          <cell r="O60">
            <v>57.17</v>
          </cell>
          <cell r="P60">
            <v>67.91</v>
          </cell>
          <cell r="S60">
            <v>10.740109</v>
          </cell>
          <cell r="T60">
            <v>0</v>
          </cell>
          <cell r="U60">
            <v>67.910109000000006</v>
          </cell>
          <cell r="V60">
            <v>0</v>
          </cell>
          <cell r="W60">
            <v>0</v>
          </cell>
          <cell r="X60">
            <v>0</v>
          </cell>
          <cell r="Y60">
            <v>114.77000000000001</v>
          </cell>
          <cell r="Z60">
            <v>114.77000000000001</v>
          </cell>
          <cell r="AA60">
            <v>145.86000000000001</v>
          </cell>
          <cell r="AD60">
            <v>31.090122999999998</v>
          </cell>
          <cell r="AE60">
            <v>0</v>
          </cell>
          <cell r="AF60">
            <v>145.86012299999999</v>
          </cell>
          <cell r="AG60">
            <v>0</v>
          </cell>
          <cell r="AH60">
            <v>0</v>
          </cell>
          <cell r="AI60">
            <v>0</v>
          </cell>
          <cell r="AT60">
            <v>0</v>
          </cell>
        </row>
        <row r="61">
          <cell r="C61">
            <v>19139.989999999998</v>
          </cell>
          <cell r="D61">
            <v>19139.989999999998</v>
          </cell>
          <cell r="E61">
            <v>18418.11</v>
          </cell>
          <cell r="H61">
            <v>0</v>
          </cell>
          <cell r="I61">
            <v>0</v>
          </cell>
          <cell r="J61">
            <v>18418.11</v>
          </cell>
          <cell r="K61">
            <v>-721.88</v>
          </cell>
          <cell r="L61">
            <v>0</v>
          </cell>
          <cell r="M61">
            <v>0</v>
          </cell>
          <cell r="N61">
            <v>116.46000000000001</v>
          </cell>
          <cell r="O61">
            <v>116.46000000000001</v>
          </cell>
          <cell r="P61">
            <v>75.17</v>
          </cell>
          <cell r="S61">
            <v>0</v>
          </cell>
          <cell r="T61">
            <v>0</v>
          </cell>
          <cell r="U61">
            <v>75.17</v>
          </cell>
          <cell r="V61">
            <v>-41.29</v>
          </cell>
          <cell r="W61">
            <v>0</v>
          </cell>
          <cell r="X61">
            <v>0</v>
          </cell>
          <cell r="Y61">
            <v>0</v>
          </cell>
          <cell r="Z61">
            <v>0</v>
          </cell>
          <cell r="AA61">
            <v>0</v>
          </cell>
          <cell r="AD61">
            <v>0</v>
          </cell>
          <cell r="AE61">
            <v>0</v>
          </cell>
          <cell r="AF61">
            <v>0</v>
          </cell>
          <cell r="AG61">
            <v>0</v>
          </cell>
          <cell r="AH61">
            <v>0</v>
          </cell>
          <cell r="AI61">
            <v>0</v>
          </cell>
          <cell r="AT61">
            <v>0</v>
          </cell>
        </row>
        <row r="62">
          <cell r="C62">
            <v>13363.07992</v>
          </cell>
          <cell r="D62">
            <v>13363.07992</v>
          </cell>
          <cell r="E62">
            <v>12734.7</v>
          </cell>
          <cell r="H62">
            <v>0</v>
          </cell>
          <cell r="I62">
            <v>0</v>
          </cell>
          <cell r="J62">
            <v>12734.7</v>
          </cell>
          <cell r="K62">
            <v>-628.37991999999997</v>
          </cell>
          <cell r="L62">
            <v>0</v>
          </cell>
          <cell r="M62">
            <v>0</v>
          </cell>
          <cell r="N62">
            <v>513.96</v>
          </cell>
          <cell r="O62">
            <v>513.96</v>
          </cell>
          <cell r="P62">
            <v>327.92999999999995</v>
          </cell>
          <cell r="S62">
            <v>0</v>
          </cell>
          <cell r="T62">
            <v>0</v>
          </cell>
          <cell r="U62">
            <v>327.92999999999995</v>
          </cell>
          <cell r="V62">
            <v>-186.03</v>
          </cell>
          <cell r="W62">
            <v>0</v>
          </cell>
          <cell r="X62">
            <v>0</v>
          </cell>
          <cell r="Y62">
            <v>472.64</v>
          </cell>
          <cell r="Z62">
            <v>472.64</v>
          </cell>
          <cell r="AA62">
            <v>515.61</v>
          </cell>
          <cell r="AD62">
            <v>0</v>
          </cell>
          <cell r="AE62">
            <v>0</v>
          </cell>
          <cell r="AF62">
            <v>515.61</v>
          </cell>
          <cell r="AG62">
            <v>42.97</v>
          </cell>
          <cell r="AH62">
            <v>0</v>
          </cell>
          <cell r="AI62">
            <v>0</v>
          </cell>
          <cell r="AT62">
            <v>0</v>
          </cell>
        </row>
        <row r="63">
          <cell r="C63">
            <v>13649.51</v>
          </cell>
          <cell r="D63">
            <v>13649.51</v>
          </cell>
          <cell r="E63">
            <v>14262.98</v>
          </cell>
          <cell r="H63">
            <v>0</v>
          </cell>
          <cell r="I63">
            <v>0</v>
          </cell>
          <cell r="J63">
            <v>13649.51</v>
          </cell>
          <cell r="K63">
            <v>0</v>
          </cell>
          <cell r="L63">
            <v>613.47</v>
          </cell>
          <cell r="M63">
            <v>0</v>
          </cell>
          <cell r="N63">
            <v>223.22</v>
          </cell>
          <cell r="O63">
            <v>223.22</v>
          </cell>
          <cell r="P63">
            <v>265.20999999999998</v>
          </cell>
          <cell r="S63">
            <v>0</v>
          </cell>
          <cell r="T63">
            <v>0</v>
          </cell>
          <cell r="U63">
            <v>223.22</v>
          </cell>
          <cell r="V63">
            <v>0</v>
          </cell>
          <cell r="W63">
            <v>41.99</v>
          </cell>
          <cell r="X63">
            <v>0</v>
          </cell>
          <cell r="Y63">
            <v>113.28</v>
          </cell>
          <cell r="Z63">
            <v>113.28</v>
          </cell>
          <cell r="AA63">
            <v>86.99</v>
          </cell>
          <cell r="AD63">
            <v>0</v>
          </cell>
          <cell r="AE63">
            <v>0</v>
          </cell>
          <cell r="AF63">
            <v>86.99</v>
          </cell>
          <cell r="AG63">
            <v>0</v>
          </cell>
          <cell r="AH63">
            <v>0</v>
          </cell>
          <cell r="AI63">
            <v>0</v>
          </cell>
          <cell r="AT63">
            <v>0</v>
          </cell>
        </row>
        <row r="64">
          <cell r="C64">
            <v>19990.023625999998</v>
          </cell>
          <cell r="D64">
            <v>19990.023625999998</v>
          </cell>
          <cell r="E64">
            <v>20722.330000000002</v>
          </cell>
          <cell r="H64">
            <v>0</v>
          </cell>
          <cell r="I64">
            <v>0</v>
          </cell>
          <cell r="J64">
            <v>19990.023625999998</v>
          </cell>
          <cell r="K64">
            <v>0</v>
          </cell>
          <cell r="L64">
            <v>732.30637400000001</v>
          </cell>
          <cell r="M64">
            <v>0</v>
          </cell>
          <cell r="N64">
            <v>580.71</v>
          </cell>
          <cell r="O64">
            <v>580.71</v>
          </cell>
          <cell r="P64">
            <v>537.34999999999991</v>
          </cell>
          <cell r="S64">
            <v>0</v>
          </cell>
          <cell r="T64">
            <v>0</v>
          </cell>
          <cell r="U64">
            <v>537.34999999999991</v>
          </cell>
          <cell r="V64">
            <v>0</v>
          </cell>
          <cell r="W64">
            <v>0</v>
          </cell>
          <cell r="X64">
            <v>0</v>
          </cell>
          <cell r="Y64">
            <v>159.10000000000002</v>
          </cell>
          <cell r="Z64">
            <v>159.10000000000002</v>
          </cell>
          <cell r="AA64">
            <v>155.18</v>
          </cell>
          <cell r="AD64">
            <v>0</v>
          </cell>
          <cell r="AE64">
            <v>0</v>
          </cell>
          <cell r="AF64">
            <v>155.18</v>
          </cell>
          <cell r="AG64">
            <v>0</v>
          </cell>
          <cell r="AH64">
            <v>0</v>
          </cell>
          <cell r="AI64">
            <v>0</v>
          </cell>
          <cell r="AT64">
            <v>0</v>
          </cell>
        </row>
        <row r="65">
          <cell r="C65">
            <v>8065.5787</v>
          </cell>
          <cell r="D65">
            <v>8065.5787</v>
          </cell>
          <cell r="E65">
            <v>8914.7800000000007</v>
          </cell>
          <cell r="H65">
            <v>0</v>
          </cell>
          <cell r="I65">
            <v>0</v>
          </cell>
          <cell r="J65">
            <v>8065.5787</v>
          </cell>
          <cell r="K65">
            <v>0</v>
          </cell>
          <cell r="L65">
            <v>849.20129999999995</v>
          </cell>
          <cell r="M65">
            <v>0</v>
          </cell>
          <cell r="N65">
            <v>332.29974100000004</v>
          </cell>
          <cell r="O65">
            <v>332.29974100000004</v>
          </cell>
          <cell r="P65">
            <v>448.87000000000006</v>
          </cell>
          <cell r="S65">
            <v>0</v>
          </cell>
          <cell r="T65">
            <v>0</v>
          </cell>
          <cell r="U65">
            <v>332.29974099999998</v>
          </cell>
          <cell r="V65">
            <v>0</v>
          </cell>
          <cell r="W65">
            <v>116.57025899999999</v>
          </cell>
          <cell r="X65">
            <v>0</v>
          </cell>
          <cell r="Y65">
            <v>68.430000000000007</v>
          </cell>
          <cell r="Z65">
            <v>68.430000000000007</v>
          </cell>
          <cell r="AA65">
            <v>85.33</v>
          </cell>
          <cell r="AD65">
            <v>0</v>
          </cell>
          <cell r="AE65">
            <v>0</v>
          </cell>
          <cell r="AF65">
            <v>68.430000000000007</v>
          </cell>
          <cell r="AG65">
            <v>0</v>
          </cell>
          <cell r="AH65">
            <v>16.899999999999999</v>
          </cell>
          <cell r="AI65">
            <v>0</v>
          </cell>
          <cell r="AT65">
            <v>0</v>
          </cell>
        </row>
        <row r="66">
          <cell r="C66">
            <v>7075.736535</v>
          </cell>
          <cell r="D66">
            <v>7075.736535</v>
          </cell>
          <cell r="E66">
            <v>6231.49</v>
          </cell>
          <cell r="H66">
            <v>0</v>
          </cell>
          <cell r="I66">
            <v>0</v>
          </cell>
          <cell r="J66">
            <v>6231.49</v>
          </cell>
          <cell r="K66">
            <v>-844.24653499999999</v>
          </cell>
          <cell r="L66">
            <v>0</v>
          </cell>
          <cell r="M66">
            <v>0</v>
          </cell>
          <cell r="N66">
            <v>198</v>
          </cell>
          <cell r="O66">
            <v>198</v>
          </cell>
          <cell r="P66">
            <v>188.16000000000003</v>
          </cell>
          <cell r="S66">
            <v>0</v>
          </cell>
          <cell r="T66">
            <v>0</v>
          </cell>
          <cell r="U66">
            <v>188.16000000000003</v>
          </cell>
          <cell r="V66">
            <v>-9.84</v>
          </cell>
          <cell r="W66">
            <v>0</v>
          </cell>
          <cell r="X66">
            <v>0</v>
          </cell>
          <cell r="Y66">
            <v>0</v>
          </cell>
          <cell r="Z66">
            <v>0</v>
          </cell>
          <cell r="AA66">
            <v>47.45</v>
          </cell>
          <cell r="AD66">
            <v>0</v>
          </cell>
          <cell r="AE66">
            <v>0</v>
          </cell>
          <cell r="AF66">
            <v>47.45</v>
          </cell>
          <cell r="AG66">
            <v>47.45</v>
          </cell>
          <cell r="AH66">
            <v>0</v>
          </cell>
          <cell r="AI66">
            <v>0</v>
          </cell>
          <cell r="AT66">
            <v>0</v>
          </cell>
        </row>
        <row r="67">
          <cell r="C67">
            <v>14237.509984</v>
          </cell>
          <cell r="D67">
            <v>14237.509984</v>
          </cell>
          <cell r="E67">
            <v>13021.67</v>
          </cell>
          <cell r="H67">
            <v>0</v>
          </cell>
          <cell r="I67">
            <v>0</v>
          </cell>
          <cell r="J67">
            <v>13021.67</v>
          </cell>
          <cell r="K67">
            <v>-1215.839984</v>
          </cell>
          <cell r="L67">
            <v>0</v>
          </cell>
          <cell r="M67">
            <v>0</v>
          </cell>
          <cell r="N67">
            <v>345.05</v>
          </cell>
          <cell r="O67">
            <v>345.05</v>
          </cell>
          <cell r="P67">
            <v>342.51</v>
          </cell>
          <cell r="S67">
            <v>0</v>
          </cell>
          <cell r="T67">
            <v>0</v>
          </cell>
          <cell r="U67">
            <v>342.51</v>
          </cell>
          <cell r="V67">
            <v>-2.54</v>
          </cell>
          <cell r="W67">
            <v>0</v>
          </cell>
          <cell r="X67">
            <v>0</v>
          </cell>
          <cell r="Y67">
            <v>0</v>
          </cell>
          <cell r="Z67">
            <v>0</v>
          </cell>
          <cell r="AA67">
            <v>0</v>
          </cell>
          <cell r="AD67">
            <v>0</v>
          </cell>
          <cell r="AE67">
            <v>0</v>
          </cell>
          <cell r="AF67">
            <v>0</v>
          </cell>
          <cell r="AG67">
            <v>0</v>
          </cell>
          <cell r="AH67">
            <v>0</v>
          </cell>
          <cell r="AI67">
            <v>0</v>
          </cell>
          <cell r="AT67">
            <v>0</v>
          </cell>
        </row>
        <row r="68">
          <cell r="C68">
            <v>2145.0998910000003</v>
          </cell>
          <cell r="D68">
            <v>2145.0998910000003</v>
          </cell>
          <cell r="E68">
            <v>1976.34</v>
          </cell>
          <cell r="H68">
            <v>0</v>
          </cell>
          <cell r="I68">
            <v>0</v>
          </cell>
          <cell r="J68">
            <v>1976.34</v>
          </cell>
          <cell r="K68">
            <v>-168.75989100000001</v>
          </cell>
          <cell r="L68">
            <v>0</v>
          </cell>
          <cell r="M68">
            <v>0</v>
          </cell>
          <cell r="N68">
            <v>288.02014699999995</v>
          </cell>
          <cell r="O68">
            <v>288.02014699999995</v>
          </cell>
          <cell r="P68">
            <v>263.79999999999995</v>
          </cell>
          <cell r="S68">
            <v>0</v>
          </cell>
          <cell r="T68">
            <v>0</v>
          </cell>
          <cell r="U68">
            <v>263.79999999999995</v>
          </cell>
          <cell r="V68">
            <v>-24.220147000000001</v>
          </cell>
          <cell r="W68">
            <v>0</v>
          </cell>
          <cell r="X68">
            <v>0</v>
          </cell>
          <cell r="Y68">
            <v>0</v>
          </cell>
          <cell r="Z68">
            <v>0</v>
          </cell>
          <cell r="AA68">
            <v>67.900000000000006</v>
          </cell>
          <cell r="AD68">
            <v>0</v>
          </cell>
          <cell r="AE68">
            <v>0</v>
          </cell>
          <cell r="AF68">
            <v>67.900000000000006</v>
          </cell>
          <cell r="AG68">
            <v>67.900000000000006</v>
          </cell>
          <cell r="AH68">
            <v>0</v>
          </cell>
          <cell r="AI68">
            <v>0</v>
          </cell>
          <cell r="AT68">
            <v>0</v>
          </cell>
        </row>
        <row r="69">
          <cell r="C69">
            <v>6966.03</v>
          </cell>
          <cell r="D69">
            <v>6966.03</v>
          </cell>
          <cell r="E69">
            <v>8178.84</v>
          </cell>
          <cell r="H69">
            <v>1212.8100219999999</v>
          </cell>
          <cell r="I69">
            <v>0</v>
          </cell>
          <cell r="J69">
            <v>8178.8400220000003</v>
          </cell>
          <cell r="K69">
            <v>0</v>
          </cell>
          <cell r="L69">
            <v>-2.1999999999999999E-5</v>
          </cell>
          <cell r="M69">
            <v>0</v>
          </cell>
          <cell r="N69">
            <v>9.9999999999999867E-2</v>
          </cell>
          <cell r="O69">
            <v>9.9999999999999867E-2</v>
          </cell>
          <cell r="P69">
            <v>0.59</v>
          </cell>
          <cell r="S69">
            <v>0.48994799999999999</v>
          </cell>
          <cell r="T69">
            <v>0</v>
          </cell>
          <cell r="U69">
            <v>0.58994800000000003</v>
          </cell>
          <cell r="V69">
            <v>0</v>
          </cell>
          <cell r="W69">
            <v>5.1999999999999997E-5</v>
          </cell>
          <cell r="X69">
            <v>0</v>
          </cell>
          <cell r="Y69">
            <v>0</v>
          </cell>
          <cell r="Z69">
            <v>0</v>
          </cell>
          <cell r="AA69">
            <v>0</v>
          </cell>
          <cell r="AD69">
            <v>0</v>
          </cell>
          <cell r="AE69">
            <v>0</v>
          </cell>
          <cell r="AF69">
            <v>0</v>
          </cell>
          <cell r="AG69">
            <v>0</v>
          </cell>
          <cell r="AH69">
            <v>0</v>
          </cell>
          <cell r="AI69">
            <v>0</v>
          </cell>
          <cell r="AT69">
            <v>0</v>
          </cell>
        </row>
        <row r="70">
          <cell r="C70">
            <v>15612.339999999997</v>
          </cell>
          <cell r="D70">
            <v>15612.339999999997</v>
          </cell>
          <cell r="E70">
            <v>16829.191000000003</v>
          </cell>
          <cell r="H70">
            <v>923.65202199999999</v>
          </cell>
          <cell r="I70">
            <v>0</v>
          </cell>
          <cell r="J70">
            <v>16535.992021999999</v>
          </cell>
          <cell r="K70">
            <v>0</v>
          </cell>
          <cell r="L70">
            <v>293.19897800000001</v>
          </cell>
          <cell r="M70">
            <v>0</v>
          </cell>
          <cell r="N70">
            <v>2228.3900000000003</v>
          </cell>
          <cell r="O70">
            <v>2228.3900000000003</v>
          </cell>
          <cell r="P70">
            <v>2167.44</v>
          </cell>
          <cell r="S70">
            <v>0</v>
          </cell>
          <cell r="T70">
            <v>0</v>
          </cell>
          <cell r="U70">
            <v>2167.44</v>
          </cell>
          <cell r="V70">
            <v>0</v>
          </cell>
          <cell r="W70">
            <v>0</v>
          </cell>
          <cell r="X70">
            <v>0</v>
          </cell>
          <cell r="Y70">
            <v>444.02</v>
          </cell>
          <cell r="Z70">
            <v>444.02</v>
          </cell>
          <cell r="AA70">
            <v>603.11</v>
          </cell>
          <cell r="AD70">
            <v>0</v>
          </cell>
          <cell r="AE70">
            <v>0</v>
          </cell>
          <cell r="AF70">
            <v>444.02</v>
          </cell>
          <cell r="AG70">
            <v>0</v>
          </cell>
          <cell r="AH70">
            <v>159.09</v>
          </cell>
          <cell r="AI70">
            <v>0</v>
          </cell>
          <cell r="AT70">
            <v>0</v>
          </cell>
        </row>
        <row r="71">
          <cell r="C71">
            <v>25642.55</v>
          </cell>
          <cell r="D71">
            <v>25642.55</v>
          </cell>
          <cell r="E71">
            <v>22957.5</v>
          </cell>
          <cell r="H71">
            <v>0</v>
          </cell>
          <cell r="I71">
            <v>0</v>
          </cell>
          <cell r="J71">
            <v>22957.5</v>
          </cell>
          <cell r="K71">
            <v>-2685.05</v>
          </cell>
          <cell r="L71">
            <v>0</v>
          </cell>
          <cell r="M71">
            <v>0</v>
          </cell>
          <cell r="N71">
            <v>1650.41</v>
          </cell>
          <cell r="O71">
            <v>1650.41</v>
          </cell>
          <cell r="P71">
            <v>1759.38</v>
          </cell>
          <cell r="S71">
            <v>0</v>
          </cell>
          <cell r="T71">
            <v>0</v>
          </cell>
          <cell r="U71">
            <v>1759.38</v>
          </cell>
          <cell r="V71">
            <v>108.97</v>
          </cell>
          <cell r="W71">
            <v>0</v>
          </cell>
          <cell r="X71">
            <v>0</v>
          </cell>
          <cell r="Y71">
            <v>157.26999999999998</v>
          </cell>
          <cell r="Z71">
            <v>157.26999999999998</v>
          </cell>
          <cell r="AA71">
            <v>175.26</v>
          </cell>
          <cell r="AD71">
            <v>0</v>
          </cell>
          <cell r="AE71">
            <v>0</v>
          </cell>
          <cell r="AF71">
            <v>175.26</v>
          </cell>
          <cell r="AG71">
            <v>17.989999999999998</v>
          </cell>
          <cell r="AH71">
            <v>0</v>
          </cell>
          <cell r="AI71">
            <v>0</v>
          </cell>
          <cell r="AT71">
            <v>0</v>
          </cell>
        </row>
        <row r="72">
          <cell r="C72">
            <v>14525.749970999999</v>
          </cell>
          <cell r="D72">
            <v>14525.749970999999</v>
          </cell>
          <cell r="E72">
            <v>14763.81</v>
          </cell>
          <cell r="H72">
            <v>0</v>
          </cell>
          <cell r="I72">
            <v>0</v>
          </cell>
          <cell r="J72">
            <v>14525.749970999999</v>
          </cell>
          <cell r="K72">
            <v>0</v>
          </cell>
          <cell r="L72">
            <v>238.06002899999999</v>
          </cell>
          <cell r="M72">
            <v>0</v>
          </cell>
          <cell r="N72">
            <v>184.65</v>
          </cell>
          <cell r="O72">
            <v>184.65</v>
          </cell>
          <cell r="P72">
            <v>179.64</v>
          </cell>
          <cell r="S72">
            <v>0</v>
          </cell>
          <cell r="T72">
            <v>0</v>
          </cell>
          <cell r="U72">
            <v>179.64</v>
          </cell>
          <cell r="V72">
            <v>0</v>
          </cell>
          <cell r="W72">
            <v>0</v>
          </cell>
          <cell r="X72">
            <v>0</v>
          </cell>
          <cell r="Y72">
            <v>34.6</v>
          </cell>
          <cell r="Z72">
            <v>34.6</v>
          </cell>
          <cell r="AA72">
            <v>35.549999999999997</v>
          </cell>
          <cell r="AD72">
            <v>0</v>
          </cell>
          <cell r="AE72">
            <v>0</v>
          </cell>
          <cell r="AF72">
            <v>34.6</v>
          </cell>
          <cell r="AG72">
            <v>0</v>
          </cell>
          <cell r="AH72">
            <v>0.95</v>
          </cell>
          <cell r="AI72">
            <v>0</v>
          </cell>
          <cell r="AT72">
            <v>0</v>
          </cell>
        </row>
        <row r="73">
          <cell r="C73">
            <v>25201.429188000002</v>
          </cell>
          <cell r="D73">
            <v>25201.429188000002</v>
          </cell>
          <cell r="E73">
            <v>25886.09</v>
          </cell>
          <cell r="H73">
            <v>0</v>
          </cell>
          <cell r="I73">
            <v>0</v>
          </cell>
          <cell r="J73">
            <v>25201.429187999998</v>
          </cell>
          <cell r="K73">
            <v>0</v>
          </cell>
          <cell r="L73">
            <v>684.66081199999996</v>
          </cell>
          <cell r="M73">
            <v>0</v>
          </cell>
          <cell r="N73">
            <v>445.1</v>
          </cell>
          <cell r="O73">
            <v>445.1</v>
          </cell>
          <cell r="P73">
            <v>302.26</v>
          </cell>
          <cell r="S73">
            <v>0</v>
          </cell>
          <cell r="T73">
            <v>0</v>
          </cell>
          <cell r="U73">
            <v>302.26</v>
          </cell>
          <cell r="V73">
            <v>0</v>
          </cell>
          <cell r="W73">
            <v>0</v>
          </cell>
          <cell r="X73">
            <v>0</v>
          </cell>
          <cell r="Y73">
            <v>0</v>
          </cell>
          <cell r="Z73">
            <v>0</v>
          </cell>
          <cell r="AA73">
            <v>187.06</v>
          </cell>
          <cell r="AD73">
            <v>0</v>
          </cell>
          <cell r="AE73">
            <v>0</v>
          </cell>
          <cell r="AF73">
            <v>0</v>
          </cell>
          <cell r="AG73">
            <v>0</v>
          </cell>
          <cell r="AH73">
            <v>187.06</v>
          </cell>
          <cell r="AI73">
            <v>0</v>
          </cell>
          <cell r="AT73">
            <v>0</v>
          </cell>
        </row>
        <row r="74">
          <cell r="C74">
            <v>24530.781153000004</v>
          </cell>
          <cell r="D74">
            <v>24530.781153000004</v>
          </cell>
          <cell r="E74">
            <v>24858.07</v>
          </cell>
          <cell r="H74">
            <v>0</v>
          </cell>
          <cell r="I74">
            <v>0</v>
          </cell>
          <cell r="J74">
            <v>24530.781153</v>
          </cell>
          <cell r="K74">
            <v>0</v>
          </cell>
          <cell r="L74">
            <v>327.28884699999998</v>
          </cell>
          <cell r="M74">
            <v>0</v>
          </cell>
          <cell r="N74">
            <v>253.73999999999998</v>
          </cell>
          <cell r="O74">
            <v>253.73999999999998</v>
          </cell>
          <cell r="P74">
            <v>453.38</v>
          </cell>
          <cell r="S74">
            <v>0</v>
          </cell>
          <cell r="T74">
            <v>0</v>
          </cell>
          <cell r="U74">
            <v>253.74</v>
          </cell>
          <cell r="V74">
            <v>0</v>
          </cell>
          <cell r="W74">
            <v>199.64</v>
          </cell>
          <cell r="X74">
            <v>0</v>
          </cell>
          <cell r="Y74">
            <v>0</v>
          </cell>
          <cell r="Z74">
            <v>0</v>
          </cell>
          <cell r="AA74">
            <v>0</v>
          </cell>
          <cell r="AD74">
            <v>0</v>
          </cell>
          <cell r="AE74">
            <v>0</v>
          </cell>
          <cell r="AF74">
            <v>0</v>
          </cell>
          <cell r="AG74">
            <v>0</v>
          </cell>
          <cell r="AH74">
            <v>0</v>
          </cell>
          <cell r="AI74">
            <v>0</v>
          </cell>
          <cell r="AT74">
            <v>0</v>
          </cell>
        </row>
        <row r="75">
          <cell r="C75">
            <v>8928.5672959999993</v>
          </cell>
          <cell r="D75">
            <v>8928.5672959999993</v>
          </cell>
          <cell r="E75">
            <v>9293.42</v>
          </cell>
          <cell r="H75">
            <v>0</v>
          </cell>
          <cell r="I75">
            <v>0</v>
          </cell>
          <cell r="J75">
            <v>8928.5672959999993</v>
          </cell>
          <cell r="K75">
            <v>0</v>
          </cell>
          <cell r="L75">
            <v>364.85270400000002</v>
          </cell>
          <cell r="M75">
            <v>0</v>
          </cell>
          <cell r="N75">
            <v>93.85</v>
          </cell>
          <cell r="O75">
            <v>93.85</v>
          </cell>
          <cell r="P75">
            <v>91.83</v>
          </cell>
          <cell r="S75">
            <v>0</v>
          </cell>
          <cell r="T75">
            <v>0</v>
          </cell>
          <cell r="U75">
            <v>91.83</v>
          </cell>
          <cell r="V75">
            <v>0</v>
          </cell>
          <cell r="W75">
            <v>0</v>
          </cell>
          <cell r="X75">
            <v>0</v>
          </cell>
          <cell r="Y75">
            <v>0</v>
          </cell>
          <cell r="Z75">
            <v>0</v>
          </cell>
          <cell r="AA75">
            <v>0</v>
          </cell>
          <cell r="AD75">
            <v>0</v>
          </cell>
          <cell r="AE75">
            <v>0</v>
          </cell>
          <cell r="AF75">
            <v>0</v>
          </cell>
          <cell r="AG75">
            <v>0</v>
          </cell>
          <cell r="AH75">
            <v>0</v>
          </cell>
          <cell r="AI75">
            <v>0</v>
          </cell>
          <cell r="AT75">
            <v>0</v>
          </cell>
        </row>
        <row r="76">
          <cell r="C76">
            <v>4430.5728310000004</v>
          </cell>
          <cell r="D76">
            <v>4430.5728310000004</v>
          </cell>
          <cell r="E76">
            <v>4849.96</v>
          </cell>
          <cell r="H76">
            <v>0</v>
          </cell>
          <cell r="I76">
            <v>0</v>
          </cell>
          <cell r="J76">
            <v>4430.5728310000004</v>
          </cell>
          <cell r="K76">
            <v>0</v>
          </cell>
          <cell r="L76">
            <v>419.38716899999997</v>
          </cell>
          <cell r="M76">
            <v>0</v>
          </cell>
          <cell r="N76">
            <v>368.52</v>
          </cell>
          <cell r="O76">
            <v>368.52</v>
          </cell>
          <cell r="P76">
            <v>350.21</v>
          </cell>
          <cell r="S76">
            <v>0</v>
          </cell>
          <cell r="T76">
            <v>0</v>
          </cell>
          <cell r="U76">
            <v>350.21</v>
          </cell>
          <cell r="V76">
            <v>0</v>
          </cell>
          <cell r="W76">
            <v>0</v>
          </cell>
          <cell r="X76">
            <v>0</v>
          </cell>
          <cell r="Y76">
            <v>0</v>
          </cell>
          <cell r="Z76">
            <v>0</v>
          </cell>
          <cell r="AA76">
            <v>0</v>
          </cell>
          <cell r="AD76">
            <v>0</v>
          </cell>
          <cell r="AE76">
            <v>0</v>
          </cell>
          <cell r="AF76">
            <v>0</v>
          </cell>
          <cell r="AG76">
            <v>0</v>
          </cell>
          <cell r="AH76">
            <v>0</v>
          </cell>
          <cell r="AI76">
            <v>0</v>
          </cell>
          <cell r="AT76">
            <v>0</v>
          </cell>
        </row>
        <row r="77">
          <cell r="C77">
            <v>2464.4376769999999</v>
          </cell>
          <cell r="D77">
            <v>2464.4376769999999</v>
          </cell>
          <cell r="E77">
            <v>2478.3200000000002</v>
          </cell>
          <cell r="H77">
            <v>0</v>
          </cell>
          <cell r="I77">
            <v>0</v>
          </cell>
          <cell r="J77">
            <v>2464.4376769999999</v>
          </cell>
          <cell r="K77">
            <v>0</v>
          </cell>
          <cell r="L77">
            <v>13.882323</v>
          </cell>
          <cell r="M77">
            <v>0</v>
          </cell>
          <cell r="N77">
            <v>69.31</v>
          </cell>
          <cell r="O77">
            <v>69.31</v>
          </cell>
          <cell r="P77">
            <v>61.34</v>
          </cell>
          <cell r="S77">
            <v>0</v>
          </cell>
          <cell r="T77">
            <v>0</v>
          </cell>
          <cell r="U77">
            <v>61.34</v>
          </cell>
          <cell r="V77">
            <v>0</v>
          </cell>
          <cell r="W77">
            <v>0</v>
          </cell>
          <cell r="X77">
            <v>0</v>
          </cell>
          <cell r="Y77">
            <v>0</v>
          </cell>
          <cell r="Z77">
            <v>0</v>
          </cell>
          <cell r="AA77">
            <v>0</v>
          </cell>
          <cell r="AD77">
            <v>0</v>
          </cell>
          <cell r="AE77">
            <v>0</v>
          </cell>
          <cell r="AF77">
            <v>0</v>
          </cell>
          <cell r="AG77">
            <v>0</v>
          </cell>
          <cell r="AH77">
            <v>0</v>
          </cell>
          <cell r="AI77">
            <v>0</v>
          </cell>
          <cell r="AT77">
            <v>0</v>
          </cell>
        </row>
        <row r="78">
          <cell r="C78">
            <v>15002.35</v>
          </cell>
          <cell r="D78">
            <v>15002.35</v>
          </cell>
          <cell r="E78">
            <v>13645.1</v>
          </cell>
          <cell r="H78">
            <v>0</v>
          </cell>
          <cell r="I78">
            <v>0</v>
          </cell>
          <cell r="J78">
            <v>13645.1</v>
          </cell>
          <cell r="K78">
            <v>-1357.25</v>
          </cell>
          <cell r="L78">
            <v>0</v>
          </cell>
          <cell r="M78">
            <v>0</v>
          </cell>
          <cell r="N78">
            <v>636.75</v>
          </cell>
          <cell r="O78">
            <v>636.75</v>
          </cell>
          <cell r="P78">
            <v>751.44</v>
          </cell>
          <cell r="S78">
            <v>0</v>
          </cell>
          <cell r="T78">
            <v>0</v>
          </cell>
          <cell r="U78">
            <v>751.44</v>
          </cell>
          <cell r="V78">
            <v>114.69</v>
          </cell>
          <cell r="W78">
            <v>0</v>
          </cell>
          <cell r="X78">
            <v>0</v>
          </cell>
          <cell r="Y78">
            <v>0</v>
          </cell>
          <cell r="Z78">
            <v>0</v>
          </cell>
          <cell r="AA78">
            <v>0</v>
          </cell>
          <cell r="AD78">
            <v>0</v>
          </cell>
          <cell r="AE78">
            <v>0</v>
          </cell>
          <cell r="AF78">
            <v>0</v>
          </cell>
          <cell r="AG78">
            <v>0</v>
          </cell>
          <cell r="AH78">
            <v>0</v>
          </cell>
          <cell r="AI78">
            <v>0</v>
          </cell>
          <cell r="AT78">
            <v>0</v>
          </cell>
        </row>
        <row r="79">
          <cell r="C79">
            <v>15958.409931</v>
          </cell>
          <cell r="D79">
            <v>15958.409931</v>
          </cell>
          <cell r="E79">
            <v>16281.54</v>
          </cell>
          <cell r="H79">
            <v>0</v>
          </cell>
          <cell r="I79">
            <v>0</v>
          </cell>
          <cell r="J79">
            <v>15958.409931</v>
          </cell>
          <cell r="K79">
            <v>0</v>
          </cell>
          <cell r="L79">
            <v>323.13006899999999</v>
          </cell>
          <cell r="M79">
            <v>0</v>
          </cell>
          <cell r="N79">
            <v>104.63</v>
          </cell>
          <cell r="O79">
            <v>104.63</v>
          </cell>
          <cell r="P79">
            <v>120.21000000000004</v>
          </cell>
          <cell r="S79">
            <v>0</v>
          </cell>
          <cell r="T79">
            <v>0</v>
          </cell>
          <cell r="U79">
            <v>104.63</v>
          </cell>
          <cell r="V79">
            <v>0</v>
          </cell>
          <cell r="W79">
            <v>15.58</v>
          </cell>
          <cell r="X79">
            <v>0</v>
          </cell>
          <cell r="Y79">
            <v>92.35</v>
          </cell>
          <cell r="Z79">
            <v>92.35</v>
          </cell>
          <cell r="AA79">
            <v>166.26</v>
          </cell>
          <cell r="AD79">
            <v>0</v>
          </cell>
          <cell r="AE79">
            <v>0</v>
          </cell>
          <cell r="AF79">
            <v>92.35</v>
          </cell>
          <cell r="AG79">
            <v>0</v>
          </cell>
          <cell r="AH79">
            <v>73.91</v>
          </cell>
          <cell r="AI79">
            <v>0</v>
          </cell>
          <cell r="AT79">
            <v>0</v>
          </cell>
        </row>
        <row r="80">
          <cell r="C80">
            <v>7401.2299430000003</v>
          </cell>
          <cell r="D80">
            <v>7401.2299430000003</v>
          </cell>
          <cell r="E80">
            <v>6545.48</v>
          </cell>
          <cell r="H80">
            <v>0</v>
          </cell>
          <cell r="I80">
            <v>0</v>
          </cell>
          <cell r="J80">
            <v>6545.48</v>
          </cell>
          <cell r="K80">
            <v>-855.74994300000003</v>
          </cell>
          <cell r="L80">
            <v>0</v>
          </cell>
          <cell r="M80">
            <v>0</v>
          </cell>
          <cell r="N80">
            <v>110.61</v>
          </cell>
          <cell r="O80">
            <v>110.61</v>
          </cell>
          <cell r="P80">
            <v>138.53</v>
          </cell>
          <cell r="S80">
            <v>0</v>
          </cell>
          <cell r="T80">
            <v>0</v>
          </cell>
          <cell r="U80">
            <v>138.53</v>
          </cell>
          <cell r="V80">
            <v>27.92</v>
          </cell>
          <cell r="W80">
            <v>0</v>
          </cell>
          <cell r="X80">
            <v>0</v>
          </cell>
          <cell r="Y80">
            <v>0</v>
          </cell>
          <cell r="Z80">
            <v>0</v>
          </cell>
          <cell r="AA80">
            <v>0</v>
          </cell>
          <cell r="AD80">
            <v>0</v>
          </cell>
          <cell r="AE80">
            <v>0</v>
          </cell>
          <cell r="AF80">
            <v>0</v>
          </cell>
          <cell r="AG80">
            <v>0</v>
          </cell>
          <cell r="AH80">
            <v>0</v>
          </cell>
          <cell r="AI80">
            <v>0</v>
          </cell>
          <cell r="AT80">
            <v>0</v>
          </cell>
        </row>
      </sheetData>
      <sheetData sheetId="7" refreshError="1"/>
      <sheetData sheetId="8">
        <row r="9">
          <cell r="N9" t="str">
            <v>Growth</v>
          </cell>
          <cell r="O9" t="str">
            <v>Grow</v>
          </cell>
          <cell r="P9" t="str">
            <v>Decline</v>
          </cell>
          <cell r="Q9" t="str">
            <v>Grow</v>
          </cell>
          <cell r="AQ9">
            <v>0</v>
          </cell>
          <cell r="BM9">
            <v>0</v>
          </cell>
        </row>
        <row r="10">
          <cell r="N10" t="str">
            <v>Growth</v>
          </cell>
          <cell r="O10" t="str">
            <v>Grow</v>
          </cell>
          <cell r="P10" t="str">
            <v>Stable</v>
          </cell>
          <cell r="Q10" t="str">
            <v>No CPCP</v>
          </cell>
          <cell r="AQ10">
            <v>0</v>
          </cell>
          <cell r="BM10">
            <v>0</v>
          </cell>
        </row>
        <row r="11">
          <cell r="N11" t="str">
            <v>Growth</v>
          </cell>
          <cell r="O11" t="str">
            <v>Grow</v>
          </cell>
          <cell r="P11" t="str">
            <v>Decline</v>
          </cell>
          <cell r="Q11" t="str">
            <v>No CPCP</v>
          </cell>
          <cell r="AQ11">
            <v>0</v>
          </cell>
          <cell r="BM11">
            <v>0</v>
          </cell>
        </row>
        <row r="12">
          <cell r="N12" t="str">
            <v>Growth</v>
          </cell>
          <cell r="O12" t="str">
            <v>Grow</v>
          </cell>
          <cell r="P12" t="str">
            <v>Grow</v>
          </cell>
          <cell r="Q12" t="str">
            <v>Decline</v>
          </cell>
          <cell r="AQ12">
            <v>0</v>
          </cell>
          <cell r="BM12">
            <v>0</v>
          </cell>
        </row>
        <row r="13">
          <cell r="N13" t="str">
            <v>Decline</v>
          </cell>
          <cell r="O13" t="str">
            <v>Decline</v>
          </cell>
          <cell r="P13" t="str">
            <v>Decline</v>
          </cell>
          <cell r="Q13" t="str">
            <v>No CPCP</v>
          </cell>
          <cell r="AQ13">
            <v>3503295</v>
          </cell>
          <cell r="BM13">
            <v>-3449143.447868465</v>
          </cell>
        </row>
        <row r="14">
          <cell r="N14" t="str">
            <v>Growth</v>
          </cell>
          <cell r="O14" t="str">
            <v>Grow</v>
          </cell>
          <cell r="P14" t="str">
            <v>Grow</v>
          </cell>
          <cell r="Q14" t="str">
            <v>Decline</v>
          </cell>
          <cell r="AQ14">
            <v>0</v>
          </cell>
          <cell r="BM14">
            <v>0</v>
          </cell>
        </row>
        <row r="15">
          <cell r="N15" t="str">
            <v>Growth</v>
          </cell>
          <cell r="O15" t="str">
            <v>Grow</v>
          </cell>
          <cell r="P15" t="str">
            <v>Decline</v>
          </cell>
          <cell r="Q15" t="str">
            <v>No CPCP</v>
          </cell>
          <cell r="AQ15">
            <v>0</v>
          </cell>
          <cell r="BM15">
            <v>0</v>
          </cell>
        </row>
        <row r="16">
          <cell r="N16" t="str">
            <v>Rest&amp;Grow</v>
          </cell>
          <cell r="O16" t="str">
            <v>Grow</v>
          </cell>
          <cell r="P16" t="str">
            <v>Grow</v>
          </cell>
          <cell r="Q16" t="str">
            <v>No CPCP</v>
          </cell>
          <cell r="AQ16">
            <v>0</v>
          </cell>
          <cell r="BM16">
            <v>0</v>
          </cell>
        </row>
        <row r="17">
          <cell r="N17" t="str">
            <v>Growth</v>
          </cell>
          <cell r="O17" t="str">
            <v>Grow</v>
          </cell>
          <cell r="P17" t="str">
            <v>Decline</v>
          </cell>
          <cell r="Q17" t="str">
            <v>No CPCP</v>
          </cell>
          <cell r="AQ17">
            <v>0</v>
          </cell>
          <cell r="BM17">
            <v>0</v>
          </cell>
        </row>
        <row r="18">
          <cell r="N18" t="str">
            <v>Rest&amp;Grow</v>
          </cell>
          <cell r="O18" t="str">
            <v>Grow</v>
          </cell>
          <cell r="P18" t="str">
            <v>Grow</v>
          </cell>
          <cell r="Q18" t="str">
            <v>No CPCP</v>
          </cell>
          <cell r="AQ18">
            <v>0</v>
          </cell>
          <cell r="BM18">
            <v>0</v>
          </cell>
        </row>
        <row r="19">
          <cell r="N19" t="str">
            <v>Growth</v>
          </cell>
          <cell r="O19" t="str">
            <v>Grow</v>
          </cell>
          <cell r="P19" t="str">
            <v>Grow</v>
          </cell>
          <cell r="Q19" t="str">
            <v>No CPCP</v>
          </cell>
          <cell r="AQ19">
            <v>0</v>
          </cell>
          <cell r="BM19">
            <v>0</v>
          </cell>
        </row>
        <row r="20">
          <cell r="N20" t="str">
            <v>Rest&amp;Grow</v>
          </cell>
          <cell r="O20" t="str">
            <v>Grow</v>
          </cell>
          <cell r="P20" t="str">
            <v>Decline</v>
          </cell>
          <cell r="Q20" t="str">
            <v>No CPCP</v>
          </cell>
          <cell r="AQ20">
            <v>0</v>
          </cell>
          <cell r="BM20">
            <v>0</v>
          </cell>
        </row>
        <row r="21">
          <cell r="N21" t="str">
            <v>Decline</v>
          </cell>
          <cell r="O21" t="str">
            <v>Decline</v>
          </cell>
          <cell r="P21" t="str">
            <v>Decline</v>
          </cell>
          <cell r="Q21" t="str">
            <v>Grow</v>
          </cell>
          <cell r="AQ21">
            <v>466754</v>
          </cell>
          <cell r="BM21">
            <v>-459539.23402579501</v>
          </cell>
        </row>
        <row r="22">
          <cell r="N22" t="str">
            <v>Growth</v>
          </cell>
          <cell r="O22" t="str">
            <v>Grow</v>
          </cell>
          <cell r="P22" t="str">
            <v>Decline</v>
          </cell>
          <cell r="Q22" t="str">
            <v>Grow</v>
          </cell>
          <cell r="AQ22">
            <v>0</v>
          </cell>
          <cell r="BM22">
            <v>0</v>
          </cell>
        </row>
        <row r="23">
          <cell r="N23" t="str">
            <v>Growth</v>
          </cell>
          <cell r="O23" t="str">
            <v>Grow</v>
          </cell>
          <cell r="P23" t="str">
            <v>Decline</v>
          </cell>
          <cell r="Q23" t="str">
            <v>No CPCP</v>
          </cell>
          <cell r="AQ23">
            <v>0</v>
          </cell>
          <cell r="BM23">
            <v>0</v>
          </cell>
        </row>
        <row r="24">
          <cell r="N24" t="str">
            <v>Restore</v>
          </cell>
          <cell r="O24" t="str">
            <v>Grow</v>
          </cell>
          <cell r="P24" t="str">
            <v>Grow</v>
          </cell>
          <cell r="Q24" t="str">
            <v>No CPCP</v>
          </cell>
          <cell r="AQ24">
            <v>0</v>
          </cell>
          <cell r="BM24">
            <v>0</v>
          </cell>
        </row>
        <row r="25">
          <cell r="N25" t="str">
            <v>Decline</v>
          </cell>
          <cell r="O25" t="str">
            <v>Decline</v>
          </cell>
          <cell r="P25" t="str">
            <v>Decline</v>
          </cell>
          <cell r="Q25" t="str">
            <v>Grow</v>
          </cell>
          <cell r="AQ25">
            <v>1676463</v>
          </cell>
          <cell r="BM25">
            <v>-1650549.3748153981</v>
          </cell>
        </row>
        <row r="26">
          <cell r="N26" t="str">
            <v>Growth</v>
          </cell>
          <cell r="O26" t="str">
            <v>Grow</v>
          </cell>
          <cell r="P26" t="str">
            <v>Grow</v>
          </cell>
          <cell r="Q26" t="str">
            <v>Decline</v>
          </cell>
          <cell r="AQ26">
            <v>0</v>
          </cell>
          <cell r="BM26">
            <v>0</v>
          </cell>
        </row>
        <row r="27">
          <cell r="N27" t="str">
            <v>Growth</v>
          </cell>
          <cell r="O27" t="str">
            <v>Grow</v>
          </cell>
          <cell r="P27" t="str">
            <v>Grow</v>
          </cell>
          <cell r="Q27" t="str">
            <v>Grow</v>
          </cell>
          <cell r="AQ27">
            <v>0</v>
          </cell>
          <cell r="BM27">
            <v>0</v>
          </cell>
        </row>
        <row r="28">
          <cell r="N28" t="str">
            <v>Growth</v>
          </cell>
          <cell r="O28" t="str">
            <v>Grow</v>
          </cell>
          <cell r="P28" t="str">
            <v>Grow</v>
          </cell>
          <cell r="Q28" t="str">
            <v>No CPCP</v>
          </cell>
          <cell r="AQ28">
            <v>0</v>
          </cell>
          <cell r="BM28">
            <v>0</v>
          </cell>
        </row>
        <row r="29">
          <cell r="N29" t="str">
            <v>Growth</v>
          </cell>
          <cell r="O29" t="str">
            <v>Grow</v>
          </cell>
          <cell r="P29" t="str">
            <v>Decline</v>
          </cell>
          <cell r="Q29" t="str">
            <v>No CPCP</v>
          </cell>
          <cell r="AQ29">
            <v>0</v>
          </cell>
          <cell r="BM29">
            <v>0</v>
          </cell>
        </row>
        <row r="30">
          <cell r="N30" t="str">
            <v>Rest&amp;Grow</v>
          </cell>
          <cell r="O30" t="str">
            <v>Grow</v>
          </cell>
          <cell r="P30" t="str">
            <v>Decline</v>
          </cell>
          <cell r="Q30" t="str">
            <v>Grow</v>
          </cell>
          <cell r="AQ30">
            <v>0</v>
          </cell>
          <cell r="BM30">
            <v>0</v>
          </cell>
        </row>
        <row r="31">
          <cell r="N31" t="str">
            <v>Growth</v>
          </cell>
          <cell r="O31" t="str">
            <v>Grow</v>
          </cell>
          <cell r="P31" t="str">
            <v>Decline</v>
          </cell>
          <cell r="Q31" t="str">
            <v>No CPCP</v>
          </cell>
          <cell r="AQ31">
            <v>0</v>
          </cell>
          <cell r="BM31">
            <v>0</v>
          </cell>
        </row>
        <row r="32">
          <cell r="N32" t="str">
            <v>Restore</v>
          </cell>
          <cell r="O32" t="str">
            <v>Grow</v>
          </cell>
          <cell r="P32" t="str">
            <v>Grow</v>
          </cell>
          <cell r="Q32" t="str">
            <v>Grow</v>
          </cell>
          <cell r="AQ32">
            <v>0</v>
          </cell>
          <cell r="BM32">
            <v>0</v>
          </cell>
        </row>
        <row r="33">
          <cell r="N33" t="str">
            <v>Decline</v>
          </cell>
          <cell r="O33" t="str">
            <v>Decline</v>
          </cell>
          <cell r="P33" t="str">
            <v>Grow</v>
          </cell>
          <cell r="Q33" t="str">
            <v>No CPCP</v>
          </cell>
          <cell r="AQ33">
            <v>557318</v>
          </cell>
          <cell r="BM33">
            <v>-548703.35729053849</v>
          </cell>
        </row>
        <row r="34">
          <cell r="N34" t="str">
            <v>Growth</v>
          </cell>
          <cell r="O34" t="str">
            <v>Grow</v>
          </cell>
          <cell r="P34" t="str">
            <v>Decline</v>
          </cell>
          <cell r="Q34" t="str">
            <v>Grow</v>
          </cell>
          <cell r="AQ34">
            <v>0</v>
          </cell>
          <cell r="BM34">
            <v>0</v>
          </cell>
        </row>
        <row r="35">
          <cell r="N35" t="str">
            <v>Growth</v>
          </cell>
          <cell r="O35" t="str">
            <v>Grow</v>
          </cell>
          <cell r="P35" t="str">
            <v>Grow</v>
          </cell>
          <cell r="Q35" t="str">
            <v>Grow</v>
          </cell>
          <cell r="AQ35">
            <v>0</v>
          </cell>
          <cell r="BM35">
            <v>0</v>
          </cell>
        </row>
        <row r="36">
          <cell r="N36" t="str">
            <v>Growth</v>
          </cell>
          <cell r="O36" t="str">
            <v>Grow</v>
          </cell>
          <cell r="P36" t="str">
            <v>Decline</v>
          </cell>
          <cell r="Q36" t="str">
            <v>No CPCP</v>
          </cell>
          <cell r="AQ36">
            <v>0</v>
          </cell>
          <cell r="BM36">
            <v>0</v>
          </cell>
        </row>
        <row r="37">
          <cell r="N37" t="str">
            <v>Decline</v>
          </cell>
          <cell r="O37" t="str">
            <v>Decline</v>
          </cell>
          <cell r="P37" t="str">
            <v>Grow</v>
          </cell>
          <cell r="Q37" t="str">
            <v>No CPCP</v>
          </cell>
          <cell r="AQ37">
            <v>1458254</v>
          </cell>
          <cell r="BM37">
            <v>-1435713.3011716057</v>
          </cell>
        </row>
        <row r="38">
          <cell r="N38" t="str">
            <v>Decline</v>
          </cell>
          <cell r="O38" t="str">
            <v>Decline</v>
          </cell>
          <cell r="P38" t="str">
            <v>Grow</v>
          </cell>
          <cell r="Q38" t="str">
            <v>Grow</v>
          </cell>
          <cell r="AQ38">
            <v>3261348</v>
          </cell>
          <cell r="BM38">
            <v>-3210936.3000886086</v>
          </cell>
        </row>
        <row r="39">
          <cell r="N39" t="str">
            <v>Growth</v>
          </cell>
          <cell r="O39" t="str">
            <v>Grow</v>
          </cell>
          <cell r="P39" t="str">
            <v>Decline</v>
          </cell>
          <cell r="Q39" t="str">
            <v>Grow</v>
          </cell>
          <cell r="AQ39">
            <v>0</v>
          </cell>
          <cell r="BM39">
            <v>0</v>
          </cell>
        </row>
        <row r="40">
          <cell r="N40" t="str">
            <v>Growth</v>
          </cell>
          <cell r="O40" t="str">
            <v>Grow</v>
          </cell>
          <cell r="P40" t="str">
            <v>Decline</v>
          </cell>
          <cell r="Q40" t="str">
            <v>No CPCP</v>
          </cell>
          <cell r="AQ40">
            <v>0</v>
          </cell>
          <cell r="BM40">
            <v>0</v>
          </cell>
        </row>
        <row r="41">
          <cell r="N41" t="str">
            <v>Decline</v>
          </cell>
          <cell r="O41" t="str">
            <v>Decline</v>
          </cell>
          <cell r="P41" t="str">
            <v>Decline</v>
          </cell>
          <cell r="Q41" t="str">
            <v>Grow</v>
          </cell>
          <cell r="AQ41">
            <v>1251953</v>
          </cell>
          <cell r="BM41">
            <v>-1232601.1617603623</v>
          </cell>
        </row>
        <row r="42">
          <cell r="N42" t="str">
            <v>Growth</v>
          </cell>
          <cell r="O42" t="str">
            <v>Grow</v>
          </cell>
          <cell r="P42" t="str">
            <v>Decline</v>
          </cell>
          <cell r="Q42" t="str">
            <v>Grow</v>
          </cell>
          <cell r="AQ42">
            <v>0</v>
          </cell>
          <cell r="BM42">
            <v>0</v>
          </cell>
        </row>
        <row r="43">
          <cell r="N43" t="str">
            <v>Growth</v>
          </cell>
          <cell r="O43" t="str">
            <v>Grow</v>
          </cell>
          <cell r="P43" t="str">
            <v>Decline</v>
          </cell>
          <cell r="Q43" t="str">
            <v>Grow</v>
          </cell>
          <cell r="AQ43">
            <v>0</v>
          </cell>
          <cell r="BM43">
            <v>0</v>
          </cell>
        </row>
        <row r="44">
          <cell r="N44" t="str">
            <v>Decline</v>
          </cell>
          <cell r="O44" t="str">
            <v>Decline</v>
          </cell>
          <cell r="P44" t="str">
            <v>Grow</v>
          </cell>
          <cell r="Q44" t="str">
            <v>Decline</v>
          </cell>
          <cell r="AQ44">
            <v>104360</v>
          </cell>
          <cell r="BM44">
            <v>-102746.87407699123</v>
          </cell>
        </row>
        <row r="45">
          <cell r="N45" t="str">
            <v>Growth</v>
          </cell>
          <cell r="O45" t="str">
            <v>Grow</v>
          </cell>
          <cell r="P45" t="str">
            <v>Decline</v>
          </cell>
          <cell r="Q45" t="str">
            <v>Grow</v>
          </cell>
          <cell r="AQ45">
            <v>0</v>
          </cell>
          <cell r="BM45">
            <v>0</v>
          </cell>
        </row>
        <row r="46">
          <cell r="N46" t="str">
            <v>Growth</v>
          </cell>
          <cell r="O46" t="str">
            <v>Grow</v>
          </cell>
          <cell r="P46" t="str">
            <v>Grow</v>
          </cell>
          <cell r="Q46" t="str">
            <v>No CPCP</v>
          </cell>
          <cell r="AQ46">
            <v>0</v>
          </cell>
          <cell r="BM46">
            <v>0</v>
          </cell>
        </row>
        <row r="47">
          <cell r="N47" t="str">
            <v>Decline</v>
          </cell>
          <cell r="O47" t="str">
            <v>Decline</v>
          </cell>
          <cell r="P47" t="str">
            <v>Grow</v>
          </cell>
          <cell r="Q47" t="str">
            <v>No CPCP</v>
          </cell>
          <cell r="AQ47">
            <v>924330</v>
          </cell>
          <cell r="BM47">
            <v>-910042.33533523674</v>
          </cell>
        </row>
        <row r="48">
          <cell r="N48" t="str">
            <v>Growth</v>
          </cell>
          <cell r="O48" t="str">
            <v>Grow</v>
          </cell>
          <cell r="P48" t="str">
            <v>Grow</v>
          </cell>
          <cell r="Q48" t="str">
            <v>Decline</v>
          </cell>
          <cell r="AQ48">
            <v>0</v>
          </cell>
          <cell r="BM48">
            <v>0</v>
          </cell>
        </row>
        <row r="49">
          <cell r="N49" t="str">
            <v>Growth</v>
          </cell>
          <cell r="O49" t="str">
            <v>Grow</v>
          </cell>
          <cell r="P49" t="str">
            <v>Decline</v>
          </cell>
          <cell r="Q49" t="str">
            <v>Grow</v>
          </cell>
          <cell r="AQ49">
            <v>0</v>
          </cell>
          <cell r="BM49">
            <v>0</v>
          </cell>
        </row>
        <row r="50">
          <cell r="N50" t="str">
            <v>Growth</v>
          </cell>
          <cell r="O50" t="str">
            <v>Grow</v>
          </cell>
          <cell r="P50" t="str">
            <v>Decline</v>
          </cell>
          <cell r="Q50" t="str">
            <v>No CPCP</v>
          </cell>
          <cell r="AQ50">
            <v>0</v>
          </cell>
          <cell r="BM50">
            <v>0</v>
          </cell>
        </row>
        <row r="51">
          <cell r="N51" t="str">
            <v>Growth</v>
          </cell>
          <cell r="O51" t="str">
            <v>Grow</v>
          </cell>
          <cell r="P51" t="str">
            <v>Decline</v>
          </cell>
          <cell r="Q51" t="str">
            <v>Grow</v>
          </cell>
          <cell r="AQ51">
            <v>0</v>
          </cell>
          <cell r="BM51">
            <v>0</v>
          </cell>
        </row>
        <row r="52">
          <cell r="N52" t="str">
            <v>Decline</v>
          </cell>
          <cell r="O52" t="str">
            <v>Decline</v>
          </cell>
          <cell r="P52" t="str">
            <v>Grow</v>
          </cell>
          <cell r="Q52" t="str">
            <v>No CPCP</v>
          </cell>
          <cell r="AQ52">
            <v>2847716</v>
          </cell>
          <cell r="BM52">
            <v>-2803697.9423057986</v>
          </cell>
        </row>
        <row r="53">
          <cell r="N53" t="str">
            <v>Growth</v>
          </cell>
          <cell r="O53" t="str">
            <v>Grow</v>
          </cell>
          <cell r="P53" t="str">
            <v>Grow</v>
          </cell>
          <cell r="Q53" t="str">
            <v>Grow</v>
          </cell>
          <cell r="AQ53">
            <v>0</v>
          </cell>
          <cell r="BM53">
            <v>0</v>
          </cell>
        </row>
        <row r="54">
          <cell r="N54" t="str">
            <v>Growth</v>
          </cell>
          <cell r="O54" t="str">
            <v>Grow</v>
          </cell>
          <cell r="P54" t="str">
            <v>Grow</v>
          </cell>
          <cell r="Q54" t="str">
            <v>No CPCP</v>
          </cell>
          <cell r="AQ54">
            <v>0</v>
          </cell>
          <cell r="BM54">
            <v>0</v>
          </cell>
        </row>
        <row r="55">
          <cell r="N55" t="str">
            <v>Growth</v>
          </cell>
          <cell r="O55" t="str">
            <v>Grow</v>
          </cell>
          <cell r="P55" t="str">
            <v>Grow</v>
          </cell>
          <cell r="Q55" t="str">
            <v>No CPCP</v>
          </cell>
          <cell r="AQ55">
            <v>0</v>
          </cell>
          <cell r="BM55">
            <v>0</v>
          </cell>
        </row>
        <row r="56">
          <cell r="N56" t="str">
            <v>Growth</v>
          </cell>
          <cell r="O56" t="str">
            <v>Grow</v>
          </cell>
          <cell r="P56" t="str">
            <v>Decline</v>
          </cell>
          <cell r="Q56" t="str">
            <v>Grow</v>
          </cell>
          <cell r="AQ56">
            <v>0</v>
          </cell>
          <cell r="BM56">
            <v>0</v>
          </cell>
        </row>
        <row r="57">
          <cell r="N57" t="str">
            <v>Decline</v>
          </cell>
          <cell r="O57" t="str">
            <v>Decline</v>
          </cell>
          <cell r="P57" t="str">
            <v>Decline</v>
          </cell>
          <cell r="Q57" t="str">
            <v>Decline</v>
          </cell>
          <cell r="AQ57">
            <v>27752498</v>
          </cell>
          <cell r="BM57">
            <v>-27323518.75553805</v>
          </cell>
        </row>
        <row r="58">
          <cell r="N58" t="str">
            <v>Growth</v>
          </cell>
          <cell r="O58" t="str">
            <v>Grow</v>
          </cell>
          <cell r="P58" t="str">
            <v>Grow</v>
          </cell>
          <cell r="Q58" t="str">
            <v>No CPCP</v>
          </cell>
          <cell r="AQ58">
            <v>0</v>
          </cell>
          <cell r="BM58">
            <v>0</v>
          </cell>
        </row>
        <row r="59">
          <cell r="N59" t="str">
            <v>Decline</v>
          </cell>
          <cell r="O59" t="str">
            <v>Decline</v>
          </cell>
          <cell r="P59" t="str">
            <v>Grow</v>
          </cell>
          <cell r="Q59" t="str">
            <v>No CPCP</v>
          </cell>
          <cell r="AQ59">
            <v>2263093</v>
          </cell>
          <cell r="BM59">
            <v>-2228111.6471399036</v>
          </cell>
        </row>
        <row r="60">
          <cell r="N60" t="str">
            <v>Restore</v>
          </cell>
          <cell r="O60" t="str">
            <v>Grow</v>
          </cell>
          <cell r="P60" t="str">
            <v>Grow</v>
          </cell>
          <cell r="Q60" t="str">
            <v>Grow</v>
          </cell>
          <cell r="AQ60">
            <v>0</v>
          </cell>
          <cell r="BM60">
            <v>0</v>
          </cell>
        </row>
        <row r="61">
          <cell r="N61" t="str">
            <v>Decline</v>
          </cell>
          <cell r="O61" t="str">
            <v>Decline</v>
          </cell>
          <cell r="P61" t="str">
            <v>Decline</v>
          </cell>
          <cell r="Q61" t="str">
            <v>No CPCP</v>
          </cell>
          <cell r="AQ61">
            <v>3462110</v>
          </cell>
          <cell r="BM61">
            <v>-3408595.0575957466</v>
          </cell>
        </row>
        <row r="62">
          <cell r="N62" t="str">
            <v>Decline</v>
          </cell>
          <cell r="O62" t="str">
            <v>Decline</v>
          </cell>
          <cell r="P62" t="str">
            <v>Decline</v>
          </cell>
          <cell r="Q62" t="str">
            <v>Grow</v>
          </cell>
          <cell r="AQ62">
            <v>3291079</v>
          </cell>
          <cell r="BM62">
            <v>-3240207.738505464</v>
          </cell>
        </row>
        <row r="63">
          <cell r="N63" t="str">
            <v>Growth</v>
          </cell>
          <cell r="O63" t="str">
            <v>Grow</v>
          </cell>
          <cell r="P63" t="str">
            <v>Grow</v>
          </cell>
          <cell r="Q63" t="str">
            <v>Decline</v>
          </cell>
          <cell r="AQ63">
            <v>0</v>
          </cell>
          <cell r="BM63">
            <v>0</v>
          </cell>
        </row>
        <row r="64">
          <cell r="N64" t="str">
            <v>Growth</v>
          </cell>
          <cell r="O64" t="str">
            <v>Grow</v>
          </cell>
          <cell r="P64" t="str">
            <v>Decline</v>
          </cell>
          <cell r="Q64" t="str">
            <v>Decline</v>
          </cell>
          <cell r="AQ64">
            <v>0</v>
          </cell>
          <cell r="BM64">
            <v>0</v>
          </cell>
        </row>
        <row r="65">
          <cell r="N65" t="str">
            <v>Growth</v>
          </cell>
          <cell r="O65" t="str">
            <v>Grow</v>
          </cell>
          <cell r="P65" t="str">
            <v>Grow</v>
          </cell>
          <cell r="Q65" t="str">
            <v>Grow</v>
          </cell>
          <cell r="AQ65">
            <v>0</v>
          </cell>
          <cell r="BM65">
            <v>0</v>
          </cell>
        </row>
        <row r="66">
          <cell r="N66" t="str">
            <v>Decline</v>
          </cell>
          <cell r="O66" t="str">
            <v>Decline</v>
          </cell>
          <cell r="P66" t="str">
            <v>Decline</v>
          </cell>
          <cell r="Q66" t="str">
            <v>New CDCP</v>
          </cell>
          <cell r="AQ66">
            <v>3786008</v>
          </cell>
          <cell r="BM66">
            <v>-3727486.4625381511</v>
          </cell>
        </row>
        <row r="67">
          <cell r="N67" t="str">
            <v>Decline</v>
          </cell>
          <cell r="O67" t="str">
            <v>Decline</v>
          </cell>
          <cell r="P67" t="str">
            <v>Decline</v>
          </cell>
          <cell r="Q67" t="str">
            <v>No CPCP</v>
          </cell>
          <cell r="AQ67">
            <v>5644315</v>
          </cell>
          <cell r="BM67">
            <v>-5557069.0164418621</v>
          </cell>
        </row>
        <row r="68">
          <cell r="N68" t="str">
            <v>Decline</v>
          </cell>
          <cell r="O68" t="str">
            <v>Decline</v>
          </cell>
          <cell r="P68" t="str">
            <v>Decline</v>
          </cell>
          <cell r="Q68" t="str">
            <v>New CDCP</v>
          </cell>
          <cell r="AQ68">
            <v>627078</v>
          </cell>
          <cell r="BM68">
            <v>-617385.05464211875</v>
          </cell>
        </row>
        <row r="69">
          <cell r="N69" t="str">
            <v>Restore</v>
          </cell>
          <cell r="O69" t="str">
            <v>Grow</v>
          </cell>
          <cell r="P69" t="str">
            <v>Grow</v>
          </cell>
          <cell r="Q69" t="str">
            <v>No CPCP</v>
          </cell>
          <cell r="AQ69">
            <v>0</v>
          </cell>
          <cell r="BM69">
            <v>0</v>
          </cell>
        </row>
        <row r="70">
          <cell r="N70" t="str">
            <v>Rest&amp;Grow</v>
          </cell>
          <cell r="O70" t="str">
            <v>Grow</v>
          </cell>
          <cell r="P70" t="str">
            <v>Decline</v>
          </cell>
          <cell r="Q70" t="str">
            <v>Grow</v>
          </cell>
          <cell r="AQ70">
            <v>0</v>
          </cell>
          <cell r="BM70">
            <v>0</v>
          </cell>
        </row>
        <row r="71">
          <cell r="N71" t="str">
            <v>Decline</v>
          </cell>
          <cell r="O71" t="str">
            <v>Decline</v>
          </cell>
          <cell r="P71" t="str">
            <v>Grow</v>
          </cell>
          <cell r="Q71" t="str">
            <v>Grow</v>
          </cell>
          <cell r="AQ71">
            <v>12086343</v>
          </cell>
          <cell r="BM71">
            <v>-11899520.527714876</v>
          </cell>
        </row>
        <row r="72">
          <cell r="N72" t="str">
            <v>Growth</v>
          </cell>
          <cell r="O72" t="str">
            <v>Grow</v>
          </cell>
          <cell r="P72" t="str">
            <v>Decline</v>
          </cell>
          <cell r="Q72" t="str">
            <v>Grow</v>
          </cell>
          <cell r="AQ72">
            <v>0</v>
          </cell>
          <cell r="BM72">
            <v>0</v>
          </cell>
        </row>
        <row r="73">
          <cell r="N73" t="str">
            <v>Growth</v>
          </cell>
          <cell r="O73" t="str">
            <v>Grow</v>
          </cell>
          <cell r="P73" t="str">
            <v>Decline</v>
          </cell>
          <cell r="Q73" t="str">
            <v>New CDCP</v>
          </cell>
          <cell r="AQ73">
            <v>0</v>
          </cell>
          <cell r="BM73">
            <v>0</v>
          </cell>
        </row>
        <row r="74">
          <cell r="N74" t="str">
            <v>Growth</v>
          </cell>
          <cell r="O74" t="str">
            <v>Grow</v>
          </cell>
          <cell r="P74" t="str">
            <v>Grow</v>
          </cell>
          <cell r="Q74" t="str">
            <v>No CPCP</v>
          </cell>
          <cell r="AQ74">
            <v>0</v>
          </cell>
          <cell r="BM74">
            <v>0</v>
          </cell>
        </row>
        <row r="75">
          <cell r="N75" t="str">
            <v>Growth</v>
          </cell>
          <cell r="O75" t="str">
            <v>Grow</v>
          </cell>
          <cell r="P75" t="str">
            <v>Decline</v>
          </cell>
          <cell r="Q75" t="str">
            <v>No CPCP</v>
          </cell>
          <cell r="AQ75">
            <v>0</v>
          </cell>
          <cell r="BM75">
            <v>0</v>
          </cell>
        </row>
        <row r="76">
          <cell r="N76" t="str">
            <v>Growth</v>
          </cell>
          <cell r="O76" t="str">
            <v>Grow</v>
          </cell>
          <cell r="P76" t="str">
            <v>Decline</v>
          </cell>
          <cell r="Q76" t="str">
            <v>No CPCP</v>
          </cell>
          <cell r="AQ76">
            <v>0</v>
          </cell>
          <cell r="BM76">
            <v>0</v>
          </cell>
        </row>
        <row r="77">
          <cell r="N77" t="str">
            <v>Growth</v>
          </cell>
          <cell r="O77" t="str">
            <v>Grow</v>
          </cell>
          <cell r="P77" t="str">
            <v>Decline</v>
          </cell>
          <cell r="Q77" t="str">
            <v>No CPCP</v>
          </cell>
          <cell r="AQ77">
            <v>0</v>
          </cell>
          <cell r="BM77">
            <v>0</v>
          </cell>
        </row>
        <row r="78">
          <cell r="N78" t="str">
            <v>Decline</v>
          </cell>
          <cell r="O78" t="str">
            <v>Decline</v>
          </cell>
          <cell r="P78" t="str">
            <v>Grow</v>
          </cell>
          <cell r="Q78" t="str">
            <v>No CPCP</v>
          </cell>
          <cell r="AQ78">
            <v>5973118</v>
          </cell>
          <cell r="BM78">
            <v>-5880789.6032293001</v>
          </cell>
        </row>
        <row r="79">
          <cell r="N79" t="str">
            <v>Growth</v>
          </cell>
          <cell r="O79" t="str">
            <v>Grow</v>
          </cell>
          <cell r="P79" t="str">
            <v>Grow</v>
          </cell>
          <cell r="Q79" t="str">
            <v>Grow</v>
          </cell>
          <cell r="AQ79">
            <v>0</v>
          </cell>
          <cell r="BM79">
            <v>0</v>
          </cell>
        </row>
        <row r="80">
          <cell r="N80" t="str">
            <v>Decline</v>
          </cell>
          <cell r="O80" t="str">
            <v>Decline</v>
          </cell>
          <cell r="P80" t="str">
            <v>Grow</v>
          </cell>
          <cell r="Q80" t="str">
            <v>No CPCP</v>
          </cell>
          <cell r="AQ80">
            <v>3889836</v>
          </cell>
          <cell r="BM80">
            <v>-3829709.559909422</v>
          </cell>
        </row>
      </sheetData>
      <sheetData sheetId="9">
        <row r="7">
          <cell r="AA7">
            <v>0</v>
          </cell>
          <cell r="AJ7">
            <v>952922</v>
          </cell>
        </row>
        <row r="8">
          <cell r="AA8">
            <v>0</v>
          </cell>
          <cell r="AJ8">
            <v>1302521</v>
          </cell>
        </row>
        <row r="9">
          <cell r="AA9">
            <v>0</v>
          </cell>
          <cell r="AJ9">
            <v>0</v>
          </cell>
        </row>
        <row r="10">
          <cell r="AA10">
            <v>0</v>
          </cell>
          <cell r="AJ10">
            <v>1067899</v>
          </cell>
        </row>
        <row r="11">
          <cell r="AA11">
            <v>0</v>
          </cell>
          <cell r="AJ11">
            <v>0</v>
          </cell>
        </row>
        <row r="12">
          <cell r="AA12">
            <v>0</v>
          </cell>
          <cell r="AJ12">
            <v>1740214</v>
          </cell>
        </row>
        <row r="13">
          <cell r="AA13">
            <v>0</v>
          </cell>
          <cell r="AJ13">
            <v>1497099</v>
          </cell>
        </row>
        <row r="14">
          <cell r="AA14">
            <v>5214997</v>
          </cell>
          <cell r="AJ14">
            <v>2855980</v>
          </cell>
        </row>
        <row r="15">
          <cell r="AA15">
            <v>0</v>
          </cell>
          <cell r="AJ15">
            <v>1332871</v>
          </cell>
        </row>
        <row r="16">
          <cell r="AA16">
            <v>10737902</v>
          </cell>
          <cell r="AJ16">
            <v>940812</v>
          </cell>
        </row>
        <row r="17">
          <cell r="AA17">
            <v>0</v>
          </cell>
          <cell r="AJ17">
            <v>268578</v>
          </cell>
        </row>
        <row r="18">
          <cell r="AA18">
            <v>2829398</v>
          </cell>
          <cell r="AJ18">
            <v>4660633</v>
          </cell>
        </row>
        <row r="19">
          <cell r="AA19">
            <v>0</v>
          </cell>
          <cell r="AJ19">
            <v>0</v>
          </cell>
        </row>
        <row r="20">
          <cell r="AA20">
            <v>0</v>
          </cell>
          <cell r="AJ20">
            <v>783951</v>
          </cell>
        </row>
        <row r="21">
          <cell r="AA21">
            <v>0</v>
          </cell>
          <cell r="AJ21">
            <v>1448884</v>
          </cell>
        </row>
        <row r="22">
          <cell r="AA22">
            <v>416007</v>
          </cell>
          <cell r="AJ22">
            <v>0</v>
          </cell>
        </row>
        <row r="23">
          <cell r="AA23">
            <v>0</v>
          </cell>
          <cell r="AJ23">
            <v>0</v>
          </cell>
        </row>
        <row r="24">
          <cell r="AA24">
            <v>0</v>
          </cell>
          <cell r="AJ24">
            <v>525019</v>
          </cell>
        </row>
        <row r="25">
          <cell r="AA25">
            <v>0</v>
          </cell>
          <cell r="AJ25">
            <v>1404728</v>
          </cell>
        </row>
        <row r="26">
          <cell r="AA26">
            <v>0</v>
          </cell>
          <cell r="AJ26">
            <v>2066272</v>
          </cell>
        </row>
        <row r="27">
          <cell r="AA27">
            <v>0</v>
          </cell>
          <cell r="AJ27">
            <v>711729</v>
          </cell>
        </row>
        <row r="28">
          <cell r="AA28">
            <v>2329982</v>
          </cell>
          <cell r="AJ28">
            <v>332117</v>
          </cell>
        </row>
        <row r="29">
          <cell r="AA29">
            <v>0</v>
          </cell>
          <cell r="AJ29">
            <v>2006513</v>
          </cell>
        </row>
        <row r="30">
          <cell r="AA30">
            <v>921911</v>
          </cell>
          <cell r="AJ30">
            <v>0</v>
          </cell>
        </row>
        <row r="31">
          <cell r="AA31">
            <v>0</v>
          </cell>
          <cell r="AJ31">
            <v>0</v>
          </cell>
        </row>
        <row r="32">
          <cell r="AA32">
            <v>0</v>
          </cell>
          <cell r="AJ32">
            <v>1751999</v>
          </cell>
        </row>
        <row r="33">
          <cell r="AA33">
            <v>0</v>
          </cell>
          <cell r="AJ33">
            <v>10380678</v>
          </cell>
        </row>
        <row r="34">
          <cell r="AA34">
            <v>0</v>
          </cell>
          <cell r="AJ34">
            <v>5309002</v>
          </cell>
        </row>
        <row r="35">
          <cell r="AA35">
            <v>0</v>
          </cell>
          <cell r="AJ35">
            <v>0</v>
          </cell>
        </row>
        <row r="36">
          <cell r="AA36">
            <v>0</v>
          </cell>
          <cell r="AJ36">
            <v>0</v>
          </cell>
        </row>
        <row r="37">
          <cell r="AA37">
            <v>0</v>
          </cell>
          <cell r="AJ37">
            <v>757469</v>
          </cell>
        </row>
        <row r="38">
          <cell r="AA38">
            <v>0</v>
          </cell>
          <cell r="AJ38">
            <v>0</v>
          </cell>
        </row>
        <row r="39">
          <cell r="AA39">
            <v>0</v>
          </cell>
          <cell r="AJ39">
            <v>0</v>
          </cell>
        </row>
        <row r="40">
          <cell r="AA40">
            <v>0</v>
          </cell>
          <cell r="AJ40">
            <v>2870228</v>
          </cell>
        </row>
        <row r="41">
          <cell r="AA41">
            <v>0</v>
          </cell>
          <cell r="AJ41">
            <v>1052666</v>
          </cell>
        </row>
        <row r="42">
          <cell r="AA42">
            <v>0</v>
          </cell>
          <cell r="AJ42">
            <v>0</v>
          </cell>
        </row>
        <row r="43">
          <cell r="AA43">
            <v>0</v>
          </cell>
          <cell r="AJ43">
            <v>3304645</v>
          </cell>
        </row>
        <row r="44">
          <cell r="AA44">
            <v>0</v>
          </cell>
          <cell r="AJ44">
            <v>568473</v>
          </cell>
        </row>
        <row r="45">
          <cell r="AA45">
            <v>0</v>
          </cell>
          <cell r="AJ45">
            <v>0</v>
          </cell>
        </row>
        <row r="46">
          <cell r="AA46">
            <v>0</v>
          </cell>
          <cell r="AJ46">
            <v>1261591</v>
          </cell>
        </row>
        <row r="47">
          <cell r="AA47">
            <v>0</v>
          </cell>
          <cell r="AJ47">
            <v>930839</v>
          </cell>
        </row>
        <row r="48">
          <cell r="AA48">
            <v>0</v>
          </cell>
          <cell r="AJ48">
            <v>2186788</v>
          </cell>
        </row>
        <row r="49">
          <cell r="AA49">
            <v>0</v>
          </cell>
          <cell r="AJ49">
            <v>2438824</v>
          </cell>
        </row>
        <row r="50">
          <cell r="AA50">
            <v>0</v>
          </cell>
          <cell r="AJ50">
            <v>0</v>
          </cell>
        </row>
        <row r="51">
          <cell r="AA51">
            <v>0</v>
          </cell>
          <cell r="AJ51">
            <v>1325382</v>
          </cell>
        </row>
        <row r="52">
          <cell r="AA52">
            <v>0</v>
          </cell>
          <cell r="AJ52">
            <v>3025914</v>
          </cell>
        </row>
        <row r="53">
          <cell r="AA53">
            <v>0</v>
          </cell>
          <cell r="AJ53">
            <v>1543344</v>
          </cell>
        </row>
        <row r="54">
          <cell r="AA54">
            <v>0</v>
          </cell>
          <cell r="AJ54">
            <v>3973954</v>
          </cell>
        </row>
        <row r="55">
          <cell r="AA55">
            <v>0</v>
          </cell>
          <cell r="AJ55">
            <v>0</v>
          </cell>
        </row>
        <row r="56">
          <cell r="AA56">
            <v>0</v>
          </cell>
          <cell r="AJ56">
            <v>1030509</v>
          </cell>
        </row>
        <row r="57">
          <cell r="AA57">
            <v>0</v>
          </cell>
          <cell r="AJ57">
            <v>0</v>
          </cell>
        </row>
        <row r="58">
          <cell r="AA58">
            <v>1949188</v>
          </cell>
          <cell r="AJ58">
            <v>0</v>
          </cell>
        </row>
        <row r="59">
          <cell r="AA59">
            <v>0</v>
          </cell>
          <cell r="AJ59">
            <v>0</v>
          </cell>
        </row>
        <row r="60">
          <cell r="AA60">
            <v>0</v>
          </cell>
          <cell r="AJ60">
            <v>0</v>
          </cell>
        </row>
        <row r="61">
          <cell r="AA61">
            <v>0</v>
          </cell>
          <cell r="AJ61">
            <v>2368364</v>
          </cell>
        </row>
        <row r="62">
          <cell r="AA62">
            <v>0</v>
          </cell>
          <cell r="AJ62">
            <v>2256852</v>
          </cell>
        </row>
        <row r="63">
          <cell r="AA63">
            <v>0</v>
          </cell>
          <cell r="AJ63">
            <v>902417</v>
          </cell>
        </row>
        <row r="64">
          <cell r="AA64">
            <v>0</v>
          </cell>
          <cell r="AJ64">
            <v>0</v>
          </cell>
        </row>
        <row r="65">
          <cell r="AA65">
            <v>0</v>
          </cell>
          <cell r="AJ65">
            <v>0</v>
          </cell>
        </row>
        <row r="66">
          <cell r="AA66">
            <v>0</v>
          </cell>
          <cell r="AJ66">
            <v>0</v>
          </cell>
        </row>
        <row r="67">
          <cell r="AA67">
            <v>5624551</v>
          </cell>
          <cell r="AJ67">
            <v>0</v>
          </cell>
        </row>
        <row r="68">
          <cell r="AA68">
            <v>4282506</v>
          </cell>
          <cell r="AJ68">
            <v>1711745</v>
          </cell>
        </row>
        <row r="69">
          <cell r="AA69">
            <v>0</v>
          </cell>
          <cell r="AJ69">
            <v>0</v>
          </cell>
        </row>
        <row r="70">
          <cell r="AA70">
            <v>0</v>
          </cell>
          <cell r="AJ70">
            <v>1092915</v>
          </cell>
        </row>
        <row r="71">
          <cell r="AA71">
            <v>0</v>
          </cell>
          <cell r="AJ71">
            <v>2765951</v>
          </cell>
        </row>
        <row r="72">
          <cell r="AA72">
            <v>0</v>
          </cell>
          <cell r="AJ72">
            <v>2074079</v>
          </cell>
        </row>
        <row r="73">
          <cell r="AA73">
            <v>0</v>
          </cell>
          <cell r="AJ73">
            <v>975647</v>
          </cell>
        </row>
        <row r="74">
          <cell r="AA74">
            <v>0</v>
          </cell>
          <cell r="AJ74">
            <v>504029</v>
          </cell>
        </row>
        <row r="75">
          <cell r="AA75">
            <v>0</v>
          </cell>
          <cell r="AJ75">
            <v>0</v>
          </cell>
        </row>
        <row r="76">
          <cell r="AA76">
            <v>0</v>
          </cell>
          <cell r="AJ76">
            <v>0</v>
          </cell>
        </row>
        <row r="77">
          <cell r="AA77">
            <v>0</v>
          </cell>
          <cell r="AJ77">
            <v>1784261</v>
          </cell>
        </row>
        <row r="78">
          <cell r="AA78">
            <v>0</v>
          </cell>
          <cell r="AJ78">
            <v>0</v>
          </cell>
        </row>
      </sheetData>
      <sheetData sheetId="10" refreshError="1"/>
      <sheetData sheetId="11" refreshError="1"/>
      <sheetData sheetId="12" refreshError="1"/>
      <sheetData sheetId="13" refreshError="1"/>
      <sheetData sheetId="14" refreshError="1"/>
      <sheetData sheetId="15" refreshError="1"/>
      <sheetData sheetId="16">
        <row r="9">
          <cell r="X9">
            <v>202.18767400000002</v>
          </cell>
          <cell r="AR9">
            <v>202.18767400000002</v>
          </cell>
        </row>
        <row r="10">
          <cell r="X10">
            <v>521.319928</v>
          </cell>
          <cell r="AR10">
            <v>521.319928</v>
          </cell>
        </row>
        <row r="11">
          <cell r="X11">
            <v>203.14999399999999</v>
          </cell>
          <cell r="AR11">
            <v>203.14999399999999</v>
          </cell>
        </row>
        <row r="12">
          <cell r="X12">
            <v>267.09677699999997</v>
          </cell>
          <cell r="AR12">
            <v>267.09677699999997</v>
          </cell>
        </row>
        <row r="13">
          <cell r="X13">
            <v>0</v>
          </cell>
          <cell r="AR13">
            <v>0</v>
          </cell>
        </row>
        <row r="14">
          <cell r="X14">
            <v>847.55010700000003</v>
          </cell>
          <cell r="AR14">
            <v>847.55010700000003</v>
          </cell>
        </row>
        <row r="15">
          <cell r="X15">
            <v>312.66079099999996</v>
          </cell>
          <cell r="AR15">
            <v>312.66079099999996</v>
          </cell>
        </row>
        <row r="16">
          <cell r="X16">
            <v>927.348073</v>
          </cell>
          <cell r="AR16">
            <v>927.348073</v>
          </cell>
        </row>
        <row r="17">
          <cell r="X17">
            <v>638.34010699999999</v>
          </cell>
          <cell r="AR17">
            <v>638.34010699999999</v>
          </cell>
        </row>
        <row r="18">
          <cell r="X18">
            <v>203.57646800000001</v>
          </cell>
          <cell r="AR18">
            <v>203.57646800000001</v>
          </cell>
        </row>
        <row r="19">
          <cell r="X19">
            <v>60.000064000000002</v>
          </cell>
          <cell r="AR19">
            <v>60.000064000000002</v>
          </cell>
        </row>
        <row r="20">
          <cell r="X20">
            <v>2106.514694</v>
          </cell>
          <cell r="AR20">
            <v>2106.514694</v>
          </cell>
        </row>
        <row r="21">
          <cell r="X21">
            <v>0</v>
          </cell>
          <cell r="AR21">
            <v>0</v>
          </cell>
        </row>
        <row r="22">
          <cell r="X22">
            <v>184.621185</v>
          </cell>
          <cell r="AR22">
            <v>184.621185</v>
          </cell>
        </row>
        <row r="23">
          <cell r="X23">
            <v>309.999932</v>
          </cell>
          <cell r="AR23">
            <v>309.999932</v>
          </cell>
        </row>
        <row r="24">
          <cell r="X24">
            <v>-1.1699999999999998E-4</v>
          </cell>
          <cell r="AR24">
            <v>-1.1699999999999998E-4</v>
          </cell>
        </row>
        <row r="25">
          <cell r="X25">
            <v>0</v>
          </cell>
          <cell r="AR25">
            <v>0</v>
          </cell>
        </row>
        <row r="26">
          <cell r="X26">
            <v>184.32435800000002</v>
          </cell>
          <cell r="AR26">
            <v>184.32435800000002</v>
          </cell>
        </row>
        <row r="27">
          <cell r="X27">
            <v>245.59993900000001</v>
          </cell>
          <cell r="AR27">
            <v>245.59993900000001</v>
          </cell>
        </row>
        <row r="28">
          <cell r="X28">
            <v>1038.8300380000001</v>
          </cell>
          <cell r="AR28">
            <v>1038.8300380000001</v>
          </cell>
        </row>
        <row r="29">
          <cell r="X29">
            <v>288.50832099999997</v>
          </cell>
          <cell r="AR29">
            <v>288.50832099999997</v>
          </cell>
        </row>
        <row r="30">
          <cell r="X30">
            <v>67.108868999999999</v>
          </cell>
          <cell r="AR30">
            <v>67.108868999999999</v>
          </cell>
        </row>
        <row r="31">
          <cell r="X31">
            <v>622.815021</v>
          </cell>
          <cell r="AR31">
            <v>622.815021</v>
          </cell>
        </row>
        <row r="32">
          <cell r="X32">
            <v>1.16E-4</v>
          </cell>
          <cell r="AR32">
            <v>1.16E-4</v>
          </cell>
        </row>
        <row r="33">
          <cell r="X33">
            <v>0</v>
          </cell>
          <cell r="AR33">
            <v>0</v>
          </cell>
        </row>
        <row r="34">
          <cell r="X34">
            <v>344.90010000000001</v>
          </cell>
          <cell r="AR34">
            <v>344.90010000000001</v>
          </cell>
        </row>
        <row r="35">
          <cell r="X35">
            <v>4084.7370510000001</v>
          </cell>
          <cell r="AR35">
            <v>4084.7370510000001</v>
          </cell>
        </row>
        <row r="36">
          <cell r="X36">
            <v>1317.4666870000001</v>
          </cell>
          <cell r="AR36">
            <v>1317.4666870000001</v>
          </cell>
        </row>
        <row r="37">
          <cell r="X37">
            <v>0</v>
          </cell>
          <cell r="AR37">
            <v>0</v>
          </cell>
        </row>
        <row r="38">
          <cell r="X38">
            <v>0</v>
          </cell>
          <cell r="AR38">
            <v>0</v>
          </cell>
        </row>
        <row r="39">
          <cell r="X39">
            <v>158.310103</v>
          </cell>
          <cell r="AR39">
            <v>158.310103</v>
          </cell>
        </row>
        <row r="40">
          <cell r="X40">
            <v>300.44343700000002</v>
          </cell>
          <cell r="AR40">
            <v>300.44343700000002</v>
          </cell>
        </row>
        <row r="41">
          <cell r="X41">
            <v>0</v>
          </cell>
          <cell r="AR41">
            <v>0</v>
          </cell>
        </row>
        <row r="42">
          <cell r="X42">
            <v>1331.566309</v>
          </cell>
          <cell r="AR42">
            <v>1331.566309</v>
          </cell>
        </row>
        <row r="43">
          <cell r="X43">
            <v>707.29714200000001</v>
          </cell>
          <cell r="AR43">
            <v>707.29714200000001</v>
          </cell>
        </row>
        <row r="44">
          <cell r="X44">
            <v>0</v>
          </cell>
          <cell r="AR44">
            <v>0</v>
          </cell>
        </row>
        <row r="45">
          <cell r="X45">
            <v>3074.3076289999999</v>
          </cell>
          <cell r="AR45">
            <v>3074.3076289999999</v>
          </cell>
        </row>
        <row r="46">
          <cell r="X46">
            <v>123.290104</v>
          </cell>
          <cell r="AR46">
            <v>123.290104</v>
          </cell>
        </row>
        <row r="47">
          <cell r="X47">
            <v>0</v>
          </cell>
          <cell r="AR47">
            <v>0</v>
          </cell>
        </row>
        <row r="48">
          <cell r="X48">
            <v>275.08</v>
          </cell>
          <cell r="AR48">
            <v>275.08</v>
          </cell>
        </row>
        <row r="49">
          <cell r="X49">
            <v>-145.59447499999999</v>
          </cell>
          <cell r="AR49">
            <v>-145.59447499999999</v>
          </cell>
        </row>
        <row r="50">
          <cell r="X50">
            <v>451.49008099999998</v>
          </cell>
          <cell r="AR50">
            <v>451.49008099999998</v>
          </cell>
        </row>
        <row r="51">
          <cell r="X51">
            <v>480.70995999999997</v>
          </cell>
          <cell r="AR51">
            <v>480.70995999999997</v>
          </cell>
        </row>
        <row r="52">
          <cell r="X52">
            <v>0</v>
          </cell>
          <cell r="AR52">
            <v>0</v>
          </cell>
        </row>
        <row r="53">
          <cell r="X53">
            <v>348.97751099999999</v>
          </cell>
          <cell r="AR53">
            <v>348.97751099999999</v>
          </cell>
        </row>
        <row r="54">
          <cell r="X54">
            <v>1281.7499929999999</v>
          </cell>
          <cell r="AR54">
            <v>1281.7499929999999</v>
          </cell>
        </row>
        <row r="55">
          <cell r="X55">
            <v>1159.970039</v>
          </cell>
          <cell r="AR55">
            <v>1159.970039</v>
          </cell>
        </row>
        <row r="56">
          <cell r="X56">
            <v>2300.1096309999998</v>
          </cell>
          <cell r="AR56">
            <v>2300.1096309999998</v>
          </cell>
        </row>
        <row r="57">
          <cell r="X57">
            <v>0</v>
          </cell>
          <cell r="AR57">
            <v>0</v>
          </cell>
        </row>
        <row r="58">
          <cell r="X58">
            <v>232.865137</v>
          </cell>
          <cell r="AR58">
            <v>232.865137</v>
          </cell>
        </row>
        <row r="59">
          <cell r="X59">
            <v>0</v>
          </cell>
          <cell r="AR59">
            <v>0</v>
          </cell>
        </row>
        <row r="60">
          <cell r="X60">
            <v>-1.8600000000000002E-4</v>
          </cell>
          <cell r="AR60">
            <v>-1.8600000000000002E-4</v>
          </cell>
        </row>
        <row r="61">
          <cell r="X61">
            <v>0</v>
          </cell>
          <cell r="AR61">
            <v>0</v>
          </cell>
        </row>
        <row r="62">
          <cell r="X62">
            <v>0</v>
          </cell>
          <cell r="AR62">
            <v>0</v>
          </cell>
        </row>
        <row r="63">
          <cell r="X63">
            <v>655.46</v>
          </cell>
          <cell r="AR63">
            <v>655.46</v>
          </cell>
        </row>
        <row r="64">
          <cell r="X64">
            <v>688.94637399999999</v>
          </cell>
          <cell r="AR64">
            <v>688.94637399999999</v>
          </cell>
        </row>
        <row r="65">
          <cell r="X65">
            <v>965.77155899999991</v>
          </cell>
          <cell r="AR65">
            <v>965.77155899999991</v>
          </cell>
        </row>
        <row r="66">
          <cell r="X66">
            <v>0</v>
          </cell>
          <cell r="AR66">
            <v>0</v>
          </cell>
        </row>
        <row r="67">
          <cell r="X67">
            <v>0</v>
          </cell>
          <cell r="AR67">
            <v>0</v>
          </cell>
        </row>
        <row r="68">
          <cell r="X68">
            <v>0</v>
          </cell>
          <cell r="AR68">
            <v>0</v>
          </cell>
        </row>
        <row r="69">
          <cell r="X69">
            <v>2.9999999999999997E-5</v>
          </cell>
          <cell r="AR69">
            <v>2.9999999999999997E-5</v>
          </cell>
        </row>
        <row r="70">
          <cell r="X70">
            <v>232.24897800000002</v>
          </cell>
          <cell r="AR70">
            <v>232.24897800000002</v>
          </cell>
        </row>
        <row r="71">
          <cell r="X71">
            <v>0</v>
          </cell>
          <cell r="AR71">
            <v>0</v>
          </cell>
        </row>
        <row r="72">
          <cell r="X72">
            <v>233.05002899999999</v>
          </cell>
          <cell r="AR72">
            <v>233.05002899999999</v>
          </cell>
        </row>
        <row r="73">
          <cell r="X73">
            <v>684.66081199999996</v>
          </cell>
          <cell r="AR73">
            <v>684.66081199999996</v>
          </cell>
        </row>
        <row r="74">
          <cell r="X74">
            <v>526.92884699999991</v>
          </cell>
          <cell r="AR74">
            <v>526.92884699999991</v>
          </cell>
        </row>
        <row r="75">
          <cell r="X75">
            <v>362.83270400000004</v>
          </cell>
          <cell r="AR75">
            <v>362.83270400000004</v>
          </cell>
        </row>
        <row r="76">
          <cell r="X76">
            <v>401.07716899999997</v>
          </cell>
          <cell r="AR76">
            <v>401.07716899999997</v>
          </cell>
        </row>
        <row r="77">
          <cell r="X77">
            <v>5.9123229999999998</v>
          </cell>
          <cell r="AR77">
            <v>5.9123229999999998</v>
          </cell>
        </row>
        <row r="78">
          <cell r="X78">
            <v>0</v>
          </cell>
          <cell r="AR78">
            <v>0</v>
          </cell>
        </row>
        <row r="79">
          <cell r="X79">
            <v>338.71006899999998</v>
          </cell>
          <cell r="AR79">
            <v>338.71006899999998</v>
          </cell>
        </row>
        <row r="80">
          <cell r="X80">
            <v>0</v>
          </cell>
          <cell r="AR80">
            <v>0</v>
          </cell>
        </row>
      </sheetData>
      <sheetData sheetId="17">
        <row r="9">
          <cell r="N9">
            <v>5535909</v>
          </cell>
        </row>
        <row r="10">
          <cell r="N10">
            <v>5535909</v>
          </cell>
        </row>
        <row r="11">
          <cell r="N11">
            <v>3875136</v>
          </cell>
        </row>
        <row r="12">
          <cell r="N12">
            <v>5535909</v>
          </cell>
        </row>
        <row r="13">
          <cell r="N13">
            <v>5535909</v>
          </cell>
        </row>
        <row r="14">
          <cell r="N14">
            <v>4428727</v>
          </cell>
        </row>
        <row r="15">
          <cell r="N15">
            <v>7196681</v>
          </cell>
        </row>
        <row r="16">
          <cell r="N16">
            <v>6643091</v>
          </cell>
        </row>
        <row r="17">
          <cell r="N17">
            <v>4428727</v>
          </cell>
        </row>
        <row r="18">
          <cell r="N18">
            <v>11071817</v>
          </cell>
        </row>
        <row r="19">
          <cell r="N19">
            <v>3321545</v>
          </cell>
        </row>
        <row r="20">
          <cell r="N20">
            <v>12732590</v>
          </cell>
        </row>
        <row r="21">
          <cell r="N21">
            <v>3875136</v>
          </cell>
        </row>
        <row r="22">
          <cell r="N22">
            <v>3321545</v>
          </cell>
        </row>
        <row r="23">
          <cell r="N23">
            <v>7750272</v>
          </cell>
        </row>
        <row r="24">
          <cell r="N24">
            <v>3875136</v>
          </cell>
        </row>
        <row r="25">
          <cell r="N25">
            <v>8857454</v>
          </cell>
        </row>
        <row r="26">
          <cell r="N26">
            <v>3875136</v>
          </cell>
        </row>
        <row r="27">
          <cell r="N27">
            <v>5535909</v>
          </cell>
        </row>
        <row r="28">
          <cell r="N28">
            <v>7196681</v>
          </cell>
        </row>
        <row r="29">
          <cell r="N29">
            <v>3598340</v>
          </cell>
        </row>
        <row r="30">
          <cell r="N30">
            <v>3321545</v>
          </cell>
        </row>
        <row r="31">
          <cell r="N31">
            <v>14116567</v>
          </cell>
        </row>
        <row r="32">
          <cell r="N32">
            <v>3875136</v>
          </cell>
        </row>
        <row r="33">
          <cell r="N33">
            <v>3875136</v>
          </cell>
        </row>
        <row r="34">
          <cell r="N34">
            <v>6643091</v>
          </cell>
        </row>
        <row r="35">
          <cell r="N35">
            <v>33215451</v>
          </cell>
        </row>
        <row r="36">
          <cell r="N36">
            <v>18822090</v>
          </cell>
        </row>
        <row r="37">
          <cell r="N37">
            <v>3321545</v>
          </cell>
        </row>
        <row r="38">
          <cell r="N38">
            <v>4428726</v>
          </cell>
        </row>
        <row r="39">
          <cell r="N39">
            <v>5535909</v>
          </cell>
        </row>
        <row r="40">
          <cell r="N40">
            <v>5535909</v>
          </cell>
        </row>
        <row r="41">
          <cell r="N41">
            <v>3598340</v>
          </cell>
        </row>
        <row r="42">
          <cell r="N42">
            <v>5535909</v>
          </cell>
        </row>
        <row r="43">
          <cell r="N43">
            <v>5535909</v>
          </cell>
        </row>
        <row r="44">
          <cell r="N44">
            <v>3875136</v>
          </cell>
        </row>
        <row r="45">
          <cell r="N45">
            <v>8857454</v>
          </cell>
        </row>
        <row r="46">
          <cell r="N46">
            <v>4428727</v>
          </cell>
        </row>
        <row r="47">
          <cell r="N47">
            <v>4013534</v>
          </cell>
        </row>
        <row r="48">
          <cell r="N48">
            <v>6643091</v>
          </cell>
        </row>
        <row r="49">
          <cell r="N49">
            <v>6643091</v>
          </cell>
        </row>
        <row r="50">
          <cell r="N50">
            <v>13286180</v>
          </cell>
        </row>
        <row r="51">
          <cell r="N51">
            <v>9964636</v>
          </cell>
        </row>
        <row r="52">
          <cell r="N52">
            <v>4705522</v>
          </cell>
        </row>
        <row r="53">
          <cell r="N53">
            <v>4428727</v>
          </cell>
        </row>
        <row r="54">
          <cell r="N54">
            <v>10518226</v>
          </cell>
        </row>
        <row r="55">
          <cell r="N55">
            <v>7196681</v>
          </cell>
        </row>
        <row r="56">
          <cell r="N56">
            <v>16607727</v>
          </cell>
        </row>
        <row r="57">
          <cell r="N57">
            <v>12455796</v>
          </cell>
        </row>
        <row r="58">
          <cell r="N58">
            <v>5535909</v>
          </cell>
        </row>
        <row r="59">
          <cell r="N59">
            <v>6643090</v>
          </cell>
        </row>
        <row r="60">
          <cell r="N60">
            <v>4428727</v>
          </cell>
        </row>
        <row r="61">
          <cell r="N61">
            <v>9964635</v>
          </cell>
        </row>
        <row r="62">
          <cell r="N62">
            <v>6643091</v>
          </cell>
        </row>
        <row r="63">
          <cell r="N63">
            <v>5535909</v>
          </cell>
        </row>
        <row r="64">
          <cell r="N64">
            <v>6643091</v>
          </cell>
        </row>
        <row r="65">
          <cell r="N65">
            <v>5535909</v>
          </cell>
        </row>
        <row r="66">
          <cell r="N66">
            <v>3321545</v>
          </cell>
        </row>
        <row r="67">
          <cell r="N67">
            <v>5674307</v>
          </cell>
        </row>
        <row r="68">
          <cell r="N68">
            <v>3875136</v>
          </cell>
        </row>
        <row r="69">
          <cell r="N69">
            <v>5535909</v>
          </cell>
        </row>
        <row r="70">
          <cell r="N70">
            <v>8027068</v>
          </cell>
        </row>
        <row r="71">
          <cell r="N71">
            <v>7750272</v>
          </cell>
        </row>
        <row r="72">
          <cell r="N72">
            <v>7750273</v>
          </cell>
        </row>
        <row r="73">
          <cell r="N73">
            <v>11071818</v>
          </cell>
        </row>
        <row r="74">
          <cell r="N74">
            <v>11071817</v>
          </cell>
        </row>
        <row r="75">
          <cell r="N75">
            <v>4428727</v>
          </cell>
        </row>
        <row r="76">
          <cell r="N76">
            <v>6919885</v>
          </cell>
        </row>
        <row r="77">
          <cell r="N77">
            <v>3875136</v>
          </cell>
        </row>
        <row r="78">
          <cell r="N78">
            <v>7196681</v>
          </cell>
        </row>
        <row r="79">
          <cell r="N79">
            <v>7196681</v>
          </cell>
        </row>
        <row r="80">
          <cell r="N80">
            <v>8303863</v>
          </cell>
        </row>
      </sheetData>
      <sheetData sheetId="18">
        <row r="9">
          <cell r="N9">
            <v>5535909</v>
          </cell>
        </row>
        <row r="10">
          <cell r="N10">
            <v>5535909</v>
          </cell>
        </row>
        <row r="11">
          <cell r="N11">
            <v>3875136</v>
          </cell>
        </row>
        <row r="12">
          <cell r="N12">
            <v>5535909</v>
          </cell>
        </row>
        <row r="13">
          <cell r="N13">
            <v>5535909</v>
          </cell>
        </row>
        <row r="14">
          <cell r="N14">
            <v>4428727</v>
          </cell>
        </row>
        <row r="15">
          <cell r="N15">
            <v>7196681</v>
          </cell>
        </row>
        <row r="16">
          <cell r="N16">
            <v>6643091</v>
          </cell>
        </row>
        <row r="17">
          <cell r="N17">
            <v>4428727</v>
          </cell>
        </row>
        <row r="18">
          <cell r="N18">
            <v>11071817</v>
          </cell>
        </row>
        <row r="19">
          <cell r="N19">
            <v>3321545</v>
          </cell>
        </row>
        <row r="20">
          <cell r="N20">
            <v>12732590</v>
          </cell>
        </row>
        <row r="21">
          <cell r="N21">
            <v>3875136</v>
          </cell>
        </row>
        <row r="22">
          <cell r="N22">
            <v>3321545</v>
          </cell>
        </row>
        <row r="23">
          <cell r="N23">
            <v>8857454</v>
          </cell>
        </row>
        <row r="24">
          <cell r="N24">
            <v>3875136</v>
          </cell>
        </row>
        <row r="25">
          <cell r="N25">
            <v>8857454</v>
          </cell>
        </row>
        <row r="26">
          <cell r="N26">
            <v>3875136</v>
          </cell>
        </row>
        <row r="27">
          <cell r="N27">
            <v>5535909</v>
          </cell>
        </row>
        <row r="28">
          <cell r="N28">
            <v>7196681</v>
          </cell>
        </row>
        <row r="29">
          <cell r="N29">
            <v>3598340</v>
          </cell>
        </row>
        <row r="30">
          <cell r="N30">
            <v>3321545</v>
          </cell>
        </row>
        <row r="31">
          <cell r="N31">
            <v>14116567</v>
          </cell>
        </row>
        <row r="32">
          <cell r="N32">
            <v>3875136</v>
          </cell>
        </row>
        <row r="33">
          <cell r="N33">
            <v>3875136</v>
          </cell>
        </row>
        <row r="34">
          <cell r="N34">
            <v>6643091</v>
          </cell>
        </row>
        <row r="35">
          <cell r="N35">
            <v>33215451</v>
          </cell>
        </row>
        <row r="36">
          <cell r="N36">
            <v>18822090</v>
          </cell>
        </row>
        <row r="37">
          <cell r="N37">
            <v>3321545</v>
          </cell>
        </row>
        <row r="38">
          <cell r="N38">
            <v>4428726</v>
          </cell>
        </row>
        <row r="39">
          <cell r="N39">
            <v>5535909</v>
          </cell>
        </row>
        <row r="40">
          <cell r="N40">
            <v>5535909</v>
          </cell>
        </row>
        <row r="41">
          <cell r="N41">
            <v>3598340</v>
          </cell>
        </row>
        <row r="42">
          <cell r="N42">
            <v>5535909</v>
          </cell>
        </row>
        <row r="43">
          <cell r="N43">
            <v>5535909</v>
          </cell>
        </row>
        <row r="44">
          <cell r="N44">
            <v>4151931</v>
          </cell>
        </row>
        <row r="45">
          <cell r="N45">
            <v>8857454</v>
          </cell>
        </row>
        <row r="46">
          <cell r="N46">
            <v>4428727</v>
          </cell>
        </row>
        <row r="47">
          <cell r="N47">
            <v>3875136</v>
          </cell>
        </row>
        <row r="48">
          <cell r="N48">
            <v>6643091</v>
          </cell>
        </row>
        <row r="49">
          <cell r="N49">
            <v>6643091</v>
          </cell>
        </row>
        <row r="50">
          <cell r="N50">
            <v>13286180</v>
          </cell>
        </row>
        <row r="51">
          <cell r="N51">
            <v>9964636</v>
          </cell>
        </row>
        <row r="52">
          <cell r="N52">
            <v>4705522</v>
          </cell>
        </row>
        <row r="53">
          <cell r="N53">
            <v>4428727</v>
          </cell>
        </row>
        <row r="54">
          <cell r="N54">
            <v>10518226</v>
          </cell>
        </row>
        <row r="55">
          <cell r="N55">
            <v>7196681</v>
          </cell>
        </row>
        <row r="56">
          <cell r="N56">
            <v>16607727</v>
          </cell>
        </row>
        <row r="57">
          <cell r="N57">
            <v>12455796</v>
          </cell>
        </row>
        <row r="58">
          <cell r="N58">
            <v>5535909</v>
          </cell>
        </row>
        <row r="59">
          <cell r="N59">
            <v>6643090</v>
          </cell>
        </row>
        <row r="60">
          <cell r="N60">
            <v>4428727</v>
          </cell>
        </row>
        <row r="61">
          <cell r="N61">
            <v>9964635</v>
          </cell>
        </row>
        <row r="62">
          <cell r="N62">
            <v>6643091</v>
          </cell>
        </row>
        <row r="63">
          <cell r="N63">
            <v>5535909</v>
          </cell>
        </row>
        <row r="64">
          <cell r="N64">
            <v>6643091</v>
          </cell>
        </row>
        <row r="65">
          <cell r="N65">
            <v>5535909</v>
          </cell>
        </row>
        <row r="66">
          <cell r="N66">
            <v>3321545</v>
          </cell>
        </row>
        <row r="67">
          <cell r="N67">
            <v>5674307</v>
          </cell>
        </row>
        <row r="68">
          <cell r="N68">
            <v>3875136</v>
          </cell>
        </row>
        <row r="69">
          <cell r="N69">
            <v>5535909</v>
          </cell>
        </row>
        <row r="70">
          <cell r="N70">
            <v>8027068</v>
          </cell>
        </row>
        <row r="71">
          <cell r="N71">
            <v>7750272</v>
          </cell>
        </row>
        <row r="72">
          <cell r="N72">
            <v>5535909</v>
          </cell>
        </row>
        <row r="73">
          <cell r="N73">
            <v>11071818</v>
          </cell>
        </row>
        <row r="74">
          <cell r="N74">
            <v>11071817</v>
          </cell>
        </row>
        <row r="75">
          <cell r="N75">
            <v>4428727</v>
          </cell>
        </row>
        <row r="76">
          <cell r="N76">
            <v>6919885</v>
          </cell>
        </row>
        <row r="77">
          <cell r="N77">
            <v>3875136</v>
          </cell>
        </row>
        <row r="78">
          <cell r="N78">
            <v>7196681</v>
          </cell>
        </row>
        <row r="79">
          <cell r="N79">
            <v>7196681</v>
          </cell>
        </row>
        <row r="80">
          <cell r="N80">
            <v>7196681</v>
          </cell>
        </row>
      </sheetData>
      <sheetData sheetId="19">
        <row r="7">
          <cell r="B7">
            <v>4574.863593</v>
          </cell>
        </row>
      </sheetData>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ote"/>
      <sheetName val="Exhibit C data"/>
      <sheetName val="Sheet5"/>
      <sheetName val="14-15 AD - source"/>
      <sheetName val="14-15 P1 - source"/>
      <sheetName val="14-15 P2 - source"/>
      <sheetName val="14-15 R1 - source"/>
      <sheetName val="14-15 summary (cert, pay)"/>
      <sheetName val="14-15 display (cert, pay)"/>
      <sheetName val="14-15 calc"/>
      <sheetName val="14-15 P1 - calc"/>
      <sheetName val="14-15 P2 - calc"/>
      <sheetName val="14-15 R1 - calc"/>
      <sheetName val="14-15 deferrals, growth, EPA 1"/>
      <sheetName val="13-14 deferrals, growth, EPA 1"/>
      <sheetName val="12-13 deferrals, growth, EPA 3"/>
      <sheetName val="12-13 deferrals, growth, EPA 2"/>
      <sheetName val="12-13 deferrals, growth, EPA"/>
      <sheetName val="FTES"/>
      <sheetName val="PBF Run"/>
      <sheetName val="FTES Adjustment"/>
      <sheetName val="Restoration and Growth"/>
      <sheetName val="14-15 $140M Workload Restore"/>
      <sheetName val="13-14 $86M Workload Restore"/>
      <sheetName val="12-13 $48.9M Workload Restore"/>
      <sheetName val="11-12 Workload Reduction"/>
      <sheetName val="10-11 growth deficit"/>
      <sheetName val="10-11 WkLd126M"/>
      <sheetName val="09-10 189M reduction"/>
      <sheetName val="As of 13-14 R1"/>
      <sheetName val="Growth Deficit"/>
      <sheetName val="Foundation Grant"/>
      <sheetName val="Foundation Grant (OLD)"/>
      <sheetName val="Rates"/>
      <sheetName val="FTES rates, COLA"/>
      <sheetName val="basic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9">
          <cell r="BJ9">
            <v>7212471</v>
          </cell>
        </row>
        <row r="10">
          <cell r="BJ10">
            <v>8637163</v>
          </cell>
        </row>
        <row r="11">
          <cell r="BJ11">
            <v>2322123</v>
          </cell>
        </row>
        <row r="12">
          <cell r="BJ12">
            <v>8307712</v>
          </cell>
        </row>
        <row r="13">
          <cell r="BJ13">
            <v>8164993</v>
          </cell>
        </row>
        <row r="14">
          <cell r="BJ14">
            <v>12163697</v>
          </cell>
        </row>
        <row r="15">
          <cell r="BJ15">
            <v>11953693</v>
          </cell>
        </row>
        <row r="16">
          <cell r="BJ16">
            <v>10614487</v>
          </cell>
        </row>
        <row r="17">
          <cell r="BJ17">
            <v>8033627</v>
          </cell>
        </row>
        <row r="18">
          <cell r="BJ18">
            <v>23525004</v>
          </cell>
        </row>
        <row r="19">
          <cell r="BJ19">
            <v>4882951</v>
          </cell>
        </row>
        <row r="20">
          <cell r="BJ20">
            <v>19378423</v>
          </cell>
        </row>
        <row r="21">
          <cell r="BJ21">
            <v>1746795</v>
          </cell>
        </row>
        <row r="22">
          <cell r="BJ22">
            <v>5656495</v>
          </cell>
        </row>
        <row r="23">
          <cell r="BJ23">
            <v>14099243</v>
          </cell>
        </row>
        <row r="24">
          <cell r="BJ24">
            <v>1687934</v>
          </cell>
        </row>
        <row r="25">
          <cell r="BJ25">
            <v>18819480</v>
          </cell>
        </row>
        <row r="26">
          <cell r="BJ26">
            <v>4043585</v>
          </cell>
        </row>
        <row r="27">
          <cell r="BJ27">
            <v>10920868</v>
          </cell>
        </row>
        <row r="28">
          <cell r="BJ28">
            <v>12949494</v>
          </cell>
        </row>
        <row r="29">
          <cell r="BJ29">
            <v>5315716</v>
          </cell>
        </row>
        <row r="30">
          <cell r="BJ30">
            <v>5251171</v>
          </cell>
        </row>
        <row r="31">
          <cell r="BJ31">
            <v>15209152</v>
          </cell>
        </row>
        <row r="32">
          <cell r="BJ32">
            <v>1781153</v>
          </cell>
        </row>
        <row r="33">
          <cell r="BJ33">
            <v>1744051</v>
          </cell>
        </row>
        <row r="34">
          <cell r="BJ34">
            <v>15083835</v>
          </cell>
        </row>
        <row r="35">
          <cell r="BJ35">
            <v>74536779</v>
          </cell>
        </row>
        <row r="36">
          <cell r="BJ36">
            <v>37920228</v>
          </cell>
        </row>
        <row r="37">
          <cell r="BJ37">
            <v>437646</v>
          </cell>
        </row>
        <row r="38">
          <cell r="BJ38">
            <v>2846187</v>
          </cell>
        </row>
        <row r="39">
          <cell r="BJ39">
            <v>7406838</v>
          </cell>
        </row>
        <row r="40">
          <cell r="BJ40">
            <v>1049334</v>
          </cell>
        </row>
        <row r="41">
          <cell r="BJ41">
            <v>5100234</v>
          </cell>
        </row>
        <row r="42">
          <cell r="BJ42">
            <v>19741454</v>
          </cell>
        </row>
        <row r="43">
          <cell r="BJ43">
            <v>7799972</v>
          </cell>
        </row>
        <row r="44">
          <cell r="BJ44">
            <v>4387060</v>
          </cell>
        </row>
        <row r="45">
          <cell r="BJ45">
            <v>22646009</v>
          </cell>
        </row>
        <row r="46">
          <cell r="BJ46">
            <v>5891551</v>
          </cell>
        </row>
        <row r="47">
          <cell r="BJ47">
            <v>1771987</v>
          </cell>
        </row>
        <row r="48">
          <cell r="BJ48">
            <v>13384935</v>
          </cell>
        </row>
        <row r="49">
          <cell r="BJ49">
            <v>15287236</v>
          </cell>
        </row>
        <row r="50">
          <cell r="BJ50">
            <v>14425273</v>
          </cell>
        </row>
        <row r="51">
          <cell r="BJ51">
            <v>20419045</v>
          </cell>
        </row>
        <row r="52">
          <cell r="BJ52">
            <v>3821562</v>
          </cell>
        </row>
        <row r="53">
          <cell r="BJ53">
            <v>9364847</v>
          </cell>
        </row>
        <row r="54">
          <cell r="BJ54">
            <v>19465693</v>
          </cell>
        </row>
        <row r="55">
          <cell r="BJ55">
            <v>10648017</v>
          </cell>
        </row>
        <row r="56">
          <cell r="BJ56">
            <v>28837907</v>
          </cell>
        </row>
        <row r="57">
          <cell r="BJ57">
            <v>22602579</v>
          </cell>
        </row>
        <row r="58">
          <cell r="BJ58">
            <v>11734841</v>
          </cell>
        </row>
        <row r="59">
          <cell r="BJ59">
            <v>1288194</v>
          </cell>
        </row>
        <row r="60">
          <cell r="BJ60">
            <v>6251956</v>
          </cell>
        </row>
        <row r="61">
          <cell r="BJ61">
            <v>1890156</v>
          </cell>
        </row>
        <row r="62">
          <cell r="BJ62">
            <v>10132937</v>
          </cell>
        </row>
        <row r="63">
          <cell r="BJ63">
            <v>10362948</v>
          </cell>
        </row>
        <row r="64">
          <cell r="BJ64">
            <v>14840528</v>
          </cell>
        </row>
        <row r="65">
          <cell r="BJ65">
            <v>6885921</v>
          </cell>
        </row>
        <row r="66">
          <cell r="BJ66">
            <v>5539556</v>
          </cell>
        </row>
        <row r="67">
          <cell r="BJ67">
            <v>7012363</v>
          </cell>
        </row>
        <row r="68">
          <cell r="BJ68">
            <v>2188607</v>
          </cell>
        </row>
        <row r="69">
          <cell r="BJ69">
            <v>6655579</v>
          </cell>
        </row>
        <row r="70">
          <cell r="BJ70">
            <v>13898759</v>
          </cell>
        </row>
        <row r="71">
          <cell r="BJ71">
            <v>2486490</v>
          </cell>
        </row>
        <row r="72">
          <cell r="BJ72">
            <v>11635751</v>
          </cell>
        </row>
        <row r="73">
          <cell r="BJ73">
            <v>20143251</v>
          </cell>
        </row>
        <row r="74">
          <cell r="BJ74">
            <v>18641571</v>
          </cell>
        </row>
        <row r="75">
          <cell r="BJ75">
            <v>7253138</v>
          </cell>
        </row>
        <row r="76">
          <cell r="BJ76">
            <v>4506256</v>
          </cell>
        </row>
        <row r="77">
          <cell r="BJ77">
            <v>3061312</v>
          </cell>
        </row>
        <row r="78">
          <cell r="BJ78">
            <v>1431526</v>
          </cell>
        </row>
        <row r="79">
          <cell r="BJ79">
            <v>12752100</v>
          </cell>
        </row>
        <row r="80">
          <cell r="BJ80">
            <v>6680877</v>
          </cell>
        </row>
      </sheetData>
      <sheetData sheetId="15" refreshError="1"/>
      <sheetData sheetId="16" refreshError="1"/>
      <sheetData sheetId="17" refreshError="1"/>
      <sheetData sheetId="18">
        <row r="9">
          <cell r="C9">
            <v>8462.5799850000003</v>
          </cell>
          <cell r="D9">
            <v>8462.5799850000003</v>
          </cell>
          <cell r="E9">
            <v>8734.1299999999992</v>
          </cell>
          <cell r="F9">
            <v>0</v>
          </cell>
          <cell r="I9">
            <v>0</v>
          </cell>
          <cell r="L9">
            <v>594.39</v>
          </cell>
          <cell r="M9">
            <v>594.39</v>
          </cell>
          <cell r="N9">
            <v>618.82999999999993</v>
          </cell>
          <cell r="O9">
            <v>0</v>
          </cell>
          <cell r="R9">
            <v>0</v>
          </cell>
          <cell r="U9">
            <v>324.98999999999995</v>
          </cell>
          <cell r="V9">
            <v>324.98999999999995</v>
          </cell>
          <cell r="W9">
            <v>344.32</v>
          </cell>
          <cell r="X9">
            <v>0</v>
          </cell>
          <cell r="AA9">
            <v>0</v>
          </cell>
        </row>
        <row r="10">
          <cell r="C10">
            <v>10900.098144</v>
          </cell>
          <cell r="D10">
            <v>10900.098144</v>
          </cell>
          <cell r="E10">
            <v>11292.81</v>
          </cell>
          <cell r="F10">
            <v>0</v>
          </cell>
          <cell r="I10">
            <v>0</v>
          </cell>
          <cell r="L10">
            <v>0</v>
          </cell>
          <cell r="M10">
            <v>0</v>
          </cell>
          <cell r="N10">
            <v>0</v>
          </cell>
          <cell r="O10">
            <v>0</v>
          </cell>
          <cell r="R10">
            <v>0</v>
          </cell>
          <cell r="U10">
            <v>0</v>
          </cell>
          <cell r="V10">
            <v>0</v>
          </cell>
          <cell r="W10">
            <v>0</v>
          </cell>
          <cell r="X10">
            <v>0</v>
          </cell>
          <cell r="AA10">
            <v>0</v>
          </cell>
        </row>
        <row r="11">
          <cell r="C11">
            <v>2350.0182699999996</v>
          </cell>
          <cell r="D11">
            <v>2350.0182699999996</v>
          </cell>
          <cell r="E11">
            <v>2509.5100000000002</v>
          </cell>
          <cell r="F11">
            <v>0</v>
          </cell>
          <cell r="I11">
            <v>0</v>
          </cell>
          <cell r="L11">
            <v>34.6</v>
          </cell>
          <cell r="M11">
            <v>34.6</v>
          </cell>
          <cell r="N11">
            <v>28.82</v>
          </cell>
          <cell r="O11">
            <v>0</v>
          </cell>
          <cell r="R11">
            <v>0</v>
          </cell>
          <cell r="U11">
            <v>0</v>
          </cell>
          <cell r="V11">
            <v>0</v>
          </cell>
          <cell r="W11">
            <v>0</v>
          </cell>
          <cell r="X11">
            <v>0</v>
          </cell>
          <cell r="AA11">
            <v>0</v>
          </cell>
        </row>
        <row r="12">
          <cell r="C12">
            <v>10107.219909000001</v>
          </cell>
          <cell r="D12">
            <v>10107.219909000001</v>
          </cell>
          <cell r="E12">
            <v>9632.32</v>
          </cell>
          <cell r="F12">
            <v>0</v>
          </cell>
          <cell r="I12">
            <v>-474.89990899999998</v>
          </cell>
          <cell r="L12">
            <v>1012.38</v>
          </cell>
          <cell r="M12">
            <v>1012.38</v>
          </cell>
          <cell r="N12">
            <v>1186.81</v>
          </cell>
          <cell r="O12">
            <v>0</v>
          </cell>
          <cell r="R12">
            <v>174.43</v>
          </cell>
          <cell r="U12">
            <v>23.35</v>
          </cell>
          <cell r="V12">
            <v>23.35</v>
          </cell>
          <cell r="W12">
            <v>16.149999999999999</v>
          </cell>
          <cell r="X12">
            <v>0</v>
          </cell>
          <cell r="AA12">
            <v>-7.2</v>
          </cell>
        </row>
        <row r="13">
          <cell r="C13">
            <v>9955.1899999999987</v>
          </cell>
          <cell r="D13">
            <v>9955.1899999999987</v>
          </cell>
          <cell r="E13">
            <v>10733.14</v>
          </cell>
          <cell r="F13">
            <v>755.591587</v>
          </cell>
          <cell r="I13">
            <v>0</v>
          </cell>
          <cell r="L13">
            <v>137.06</v>
          </cell>
          <cell r="M13">
            <v>137.06</v>
          </cell>
          <cell r="N13">
            <v>154.24</v>
          </cell>
          <cell r="O13">
            <v>0</v>
          </cell>
          <cell r="R13">
            <v>0</v>
          </cell>
          <cell r="U13">
            <v>0</v>
          </cell>
          <cell r="V13">
            <v>0</v>
          </cell>
          <cell r="W13">
            <v>0</v>
          </cell>
          <cell r="X13">
            <v>0</v>
          </cell>
          <cell r="AA13">
            <v>0</v>
          </cell>
        </row>
        <row r="14">
          <cell r="C14">
            <v>16014.783876000001</v>
          </cell>
          <cell r="D14">
            <v>16014.783876000001</v>
          </cell>
          <cell r="E14">
            <v>17021.16</v>
          </cell>
          <cell r="F14">
            <v>0</v>
          </cell>
          <cell r="I14">
            <v>0</v>
          </cell>
          <cell r="L14">
            <v>219.3</v>
          </cell>
          <cell r="M14">
            <v>219.3</v>
          </cell>
          <cell r="N14">
            <v>334.47</v>
          </cell>
          <cell r="O14">
            <v>0</v>
          </cell>
          <cell r="R14">
            <v>0</v>
          </cell>
          <cell r="U14">
            <v>198.1</v>
          </cell>
          <cell r="V14">
            <v>198.1</v>
          </cell>
          <cell r="W14">
            <v>125.51</v>
          </cell>
          <cell r="X14">
            <v>0</v>
          </cell>
          <cell r="AA14">
            <v>0</v>
          </cell>
        </row>
        <row r="15">
          <cell r="C15">
            <v>16355.729936000002</v>
          </cell>
          <cell r="D15">
            <v>16355.729936000002</v>
          </cell>
          <cell r="E15">
            <v>16761.36</v>
          </cell>
          <cell r="F15">
            <v>0</v>
          </cell>
          <cell r="I15">
            <v>0</v>
          </cell>
          <cell r="L15">
            <v>100.65</v>
          </cell>
          <cell r="M15">
            <v>100.65</v>
          </cell>
          <cell r="N15">
            <v>99.9</v>
          </cell>
          <cell r="O15">
            <v>0</v>
          </cell>
          <cell r="R15">
            <v>0</v>
          </cell>
          <cell r="U15">
            <v>0</v>
          </cell>
          <cell r="V15">
            <v>0</v>
          </cell>
          <cell r="W15">
            <v>0</v>
          </cell>
          <cell r="X15">
            <v>0</v>
          </cell>
          <cell r="AA15">
            <v>0</v>
          </cell>
        </row>
        <row r="16">
          <cell r="C16">
            <v>13680.449269999999</v>
          </cell>
          <cell r="D16">
            <v>13680.449269999999</v>
          </cell>
          <cell r="E16">
            <v>14251.65</v>
          </cell>
          <cell r="F16">
            <v>0</v>
          </cell>
          <cell r="I16">
            <v>0</v>
          </cell>
          <cell r="L16">
            <v>336.87</v>
          </cell>
          <cell r="M16">
            <v>336.87</v>
          </cell>
          <cell r="N16">
            <v>314.25</v>
          </cell>
          <cell r="O16">
            <v>0</v>
          </cell>
          <cell r="R16">
            <v>0</v>
          </cell>
          <cell r="U16">
            <v>0</v>
          </cell>
          <cell r="V16">
            <v>0</v>
          </cell>
          <cell r="W16">
            <v>0</v>
          </cell>
          <cell r="X16">
            <v>0</v>
          </cell>
          <cell r="AA16">
            <v>0</v>
          </cell>
        </row>
        <row r="17">
          <cell r="C17">
            <v>10659.057654</v>
          </cell>
          <cell r="D17">
            <v>10659.057654</v>
          </cell>
          <cell r="E17">
            <v>11323.51</v>
          </cell>
          <cell r="F17">
            <v>0</v>
          </cell>
          <cell r="I17">
            <v>0</v>
          </cell>
          <cell r="L17">
            <v>260.43</v>
          </cell>
          <cell r="M17">
            <v>260.43</v>
          </cell>
          <cell r="N17">
            <v>308.69</v>
          </cell>
          <cell r="O17">
            <v>0</v>
          </cell>
          <cell r="R17">
            <v>0</v>
          </cell>
          <cell r="U17">
            <v>0</v>
          </cell>
          <cell r="V17">
            <v>0</v>
          </cell>
          <cell r="W17">
            <v>26.94</v>
          </cell>
          <cell r="X17">
            <v>0</v>
          </cell>
          <cell r="AA17">
            <v>0</v>
          </cell>
        </row>
        <row r="18">
          <cell r="C18">
            <v>32372.949943999996</v>
          </cell>
          <cell r="D18">
            <v>32372.949943999996</v>
          </cell>
          <cell r="E18">
            <v>32431.1</v>
          </cell>
          <cell r="F18">
            <v>0</v>
          </cell>
          <cell r="I18">
            <v>0</v>
          </cell>
          <cell r="L18">
            <v>249.49</v>
          </cell>
          <cell r="M18">
            <v>249.49</v>
          </cell>
          <cell r="N18">
            <v>209.29</v>
          </cell>
          <cell r="O18">
            <v>0</v>
          </cell>
          <cell r="R18">
            <v>0</v>
          </cell>
          <cell r="U18">
            <v>0</v>
          </cell>
          <cell r="V18">
            <v>0</v>
          </cell>
          <cell r="W18">
            <v>0</v>
          </cell>
          <cell r="X18">
            <v>0</v>
          </cell>
          <cell r="AA18">
            <v>0</v>
          </cell>
        </row>
        <row r="19">
          <cell r="C19">
            <v>6037.1999770000011</v>
          </cell>
          <cell r="D19">
            <v>6037.1999770000011</v>
          </cell>
          <cell r="E19">
            <v>5827.7</v>
          </cell>
          <cell r="F19">
            <v>0</v>
          </cell>
          <cell r="I19">
            <v>-209.499977</v>
          </cell>
          <cell r="L19">
            <v>22.8</v>
          </cell>
          <cell r="M19">
            <v>22.8</v>
          </cell>
          <cell r="N19">
            <v>32.299999999999997</v>
          </cell>
          <cell r="O19">
            <v>0</v>
          </cell>
          <cell r="R19">
            <v>9.5</v>
          </cell>
          <cell r="U19">
            <v>0</v>
          </cell>
          <cell r="V19">
            <v>0</v>
          </cell>
          <cell r="W19">
            <v>0</v>
          </cell>
          <cell r="X19">
            <v>0</v>
          </cell>
          <cell r="AA19">
            <v>0</v>
          </cell>
        </row>
        <row r="20">
          <cell r="C20">
            <v>28702.122634000003</v>
          </cell>
          <cell r="D20">
            <v>28702.122634000003</v>
          </cell>
          <cell r="E20">
            <v>28259.66</v>
          </cell>
          <cell r="F20">
            <v>0</v>
          </cell>
          <cell r="I20">
            <v>-442.46263399999998</v>
          </cell>
          <cell r="L20">
            <v>71.05</v>
          </cell>
          <cell r="M20">
            <v>71.05</v>
          </cell>
          <cell r="N20">
            <v>108.13</v>
          </cell>
          <cell r="O20">
            <v>0</v>
          </cell>
          <cell r="R20">
            <v>37.08</v>
          </cell>
          <cell r="U20">
            <v>0</v>
          </cell>
          <cell r="V20">
            <v>0</v>
          </cell>
          <cell r="W20">
            <v>0</v>
          </cell>
          <cell r="X20">
            <v>0</v>
          </cell>
          <cell r="AA20">
            <v>0</v>
          </cell>
        </row>
        <row r="21">
          <cell r="C21">
            <v>1410.7800000000002</v>
          </cell>
          <cell r="D21">
            <v>1410.7800000000002</v>
          </cell>
          <cell r="E21">
            <v>1400.67</v>
          </cell>
          <cell r="F21">
            <v>0</v>
          </cell>
          <cell r="I21">
            <v>-10.11</v>
          </cell>
          <cell r="L21">
            <v>60.620000000000005</v>
          </cell>
          <cell r="M21">
            <v>60.620000000000005</v>
          </cell>
          <cell r="N21">
            <v>71.290000000000006</v>
          </cell>
          <cell r="O21">
            <v>0</v>
          </cell>
          <cell r="R21">
            <v>10.67</v>
          </cell>
          <cell r="U21">
            <v>3.8100000000000005</v>
          </cell>
          <cell r="V21">
            <v>3.8100000000000005</v>
          </cell>
          <cell r="W21">
            <v>0</v>
          </cell>
          <cell r="X21">
            <v>0</v>
          </cell>
          <cell r="AA21">
            <v>-3.81</v>
          </cell>
        </row>
        <row r="22">
          <cell r="C22">
            <v>6750.0022090000002</v>
          </cell>
          <cell r="D22">
            <v>6750.0022090000002</v>
          </cell>
          <cell r="E22">
            <v>6729.65</v>
          </cell>
          <cell r="F22">
            <v>0</v>
          </cell>
          <cell r="I22">
            <v>-20.352208999999998</v>
          </cell>
          <cell r="L22">
            <v>25.620000000000005</v>
          </cell>
          <cell r="M22">
            <v>25.620000000000005</v>
          </cell>
          <cell r="N22">
            <v>234.49</v>
          </cell>
          <cell r="O22">
            <v>0</v>
          </cell>
          <cell r="R22">
            <v>208.87</v>
          </cell>
          <cell r="U22">
            <v>577.73</v>
          </cell>
          <cell r="V22">
            <v>577.73</v>
          </cell>
          <cell r="W22">
            <v>271.7</v>
          </cell>
          <cell r="X22">
            <v>0</v>
          </cell>
          <cell r="AA22">
            <v>-306.02999999999997</v>
          </cell>
        </row>
        <row r="23">
          <cell r="C23">
            <v>18461.860017999999</v>
          </cell>
          <cell r="D23">
            <v>18461.860017999999</v>
          </cell>
          <cell r="E23">
            <v>19137.46</v>
          </cell>
          <cell r="F23">
            <v>0</v>
          </cell>
          <cell r="I23">
            <v>0</v>
          </cell>
          <cell r="L23">
            <v>8.14</v>
          </cell>
          <cell r="M23">
            <v>8.14</v>
          </cell>
          <cell r="N23">
            <v>25.54</v>
          </cell>
          <cell r="O23">
            <v>0</v>
          </cell>
          <cell r="R23">
            <v>0</v>
          </cell>
          <cell r="U23">
            <v>0</v>
          </cell>
          <cell r="V23">
            <v>0</v>
          </cell>
          <cell r="W23">
            <v>0</v>
          </cell>
          <cell r="X23">
            <v>0</v>
          </cell>
          <cell r="AA23">
            <v>0</v>
          </cell>
        </row>
        <row r="24">
          <cell r="C24">
            <v>1449.389938</v>
          </cell>
          <cell r="D24">
            <v>1449.389938</v>
          </cell>
          <cell r="E24">
            <v>1474.21</v>
          </cell>
          <cell r="F24">
            <v>24.820018000000001</v>
          </cell>
          <cell r="I24">
            <v>0</v>
          </cell>
          <cell r="L24">
            <v>107.770179</v>
          </cell>
          <cell r="M24">
            <v>107.770179</v>
          </cell>
          <cell r="N24">
            <v>79.059999999999988</v>
          </cell>
          <cell r="O24">
            <v>0</v>
          </cell>
          <cell r="R24">
            <v>0</v>
          </cell>
          <cell r="U24">
            <v>0</v>
          </cell>
          <cell r="V24">
            <v>0</v>
          </cell>
          <cell r="W24">
            <v>69.89</v>
          </cell>
          <cell r="X24">
            <v>45.506787000000003</v>
          </cell>
          <cell r="AA24">
            <v>0</v>
          </cell>
        </row>
        <row r="25">
          <cell r="C25">
            <v>27115.14</v>
          </cell>
          <cell r="D25">
            <v>27115.14</v>
          </cell>
          <cell r="E25">
            <v>26593.3</v>
          </cell>
          <cell r="F25">
            <v>0</v>
          </cell>
          <cell r="I25">
            <v>-521.84</v>
          </cell>
          <cell r="L25">
            <v>200.10999999999999</v>
          </cell>
          <cell r="M25">
            <v>200.10999999999999</v>
          </cell>
          <cell r="N25">
            <v>318.31</v>
          </cell>
          <cell r="O25">
            <v>0</v>
          </cell>
          <cell r="R25">
            <v>118.2</v>
          </cell>
          <cell r="U25">
            <v>126.03</v>
          </cell>
          <cell r="V25">
            <v>126.03</v>
          </cell>
          <cell r="W25">
            <v>13.66</v>
          </cell>
          <cell r="X25">
            <v>0</v>
          </cell>
          <cell r="AA25">
            <v>-112.37</v>
          </cell>
        </row>
        <row r="26">
          <cell r="C26">
            <v>4598.7825380000013</v>
          </cell>
          <cell r="D26">
            <v>4598.7825380000013</v>
          </cell>
          <cell r="E26">
            <v>4812.38</v>
          </cell>
          <cell r="F26">
            <v>0</v>
          </cell>
          <cell r="I26">
            <v>0</v>
          </cell>
          <cell r="L26">
            <v>516.49999999999989</v>
          </cell>
          <cell r="M26">
            <v>516.49999999999989</v>
          </cell>
          <cell r="N26">
            <v>480.09</v>
          </cell>
          <cell r="O26">
            <v>0</v>
          </cell>
          <cell r="R26">
            <v>0</v>
          </cell>
          <cell r="U26">
            <v>59.71</v>
          </cell>
          <cell r="V26">
            <v>59.71</v>
          </cell>
          <cell r="W26">
            <v>27.74</v>
          </cell>
          <cell r="X26">
            <v>0</v>
          </cell>
          <cell r="AA26">
            <v>0</v>
          </cell>
        </row>
        <row r="27">
          <cell r="C27">
            <v>12507.870091999999</v>
          </cell>
          <cell r="D27">
            <v>12507.870091999999</v>
          </cell>
          <cell r="E27">
            <v>11918.4</v>
          </cell>
          <cell r="F27">
            <v>0</v>
          </cell>
          <cell r="I27">
            <v>-589.47009200000002</v>
          </cell>
          <cell r="L27">
            <v>361.36000000000018</v>
          </cell>
          <cell r="M27">
            <v>361.36000000000018</v>
          </cell>
          <cell r="N27">
            <v>187.9699999999998</v>
          </cell>
          <cell r="O27">
            <v>0</v>
          </cell>
          <cell r="R27">
            <v>-173.39</v>
          </cell>
          <cell r="U27">
            <v>2422.29</v>
          </cell>
          <cell r="V27">
            <v>2422.29</v>
          </cell>
          <cell r="W27">
            <v>2681.59</v>
          </cell>
          <cell r="X27">
            <v>0</v>
          </cell>
          <cell r="AA27">
            <v>259.3</v>
          </cell>
        </row>
        <row r="28">
          <cell r="C28">
            <v>17364.116989000006</v>
          </cell>
          <cell r="D28">
            <v>17364.116989000006</v>
          </cell>
          <cell r="E28">
            <v>18109.52</v>
          </cell>
          <cell r="F28">
            <v>0</v>
          </cell>
          <cell r="I28">
            <v>0</v>
          </cell>
          <cell r="L28">
            <v>109.51</v>
          </cell>
          <cell r="M28">
            <v>109.51</v>
          </cell>
          <cell r="N28">
            <v>83.02</v>
          </cell>
          <cell r="O28">
            <v>0</v>
          </cell>
          <cell r="R28">
            <v>0</v>
          </cell>
          <cell r="U28">
            <v>0</v>
          </cell>
          <cell r="V28">
            <v>0</v>
          </cell>
          <cell r="W28">
            <v>0</v>
          </cell>
          <cell r="X28">
            <v>0</v>
          </cell>
          <cell r="AA28">
            <v>0</v>
          </cell>
        </row>
        <row r="29">
          <cell r="C29">
            <v>6711.4916700000003</v>
          </cell>
          <cell r="D29">
            <v>6711.4916700000003</v>
          </cell>
          <cell r="E29">
            <v>7120.65</v>
          </cell>
          <cell r="F29">
            <v>0</v>
          </cell>
          <cell r="I29">
            <v>0</v>
          </cell>
          <cell r="L29">
            <v>4.6500000000000004</v>
          </cell>
          <cell r="M29">
            <v>4.6500000000000004</v>
          </cell>
          <cell r="N29">
            <v>13.58</v>
          </cell>
          <cell r="O29">
            <v>0</v>
          </cell>
          <cell r="R29">
            <v>0</v>
          </cell>
          <cell r="U29">
            <v>0</v>
          </cell>
          <cell r="V29">
            <v>0</v>
          </cell>
          <cell r="W29">
            <v>0</v>
          </cell>
          <cell r="X29">
            <v>0</v>
          </cell>
          <cell r="AA29">
            <v>0</v>
          </cell>
        </row>
        <row r="30">
          <cell r="C30">
            <v>6579.4900150000003</v>
          </cell>
          <cell r="D30">
            <v>6579.4900150000003</v>
          </cell>
          <cell r="E30">
            <v>6817.81</v>
          </cell>
          <cell r="F30">
            <v>0</v>
          </cell>
          <cell r="I30">
            <v>0</v>
          </cell>
          <cell r="L30">
            <v>33.299999999999997</v>
          </cell>
          <cell r="M30">
            <v>33.299999999999997</v>
          </cell>
          <cell r="N30">
            <v>47.72</v>
          </cell>
          <cell r="O30">
            <v>0</v>
          </cell>
          <cell r="R30">
            <v>0</v>
          </cell>
          <cell r="U30">
            <v>12.21</v>
          </cell>
          <cell r="V30">
            <v>12.21</v>
          </cell>
          <cell r="W30">
            <v>7.9</v>
          </cell>
          <cell r="X30">
            <v>0</v>
          </cell>
          <cell r="AA30">
            <v>0</v>
          </cell>
        </row>
        <row r="31">
          <cell r="C31">
            <v>18897.632278000001</v>
          </cell>
          <cell r="D31">
            <v>18897.632278000001</v>
          </cell>
          <cell r="E31">
            <v>19123.07</v>
          </cell>
          <cell r="F31">
            <v>0</v>
          </cell>
          <cell r="I31">
            <v>0</v>
          </cell>
          <cell r="L31">
            <v>41.48</v>
          </cell>
          <cell r="M31">
            <v>41.48</v>
          </cell>
          <cell r="N31">
            <v>51.88</v>
          </cell>
          <cell r="O31">
            <v>0</v>
          </cell>
          <cell r="R31">
            <v>0</v>
          </cell>
          <cell r="U31">
            <v>0</v>
          </cell>
          <cell r="V31">
            <v>0</v>
          </cell>
          <cell r="W31">
            <v>0</v>
          </cell>
          <cell r="X31">
            <v>0</v>
          </cell>
          <cell r="AA31">
            <v>0</v>
          </cell>
        </row>
        <row r="32">
          <cell r="C32">
            <v>1574.02</v>
          </cell>
          <cell r="D32">
            <v>1574.02</v>
          </cell>
          <cell r="E32">
            <v>1677.97</v>
          </cell>
          <cell r="F32">
            <v>96.086252000000002</v>
          </cell>
          <cell r="I32">
            <v>0</v>
          </cell>
          <cell r="L32">
            <v>61.669898000000003</v>
          </cell>
          <cell r="M32">
            <v>61.669898000000003</v>
          </cell>
          <cell r="N32">
            <v>57.930000000000007</v>
          </cell>
          <cell r="O32">
            <v>0</v>
          </cell>
          <cell r="R32">
            <v>0</v>
          </cell>
          <cell r="U32">
            <v>32.980004999999998</v>
          </cell>
          <cell r="V32">
            <v>32.980004999999998</v>
          </cell>
          <cell r="W32">
            <v>25.05</v>
          </cell>
          <cell r="X32">
            <v>0</v>
          </cell>
          <cell r="AA32">
            <v>0</v>
          </cell>
        </row>
        <row r="33">
          <cell r="C33">
            <v>1341.56</v>
          </cell>
          <cell r="D33">
            <v>1341.56</v>
          </cell>
          <cell r="E33">
            <v>1648.73</v>
          </cell>
          <cell r="F33">
            <v>293.57986799999998</v>
          </cell>
          <cell r="I33">
            <v>0</v>
          </cell>
          <cell r="L33">
            <v>74.81</v>
          </cell>
          <cell r="M33">
            <v>74.81</v>
          </cell>
          <cell r="N33">
            <v>52.21</v>
          </cell>
          <cell r="O33">
            <v>0</v>
          </cell>
          <cell r="R33">
            <v>0</v>
          </cell>
          <cell r="U33">
            <v>0</v>
          </cell>
          <cell r="V33">
            <v>0</v>
          </cell>
          <cell r="W33">
            <v>0</v>
          </cell>
          <cell r="X33">
            <v>0</v>
          </cell>
          <cell r="AA33">
            <v>0</v>
          </cell>
        </row>
        <row r="34">
          <cell r="C34">
            <v>19675.759945000002</v>
          </cell>
          <cell r="D34">
            <v>19675.759945000002</v>
          </cell>
          <cell r="E34">
            <v>19922.55</v>
          </cell>
          <cell r="F34">
            <v>0</v>
          </cell>
          <cell r="I34">
            <v>0</v>
          </cell>
          <cell r="L34">
            <v>137.01</v>
          </cell>
          <cell r="M34">
            <v>137.01</v>
          </cell>
          <cell r="N34">
            <v>157</v>
          </cell>
          <cell r="O34">
            <v>0</v>
          </cell>
          <cell r="R34">
            <v>0</v>
          </cell>
          <cell r="U34">
            <v>97.36</v>
          </cell>
          <cell r="V34">
            <v>97.36</v>
          </cell>
          <cell r="W34">
            <v>227.63</v>
          </cell>
          <cell r="X34">
            <v>0</v>
          </cell>
          <cell r="AA34">
            <v>0</v>
          </cell>
        </row>
        <row r="35">
          <cell r="C35">
            <v>94583.259051999994</v>
          </cell>
          <cell r="D35">
            <v>94583.259051999994</v>
          </cell>
          <cell r="E35">
            <v>100542.22</v>
          </cell>
          <cell r="F35">
            <v>0</v>
          </cell>
          <cell r="I35">
            <v>0</v>
          </cell>
          <cell r="L35">
            <v>1934.4199999999996</v>
          </cell>
          <cell r="M35">
            <v>1934.4199999999996</v>
          </cell>
          <cell r="N35">
            <v>2290.7300000000005</v>
          </cell>
          <cell r="O35">
            <v>0</v>
          </cell>
          <cell r="R35">
            <v>0</v>
          </cell>
          <cell r="U35">
            <v>2909.02</v>
          </cell>
          <cell r="V35">
            <v>2909.02</v>
          </cell>
          <cell r="W35">
            <v>3110.2</v>
          </cell>
          <cell r="X35">
            <v>0</v>
          </cell>
          <cell r="AA35">
            <v>0</v>
          </cell>
        </row>
        <row r="36">
          <cell r="C36">
            <v>50013.024931</v>
          </cell>
          <cell r="D36">
            <v>50013.024931</v>
          </cell>
          <cell r="E36">
            <v>51867.93</v>
          </cell>
          <cell r="F36">
            <v>0</v>
          </cell>
          <cell r="I36">
            <v>0</v>
          </cell>
          <cell r="L36">
            <v>20.34</v>
          </cell>
          <cell r="M36">
            <v>20.34</v>
          </cell>
          <cell r="N36">
            <v>298.93</v>
          </cell>
          <cell r="O36">
            <v>0</v>
          </cell>
          <cell r="R36">
            <v>0</v>
          </cell>
          <cell r="U36">
            <v>0</v>
          </cell>
          <cell r="V36">
            <v>0</v>
          </cell>
          <cell r="W36">
            <v>0</v>
          </cell>
          <cell r="X36">
            <v>0</v>
          </cell>
          <cell r="AA36">
            <v>0</v>
          </cell>
        </row>
        <row r="37">
          <cell r="C37">
            <v>4133.5899999999992</v>
          </cell>
          <cell r="D37">
            <v>4133.5899999999992</v>
          </cell>
          <cell r="E37">
            <v>3736.02</v>
          </cell>
          <cell r="F37">
            <v>0</v>
          </cell>
          <cell r="I37">
            <v>-397.57</v>
          </cell>
          <cell r="L37">
            <v>232.45</v>
          </cell>
          <cell r="M37">
            <v>232.45</v>
          </cell>
          <cell r="N37">
            <v>166.96</v>
          </cell>
          <cell r="O37">
            <v>0</v>
          </cell>
          <cell r="R37">
            <v>-65.489999999999995</v>
          </cell>
          <cell r="U37">
            <v>0</v>
          </cell>
          <cell r="V37">
            <v>0</v>
          </cell>
          <cell r="W37">
            <v>0</v>
          </cell>
          <cell r="X37">
            <v>0</v>
          </cell>
          <cell r="AA37">
            <v>0</v>
          </cell>
        </row>
        <row r="38">
          <cell r="C38">
            <v>2254.2300000000005</v>
          </cell>
          <cell r="D38">
            <v>2254.2300000000005</v>
          </cell>
          <cell r="E38">
            <v>2571.08</v>
          </cell>
          <cell r="F38">
            <v>315.74713700000001</v>
          </cell>
          <cell r="I38">
            <v>0</v>
          </cell>
          <cell r="L38">
            <v>35.14</v>
          </cell>
          <cell r="M38">
            <v>35.14</v>
          </cell>
          <cell r="N38">
            <v>40.499999999999993</v>
          </cell>
          <cell r="O38">
            <v>0</v>
          </cell>
          <cell r="R38">
            <v>0</v>
          </cell>
          <cell r="U38">
            <v>54.6</v>
          </cell>
          <cell r="V38">
            <v>54.6</v>
          </cell>
          <cell r="W38">
            <v>48.49</v>
          </cell>
          <cell r="X38">
            <v>0</v>
          </cell>
          <cell r="AA38">
            <v>0</v>
          </cell>
        </row>
        <row r="39">
          <cell r="C39">
            <v>8446.0499570000011</v>
          </cell>
          <cell r="D39">
            <v>8446.0499570000011</v>
          </cell>
          <cell r="E39">
            <v>8867.09</v>
          </cell>
          <cell r="F39">
            <v>0</v>
          </cell>
          <cell r="I39">
            <v>0</v>
          </cell>
          <cell r="L39">
            <v>313.08000000000004</v>
          </cell>
          <cell r="M39">
            <v>313.08000000000004</v>
          </cell>
          <cell r="N39">
            <v>283.75</v>
          </cell>
          <cell r="O39">
            <v>0</v>
          </cell>
          <cell r="R39">
            <v>0</v>
          </cell>
          <cell r="U39">
            <v>641.54</v>
          </cell>
          <cell r="V39">
            <v>641.54</v>
          </cell>
          <cell r="W39">
            <v>602.28</v>
          </cell>
          <cell r="X39">
            <v>0</v>
          </cell>
          <cell r="AA39">
            <v>0</v>
          </cell>
        </row>
        <row r="40">
          <cell r="C40">
            <v>9909.7204500000007</v>
          </cell>
          <cell r="D40">
            <v>9909.7204500000007</v>
          </cell>
          <cell r="E40">
            <v>10110.33</v>
          </cell>
          <cell r="F40">
            <v>0</v>
          </cell>
          <cell r="I40">
            <v>0</v>
          </cell>
          <cell r="L40">
            <v>736.46</v>
          </cell>
          <cell r="M40">
            <v>736.46</v>
          </cell>
          <cell r="N40">
            <v>655.23</v>
          </cell>
          <cell r="O40">
            <v>0</v>
          </cell>
          <cell r="R40">
            <v>0</v>
          </cell>
          <cell r="U40">
            <v>0</v>
          </cell>
          <cell r="V40">
            <v>0</v>
          </cell>
          <cell r="W40">
            <v>0</v>
          </cell>
          <cell r="X40">
            <v>0</v>
          </cell>
          <cell r="AA40">
            <v>0</v>
          </cell>
        </row>
        <row r="41">
          <cell r="C41">
            <v>6032.0300000000007</v>
          </cell>
          <cell r="D41">
            <v>6032.0300000000007</v>
          </cell>
          <cell r="E41">
            <v>6045.74</v>
          </cell>
          <cell r="F41">
            <v>0</v>
          </cell>
          <cell r="I41">
            <v>13.71</v>
          </cell>
          <cell r="L41">
            <v>381.21999999999991</v>
          </cell>
          <cell r="M41">
            <v>381.21999999999991</v>
          </cell>
          <cell r="N41">
            <v>336.91</v>
          </cell>
          <cell r="O41">
            <v>0</v>
          </cell>
          <cell r="R41">
            <v>-44.31</v>
          </cell>
          <cell r="U41">
            <v>110.53999999999999</v>
          </cell>
          <cell r="V41">
            <v>110.53999999999999</v>
          </cell>
          <cell r="W41">
            <v>120.33</v>
          </cell>
          <cell r="X41">
            <v>0</v>
          </cell>
          <cell r="AA41">
            <v>9.7899999999999991</v>
          </cell>
        </row>
        <row r="42">
          <cell r="C42">
            <v>23273.653476</v>
          </cell>
          <cell r="D42">
            <v>23273.653476</v>
          </cell>
          <cell r="E42">
            <v>25291.200000000001</v>
          </cell>
          <cell r="F42">
            <v>0</v>
          </cell>
          <cell r="I42">
            <v>0</v>
          </cell>
          <cell r="L42">
            <v>1902.6399999999999</v>
          </cell>
          <cell r="M42">
            <v>1902.6399999999999</v>
          </cell>
          <cell r="N42">
            <v>2820.43</v>
          </cell>
          <cell r="O42">
            <v>0</v>
          </cell>
          <cell r="R42">
            <v>0</v>
          </cell>
          <cell r="U42">
            <v>3696.35</v>
          </cell>
          <cell r="V42">
            <v>3696.35</v>
          </cell>
          <cell r="W42">
            <v>3122.28</v>
          </cell>
          <cell r="X42">
            <v>0</v>
          </cell>
          <cell r="AA42">
            <v>0</v>
          </cell>
        </row>
        <row r="43">
          <cell r="C43">
            <v>9562.399288999999</v>
          </cell>
          <cell r="D43">
            <v>9562.399288999999</v>
          </cell>
          <cell r="E43">
            <v>10415.129999999999</v>
          </cell>
          <cell r="F43">
            <v>0</v>
          </cell>
          <cell r="I43">
            <v>0</v>
          </cell>
          <cell r="L43">
            <v>376</v>
          </cell>
          <cell r="M43">
            <v>376</v>
          </cell>
          <cell r="N43">
            <v>423.01000000000005</v>
          </cell>
          <cell r="O43">
            <v>0</v>
          </cell>
          <cell r="R43">
            <v>0</v>
          </cell>
          <cell r="U43">
            <v>190.01000000000002</v>
          </cell>
          <cell r="V43">
            <v>190.01000000000002</v>
          </cell>
          <cell r="W43">
            <v>150.06</v>
          </cell>
          <cell r="X43">
            <v>0</v>
          </cell>
          <cell r="AA43">
            <v>0</v>
          </cell>
        </row>
        <row r="44">
          <cell r="C44">
            <v>5031.8799999999992</v>
          </cell>
          <cell r="D44">
            <v>5031.8799999999992</v>
          </cell>
          <cell r="E44">
            <v>5160.72</v>
          </cell>
          <cell r="F44">
            <v>22.508379000000001</v>
          </cell>
          <cell r="I44">
            <v>0</v>
          </cell>
          <cell r="L44">
            <v>399.38</v>
          </cell>
          <cell r="M44">
            <v>399.38</v>
          </cell>
          <cell r="N44">
            <v>490.93</v>
          </cell>
          <cell r="O44">
            <v>0</v>
          </cell>
          <cell r="R44">
            <v>0</v>
          </cell>
          <cell r="U44">
            <v>16.25</v>
          </cell>
          <cell r="V44">
            <v>16.25</v>
          </cell>
          <cell r="W44">
            <v>0</v>
          </cell>
          <cell r="X44">
            <v>0</v>
          </cell>
          <cell r="AA44">
            <v>0</v>
          </cell>
        </row>
        <row r="45">
          <cell r="C45">
            <v>27227.084145000001</v>
          </cell>
          <cell r="D45">
            <v>27227.084145000001</v>
          </cell>
          <cell r="E45">
            <v>30657.42</v>
          </cell>
          <cell r="F45">
            <v>0</v>
          </cell>
          <cell r="I45">
            <v>0</v>
          </cell>
          <cell r="L45">
            <v>2482.6499999999996</v>
          </cell>
          <cell r="M45">
            <v>2482.6499999999996</v>
          </cell>
          <cell r="N45">
            <v>2819.8900000000003</v>
          </cell>
          <cell r="O45">
            <v>0</v>
          </cell>
          <cell r="R45">
            <v>0</v>
          </cell>
          <cell r="U45">
            <v>3407.0800000000004</v>
          </cell>
          <cell r="V45">
            <v>3407.0800000000004</v>
          </cell>
          <cell r="W45">
            <v>3365.62</v>
          </cell>
          <cell r="X45">
            <v>0</v>
          </cell>
          <cell r="AA45">
            <v>0</v>
          </cell>
        </row>
        <row r="46">
          <cell r="C46">
            <v>7886.529939</v>
          </cell>
          <cell r="D46">
            <v>7886.529939</v>
          </cell>
          <cell r="E46">
            <v>8063.37</v>
          </cell>
          <cell r="F46">
            <v>0</v>
          </cell>
          <cell r="I46">
            <v>0</v>
          </cell>
          <cell r="L46">
            <v>1.71</v>
          </cell>
          <cell r="M46">
            <v>1.71</v>
          </cell>
          <cell r="N46">
            <v>0</v>
          </cell>
          <cell r="O46">
            <v>0</v>
          </cell>
          <cell r="R46">
            <v>0</v>
          </cell>
          <cell r="U46">
            <v>0</v>
          </cell>
          <cell r="V46">
            <v>0</v>
          </cell>
          <cell r="W46">
            <v>0</v>
          </cell>
          <cell r="X46">
            <v>0</v>
          </cell>
          <cell r="AA46">
            <v>0</v>
          </cell>
        </row>
        <row r="47">
          <cell r="C47">
            <v>1362.12</v>
          </cell>
          <cell r="D47">
            <v>1362.12</v>
          </cell>
          <cell r="E47">
            <v>1675.79</v>
          </cell>
          <cell r="F47">
            <v>313.67010499999998</v>
          </cell>
          <cell r="I47">
            <v>0</v>
          </cell>
          <cell r="L47">
            <v>39.72</v>
          </cell>
          <cell r="M47">
            <v>39.72</v>
          </cell>
          <cell r="N47">
            <v>108.97</v>
          </cell>
          <cell r="O47">
            <v>69.250060000000005</v>
          </cell>
          <cell r="R47">
            <v>0</v>
          </cell>
          <cell r="U47">
            <v>0</v>
          </cell>
          <cell r="V47">
            <v>0</v>
          </cell>
          <cell r="W47">
            <v>0</v>
          </cell>
          <cell r="X47">
            <v>0</v>
          </cell>
          <cell r="AA47">
            <v>0</v>
          </cell>
        </row>
        <row r="48">
          <cell r="C48">
            <v>17940.299956000003</v>
          </cell>
          <cell r="D48">
            <v>17940.299956000003</v>
          </cell>
          <cell r="E48">
            <v>18477.32</v>
          </cell>
          <cell r="F48">
            <v>0</v>
          </cell>
          <cell r="I48">
            <v>0</v>
          </cell>
          <cell r="L48">
            <v>331.44</v>
          </cell>
          <cell r="M48">
            <v>331.44</v>
          </cell>
          <cell r="N48">
            <v>327.02</v>
          </cell>
          <cell r="O48">
            <v>0</v>
          </cell>
          <cell r="R48">
            <v>0</v>
          </cell>
          <cell r="U48">
            <v>530.63</v>
          </cell>
          <cell r="V48">
            <v>530.63</v>
          </cell>
          <cell r="W48">
            <v>516.11</v>
          </cell>
          <cell r="X48">
            <v>0</v>
          </cell>
          <cell r="AA48">
            <v>0</v>
          </cell>
        </row>
        <row r="49">
          <cell r="C49">
            <v>20071.799942000001</v>
          </cell>
          <cell r="D49">
            <v>20071.799942000001</v>
          </cell>
          <cell r="E49">
            <v>21676.84</v>
          </cell>
          <cell r="F49">
            <v>0</v>
          </cell>
          <cell r="I49">
            <v>0</v>
          </cell>
          <cell r="L49">
            <v>471.36</v>
          </cell>
          <cell r="M49">
            <v>471.36</v>
          </cell>
          <cell r="N49">
            <v>666.73</v>
          </cell>
          <cell r="O49">
            <v>0</v>
          </cell>
          <cell r="R49">
            <v>0</v>
          </cell>
          <cell r="U49">
            <v>583.61999999999989</v>
          </cell>
          <cell r="V49">
            <v>583.61999999999989</v>
          </cell>
          <cell r="W49">
            <v>313.43</v>
          </cell>
          <cell r="X49">
            <v>0</v>
          </cell>
          <cell r="AA49">
            <v>0</v>
          </cell>
        </row>
        <row r="50">
          <cell r="C50">
            <v>18601.130083</v>
          </cell>
          <cell r="D50">
            <v>18601.130083</v>
          </cell>
          <cell r="E50">
            <v>19316.759999999998</v>
          </cell>
          <cell r="F50">
            <v>0</v>
          </cell>
          <cell r="I50">
            <v>0</v>
          </cell>
          <cell r="L50">
            <v>40.92</v>
          </cell>
          <cell r="M50">
            <v>40.92</v>
          </cell>
          <cell r="N50">
            <v>38.590000000000003</v>
          </cell>
          <cell r="O50">
            <v>0</v>
          </cell>
          <cell r="R50">
            <v>0</v>
          </cell>
          <cell r="U50">
            <v>0</v>
          </cell>
          <cell r="V50">
            <v>0</v>
          </cell>
          <cell r="W50">
            <v>0</v>
          </cell>
          <cell r="X50">
            <v>0</v>
          </cell>
          <cell r="AA50">
            <v>0</v>
          </cell>
        </row>
        <row r="51">
          <cell r="C51">
            <v>22287.799956000003</v>
          </cell>
          <cell r="D51">
            <v>22287.799956000003</v>
          </cell>
          <cell r="E51">
            <v>22700.45</v>
          </cell>
          <cell r="F51">
            <v>0</v>
          </cell>
          <cell r="I51">
            <v>0</v>
          </cell>
          <cell r="L51">
            <v>391.28999999999996</v>
          </cell>
          <cell r="M51">
            <v>391.28999999999996</v>
          </cell>
          <cell r="N51">
            <v>718.77000000000044</v>
          </cell>
          <cell r="O51">
            <v>0</v>
          </cell>
          <cell r="R51">
            <v>0</v>
          </cell>
          <cell r="U51">
            <v>6009.84</v>
          </cell>
          <cell r="V51">
            <v>6009.84</v>
          </cell>
          <cell r="W51">
            <v>5795.41</v>
          </cell>
          <cell r="X51">
            <v>0</v>
          </cell>
          <cell r="AA51">
            <v>0</v>
          </cell>
        </row>
        <row r="52">
          <cell r="C52">
            <v>3759.9799999999996</v>
          </cell>
          <cell r="D52">
            <v>3759.9799999999996</v>
          </cell>
          <cell r="E52">
            <v>3933.12</v>
          </cell>
          <cell r="F52">
            <v>173.14003099999999</v>
          </cell>
          <cell r="I52">
            <v>0</v>
          </cell>
          <cell r="L52">
            <v>13.850000000000001</v>
          </cell>
          <cell r="M52">
            <v>13.850000000000001</v>
          </cell>
          <cell r="N52">
            <v>48.4</v>
          </cell>
          <cell r="O52">
            <v>34.549987999999999</v>
          </cell>
          <cell r="R52">
            <v>0</v>
          </cell>
          <cell r="U52">
            <v>0</v>
          </cell>
          <cell r="V52">
            <v>0</v>
          </cell>
          <cell r="W52">
            <v>0</v>
          </cell>
          <cell r="X52">
            <v>0</v>
          </cell>
          <cell r="AA52">
            <v>0</v>
          </cell>
        </row>
        <row r="53">
          <cell r="C53">
            <v>12151.948063999998</v>
          </cell>
          <cell r="D53">
            <v>12151.948063999998</v>
          </cell>
          <cell r="E53">
            <v>12242.75</v>
          </cell>
          <cell r="F53">
            <v>0</v>
          </cell>
          <cell r="I53">
            <v>90.801935999999998</v>
          </cell>
          <cell r="L53">
            <v>466.07286750301802</v>
          </cell>
          <cell r="M53">
            <v>466.07286750301802</v>
          </cell>
          <cell r="N53">
            <v>208.89</v>
          </cell>
          <cell r="O53">
            <v>0</v>
          </cell>
          <cell r="R53">
            <v>-257.18286799999998</v>
          </cell>
          <cell r="U53">
            <v>78.94</v>
          </cell>
          <cell r="V53">
            <v>78.94</v>
          </cell>
          <cell r="W53">
            <v>51.55</v>
          </cell>
          <cell r="X53">
            <v>0</v>
          </cell>
          <cell r="AA53">
            <v>-27.39</v>
          </cell>
        </row>
        <row r="54">
          <cell r="C54">
            <v>25648.716106999997</v>
          </cell>
          <cell r="D54">
            <v>25648.716106999997</v>
          </cell>
          <cell r="E54">
            <v>27851.59</v>
          </cell>
          <cell r="F54">
            <v>0</v>
          </cell>
          <cell r="I54">
            <v>0</v>
          </cell>
          <cell r="L54">
            <v>159.63</v>
          </cell>
          <cell r="M54">
            <v>159.63</v>
          </cell>
          <cell r="N54">
            <v>201.62</v>
          </cell>
          <cell r="O54">
            <v>0</v>
          </cell>
          <cell r="R54">
            <v>0</v>
          </cell>
          <cell r="U54">
            <v>0</v>
          </cell>
          <cell r="V54">
            <v>0</v>
          </cell>
          <cell r="W54">
            <v>0</v>
          </cell>
          <cell r="X54">
            <v>0</v>
          </cell>
          <cell r="AA54">
            <v>0</v>
          </cell>
        </row>
        <row r="55">
          <cell r="C55">
            <v>13572.262012000001</v>
          </cell>
          <cell r="D55">
            <v>13572.262012000001</v>
          </cell>
          <cell r="E55">
            <v>14685.11</v>
          </cell>
          <cell r="F55">
            <v>0</v>
          </cell>
          <cell r="I55">
            <v>0</v>
          </cell>
          <cell r="L55">
            <v>2.04</v>
          </cell>
          <cell r="M55">
            <v>2.04</v>
          </cell>
          <cell r="N55">
            <v>65.180000000000007</v>
          </cell>
          <cell r="O55">
            <v>0</v>
          </cell>
          <cell r="R55">
            <v>0</v>
          </cell>
          <cell r="U55">
            <v>0</v>
          </cell>
          <cell r="V55">
            <v>0</v>
          </cell>
          <cell r="W55">
            <v>0</v>
          </cell>
          <cell r="X55">
            <v>0</v>
          </cell>
          <cell r="AA55">
            <v>0</v>
          </cell>
        </row>
        <row r="56">
          <cell r="C56">
            <v>31883.357166999998</v>
          </cell>
          <cell r="D56">
            <v>31883.357166999998</v>
          </cell>
          <cell r="E56">
            <v>33624.39</v>
          </cell>
          <cell r="F56">
            <v>0</v>
          </cell>
          <cell r="I56">
            <v>0</v>
          </cell>
          <cell r="L56">
            <v>2020.1100000000006</v>
          </cell>
          <cell r="M56">
            <v>2020.1100000000006</v>
          </cell>
          <cell r="N56">
            <v>2206.9899999999998</v>
          </cell>
          <cell r="O56">
            <v>0</v>
          </cell>
          <cell r="R56">
            <v>0</v>
          </cell>
          <cell r="U56">
            <v>6148.03</v>
          </cell>
          <cell r="V56">
            <v>6148.03</v>
          </cell>
          <cell r="W56">
            <v>6208.41</v>
          </cell>
          <cell r="X56">
            <v>0</v>
          </cell>
          <cell r="AA56">
            <v>0</v>
          </cell>
        </row>
        <row r="57">
          <cell r="C57">
            <v>22887.040008</v>
          </cell>
          <cell r="D57">
            <v>22887.040008</v>
          </cell>
          <cell r="E57">
            <v>16309.68</v>
          </cell>
          <cell r="F57">
            <v>0</v>
          </cell>
          <cell r="I57">
            <v>-6577.3600079999997</v>
          </cell>
          <cell r="L57">
            <v>2660.3500000000004</v>
          </cell>
          <cell r="M57">
            <v>2660.3500000000004</v>
          </cell>
          <cell r="N57">
            <v>1616.3599999999997</v>
          </cell>
          <cell r="O57">
            <v>0</v>
          </cell>
          <cell r="R57">
            <v>-1043.99</v>
          </cell>
          <cell r="U57">
            <v>7073.91</v>
          </cell>
          <cell r="V57">
            <v>7073.91</v>
          </cell>
          <cell r="W57">
            <v>5618.59</v>
          </cell>
          <cell r="X57">
            <v>0</v>
          </cell>
          <cell r="AA57">
            <v>-1455.32</v>
          </cell>
        </row>
        <row r="58">
          <cell r="C58">
            <v>15297.740035999999</v>
          </cell>
          <cell r="D58">
            <v>15297.740035999999</v>
          </cell>
          <cell r="E58">
            <v>15697.33</v>
          </cell>
          <cell r="F58">
            <v>0</v>
          </cell>
          <cell r="I58">
            <v>0</v>
          </cell>
          <cell r="L58">
            <v>162.66999999999999</v>
          </cell>
          <cell r="M58">
            <v>162.66999999999999</v>
          </cell>
          <cell r="N58">
            <v>162.74</v>
          </cell>
          <cell r="O58">
            <v>0</v>
          </cell>
          <cell r="R58">
            <v>0</v>
          </cell>
          <cell r="U58">
            <v>0</v>
          </cell>
          <cell r="V58">
            <v>0</v>
          </cell>
          <cell r="W58">
            <v>0</v>
          </cell>
          <cell r="X58">
            <v>0</v>
          </cell>
          <cell r="AA58">
            <v>0</v>
          </cell>
        </row>
        <row r="59">
          <cell r="C59">
            <v>12945.679999999998</v>
          </cell>
          <cell r="D59">
            <v>12945.679999999998</v>
          </cell>
          <cell r="E59">
            <v>12258.39</v>
          </cell>
          <cell r="F59">
            <v>0</v>
          </cell>
          <cell r="I59">
            <v>-687.29</v>
          </cell>
          <cell r="L59">
            <v>106.47999999999999</v>
          </cell>
          <cell r="M59">
            <v>106.47999999999999</v>
          </cell>
          <cell r="N59">
            <v>107.45</v>
          </cell>
          <cell r="O59">
            <v>0</v>
          </cell>
          <cell r="R59">
            <v>0.97</v>
          </cell>
          <cell r="U59">
            <v>0</v>
          </cell>
          <cell r="V59">
            <v>0</v>
          </cell>
          <cell r="W59">
            <v>0</v>
          </cell>
          <cell r="X59">
            <v>0</v>
          </cell>
          <cell r="AA59">
            <v>0</v>
          </cell>
        </row>
        <row r="60">
          <cell r="C60">
            <v>8166.1599999999989</v>
          </cell>
          <cell r="D60">
            <v>8166.1599999999989</v>
          </cell>
          <cell r="E60">
            <v>6904.19</v>
          </cell>
          <cell r="F60">
            <v>0</v>
          </cell>
          <cell r="I60">
            <v>-1261.97</v>
          </cell>
          <cell r="L60">
            <v>67.910109000000006</v>
          </cell>
          <cell r="M60">
            <v>67.910109000000006</v>
          </cell>
          <cell r="N60">
            <v>92.890000000000015</v>
          </cell>
          <cell r="O60">
            <v>0</v>
          </cell>
          <cell r="R60">
            <v>24.979890999999999</v>
          </cell>
          <cell r="U60">
            <v>145.86012300000002</v>
          </cell>
          <cell r="V60">
            <v>145.86012300000002</v>
          </cell>
          <cell r="W60">
            <v>165.29</v>
          </cell>
          <cell r="X60">
            <v>0</v>
          </cell>
          <cell r="AA60">
            <v>19.429877000000001</v>
          </cell>
        </row>
        <row r="61">
          <cell r="C61">
            <v>18418.109999999997</v>
          </cell>
          <cell r="D61">
            <v>18418.109999999997</v>
          </cell>
          <cell r="E61">
            <v>17524.53</v>
          </cell>
          <cell r="F61">
            <v>0</v>
          </cell>
          <cell r="I61">
            <v>-893.58</v>
          </cell>
          <cell r="L61">
            <v>75.170000000000016</v>
          </cell>
          <cell r="M61">
            <v>75.170000000000016</v>
          </cell>
          <cell r="N61">
            <v>159.09</v>
          </cell>
          <cell r="O61">
            <v>0</v>
          </cell>
          <cell r="R61">
            <v>83.92</v>
          </cell>
          <cell r="U61">
            <v>0</v>
          </cell>
          <cell r="V61">
            <v>0</v>
          </cell>
          <cell r="W61">
            <v>0</v>
          </cell>
          <cell r="X61">
            <v>0</v>
          </cell>
          <cell r="AA61">
            <v>0</v>
          </cell>
        </row>
        <row r="62">
          <cell r="C62">
            <v>12734.7</v>
          </cell>
          <cell r="D62">
            <v>12734.7</v>
          </cell>
          <cell r="E62">
            <v>13600.17</v>
          </cell>
          <cell r="F62">
            <v>709.82074899999998</v>
          </cell>
          <cell r="I62">
            <v>0</v>
          </cell>
          <cell r="L62">
            <v>327.93000000000006</v>
          </cell>
          <cell r="M62">
            <v>327.93000000000006</v>
          </cell>
          <cell r="N62">
            <v>311.27</v>
          </cell>
          <cell r="O62">
            <v>0</v>
          </cell>
          <cell r="R62">
            <v>0</v>
          </cell>
          <cell r="U62">
            <v>515.61</v>
          </cell>
          <cell r="V62">
            <v>515.61</v>
          </cell>
          <cell r="W62">
            <v>628.37</v>
          </cell>
          <cell r="X62">
            <v>0</v>
          </cell>
          <cell r="AA62">
            <v>0</v>
          </cell>
        </row>
        <row r="63">
          <cell r="C63">
            <v>14153.683967999999</v>
          </cell>
          <cell r="D63">
            <v>14153.683967999999</v>
          </cell>
          <cell r="E63">
            <v>14912.17</v>
          </cell>
          <cell r="F63">
            <v>0</v>
          </cell>
          <cell r="I63">
            <v>0</v>
          </cell>
          <cell r="L63">
            <v>265.20999999999998</v>
          </cell>
          <cell r="M63">
            <v>265.20999999999998</v>
          </cell>
          <cell r="N63">
            <v>261.83999999999997</v>
          </cell>
          <cell r="O63">
            <v>0</v>
          </cell>
          <cell r="R63">
            <v>0</v>
          </cell>
          <cell r="U63">
            <v>86.99</v>
          </cell>
          <cell r="V63">
            <v>86.99</v>
          </cell>
          <cell r="W63">
            <v>77.239999999999995</v>
          </cell>
          <cell r="X63">
            <v>0</v>
          </cell>
          <cell r="AA63">
            <v>0</v>
          </cell>
        </row>
        <row r="64">
          <cell r="C64">
            <v>20505.631235999997</v>
          </cell>
          <cell r="D64">
            <v>20505.631235999997</v>
          </cell>
          <cell r="E64">
            <v>21431.5</v>
          </cell>
          <cell r="F64">
            <v>0</v>
          </cell>
          <cell r="I64">
            <v>0</v>
          </cell>
          <cell r="L64">
            <v>537.34999999999991</v>
          </cell>
          <cell r="M64">
            <v>537.34999999999991</v>
          </cell>
          <cell r="N64">
            <v>727.16000000000008</v>
          </cell>
          <cell r="O64">
            <v>0</v>
          </cell>
          <cell r="R64">
            <v>0</v>
          </cell>
          <cell r="U64">
            <v>155.18</v>
          </cell>
          <cell r="V64">
            <v>155.18</v>
          </cell>
          <cell r="W64">
            <v>83.42</v>
          </cell>
          <cell r="X64">
            <v>0</v>
          </cell>
          <cell r="AA64">
            <v>0</v>
          </cell>
        </row>
        <row r="65">
          <cell r="C65">
            <v>8178.1493469999996</v>
          </cell>
          <cell r="D65">
            <v>8178.1493469999996</v>
          </cell>
          <cell r="E65">
            <v>8572.5300000000007</v>
          </cell>
          <cell r="F65">
            <v>0</v>
          </cell>
          <cell r="I65">
            <v>0</v>
          </cell>
          <cell r="L65">
            <v>448.87</v>
          </cell>
          <cell r="M65">
            <v>448.87</v>
          </cell>
          <cell r="N65">
            <v>323.98</v>
          </cell>
          <cell r="O65">
            <v>0</v>
          </cell>
          <cell r="R65">
            <v>0</v>
          </cell>
          <cell r="U65">
            <v>85.330000000000013</v>
          </cell>
          <cell r="V65">
            <v>85.330000000000013</v>
          </cell>
          <cell r="W65">
            <v>89.7</v>
          </cell>
          <cell r="X65">
            <v>0</v>
          </cell>
          <cell r="AA65">
            <v>0</v>
          </cell>
        </row>
        <row r="66">
          <cell r="C66">
            <v>6231.49</v>
          </cell>
          <cell r="D66">
            <v>6231.49</v>
          </cell>
          <cell r="E66">
            <v>6707.58</v>
          </cell>
          <cell r="F66">
            <v>476.09006799999997</v>
          </cell>
          <cell r="I66">
            <v>0</v>
          </cell>
          <cell r="L66">
            <v>188.16</v>
          </cell>
          <cell r="M66">
            <v>188.16</v>
          </cell>
          <cell r="N66">
            <v>267.51</v>
          </cell>
          <cell r="O66">
            <v>23.480022000000002</v>
          </cell>
          <cell r="R66">
            <v>0</v>
          </cell>
          <cell r="U66">
            <v>47.45</v>
          </cell>
          <cell r="V66">
            <v>47.45</v>
          </cell>
          <cell r="W66">
            <v>0</v>
          </cell>
          <cell r="X66">
            <v>0</v>
          </cell>
          <cell r="AA66">
            <v>0</v>
          </cell>
        </row>
        <row r="67">
          <cell r="C67">
            <v>13021.67</v>
          </cell>
          <cell r="D67">
            <v>13021.67</v>
          </cell>
          <cell r="E67">
            <v>14502.09</v>
          </cell>
          <cell r="F67">
            <v>1217.3674149999999</v>
          </cell>
          <cell r="I67">
            <v>0</v>
          </cell>
          <cell r="L67">
            <v>342.51</v>
          </cell>
          <cell r="M67">
            <v>342.51</v>
          </cell>
          <cell r="N67">
            <v>302.85000000000002</v>
          </cell>
          <cell r="O67">
            <v>0</v>
          </cell>
          <cell r="R67">
            <v>0</v>
          </cell>
          <cell r="U67">
            <v>0</v>
          </cell>
          <cell r="V67">
            <v>0</v>
          </cell>
          <cell r="W67">
            <v>0</v>
          </cell>
          <cell r="X67">
            <v>0</v>
          </cell>
          <cell r="AA67">
            <v>0</v>
          </cell>
        </row>
        <row r="68">
          <cell r="C68">
            <v>1976.3400000000004</v>
          </cell>
          <cell r="D68">
            <v>1976.3400000000004</v>
          </cell>
          <cell r="E68">
            <v>2002.16</v>
          </cell>
          <cell r="F68">
            <v>25.820039000000001</v>
          </cell>
          <cell r="I68">
            <v>0</v>
          </cell>
          <cell r="L68">
            <v>263.79999999999995</v>
          </cell>
          <cell r="M68">
            <v>263.79999999999995</v>
          </cell>
          <cell r="N68">
            <v>1.7799999999999727</v>
          </cell>
          <cell r="O68">
            <v>0</v>
          </cell>
          <cell r="R68">
            <v>0</v>
          </cell>
          <cell r="U68">
            <v>67.900000000000006</v>
          </cell>
          <cell r="V68">
            <v>67.900000000000006</v>
          </cell>
          <cell r="W68">
            <v>350</v>
          </cell>
          <cell r="X68">
            <v>59.569609999999997</v>
          </cell>
          <cell r="AA68">
            <v>0</v>
          </cell>
        </row>
        <row r="69">
          <cell r="C69">
            <v>8178.8399999999992</v>
          </cell>
          <cell r="D69">
            <v>8178.8399999999992</v>
          </cell>
          <cell r="E69">
            <v>7100.95</v>
          </cell>
          <cell r="F69">
            <v>0</v>
          </cell>
          <cell r="I69">
            <v>-1077.8900000000001</v>
          </cell>
          <cell r="L69">
            <v>0.58994799999999992</v>
          </cell>
          <cell r="M69">
            <v>0.58994799999999992</v>
          </cell>
          <cell r="N69">
            <v>0.79</v>
          </cell>
          <cell r="O69">
            <v>0</v>
          </cell>
          <cell r="R69">
            <v>0.20005200000000001</v>
          </cell>
          <cell r="U69">
            <v>0</v>
          </cell>
          <cell r="V69">
            <v>0</v>
          </cell>
          <cell r="W69">
            <v>0</v>
          </cell>
          <cell r="X69">
            <v>0</v>
          </cell>
          <cell r="AA69">
            <v>0</v>
          </cell>
        </row>
        <row r="70">
          <cell r="C70">
            <v>16829.191006999994</v>
          </cell>
          <cell r="D70">
            <v>16829.191006999994</v>
          </cell>
          <cell r="E70">
            <v>16372.5</v>
          </cell>
          <cell r="F70">
            <v>0</v>
          </cell>
          <cell r="I70">
            <v>-456.69100700000001</v>
          </cell>
          <cell r="L70">
            <v>2167.44</v>
          </cell>
          <cell r="M70">
            <v>2167.44</v>
          </cell>
          <cell r="N70">
            <v>1536.9899999999998</v>
          </cell>
          <cell r="O70">
            <v>0</v>
          </cell>
          <cell r="R70">
            <v>-630.45000000000005</v>
          </cell>
          <cell r="U70">
            <v>603.11</v>
          </cell>
          <cell r="V70">
            <v>603.11</v>
          </cell>
          <cell r="W70">
            <v>702.34</v>
          </cell>
          <cell r="X70">
            <v>0</v>
          </cell>
          <cell r="AA70">
            <v>99.23</v>
          </cell>
        </row>
        <row r="71">
          <cell r="C71">
            <v>22957.5</v>
          </cell>
          <cell r="D71">
            <v>22957.5</v>
          </cell>
          <cell r="E71">
            <v>26053.06</v>
          </cell>
          <cell r="F71">
            <v>3084.3066819999999</v>
          </cell>
          <cell r="I71">
            <v>0</v>
          </cell>
          <cell r="L71">
            <v>1759.38</v>
          </cell>
          <cell r="M71">
            <v>1759.38</v>
          </cell>
          <cell r="N71">
            <v>1770.75</v>
          </cell>
          <cell r="O71">
            <v>0</v>
          </cell>
          <cell r="R71">
            <v>0</v>
          </cell>
          <cell r="U71">
            <v>175.26</v>
          </cell>
          <cell r="V71">
            <v>175.26</v>
          </cell>
          <cell r="W71">
            <v>149.71</v>
          </cell>
          <cell r="X71">
            <v>0</v>
          </cell>
          <cell r="AA71">
            <v>0</v>
          </cell>
        </row>
        <row r="72">
          <cell r="C72">
            <v>14763.810081</v>
          </cell>
          <cell r="D72">
            <v>14763.810081</v>
          </cell>
          <cell r="E72">
            <v>15207.23</v>
          </cell>
          <cell r="F72">
            <v>0</v>
          </cell>
          <cell r="I72">
            <v>0</v>
          </cell>
          <cell r="L72">
            <v>179.64</v>
          </cell>
          <cell r="M72">
            <v>179.64</v>
          </cell>
          <cell r="N72">
            <v>182.33</v>
          </cell>
          <cell r="O72">
            <v>0</v>
          </cell>
          <cell r="R72">
            <v>0</v>
          </cell>
          <cell r="U72">
            <v>35.550000000000004</v>
          </cell>
          <cell r="V72">
            <v>35.550000000000004</v>
          </cell>
          <cell r="W72">
            <v>38.44</v>
          </cell>
          <cell r="X72">
            <v>0</v>
          </cell>
          <cell r="AA72">
            <v>0</v>
          </cell>
        </row>
        <row r="73">
          <cell r="C73">
            <v>25751.438447</v>
          </cell>
          <cell r="D73">
            <v>25751.438447</v>
          </cell>
          <cell r="E73">
            <v>27631.96</v>
          </cell>
          <cell r="F73">
            <v>0</v>
          </cell>
          <cell r="I73">
            <v>0</v>
          </cell>
          <cell r="L73">
            <v>302.26</v>
          </cell>
          <cell r="M73">
            <v>302.26</v>
          </cell>
          <cell r="N73">
            <v>285.59000000000003</v>
          </cell>
          <cell r="O73">
            <v>0</v>
          </cell>
          <cell r="R73">
            <v>0</v>
          </cell>
          <cell r="U73">
            <v>187.06</v>
          </cell>
          <cell r="V73">
            <v>187.06</v>
          </cell>
          <cell r="W73">
            <v>182.45</v>
          </cell>
          <cell r="X73">
            <v>0</v>
          </cell>
          <cell r="AA73">
            <v>0</v>
          </cell>
        </row>
        <row r="74">
          <cell r="C74">
            <v>24858.069914000003</v>
          </cell>
          <cell r="D74">
            <v>24858.069914000003</v>
          </cell>
          <cell r="E74">
            <v>26070.5</v>
          </cell>
          <cell r="F74">
            <v>0</v>
          </cell>
          <cell r="I74">
            <v>0</v>
          </cell>
          <cell r="L74">
            <v>453.38</v>
          </cell>
          <cell r="M74">
            <v>453.38</v>
          </cell>
          <cell r="N74">
            <v>436.73</v>
          </cell>
          <cell r="O74">
            <v>0</v>
          </cell>
          <cell r="R74">
            <v>0</v>
          </cell>
          <cell r="U74">
            <v>0</v>
          </cell>
          <cell r="V74">
            <v>0</v>
          </cell>
          <cell r="W74">
            <v>0</v>
          </cell>
          <cell r="X74">
            <v>0</v>
          </cell>
          <cell r="AA74">
            <v>0</v>
          </cell>
        </row>
        <row r="75">
          <cell r="C75">
            <v>9140.209809</v>
          </cell>
          <cell r="D75">
            <v>9140.209809</v>
          </cell>
          <cell r="E75">
            <v>9255.08</v>
          </cell>
          <cell r="F75">
            <v>0</v>
          </cell>
          <cell r="I75">
            <v>0</v>
          </cell>
          <cell r="L75">
            <v>91.83</v>
          </cell>
          <cell r="M75">
            <v>91.83</v>
          </cell>
          <cell r="N75">
            <v>84.21</v>
          </cell>
          <cell r="O75">
            <v>0</v>
          </cell>
          <cell r="R75">
            <v>0</v>
          </cell>
          <cell r="U75">
            <v>0</v>
          </cell>
          <cell r="V75">
            <v>0</v>
          </cell>
          <cell r="W75">
            <v>0</v>
          </cell>
          <cell r="X75">
            <v>0</v>
          </cell>
          <cell r="AA75">
            <v>0</v>
          </cell>
        </row>
        <row r="76">
          <cell r="C76">
            <v>4550.2922000000008</v>
          </cell>
          <cell r="D76">
            <v>4550.2922000000008</v>
          </cell>
          <cell r="E76">
            <v>4734.53</v>
          </cell>
          <cell r="F76">
            <v>0</v>
          </cell>
          <cell r="I76">
            <v>0</v>
          </cell>
          <cell r="L76">
            <v>350.21</v>
          </cell>
          <cell r="M76">
            <v>350.21</v>
          </cell>
          <cell r="N76">
            <v>365.57</v>
          </cell>
          <cell r="O76">
            <v>0</v>
          </cell>
          <cell r="R76">
            <v>0</v>
          </cell>
          <cell r="U76">
            <v>0</v>
          </cell>
          <cell r="V76">
            <v>0</v>
          </cell>
          <cell r="W76">
            <v>0</v>
          </cell>
          <cell r="X76">
            <v>0</v>
          </cell>
          <cell r="AA76">
            <v>0</v>
          </cell>
        </row>
        <row r="77">
          <cell r="C77">
            <v>2469.2303079999997</v>
          </cell>
          <cell r="D77">
            <v>2469.2303079999997</v>
          </cell>
          <cell r="E77">
            <v>2492.0300000000002</v>
          </cell>
          <cell r="F77">
            <v>0</v>
          </cell>
          <cell r="I77">
            <v>0</v>
          </cell>
          <cell r="L77">
            <v>61.34</v>
          </cell>
          <cell r="M77">
            <v>61.34</v>
          </cell>
          <cell r="N77">
            <v>39.619999999999997</v>
          </cell>
          <cell r="O77">
            <v>0</v>
          </cell>
          <cell r="R77">
            <v>0</v>
          </cell>
          <cell r="U77">
            <v>0</v>
          </cell>
          <cell r="V77">
            <v>0</v>
          </cell>
          <cell r="W77">
            <v>0</v>
          </cell>
          <cell r="X77">
            <v>0</v>
          </cell>
          <cell r="AA77">
            <v>0</v>
          </cell>
        </row>
        <row r="78">
          <cell r="C78">
            <v>13645.1</v>
          </cell>
          <cell r="D78">
            <v>13645.1</v>
          </cell>
          <cell r="E78">
            <v>13649.1</v>
          </cell>
          <cell r="F78">
            <v>4.0000830000000001</v>
          </cell>
          <cell r="I78">
            <v>0</v>
          </cell>
          <cell r="L78">
            <v>751.44</v>
          </cell>
          <cell r="M78">
            <v>751.44</v>
          </cell>
          <cell r="N78">
            <v>752.53</v>
          </cell>
          <cell r="O78">
            <v>1.090068</v>
          </cell>
          <cell r="R78">
            <v>0</v>
          </cell>
          <cell r="U78">
            <v>0</v>
          </cell>
          <cell r="V78">
            <v>0</v>
          </cell>
          <cell r="W78">
            <v>0</v>
          </cell>
          <cell r="X78">
            <v>0</v>
          </cell>
          <cell r="AA78">
            <v>0</v>
          </cell>
        </row>
        <row r="79">
          <cell r="C79">
            <v>16281.539945</v>
          </cell>
          <cell r="D79">
            <v>16281.539945</v>
          </cell>
          <cell r="E79">
            <v>16390.02</v>
          </cell>
          <cell r="F79">
            <v>0</v>
          </cell>
          <cell r="I79">
            <v>0</v>
          </cell>
          <cell r="L79">
            <v>120.21</v>
          </cell>
          <cell r="M79">
            <v>120.21</v>
          </cell>
          <cell r="N79">
            <v>39.03</v>
          </cell>
          <cell r="O79">
            <v>0</v>
          </cell>
          <cell r="R79">
            <v>0</v>
          </cell>
          <cell r="U79">
            <v>166.26</v>
          </cell>
          <cell r="V79">
            <v>166.26</v>
          </cell>
          <cell r="W79">
            <v>127.9</v>
          </cell>
          <cell r="X79">
            <v>0</v>
          </cell>
          <cell r="AA79">
            <v>0</v>
          </cell>
        </row>
        <row r="80">
          <cell r="C80">
            <v>6545.4800000000005</v>
          </cell>
          <cell r="D80">
            <v>6545.4800000000005</v>
          </cell>
          <cell r="E80">
            <v>7475.92</v>
          </cell>
          <cell r="F80">
            <v>838.96093699999994</v>
          </cell>
          <cell r="I80">
            <v>0</v>
          </cell>
          <cell r="L80">
            <v>138.53</v>
          </cell>
          <cell r="M80">
            <v>138.53</v>
          </cell>
          <cell r="N80">
            <v>150.30000000000001</v>
          </cell>
          <cell r="O80">
            <v>0</v>
          </cell>
          <cell r="R80">
            <v>0</v>
          </cell>
          <cell r="U80">
            <v>0</v>
          </cell>
          <cell r="V80">
            <v>0</v>
          </cell>
          <cell r="W80">
            <v>0</v>
          </cell>
          <cell r="X80">
            <v>0</v>
          </cell>
          <cell r="AA80">
            <v>0</v>
          </cell>
        </row>
      </sheetData>
      <sheetData sheetId="19">
        <row r="4">
          <cell r="C4">
            <v>8.5000000000000006E-3</v>
          </cell>
          <cell r="AE4">
            <v>2788.0536374600001</v>
          </cell>
          <cell r="AF4">
            <v>2811.7520933800001</v>
          </cell>
          <cell r="AI4">
            <v>3282.8110613200001</v>
          </cell>
          <cell r="AJ4">
            <v>3310.71495534</v>
          </cell>
          <cell r="AN4">
            <v>4636.4928540700002</v>
          </cell>
          <cell r="AO4">
            <v>4675.9030433300004</v>
          </cell>
          <cell r="AQ4">
            <v>69532</v>
          </cell>
        </row>
        <row r="9">
          <cell r="F9">
            <v>5622823</v>
          </cell>
          <cell r="H9">
            <v>1657191</v>
          </cell>
          <cell r="I9">
            <v>1066881</v>
          </cell>
          <cell r="J9">
            <v>39236692</v>
          </cell>
          <cell r="L9">
            <v>0</v>
          </cell>
          <cell r="N9">
            <v>4636.4928980934174</v>
          </cell>
          <cell r="O9">
            <v>404460</v>
          </cell>
          <cell r="S9">
            <v>1402457</v>
          </cell>
          <cell r="T9">
            <v>0</v>
          </cell>
          <cell r="X9">
            <v>0</v>
          </cell>
          <cell r="AA9">
            <v>0</v>
          </cell>
          <cell r="AC9">
            <v>0</v>
          </cell>
          <cell r="AD9">
            <v>0</v>
          </cell>
          <cell r="AE9">
            <v>49390504</v>
          </cell>
          <cell r="AI9">
            <v>2487560</v>
          </cell>
          <cell r="AJ9">
            <v>13719342</v>
          </cell>
          <cell r="AK9">
            <v>7682803</v>
          </cell>
          <cell r="AM9">
            <v>731700</v>
          </cell>
          <cell r="AN9">
            <v>24769099</v>
          </cell>
          <cell r="AO9">
            <v>0</v>
          </cell>
          <cell r="AT9">
            <v>0</v>
          </cell>
          <cell r="BH9">
            <v>0</v>
          </cell>
          <cell r="BI9">
            <v>0</v>
          </cell>
        </row>
        <row r="10">
          <cell r="F10">
            <v>5622823</v>
          </cell>
          <cell r="H10">
            <v>0</v>
          </cell>
          <cell r="I10">
            <v>0</v>
          </cell>
          <cell r="J10">
            <v>50538227</v>
          </cell>
          <cell r="L10">
            <v>0</v>
          </cell>
          <cell r="N10">
            <v>4636.4928400042854</v>
          </cell>
          <cell r="O10">
            <v>477369</v>
          </cell>
          <cell r="S10">
            <v>1836283</v>
          </cell>
          <cell r="T10">
            <v>0</v>
          </cell>
          <cell r="X10">
            <v>0</v>
          </cell>
          <cell r="AA10">
            <v>0</v>
          </cell>
          <cell r="AC10">
            <v>0</v>
          </cell>
          <cell r="AD10">
            <v>0</v>
          </cell>
          <cell r="AE10">
            <v>58474702</v>
          </cell>
          <cell r="AI10">
            <v>2281628</v>
          </cell>
          <cell r="AJ10">
            <v>5995183</v>
          </cell>
          <cell r="AK10">
            <v>9204546</v>
          </cell>
          <cell r="AM10">
            <v>866278</v>
          </cell>
          <cell r="AN10">
            <v>40127067</v>
          </cell>
          <cell r="AO10">
            <v>0</v>
          </cell>
          <cell r="AT10">
            <v>0</v>
          </cell>
          <cell r="BH10">
            <v>0</v>
          </cell>
          <cell r="BI10">
            <v>0</v>
          </cell>
        </row>
        <row r="11">
          <cell r="F11">
            <v>3935976</v>
          </cell>
          <cell r="H11">
            <v>96467</v>
          </cell>
          <cell r="I11">
            <v>0</v>
          </cell>
          <cell r="J11">
            <v>10895843</v>
          </cell>
          <cell r="L11">
            <v>0</v>
          </cell>
          <cell r="N11">
            <v>4636.4928899042143</v>
          </cell>
          <cell r="O11">
            <v>126890</v>
          </cell>
          <cell r="S11">
            <v>0</v>
          </cell>
          <cell r="T11">
            <v>0</v>
          </cell>
          <cell r="X11">
            <v>0</v>
          </cell>
          <cell r="AA11">
            <v>0</v>
          </cell>
          <cell r="AC11">
            <v>0</v>
          </cell>
          <cell r="AD11">
            <v>0</v>
          </cell>
          <cell r="AE11">
            <v>15055176</v>
          </cell>
          <cell r="AI11">
            <v>473881</v>
          </cell>
          <cell r="AJ11">
            <v>2935542</v>
          </cell>
          <cell r="AK11">
            <v>2388447</v>
          </cell>
          <cell r="AM11">
            <v>223036</v>
          </cell>
          <cell r="AN11">
            <v>9034270</v>
          </cell>
          <cell r="AO11">
            <v>0</v>
          </cell>
          <cell r="AT11">
            <v>0</v>
          </cell>
          <cell r="BH11">
            <v>0</v>
          </cell>
          <cell r="BI11">
            <v>0</v>
          </cell>
        </row>
        <row r="12">
          <cell r="F12">
            <v>5622823</v>
          </cell>
          <cell r="H12">
            <v>2822570</v>
          </cell>
          <cell r="I12">
            <v>76654</v>
          </cell>
          <cell r="J12">
            <v>46862053</v>
          </cell>
          <cell r="L12">
            <v>0</v>
          </cell>
          <cell r="N12">
            <v>4636.4928656861966</v>
          </cell>
          <cell r="O12">
            <v>455982</v>
          </cell>
          <cell r="S12">
            <v>0</v>
          </cell>
          <cell r="T12">
            <v>0</v>
          </cell>
          <cell r="X12">
            <v>1753969</v>
          </cell>
          <cell r="AA12">
            <v>0</v>
          </cell>
          <cell r="AC12">
            <v>0</v>
          </cell>
          <cell r="AD12">
            <v>0</v>
          </cell>
          <cell r="AE12">
            <v>55854865</v>
          </cell>
          <cell r="AI12">
            <v>2953442</v>
          </cell>
          <cell r="AJ12">
            <v>12147799</v>
          </cell>
          <cell r="AK12">
            <v>8665367</v>
          </cell>
          <cell r="AM12">
            <v>827466</v>
          </cell>
          <cell r="AN12">
            <v>31260791</v>
          </cell>
          <cell r="AO12">
            <v>0</v>
          </cell>
          <cell r="AT12">
            <v>0</v>
          </cell>
          <cell r="BH12">
            <v>0</v>
          </cell>
          <cell r="BI12">
            <v>0</v>
          </cell>
        </row>
        <row r="13">
          <cell r="F13">
            <v>5622823</v>
          </cell>
          <cell r="H13">
            <v>382131</v>
          </cell>
          <cell r="I13">
            <v>0</v>
          </cell>
          <cell r="J13">
            <v>46157167</v>
          </cell>
          <cell r="L13">
            <v>0</v>
          </cell>
          <cell r="N13">
            <v>4636.4928243458944</v>
          </cell>
          <cell r="O13">
            <v>443378</v>
          </cell>
          <cell r="S13">
            <v>152852</v>
          </cell>
          <cell r="T13">
            <v>3533073</v>
          </cell>
          <cell r="X13">
            <v>0</v>
          </cell>
          <cell r="AA13">
            <v>0</v>
          </cell>
          <cell r="AC13">
            <v>0</v>
          </cell>
          <cell r="AD13">
            <v>0</v>
          </cell>
          <cell r="AE13">
            <v>56291424</v>
          </cell>
          <cell r="AI13">
            <v>4260712</v>
          </cell>
          <cell r="AJ13">
            <v>21938037</v>
          </cell>
          <cell r="AK13">
            <v>8522743</v>
          </cell>
          <cell r="AM13">
            <v>833934</v>
          </cell>
          <cell r="AN13">
            <v>20735998</v>
          </cell>
          <cell r="AO13">
            <v>0</v>
          </cell>
          <cell r="AT13">
            <v>0</v>
          </cell>
          <cell r="BH13">
            <v>0</v>
          </cell>
          <cell r="BI13">
            <v>0</v>
          </cell>
        </row>
        <row r="14">
          <cell r="F14">
            <v>4498258</v>
          </cell>
          <cell r="H14">
            <v>611420</v>
          </cell>
          <cell r="I14">
            <v>650325</v>
          </cell>
          <cell r="J14">
            <v>74252431</v>
          </cell>
          <cell r="L14">
            <v>0</v>
          </cell>
          <cell r="N14">
            <v>4636.4928540356905</v>
          </cell>
          <cell r="O14">
            <v>680106</v>
          </cell>
          <cell r="S14">
            <v>3835545</v>
          </cell>
          <cell r="T14">
            <v>0</v>
          </cell>
          <cell r="X14">
            <v>0</v>
          </cell>
          <cell r="AA14">
            <v>0</v>
          </cell>
          <cell r="AC14">
            <v>0</v>
          </cell>
          <cell r="AD14">
            <v>0</v>
          </cell>
          <cell r="AE14">
            <v>84528085</v>
          </cell>
          <cell r="AI14">
            <v>4162770</v>
          </cell>
          <cell r="AJ14">
            <v>8917146</v>
          </cell>
          <cell r="AK14">
            <v>13164012</v>
          </cell>
          <cell r="AM14">
            <v>1252248</v>
          </cell>
          <cell r="AN14">
            <v>57031909</v>
          </cell>
          <cell r="AO14">
            <v>0</v>
          </cell>
          <cell r="AT14">
            <v>0</v>
          </cell>
          <cell r="BH14">
            <v>0</v>
          </cell>
          <cell r="BI14">
            <v>0</v>
          </cell>
        </row>
        <row r="15">
          <cell r="F15">
            <v>7309670</v>
          </cell>
          <cell r="H15">
            <v>280618</v>
          </cell>
          <cell r="I15">
            <v>0</v>
          </cell>
          <cell r="J15">
            <v>75833225</v>
          </cell>
          <cell r="L15">
            <v>0</v>
          </cell>
          <cell r="N15">
            <v>4636.4928558208976</v>
          </cell>
          <cell r="O15">
            <v>709100</v>
          </cell>
          <cell r="S15">
            <v>1894578</v>
          </cell>
          <cell r="T15">
            <v>0</v>
          </cell>
          <cell r="X15">
            <v>0</v>
          </cell>
          <cell r="AA15">
            <v>0</v>
          </cell>
          <cell r="AC15">
            <v>0</v>
          </cell>
          <cell r="AD15">
            <v>0</v>
          </cell>
          <cell r="AE15">
            <v>86027191</v>
          </cell>
          <cell r="AI15">
            <v>7995087</v>
          </cell>
          <cell r="AJ15">
            <v>31386003</v>
          </cell>
          <cell r="AK15">
            <v>12781827</v>
          </cell>
          <cell r="AM15">
            <v>1274457</v>
          </cell>
          <cell r="AN15">
            <v>32589817</v>
          </cell>
          <cell r="AO15">
            <v>0</v>
          </cell>
          <cell r="AT15">
            <v>0</v>
          </cell>
          <cell r="BH15">
            <v>0</v>
          </cell>
          <cell r="BI15">
            <v>0</v>
          </cell>
        </row>
        <row r="16">
          <cell r="F16">
            <v>6747388</v>
          </cell>
          <cell r="H16">
            <v>939212</v>
          </cell>
          <cell r="I16">
            <v>0</v>
          </cell>
          <cell r="J16">
            <v>63429305</v>
          </cell>
          <cell r="L16">
            <v>0</v>
          </cell>
          <cell r="N16">
            <v>4636.4928335427394</v>
          </cell>
          <cell r="O16">
            <v>604485</v>
          </cell>
          <cell r="S16">
            <v>2607277</v>
          </cell>
          <cell r="T16">
            <v>0</v>
          </cell>
          <cell r="X16">
            <v>0</v>
          </cell>
          <cell r="AA16">
            <v>0</v>
          </cell>
          <cell r="AC16">
            <v>0</v>
          </cell>
          <cell r="AD16">
            <v>0</v>
          </cell>
          <cell r="AE16">
            <v>74327667</v>
          </cell>
          <cell r="AI16">
            <v>4547200</v>
          </cell>
          <cell r="AJ16">
            <v>17278686</v>
          </cell>
          <cell r="AK16">
            <v>11430191</v>
          </cell>
          <cell r="AM16">
            <v>1101133</v>
          </cell>
          <cell r="AN16">
            <v>39970457</v>
          </cell>
          <cell r="AO16">
            <v>0</v>
          </cell>
          <cell r="AT16">
            <v>0</v>
          </cell>
          <cell r="BH16">
            <v>0</v>
          </cell>
          <cell r="BI16">
            <v>0</v>
          </cell>
        </row>
        <row r="17">
          <cell r="F17">
            <v>4498258</v>
          </cell>
          <cell r="H17">
            <v>726093</v>
          </cell>
          <cell r="I17">
            <v>0</v>
          </cell>
          <cell r="J17">
            <v>49420645</v>
          </cell>
          <cell r="L17">
            <v>0</v>
          </cell>
          <cell r="N17">
            <v>4636.4928874790376</v>
          </cell>
          <cell r="O17">
            <v>464482</v>
          </cell>
          <cell r="S17">
            <v>2546282</v>
          </cell>
          <cell r="T17">
            <v>0</v>
          </cell>
          <cell r="X17">
            <v>0</v>
          </cell>
          <cell r="AA17">
            <v>0</v>
          </cell>
          <cell r="AC17">
            <v>0</v>
          </cell>
          <cell r="AD17">
            <v>0</v>
          </cell>
          <cell r="AE17">
            <v>57655760</v>
          </cell>
          <cell r="AI17">
            <v>4026230</v>
          </cell>
          <cell r="AJ17">
            <v>4875887</v>
          </cell>
          <cell r="AK17">
            <v>8784633</v>
          </cell>
          <cell r="AM17">
            <v>854146</v>
          </cell>
          <cell r="AN17">
            <v>39114864</v>
          </cell>
          <cell r="AO17">
            <v>0</v>
          </cell>
          <cell r="AT17">
            <v>0</v>
          </cell>
          <cell r="BH17">
            <v>0</v>
          </cell>
          <cell r="BI17">
            <v>0</v>
          </cell>
        </row>
        <row r="18">
          <cell r="F18">
            <v>11245646</v>
          </cell>
          <cell r="H18">
            <v>695592</v>
          </cell>
          <cell r="I18">
            <v>0</v>
          </cell>
          <cell r="J18">
            <v>150096951</v>
          </cell>
          <cell r="L18">
            <v>0</v>
          </cell>
          <cell r="N18">
            <v>4636.4928515826832</v>
          </cell>
          <cell r="O18">
            <v>1377325</v>
          </cell>
          <cell r="S18">
            <v>158872</v>
          </cell>
          <cell r="T18">
            <v>0</v>
          </cell>
          <cell r="X18">
            <v>0</v>
          </cell>
          <cell r="AA18">
            <v>0</v>
          </cell>
          <cell r="AC18">
            <v>0</v>
          </cell>
          <cell r="AD18">
            <v>0</v>
          </cell>
          <cell r="AE18">
            <v>163574386</v>
          </cell>
          <cell r="AI18">
            <v>14526137</v>
          </cell>
          <cell r="AJ18">
            <v>107845734</v>
          </cell>
          <cell r="AK18">
            <v>24414425</v>
          </cell>
          <cell r="AM18">
            <v>2423286</v>
          </cell>
          <cell r="AN18">
            <v>14364804</v>
          </cell>
          <cell r="AO18">
            <v>0</v>
          </cell>
          <cell r="AT18">
            <v>0</v>
          </cell>
          <cell r="BH18">
            <v>0</v>
          </cell>
          <cell r="BI18">
            <v>0</v>
          </cell>
        </row>
        <row r="19">
          <cell r="F19">
            <v>3373694</v>
          </cell>
          <cell r="H19">
            <v>63568</v>
          </cell>
          <cell r="I19">
            <v>0</v>
          </cell>
          <cell r="J19">
            <v>27991435</v>
          </cell>
          <cell r="L19">
            <v>0</v>
          </cell>
          <cell r="N19">
            <v>4636.4929282845251</v>
          </cell>
          <cell r="O19">
            <v>259113</v>
          </cell>
          <cell r="S19">
            <v>0</v>
          </cell>
          <cell r="T19">
            <v>0</v>
          </cell>
          <cell r="X19">
            <v>952890</v>
          </cell>
          <cell r="AA19">
            <v>0</v>
          </cell>
          <cell r="AC19">
            <v>0</v>
          </cell>
          <cell r="AD19">
            <v>0</v>
          </cell>
          <cell r="AE19">
            <v>31695841</v>
          </cell>
          <cell r="AI19">
            <v>889590</v>
          </cell>
          <cell r="AJ19">
            <v>4386416</v>
          </cell>
          <cell r="AK19">
            <v>5046131</v>
          </cell>
          <cell r="AM19">
            <v>469561</v>
          </cell>
          <cell r="AN19">
            <v>20904143</v>
          </cell>
          <cell r="AO19">
            <v>0</v>
          </cell>
          <cell r="AT19">
            <v>325000</v>
          </cell>
          <cell r="BH19">
            <v>0</v>
          </cell>
          <cell r="BI19">
            <v>0</v>
          </cell>
        </row>
        <row r="20">
          <cell r="F20">
            <v>12932494</v>
          </cell>
          <cell r="H20">
            <v>198091</v>
          </cell>
          <cell r="I20">
            <v>0</v>
          </cell>
          <cell r="J20">
            <v>133077186</v>
          </cell>
          <cell r="L20">
            <v>0</v>
          </cell>
          <cell r="N20">
            <v>4636.492837026598</v>
          </cell>
          <cell r="O20">
            <v>1226207</v>
          </cell>
          <cell r="S20">
            <v>0</v>
          </cell>
          <cell r="T20">
            <v>0</v>
          </cell>
          <cell r="X20">
            <v>1964652</v>
          </cell>
          <cell r="AC20">
            <v>0</v>
          </cell>
          <cell r="AD20">
            <v>0</v>
          </cell>
          <cell r="AE20">
            <v>147450537</v>
          </cell>
          <cell r="AI20">
            <v>16284669</v>
          </cell>
          <cell r="AJ20">
            <v>75572015</v>
          </cell>
          <cell r="AK20">
            <v>21485252</v>
          </cell>
          <cell r="AM20">
            <v>2184418</v>
          </cell>
          <cell r="AN20">
            <v>31924183</v>
          </cell>
          <cell r="AO20">
            <v>0</v>
          </cell>
          <cell r="AT20">
            <v>0</v>
          </cell>
          <cell r="BH20">
            <v>0</v>
          </cell>
          <cell r="BI20">
            <v>0</v>
          </cell>
        </row>
        <row r="21">
          <cell r="F21">
            <v>3935976</v>
          </cell>
          <cell r="H21">
            <v>169012</v>
          </cell>
          <cell r="I21">
            <v>12508</v>
          </cell>
          <cell r="J21">
            <v>6541071</v>
          </cell>
          <cell r="L21">
            <v>0</v>
          </cell>
          <cell r="N21">
            <v>4636.4925785735541</v>
          </cell>
          <cell r="O21">
            <v>90346</v>
          </cell>
          <cell r="S21">
            <v>0</v>
          </cell>
          <cell r="T21">
            <v>0</v>
          </cell>
          <cell r="X21">
            <v>29886</v>
          </cell>
          <cell r="AA21">
            <v>0</v>
          </cell>
          <cell r="AC21">
            <v>0</v>
          </cell>
          <cell r="AD21">
            <v>0</v>
          </cell>
          <cell r="AE21">
            <v>10749165</v>
          </cell>
          <cell r="AI21">
            <v>213885</v>
          </cell>
          <cell r="AJ21">
            <v>1092070</v>
          </cell>
          <cell r="AK21">
            <v>1725701</v>
          </cell>
          <cell r="AM21">
            <v>159244</v>
          </cell>
          <cell r="AN21">
            <v>7558265</v>
          </cell>
          <cell r="AO21">
            <v>0</v>
          </cell>
          <cell r="AT21">
            <v>0</v>
          </cell>
          <cell r="BH21">
            <v>0</v>
          </cell>
          <cell r="BI21">
            <v>0</v>
          </cell>
        </row>
        <row r="22">
          <cell r="F22">
            <v>3373694</v>
          </cell>
          <cell r="H22">
            <v>71430</v>
          </cell>
          <cell r="I22">
            <v>1896578</v>
          </cell>
          <cell r="J22">
            <v>31296337</v>
          </cell>
          <cell r="L22">
            <v>0</v>
          </cell>
          <cell r="N22">
            <v>4636.4928530351535</v>
          </cell>
          <cell r="O22">
            <v>307032</v>
          </cell>
          <cell r="S22">
            <v>0</v>
          </cell>
          <cell r="T22">
            <v>0</v>
          </cell>
          <cell r="X22">
            <v>521052</v>
          </cell>
          <cell r="AA22">
            <v>-1093961</v>
          </cell>
          <cell r="AC22">
            <v>0</v>
          </cell>
          <cell r="AD22">
            <v>0</v>
          </cell>
          <cell r="AE22">
            <v>35855502</v>
          </cell>
          <cell r="AI22">
            <v>2067022</v>
          </cell>
          <cell r="AJ22">
            <v>20314208</v>
          </cell>
          <cell r="AK22">
            <v>5534625</v>
          </cell>
          <cell r="AM22">
            <v>531184</v>
          </cell>
          <cell r="AN22">
            <v>7408463</v>
          </cell>
          <cell r="AO22">
            <v>0</v>
          </cell>
          <cell r="AT22">
            <v>0</v>
          </cell>
          <cell r="BH22">
            <v>0</v>
          </cell>
          <cell r="BI22">
            <v>0</v>
          </cell>
        </row>
        <row r="23">
          <cell r="F23">
            <v>7871952</v>
          </cell>
          <cell r="H23">
            <v>22695</v>
          </cell>
          <cell r="I23">
            <v>0</v>
          </cell>
          <cell r="J23">
            <v>85598282</v>
          </cell>
          <cell r="L23">
            <v>0</v>
          </cell>
          <cell r="N23">
            <v>4636.4928515622551</v>
          </cell>
          <cell r="O23">
            <v>794690</v>
          </cell>
          <cell r="S23">
            <v>3207964</v>
          </cell>
          <cell r="T23">
            <v>0</v>
          </cell>
          <cell r="X23">
            <v>0</v>
          </cell>
          <cell r="AA23">
            <v>1107182</v>
          </cell>
          <cell r="AC23">
            <v>0</v>
          </cell>
          <cell r="AD23">
            <v>0</v>
          </cell>
          <cell r="AE23">
            <v>98602765</v>
          </cell>
          <cell r="AI23">
            <v>7070793</v>
          </cell>
          <cell r="AJ23">
            <v>28652830</v>
          </cell>
          <cell r="AK23">
            <v>14993135</v>
          </cell>
          <cell r="AM23">
            <v>1460759</v>
          </cell>
          <cell r="AN23">
            <v>46425248</v>
          </cell>
          <cell r="AO23">
            <v>0</v>
          </cell>
          <cell r="AT23">
            <v>0</v>
          </cell>
          <cell r="BH23">
            <v>0</v>
          </cell>
          <cell r="BI23">
            <v>0</v>
          </cell>
        </row>
        <row r="24">
          <cell r="F24">
            <v>3935976</v>
          </cell>
          <cell r="H24">
            <v>300469</v>
          </cell>
          <cell r="I24">
            <v>0</v>
          </cell>
          <cell r="J24">
            <v>6720086</v>
          </cell>
          <cell r="L24">
            <v>0</v>
          </cell>
          <cell r="N24">
            <v>4636.4927917693321</v>
          </cell>
          <cell r="O24">
            <v>93131</v>
          </cell>
          <cell r="S24">
            <v>0</v>
          </cell>
          <cell r="T24">
            <v>266716</v>
          </cell>
          <cell r="X24">
            <v>0</v>
          </cell>
          <cell r="AA24">
            <v>0</v>
          </cell>
          <cell r="AC24">
            <v>0</v>
          </cell>
          <cell r="AD24">
            <v>0</v>
          </cell>
          <cell r="AE24">
            <v>11316378</v>
          </cell>
          <cell r="AI24">
            <v>682843</v>
          </cell>
          <cell r="AJ24">
            <v>5149199</v>
          </cell>
          <cell r="AK24">
            <v>1741795</v>
          </cell>
          <cell r="AM24">
            <v>167647</v>
          </cell>
          <cell r="AN24">
            <v>3574894</v>
          </cell>
          <cell r="AO24">
            <v>0</v>
          </cell>
          <cell r="AT24">
            <v>0</v>
          </cell>
          <cell r="BH24">
            <v>0</v>
          </cell>
          <cell r="BI24">
            <v>0</v>
          </cell>
        </row>
        <row r="25">
          <cell r="F25">
            <v>8996517</v>
          </cell>
          <cell r="H25">
            <v>557917</v>
          </cell>
          <cell r="I25">
            <v>413733</v>
          </cell>
          <cell r="J25">
            <v>125719153</v>
          </cell>
          <cell r="L25">
            <v>629822</v>
          </cell>
          <cell r="N25">
            <v>4659.7205472662135</v>
          </cell>
          <cell r="O25">
            <v>1137795</v>
          </cell>
          <cell r="S25">
            <v>0</v>
          </cell>
          <cell r="T25">
            <v>0</v>
          </cell>
          <cell r="X25">
            <v>2479749</v>
          </cell>
          <cell r="AA25">
            <v>0</v>
          </cell>
          <cell r="AC25">
            <v>0</v>
          </cell>
          <cell r="AD25">
            <v>0</v>
          </cell>
          <cell r="AE25">
            <v>137475837</v>
          </cell>
          <cell r="AI25">
            <v>21266000</v>
          </cell>
          <cell r="AJ25">
            <v>80570312</v>
          </cell>
          <cell r="AK25">
            <v>19035422</v>
          </cell>
          <cell r="AM25">
            <v>2036647</v>
          </cell>
          <cell r="AN25">
            <v>14567456</v>
          </cell>
          <cell r="AO25">
            <v>0</v>
          </cell>
          <cell r="AT25">
            <v>0</v>
          </cell>
          <cell r="BH25">
            <v>0</v>
          </cell>
          <cell r="BI25">
            <v>0</v>
          </cell>
        </row>
        <row r="26">
          <cell r="F26">
            <v>3935976</v>
          </cell>
          <cell r="H26">
            <v>1440030</v>
          </cell>
          <cell r="I26">
            <v>196017</v>
          </cell>
          <cell r="J26">
            <v>21322222</v>
          </cell>
          <cell r="L26">
            <v>0</v>
          </cell>
          <cell r="N26">
            <v>4636.4927725573607</v>
          </cell>
          <cell r="O26">
            <v>228601</v>
          </cell>
          <cell r="S26">
            <v>790541</v>
          </cell>
          <cell r="T26">
            <v>0</v>
          </cell>
          <cell r="X26">
            <v>0</v>
          </cell>
          <cell r="AA26">
            <v>0</v>
          </cell>
          <cell r="AC26">
            <v>0</v>
          </cell>
          <cell r="AD26">
            <v>0</v>
          </cell>
          <cell r="AE26">
            <v>27913387</v>
          </cell>
          <cell r="AI26">
            <v>1640844</v>
          </cell>
          <cell r="AJ26">
            <v>15292757</v>
          </cell>
          <cell r="AK26">
            <v>4303499</v>
          </cell>
          <cell r="AM26">
            <v>413525</v>
          </cell>
          <cell r="AN26">
            <v>6262762</v>
          </cell>
          <cell r="AO26">
            <v>0</v>
          </cell>
          <cell r="AT26">
            <v>0</v>
          </cell>
          <cell r="BH26">
            <v>0</v>
          </cell>
          <cell r="BI26">
            <v>0</v>
          </cell>
        </row>
        <row r="27">
          <cell r="F27">
            <v>5622823</v>
          </cell>
          <cell r="H27">
            <v>1007491</v>
          </cell>
          <cell r="I27">
            <v>7951920</v>
          </cell>
          <cell r="J27">
            <v>57992650</v>
          </cell>
          <cell r="L27">
            <v>0</v>
          </cell>
          <cell r="N27">
            <v>4636.4928299896519</v>
          </cell>
          <cell r="O27">
            <v>596782</v>
          </cell>
          <cell r="S27">
            <v>0</v>
          </cell>
          <cell r="T27">
            <v>0</v>
          </cell>
          <cell r="X27">
            <v>2385367</v>
          </cell>
          <cell r="AA27">
            <v>0</v>
          </cell>
          <cell r="AC27">
            <v>0</v>
          </cell>
          <cell r="AD27">
            <v>0</v>
          </cell>
          <cell r="AE27">
            <v>73191771</v>
          </cell>
          <cell r="AI27">
            <v>4344435</v>
          </cell>
          <cell r="AJ27">
            <v>10371640</v>
          </cell>
          <cell r="AK27">
            <v>11277342</v>
          </cell>
          <cell r="AM27">
            <v>1084305</v>
          </cell>
          <cell r="AN27">
            <v>46114049</v>
          </cell>
          <cell r="AO27">
            <v>0</v>
          </cell>
          <cell r="AT27">
            <v>0</v>
          </cell>
          <cell r="BH27">
            <v>0</v>
          </cell>
          <cell r="BI27">
            <v>0</v>
          </cell>
        </row>
        <row r="28">
          <cell r="F28">
            <v>7309670</v>
          </cell>
          <cell r="H28">
            <v>305320</v>
          </cell>
          <cell r="I28">
            <v>0</v>
          </cell>
          <cell r="J28">
            <v>80508604</v>
          </cell>
          <cell r="L28">
            <v>0</v>
          </cell>
          <cell r="N28">
            <v>4636.4928346774786</v>
          </cell>
          <cell r="O28">
            <v>749051</v>
          </cell>
          <cell r="S28">
            <v>3410949</v>
          </cell>
          <cell r="T28">
            <v>0</v>
          </cell>
          <cell r="X28">
            <v>0</v>
          </cell>
          <cell r="AA28">
            <v>0</v>
          </cell>
          <cell r="AC28">
            <v>0</v>
          </cell>
          <cell r="AD28">
            <v>0</v>
          </cell>
          <cell r="AE28">
            <v>92283594</v>
          </cell>
          <cell r="AI28">
            <v>7509026</v>
          </cell>
          <cell r="AJ28">
            <v>31683825</v>
          </cell>
          <cell r="AK28">
            <v>13886257</v>
          </cell>
          <cell r="AM28">
            <v>1367143</v>
          </cell>
          <cell r="AN28">
            <v>37837343</v>
          </cell>
          <cell r="AO28">
            <v>0</v>
          </cell>
          <cell r="AT28">
            <v>0</v>
          </cell>
          <cell r="BH28">
            <v>0</v>
          </cell>
          <cell r="BI28">
            <v>0</v>
          </cell>
        </row>
        <row r="29">
          <cell r="F29">
            <v>3654835</v>
          </cell>
          <cell r="H29">
            <v>12964</v>
          </cell>
          <cell r="I29">
            <v>0</v>
          </cell>
          <cell r="J29">
            <v>31117783</v>
          </cell>
          <cell r="L29">
            <v>0</v>
          </cell>
          <cell r="N29">
            <v>4636.4928290226126</v>
          </cell>
          <cell r="O29">
            <v>295677</v>
          </cell>
          <cell r="S29">
            <v>1578982</v>
          </cell>
          <cell r="T29">
            <v>0</v>
          </cell>
          <cell r="X29">
            <v>0</v>
          </cell>
          <cell r="AA29">
            <v>0</v>
          </cell>
          <cell r="AC29">
            <v>0</v>
          </cell>
          <cell r="AD29">
            <v>0</v>
          </cell>
          <cell r="AE29">
            <v>36660241</v>
          </cell>
          <cell r="AI29">
            <v>1588239</v>
          </cell>
          <cell r="AJ29">
            <v>18759801</v>
          </cell>
          <cell r="AK29">
            <v>5744870</v>
          </cell>
          <cell r="AM29">
            <v>543106</v>
          </cell>
          <cell r="AN29">
            <v>10024225</v>
          </cell>
          <cell r="AO29">
            <v>0</v>
          </cell>
          <cell r="AT29">
            <v>0</v>
          </cell>
          <cell r="BH29">
            <v>0</v>
          </cell>
          <cell r="BI29">
            <v>0</v>
          </cell>
        </row>
        <row r="30">
          <cell r="F30">
            <v>3373694</v>
          </cell>
          <cell r="H30">
            <v>92842</v>
          </cell>
          <cell r="I30">
            <v>40083</v>
          </cell>
          <cell r="J30">
            <v>30505758</v>
          </cell>
          <cell r="L30">
            <v>0</v>
          </cell>
          <cell r="N30">
            <v>4636.4927875036828</v>
          </cell>
          <cell r="O30">
            <v>289105</v>
          </cell>
          <cell r="S30">
            <v>1140637</v>
          </cell>
          <cell r="T30">
            <v>0</v>
          </cell>
          <cell r="X30">
            <v>0</v>
          </cell>
          <cell r="AA30">
            <v>0</v>
          </cell>
          <cell r="AC30">
            <v>0</v>
          </cell>
          <cell r="AD30">
            <v>0</v>
          </cell>
          <cell r="AE30">
            <v>35442119</v>
          </cell>
          <cell r="AI30">
            <v>1195429</v>
          </cell>
          <cell r="AJ30">
            <v>4717818</v>
          </cell>
          <cell r="AK30">
            <v>5609682</v>
          </cell>
          <cell r="AM30">
            <v>525060</v>
          </cell>
          <cell r="AN30">
            <v>23394130</v>
          </cell>
          <cell r="AO30">
            <v>0</v>
          </cell>
          <cell r="AT30">
            <v>0</v>
          </cell>
          <cell r="BH30">
            <v>0</v>
          </cell>
          <cell r="BI30">
            <v>0</v>
          </cell>
        </row>
        <row r="31">
          <cell r="F31">
            <v>14338200</v>
          </cell>
          <cell r="H31">
            <v>115648</v>
          </cell>
          <cell r="I31">
            <v>0</v>
          </cell>
          <cell r="J31">
            <v>87618737</v>
          </cell>
          <cell r="L31">
            <v>0</v>
          </cell>
          <cell r="N31">
            <v>4636.4928532344675</v>
          </cell>
          <cell r="O31">
            <v>867617</v>
          </cell>
          <cell r="S31">
            <v>1083367</v>
          </cell>
          <cell r="T31">
            <v>0</v>
          </cell>
          <cell r="X31">
            <v>0</v>
          </cell>
          <cell r="AA31">
            <v>0</v>
          </cell>
          <cell r="AC31">
            <v>0</v>
          </cell>
          <cell r="AD31">
            <v>0</v>
          </cell>
          <cell r="AE31">
            <v>104023569</v>
          </cell>
          <cell r="AI31">
            <v>5358899</v>
          </cell>
          <cell r="AJ31">
            <v>46948284</v>
          </cell>
          <cell r="AK31">
            <v>16161486</v>
          </cell>
          <cell r="AM31">
            <v>1541066</v>
          </cell>
          <cell r="AN31">
            <v>34013834</v>
          </cell>
          <cell r="AO31">
            <v>0</v>
          </cell>
          <cell r="AT31">
            <v>0</v>
          </cell>
          <cell r="BH31">
            <v>0</v>
          </cell>
          <cell r="BI31">
            <v>0</v>
          </cell>
        </row>
        <row r="32">
          <cell r="F32">
            <v>3935976</v>
          </cell>
          <cell r="H32">
            <v>171939</v>
          </cell>
          <cell r="I32">
            <v>108267</v>
          </cell>
          <cell r="J32">
            <v>7297932</v>
          </cell>
          <cell r="L32">
            <v>206516</v>
          </cell>
          <cell r="N32">
            <v>4767.6954549497468</v>
          </cell>
          <cell r="O32">
            <v>99625</v>
          </cell>
          <cell r="S32">
            <v>0</v>
          </cell>
          <cell r="T32">
            <v>449290</v>
          </cell>
          <cell r="X32">
            <v>0</v>
          </cell>
          <cell r="AA32">
            <v>0</v>
          </cell>
          <cell r="AC32">
            <v>0</v>
          </cell>
          <cell r="AD32">
            <v>0</v>
          </cell>
          <cell r="AE32">
            <v>12269545</v>
          </cell>
          <cell r="AI32">
            <v>761590</v>
          </cell>
          <cell r="AJ32">
            <v>3768586</v>
          </cell>
          <cell r="AK32">
            <v>1885028</v>
          </cell>
          <cell r="AM32">
            <v>181768</v>
          </cell>
          <cell r="AN32">
            <v>5672573</v>
          </cell>
          <cell r="AO32">
            <v>0</v>
          </cell>
          <cell r="AT32">
            <v>0</v>
          </cell>
          <cell r="BH32">
            <v>0</v>
          </cell>
          <cell r="BI32">
            <v>0</v>
          </cell>
        </row>
        <row r="33">
          <cell r="F33">
            <v>3935976</v>
          </cell>
          <cell r="H33">
            <v>208574</v>
          </cell>
          <cell r="I33">
            <v>0</v>
          </cell>
          <cell r="J33">
            <v>6220133</v>
          </cell>
          <cell r="L33">
            <v>144240</v>
          </cell>
          <cell r="N33">
            <v>4744.0092131548345</v>
          </cell>
          <cell r="O33">
            <v>89326</v>
          </cell>
          <cell r="S33">
            <v>0</v>
          </cell>
          <cell r="T33">
            <v>1372751</v>
          </cell>
          <cell r="X33">
            <v>0</v>
          </cell>
          <cell r="AA33">
            <v>-162047</v>
          </cell>
          <cell r="AC33">
            <v>0</v>
          </cell>
          <cell r="AD33">
            <v>0</v>
          </cell>
          <cell r="AE33">
            <v>11808953</v>
          </cell>
          <cell r="AI33">
            <v>399399</v>
          </cell>
          <cell r="AJ33">
            <v>1394371</v>
          </cell>
          <cell r="AK33">
            <v>1868910</v>
          </cell>
          <cell r="AM33">
            <v>174945</v>
          </cell>
          <cell r="AN33">
            <v>7971328</v>
          </cell>
          <cell r="AO33">
            <v>0</v>
          </cell>
          <cell r="AT33">
            <v>0</v>
          </cell>
          <cell r="BH33">
            <v>0</v>
          </cell>
          <cell r="BI33">
            <v>0</v>
          </cell>
        </row>
        <row r="34">
          <cell r="F34">
            <v>6747388</v>
          </cell>
          <cell r="H34">
            <v>381991</v>
          </cell>
          <cell r="I34">
            <v>319614</v>
          </cell>
          <cell r="J34">
            <v>91226520</v>
          </cell>
          <cell r="L34">
            <v>0</v>
          </cell>
          <cell r="N34">
            <v>4636.4928345846411</v>
          </cell>
          <cell r="O34">
            <v>838742</v>
          </cell>
          <cell r="S34">
            <v>1641460</v>
          </cell>
          <cell r="T34">
            <v>0</v>
          </cell>
          <cell r="X34">
            <v>0</v>
          </cell>
          <cell r="AA34">
            <v>0</v>
          </cell>
          <cell r="AC34">
            <v>0</v>
          </cell>
          <cell r="AD34">
            <v>0</v>
          </cell>
          <cell r="AE34">
            <v>101155715</v>
          </cell>
          <cell r="AI34">
            <v>4488447</v>
          </cell>
          <cell r="AJ34">
            <v>12942295</v>
          </cell>
          <cell r="AK34">
            <v>15834307</v>
          </cell>
          <cell r="AM34">
            <v>1498580</v>
          </cell>
          <cell r="AN34">
            <v>66392086</v>
          </cell>
          <cell r="AO34">
            <v>0</v>
          </cell>
          <cell r="AT34">
            <v>0</v>
          </cell>
          <cell r="BH34">
            <v>0</v>
          </cell>
          <cell r="BI34">
            <v>0</v>
          </cell>
        </row>
        <row r="35">
          <cell r="F35">
            <v>33736938</v>
          </cell>
          <cell r="H35">
            <v>5393267</v>
          </cell>
          <cell r="I35">
            <v>9549763</v>
          </cell>
          <cell r="J35">
            <v>438534605</v>
          </cell>
          <cell r="L35">
            <v>0</v>
          </cell>
          <cell r="N35">
            <v>4636.492857144015</v>
          </cell>
          <cell r="O35">
            <v>4141324</v>
          </cell>
          <cell r="S35">
            <v>23029697</v>
          </cell>
          <cell r="T35">
            <v>0</v>
          </cell>
          <cell r="X35">
            <v>0</v>
          </cell>
          <cell r="AA35">
            <v>0</v>
          </cell>
          <cell r="AC35">
            <v>0</v>
          </cell>
          <cell r="AD35">
            <v>0</v>
          </cell>
          <cell r="AE35">
            <v>514385594</v>
          </cell>
          <cell r="AI35">
            <v>22243013</v>
          </cell>
          <cell r="AJ35">
            <v>181039938</v>
          </cell>
          <cell r="AK35">
            <v>80614015</v>
          </cell>
          <cell r="AM35">
            <v>7620408</v>
          </cell>
          <cell r="AN35">
            <v>222868220</v>
          </cell>
          <cell r="AO35">
            <v>0</v>
          </cell>
          <cell r="AT35">
            <v>0</v>
          </cell>
          <cell r="BH35">
            <v>0</v>
          </cell>
          <cell r="BI35">
            <v>0</v>
          </cell>
        </row>
        <row r="36">
          <cell r="F36">
            <v>19117599</v>
          </cell>
          <cell r="H36">
            <v>56709</v>
          </cell>
          <cell r="I36">
            <v>0</v>
          </cell>
          <cell r="J36">
            <v>231885033</v>
          </cell>
          <cell r="L36">
            <v>0</v>
          </cell>
          <cell r="N36">
            <v>4636.4928600083276</v>
          </cell>
          <cell r="O36">
            <v>2134004</v>
          </cell>
          <cell r="S36">
            <v>9456682</v>
          </cell>
          <cell r="T36">
            <v>0</v>
          </cell>
          <cell r="X36">
            <v>0</v>
          </cell>
          <cell r="AA36">
            <v>0</v>
          </cell>
          <cell r="AC36">
            <v>0</v>
          </cell>
          <cell r="AD36">
            <v>0</v>
          </cell>
          <cell r="AE36">
            <v>262650027</v>
          </cell>
          <cell r="AI36">
            <v>14963861</v>
          </cell>
          <cell r="AJ36">
            <v>55557109</v>
          </cell>
          <cell r="AK36">
            <v>40571527</v>
          </cell>
          <cell r="AM36">
            <v>3891050</v>
          </cell>
          <cell r="AN36">
            <v>147666480</v>
          </cell>
          <cell r="AO36">
            <v>0</v>
          </cell>
          <cell r="AT36">
            <v>0</v>
          </cell>
          <cell r="BH36">
            <v>0</v>
          </cell>
          <cell r="BI36">
            <v>0</v>
          </cell>
        </row>
        <row r="37">
          <cell r="F37">
            <v>3373694</v>
          </cell>
          <cell r="H37">
            <v>648083</v>
          </cell>
          <cell r="I37">
            <v>0</v>
          </cell>
          <cell r="J37">
            <v>19165360</v>
          </cell>
          <cell r="L37">
            <v>2539815</v>
          </cell>
          <cell r="N37">
            <v>5250.9259505659738</v>
          </cell>
          <cell r="O37">
            <v>201459</v>
          </cell>
          <cell r="S37">
            <v>0</v>
          </cell>
          <cell r="T37">
            <v>0</v>
          </cell>
          <cell r="X37">
            <v>2043141</v>
          </cell>
          <cell r="AA37">
            <v>0</v>
          </cell>
          <cell r="AC37">
            <v>0</v>
          </cell>
          <cell r="AD37">
            <v>0</v>
          </cell>
          <cell r="AE37">
            <v>25945631</v>
          </cell>
          <cell r="AI37">
            <v>1637478</v>
          </cell>
          <cell r="AJ37">
            <v>44652773</v>
          </cell>
          <cell r="AK37">
            <v>390298</v>
          </cell>
          <cell r="AM37">
            <v>0</v>
          </cell>
          <cell r="AN37">
            <v>0</v>
          </cell>
          <cell r="AO37">
            <v>20734918</v>
          </cell>
          <cell r="AT37">
            <v>0</v>
          </cell>
          <cell r="BH37">
            <v>0</v>
          </cell>
          <cell r="BI37">
            <v>0</v>
          </cell>
        </row>
        <row r="38">
          <cell r="F38">
            <v>4498258</v>
          </cell>
          <cell r="H38">
            <v>97972</v>
          </cell>
          <cell r="I38">
            <v>179241</v>
          </cell>
          <cell r="J38">
            <v>10451721</v>
          </cell>
          <cell r="L38">
            <v>0</v>
          </cell>
          <cell r="N38">
            <v>4636.49272700656</v>
          </cell>
          <cell r="O38">
            <v>129431</v>
          </cell>
          <cell r="S38">
            <v>0</v>
          </cell>
          <cell r="T38">
            <v>1476403</v>
          </cell>
          <cell r="X38">
            <v>0</v>
          </cell>
          <cell r="AA38">
            <v>0</v>
          </cell>
          <cell r="AC38">
            <v>0</v>
          </cell>
          <cell r="AD38">
            <v>0</v>
          </cell>
          <cell r="AE38">
            <v>16833026</v>
          </cell>
          <cell r="AI38">
            <v>621320</v>
          </cell>
          <cell r="AJ38">
            <v>6254066</v>
          </cell>
          <cell r="AK38">
            <v>2655512</v>
          </cell>
          <cell r="AM38">
            <v>249374</v>
          </cell>
          <cell r="AN38">
            <v>7052754</v>
          </cell>
          <cell r="AO38">
            <v>0</v>
          </cell>
          <cell r="AT38">
            <v>0</v>
          </cell>
          <cell r="BH38">
            <v>0</v>
          </cell>
          <cell r="BI38">
            <v>0</v>
          </cell>
        </row>
        <row r="39">
          <cell r="F39">
            <v>5622823</v>
          </cell>
          <cell r="H39">
            <v>872884</v>
          </cell>
          <cell r="I39">
            <v>2106055</v>
          </cell>
          <cell r="J39">
            <v>39160050</v>
          </cell>
          <cell r="L39">
            <v>0</v>
          </cell>
          <cell r="N39">
            <v>4636.4928220137444</v>
          </cell>
          <cell r="O39">
            <v>405975</v>
          </cell>
          <cell r="S39">
            <v>1756294</v>
          </cell>
          <cell r="T39">
            <v>0</v>
          </cell>
          <cell r="X39">
            <v>0</v>
          </cell>
          <cell r="AA39">
            <v>0</v>
          </cell>
          <cell r="AC39">
            <v>0</v>
          </cell>
          <cell r="AD39">
            <v>0</v>
          </cell>
          <cell r="AE39">
            <v>49924081</v>
          </cell>
          <cell r="AI39">
            <v>2023876</v>
          </cell>
          <cell r="AJ39">
            <v>9124271</v>
          </cell>
          <cell r="AK39">
            <v>7846156</v>
          </cell>
          <cell r="AM39">
            <v>739604</v>
          </cell>
          <cell r="AN39">
            <v>30190174</v>
          </cell>
          <cell r="AO39">
            <v>0</v>
          </cell>
          <cell r="AT39">
            <v>0</v>
          </cell>
          <cell r="BH39">
            <v>0</v>
          </cell>
          <cell r="BI39">
            <v>0</v>
          </cell>
        </row>
        <row r="40">
          <cell r="F40">
            <v>5622823</v>
          </cell>
          <cell r="H40">
            <v>2053290</v>
          </cell>
          <cell r="I40">
            <v>0</v>
          </cell>
          <cell r="J40">
            <v>45946348</v>
          </cell>
          <cell r="L40">
            <v>91210</v>
          </cell>
          <cell r="N40">
            <v>4645.6969429445408</v>
          </cell>
          <cell r="O40">
            <v>456566</v>
          </cell>
          <cell r="S40">
            <v>0</v>
          </cell>
          <cell r="T40">
            <v>0</v>
          </cell>
          <cell r="X40">
            <v>0</v>
          </cell>
          <cell r="AA40">
            <v>0</v>
          </cell>
          <cell r="AC40">
            <v>0</v>
          </cell>
          <cell r="AD40">
            <v>0</v>
          </cell>
          <cell r="AE40">
            <v>54170237</v>
          </cell>
          <cell r="AI40">
            <v>6762000</v>
          </cell>
          <cell r="AJ40">
            <v>82502054</v>
          </cell>
          <cell r="AK40">
            <v>1076556</v>
          </cell>
          <cell r="AM40">
            <v>0</v>
          </cell>
          <cell r="AN40">
            <v>0</v>
          </cell>
          <cell r="AO40">
            <v>36170373</v>
          </cell>
          <cell r="AT40">
            <v>0</v>
          </cell>
          <cell r="BH40">
            <v>0</v>
          </cell>
          <cell r="BI40">
            <v>0</v>
          </cell>
        </row>
        <row r="41">
          <cell r="F41">
            <v>3654835</v>
          </cell>
          <cell r="H41">
            <v>1062862</v>
          </cell>
          <cell r="I41">
            <v>362882</v>
          </cell>
          <cell r="J41">
            <v>27967464</v>
          </cell>
          <cell r="L41">
            <v>0</v>
          </cell>
          <cell r="N41">
            <v>4636.4928556389805</v>
          </cell>
          <cell r="O41">
            <v>280672</v>
          </cell>
          <cell r="S41">
            <v>0</v>
          </cell>
          <cell r="T41">
            <v>0</v>
          </cell>
          <cell r="X41">
            <v>28070</v>
          </cell>
          <cell r="AA41">
            <v>0</v>
          </cell>
          <cell r="AC41">
            <v>0</v>
          </cell>
          <cell r="AD41">
            <v>0</v>
          </cell>
          <cell r="AE41">
            <v>33328952</v>
          </cell>
          <cell r="AI41">
            <v>2510152</v>
          </cell>
          <cell r="AJ41">
            <v>14567600</v>
          </cell>
          <cell r="AK41">
            <v>5048186</v>
          </cell>
          <cell r="AM41">
            <v>493754</v>
          </cell>
          <cell r="AN41">
            <v>10709260</v>
          </cell>
          <cell r="AO41">
            <v>0</v>
          </cell>
          <cell r="AT41">
            <v>0</v>
          </cell>
          <cell r="BH41">
            <v>0</v>
          </cell>
          <cell r="BI41">
            <v>0</v>
          </cell>
        </row>
        <row r="42">
          <cell r="F42">
            <v>5622823</v>
          </cell>
          <cell r="H42">
            <v>5304662</v>
          </cell>
          <cell r="I42">
            <v>12134419</v>
          </cell>
          <cell r="J42">
            <v>107908128</v>
          </cell>
          <cell r="L42">
            <v>0</v>
          </cell>
          <cell r="N42">
            <v>4636.4928527992324</v>
          </cell>
          <cell r="O42">
            <v>1113245</v>
          </cell>
          <cell r="S42">
            <v>6367646</v>
          </cell>
          <cell r="T42">
            <v>0</v>
          </cell>
          <cell r="X42">
            <v>0</v>
          </cell>
          <cell r="AA42">
            <v>0</v>
          </cell>
          <cell r="AC42">
            <v>0</v>
          </cell>
          <cell r="AD42">
            <v>0</v>
          </cell>
          <cell r="AE42">
            <v>138450923</v>
          </cell>
          <cell r="AI42">
            <v>8201044</v>
          </cell>
          <cell r="AJ42">
            <v>19849687</v>
          </cell>
          <cell r="AK42">
            <v>21335211</v>
          </cell>
          <cell r="AM42">
            <v>2051093</v>
          </cell>
          <cell r="AN42">
            <v>87013888</v>
          </cell>
          <cell r="AO42">
            <v>0</v>
          </cell>
          <cell r="AT42">
            <v>0</v>
          </cell>
          <cell r="BH42">
            <v>0</v>
          </cell>
          <cell r="BI42">
            <v>0</v>
          </cell>
        </row>
        <row r="43">
          <cell r="F43">
            <v>5622823</v>
          </cell>
          <cell r="H43">
            <v>1048308</v>
          </cell>
          <cell r="I43">
            <v>623767</v>
          </cell>
          <cell r="J43">
            <v>44335996</v>
          </cell>
          <cell r="L43">
            <v>0</v>
          </cell>
          <cell r="N43">
            <v>4636.492857080485</v>
          </cell>
          <cell r="O43">
            <v>438863</v>
          </cell>
          <cell r="S43">
            <v>2335354</v>
          </cell>
          <cell r="T43">
            <v>0</v>
          </cell>
          <cell r="X43">
            <v>0</v>
          </cell>
          <cell r="AA43">
            <v>0</v>
          </cell>
          <cell r="AC43">
            <v>0</v>
          </cell>
          <cell r="AD43">
            <v>0</v>
          </cell>
          <cell r="AE43">
            <v>54405111</v>
          </cell>
          <cell r="AI43">
            <v>3145800</v>
          </cell>
          <cell r="AJ43">
            <v>19104339</v>
          </cell>
          <cell r="AK43">
            <v>8396386</v>
          </cell>
          <cell r="AM43">
            <v>805989</v>
          </cell>
          <cell r="AN43">
            <v>22952597</v>
          </cell>
          <cell r="AO43">
            <v>0</v>
          </cell>
          <cell r="AT43">
            <v>0</v>
          </cell>
          <cell r="BH43">
            <v>0</v>
          </cell>
          <cell r="BI43">
            <v>0</v>
          </cell>
        </row>
        <row r="44">
          <cell r="F44">
            <v>3935976</v>
          </cell>
          <cell r="H44">
            <v>1113493</v>
          </cell>
          <cell r="I44">
            <v>53346</v>
          </cell>
          <cell r="J44">
            <v>23330276</v>
          </cell>
          <cell r="L44">
            <v>0</v>
          </cell>
          <cell r="N44">
            <v>4636.4929211348453</v>
          </cell>
          <cell r="O44">
            <v>241681</v>
          </cell>
          <cell r="S44">
            <v>700813</v>
          </cell>
          <cell r="T44">
            <v>105247</v>
          </cell>
          <cell r="X44">
            <v>0</v>
          </cell>
          <cell r="AA44">
            <v>0</v>
          </cell>
          <cell r="AC44">
            <v>0</v>
          </cell>
          <cell r="AD44">
            <v>0</v>
          </cell>
          <cell r="AE44">
            <v>29480832</v>
          </cell>
          <cell r="AI44">
            <v>2210351</v>
          </cell>
          <cell r="AJ44">
            <v>20651642</v>
          </cell>
          <cell r="AK44">
            <v>4466964</v>
          </cell>
          <cell r="AM44">
            <v>436746</v>
          </cell>
          <cell r="AN44">
            <v>1715129</v>
          </cell>
          <cell r="AO44">
            <v>0</v>
          </cell>
          <cell r="AT44">
            <v>0</v>
          </cell>
          <cell r="BH44">
            <v>0</v>
          </cell>
          <cell r="BI44">
            <v>0</v>
          </cell>
        </row>
        <row r="45">
          <cell r="F45">
            <v>8996517</v>
          </cell>
          <cell r="H45">
            <v>6921761</v>
          </cell>
          <cell r="I45">
            <v>11184800</v>
          </cell>
          <cell r="J45">
            <v>126238181</v>
          </cell>
          <cell r="L45">
            <v>0</v>
          </cell>
          <cell r="N45">
            <v>4636.4928512986753</v>
          </cell>
          <cell r="O45">
            <v>1303401</v>
          </cell>
          <cell r="S45">
            <v>7331404</v>
          </cell>
          <cell r="T45">
            <v>0</v>
          </cell>
          <cell r="X45">
            <v>0</v>
          </cell>
          <cell r="AA45">
            <v>0</v>
          </cell>
          <cell r="AC45">
            <v>0</v>
          </cell>
          <cell r="AD45">
            <v>0</v>
          </cell>
          <cell r="AE45">
            <v>161976064</v>
          </cell>
          <cell r="AI45">
            <v>11560067</v>
          </cell>
          <cell r="AJ45">
            <v>68689843</v>
          </cell>
          <cell r="AK45">
            <v>24638464</v>
          </cell>
          <cell r="AM45">
            <v>2399608</v>
          </cell>
          <cell r="AN45">
            <v>54688082</v>
          </cell>
          <cell r="AO45">
            <v>0</v>
          </cell>
          <cell r="AT45">
            <v>0</v>
          </cell>
          <cell r="BH45">
            <v>0</v>
          </cell>
          <cell r="BI45">
            <v>0</v>
          </cell>
        </row>
        <row r="46">
          <cell r="F46">
            <v>4498259</v>
          </cell>
          <cell r="H46">
            <v>4768</v>
          </cell>
          <cell r="I46">
            <v>0</v>
          </cell>
          <cell r="J46">
            <v>36565840</v>
          </cell>
          <cell r="L46">
            <v>0</v>
          </cell>
          <cell r="N46">
            <v>4636.4928914016764</v>
          </cell>
          <cell r="O46">
            <v>349085</v>
          </cell>
          <cell r="S46">
            <v>822079</v>
          </cell>
          <cell r="T46">
            <v>0</v>
          </cell>
          <cell r="X46">
            <v>0</v>
          </cell>
          <cell r="AA46">
            <v>0</v>
          </cell>
          <cell r="AC46">
            <v>0</v>
          </cell>
          <cell r="AD46">
            <v>0</v>
          </cell>
          <cell r="AE46">
            <v>42240031</v>
          </cell>
          <cell r="AI46">
            <v>4049338</v>
          </cell>
          <cell r="AJ46">
            <v>17789149</v>
          </cell>
          <cell r="AK46">
            <v>6255718</v>
          </cell>
          <cell r="AM46">
            <v>625768</v>
          </cell>
          <cell r="AN46">
            <v>13520058</v>
          </cell>
          <cell r="AO46">
            <v>0</v>
          </cell>
          <cell r="AT46">
            <v>0</v>
          </cell>
          <cell r="BH46">
            <v>0</v>
          </cell>
          <cell r="BI46">
            <v>0</v>
          </cell>
        </row>
        <row r="47">
          <cell r="F47">
            <v>4076547</v>
          </cell>
          <cell r="H47">
            <v>110741</v>
          </cell>
          <cell r="I47">
            <v>0</v>
          </cell>
          <cell r="J47">
            <v>6315460</v>
          </cell>
          <cell r="L47">
            <v>0</v>
          </cell>
          <cell r="N47">
            <v>4636.4931136757414</v>
          </cell>
          <cell r="O47">
            <v>89273</v>
          </cell>
          <cell r="S47">
            <v>0</v>
          </cell>
          <cell r="T47">
            <v>1661405</v>
          </cell>
          <cell r="X47">
            <v>0</v>
          </cell>
          <cell r="AA47">
            <v>0</v>
          </cell>
          <cell r="AC47">
            <v>0</v>
          </cell>
          <cell r="AD47">
            <v>0</v>
          </cell>
          <cell r="AE47">
            <v>12253426</v>
          </cell>
          <cell r="AI47">
            <v>491169</v>
          </cell>
          <cell r="AJ47">
            <v>1223531</v>
          </cell>
          <cell r="AK47">
            <v>1926683</v>
          </cell>
          <cell r="AM47">
            <v>181529</v>
          </cell>
          <cell r="AN47">
            <v>8430514</v>
          </cell>
          <cell r="AO47">
            <v>0</v>
          </cell>
          <cell r="AT47">
            <v>0</v>
          </cell>
          <cell r="BH47">
            <v>0</v>
          </cell>
          <cell r="BI47">
            <v>0</v>
          </cell>
        </row>
        <row r="48">
          <cell r="F48">
            <v>6747388</v>
          </cell>
          <cell r="H48">
            <v>924072</v>
          </cell>
          <cell r="I48">
            <v>1741958</v>
          </cell>
          <cell r="J48">
            <v>83180073</v>
          </cell>
          <cell r="L48">
            <v>0</v>
          </cell>
          <cell r="N48">
            <v>4636.4928793836043</v>
          </cell>
          <cell r="O48">
            <v>787045</v>
          </cell>
          <cell r="S48">
            <v>2450554</v>
          </cell>
          <cell r="T48">
            <v>0</v>
          </cell>
          <cell r="X48">
            <v>0</v>
          </cell>
          <cell r="AA48">
            <v>0</v>
          </cell>
          <cell r="AC48">
            <v>0</v>
          </cell>
          <cell r="AD48">
            <v>0</v>
          </cell>
          <cell r="AE48">
            <v>95831090</v>
          </cell>
          <cell r="AI48">
            <v>8981430</v>
          </cell>
          <cell r="AJ48">
            <v>55375374</v>
          </cell>
          <cell r="AK48">
            <v>14226162</v>
          </cell>
          <cell r="AM48">
            <v>1419698</v>
          </cell>
          <cell r="AN48">
            <v>15828426</v>
          </cell>
          <cell r="AO48">
            <v>0</v>
          </cell>
          <cell r="AT48">
            <v>0</v>
          </cell>
          <cell r="BH48">
            <v>0</v>
          </cell>
          <cell r="BI48">
            <v>0</v>
          </cell>
        </row>
        <row r="49">
          <cell r="F49">
            <v>6747388</v>
          </cell>
          <cell r="H49">
            <v>1314177</v>
          </cell>
          <cell r="I49">
            <v>1915914</v>
          </cell>
          <cell r="J49">
            <v>93062757</v>
          </cell>
          <cell r="L49">
            <v>0</v>
          </cell>
          <cell r="N49">
            <v>4636.4928540996116</v>
          </cell>
          <cell r="O49">
            <v>875842</v>
          </cell>
          <cell r="S49">
            <v>6070390</v>
          </cell>
          <cell r="T49">
            <v>0</v>
          </cell>
          <cell r="X49">
            <v>0</v>
          </cell>
          <cell r="AA49">
            <v>0</v>
          </cell>
          <cell r="AC49">
            <v>0</v>
          </cell>
          <cell r="AD49">
            <v>0</v>
          </cell>
          <cell r="AE49">
            <v>109986468</v>
          </cell>
          <cell r="AI49">
            <v>8671715</v>
          </cell>
          <cell r="AJ49">
            <v>24071519</v>
          </cell>
          <cell r="AK49">
            <v>16595574</v>
          </cell>
          <cell r="AM49">
            <v>1629404</v>
          </cell>
          <cell r="AN49">
            <v>59018256</v>
          </cell>
          <cell r="AO49">
            <v>0</v>
          </cell>
          <cell r="AT49">
            <v>0</v>
          </cell>
          <cell r="BH49">
            <v>0</v>
          </cell>
          <cell r="BI49">
            <v>0</v>
          </cell>
        </row>
        <row r="50">
          <cell r="F50">
            <v>13494776</v>
          </cell>
          <cell r="H50">
            <v>114087</v>
          </cell>
          <cell r="I50">
            <v>0</v>
          </cell>
          <cell r="J50">
            <v>86244007</v>
          </cell>
          <cell r="L50">
            <v>0</v>
          </cell>
          <cell r="N50">
            <v>4636.4928697972164</v>
          </cell>
          <cell r="O50">
            <v>848749</v>
          </cell>
          <cell r="S50">
            <v>3339665</v>
          </cell>
          <cell r="T50">
            <v>0</v>
          </cell>
          <cell r="X50">
            <v>0</v>
          </cell>
          <cell r="AA50">
            <v>0</v>
          </cell>
          <cell r="AC50">
            <v>0</v>
          </cell>
          <cell r="AD50">
            <v>0</v>
          </cell>
          <cell r="AE50">
            <v>104041284</v>
          </cell>
          <cell r="AI50">
            <v>5912285</v>
          </cell>
          <cell r="AJ50">
            <v>33271199</v>
          </cell>
          <cell r="AK50">
            <v>16073742</v>
          </cell>
          <cell r="AM50">
            <v>1541328</v>
          </cell>
          <cell r="AN50">
            <v>47242730</v>
          </cell>
          <cell r="AO50">
            <v>0</v>
          </cell>
          <cell r="AT50">
            <v>0</v>
          </cell>
          <cell r="BH50">
            <v>0</v>
          </cell>
          <cell r="BI50">
            <v>0</v>
          </cell>
        </row>
        <row r="51">
          <cell r="F51">
            <v>10121082</v>
          </cell>
          <cell r="H51">
            <v>1090938</v>
          </cell>
          <cell r="I51">
            <v>19729169</v>
          </cell>
          <cell r="J51">
            <v>103337225</v>
          </cell>
          <cell r="L51">
            <v>0</v>
          </cell>
          <cell r="N51">
            <v>4636.4928437982071</v>
          </cell>
          <cell r="O51">
            <v>1141367</v>
          </cell>
          <cell r="S51">
            <v>2140388</v>
          </cell>
          <cell r="T51">
            <v>0</v>
          </cell>
          <cell r="X51">
            <v>0</v>
          </cell>
          <cell r="AA51">
            <v>0</v>
          </cell>
          <cell r="AC51">
            <v>0</v>
          </cell>
          <cell r="AD51">
            <v>0</v>
          </cell>
          <cell r="AE51">
            <v>137560169</v>
          </cell>
          <cell r="AI51">
            <v>7274636</v>
          </cell>
          <cell r="AJ51">
            <v>48462598</v>
          </cell>
          <cell r="AK51">
            <v>21341050</v>
          </cell>
          <cell r="AM51">
            <v>2037896</v>
          </cell>
          <cell r="AN51">
            <v>58443989</v>
          </cell>
          <cell r="AO51">
            <v>0</v>
          </cell>
          <cell r="AT51">
            <v>0</v>
          </cell>
          <cell r="BH51">
            <v>0</v>
          </cell>
          <cell r="BI51">
            <v>0</v>
          </cell>
        </row>
        <row r="52">
          <cell r="F52">
            <v>4779399</v>
          </cell>
          <cell r="H52">
            <v>38615</v>
          </cell>
          <cell r="I52">
            <v>0</v>
          </cell>
          <cell r="J52">
            <v>17433120</v>
          </cell>
          <cell r="L52">
            <v>0</v>
          </cell>
          <cell r="N52">
            <v>4636.4927473018479</v>
          </cell>
          <cell r="O52">
            <v>189135</v>
          </cell>
          <cell r="S52">
            <v>0</v>
          </cell>
          <cell r="T52">
            <v>906732</v>
          </cell>
          <cell r="X52">
            <v>0</v>
          </cell>
          <cell r="AA52">
            <v>0</v>
          </cell>
          <cell r="AC52">
            <v>0</v>
          </cell>
          <cell r="AD52">
            <v>0</v>
          </cell>
          <cell r="AE52">
            <v>23347001</v>
          </cell>
          <cell r="AI52">
            <v>1113501</v>
          </cell>
          <cell r="AJ52">
            <v>9418625</v>
          </cell>
          <cell r="AK52">
            <v>3641896</v>
          </cell>
          <cell r="AM52">
            <v>345876</v>
          </cell>
          <cell r="AN52">
            <v>8827103</v>
          </cell>
          <cell r="AO52">
            <v>0</v>
          </cell>
          <cell r="AT52">
            <v>0</v>
          </cell>
          <cell r="BH52">
            <v>0</v>
          </cell>
          <cell r="BI52">
            <v>0</v>
          </cell>
        </row>
        <row r="53">
          <cell r="F53">
            <v>4498258</v>
          </cell>
          <cell r="H53">
            <v>1299436</v>
          </cell>
          <cell r="I53">
            <v>259145</v>
          </cell>
          <cell r="J53">
            <v>56342420</v>
          </cell>
          <cell r="L53">
            <v>0</v>
          </cell>
          <cell r="N53">
            <v>4636.492824299813</v>
          </cell>
          <cell r="O53">
            <v>527113</v>
          </cell>
          <cell r="S53">
            <v>0</v>
          </cell>
          <cell r="T53">
            <v>0</v>
          </cell>
          <cell r="X53">
            <v>389233</v>
          </cell>
          <cell r="AA53">
            <v>0</v>
          </cell>
          <cell r="AC53">
            <v>0</v>
          </cell>
          <cell r="AD53">
            <v>0</v>
          </cell>
          <cell r="AE53">
            <v>62929653</v>
          </cell>
          <cell r="AI53">
            <v>3136000</v>
          </cell>
          <cell r="AJ53">
            <v>6028713</v>
          </cell>
          <cell r="AK53">
            <v>9794329</v>
          </cell>
          <cell r="AM53">
            <v>932277</v>
          </cell>
          <cell r="AN53">
            <v>43038334</v>
          </cell>
          <cell r="AO53">
            <v>0</v>
          </cell>
          <cell r="AT53">
            <v>0</v>
          </cell>
          <cell r="BH53">
            <v>0</v>
          </cell>
          <cell r="BI53">
            <v>0</v>
          </cell>
        </row>
        <row r="54">
          <cell r="F54">
            <v>10683364</v>
          </cell>
          <cell r="H54">
            <v>445057</v>
          </cell>
          <cell r="I54">
            <v>0</v>
          </cell>
          <cell r="J54">
            <v>118920089</v>
          </cell>
          <cell r="L54">
            <v>0</v>
          </cell>
          <cell r="N54">
            <v>4636.4928561685228</v>
          </cell>
          <cell r="O54">
            <v>1105412</v>
          </cell>
          <cell r="S54">
            <v>6065926</v>
          </cell>
          <cell r="T54">
            <v>0</v>
          </cell>
          <cell r="X54">
            <v>0</v>
          </cell>
          <cell r="AA54">
            <v>0</v>
          </cell>
          <cell r="AC54">
            <v>0</v>
          </cell>
          <cell r="AD54">
            <v>0</v>
          </cell>
          <cell r="AE54">
            <v>137219848</v>
          </cell>
          <cell r="AI54">
            <v>8637656</v>
          </cell>
          <cell r="AJ54">
            <v>27154911</v>
          </cell>
          <cell r="AK54">
            <v>21062040</v>
          </cell>
          <cell r="AM54">
            <v>2032855</v>
          </cell>
          <cell r="AN54">
            <v>78332386</v>
          </cell>
          <cell r="AO54">
            <v>0</v>
          </cell>
          <cell r="AT54">
            <v>0</v>
          </cell>
          <cell r="BH54">
            <v>0</v>
          </cell>
          <cell r="BI54">
            <v>0</v>
          </cell>
        </row>
        <row r="55">
          <cell r="F55">
            <v>7309670</v>
          </cell>
          <cell r="H55">
            <v>5688</v>
          </cell>
          <cell r="I55">
            <v>0</v>
          </cell>
          <cell r="J55">
            <v>62927696</v>
          </cell>
          <cell r="L55">
            <v>0</v>
          </cell>
          <cell r="N55">
            <v>4636.4928664331765</v>
          </cell>
          <cell r="O55">
            <v>597066</v>
          </cell>
          <cell r="S55">
            <v>3194676</v>
          </cell>
          <cell r="T55">
            <v>0</v>
          </cell>
          <cell r="X55">
            <v>0</v>
          </cell>
          <cell r="AA55">
            <v>0</v>
          </cell>
          <cell r="AC55">
            <v>0</v>
          </cell>
          <cell r="AD55">
            <v>0</v>
          </cell>
          <cell r="AE55">
            <v>74034796</v>
          </cell>
          <cell r="AI55">
            <v>3703420</v>
          </cell>
          <cell r="AJ55">
            <v>13677173</v>
          </cell>
          <cell r="AK55">
            <v>11520431</v>
          </cell>
          <cell r="AM55">
            <v>1096795</v>
          </cell>
          <cell r="AN55">
            <v>44036977</v>
          </cell>
          <cell r="AO55">
            <v>0</v>
          </cell>
          <cell r="AT55">
            <v>0</v>
          </cell>
          <cell r="BH55">
            <v>0</v>
          </cell>
          <cell r="BI55">
            <v>0</v>
          </cell>
        </row>
        <row r="56">
          <cell r="F56">
            <v>16868471</v>
          </cell>
          <cell r="H56">
            <v>5632175</v>
          </cell>
          <cell r="I56">
            <v>20182821</v>
          </cell>
          <cell r="J56">
            <v>147826958</v>
          </cell>
          <cell r="L56">
            <v>0</v>
          </cell>
          <cell r="N56">
            <v>4636.4928644654856</v>
          </cell>
          <cell r="O56">
            <v>1619339</v>
          </cell>
          <cell r="S56">
            <v>8816280</v>
          </cell>
          <cell r="T56">
            <v>0</v>
          </cell>
          <cell r="X56">
            <v>0</v>
          </cell>
          <cell r="AA56">
            <v>0</v>
          </cell>
          <cell r="AC56">
            <v>0</v>
          </cell>
          <cell r="AD56">
            <v>0</v>
          </cell>
          <cell r="AE56">
            <v>200946044</v>
          </cell>
          <cell r="AI56">
            <v>10632456</v>
          </cell>
          <cell r="AJ56">
            <v>78991255</v>
          </cell>
          <cell r="AK56">
            <v>31173776</v>
          </cell>
          <cell r="AM56">
            <v>2976932</v>
          </cell>
          <cell r="AN56">
            <v>77171625</v>
          </cell>
          <cell r="AO56">
            <v>0</v>
          </cell>
          <cell r="AT56">
            <v>0</v>
          </cell>
          <cell r="BH56">
            <v>0</v>
          </cell>
          <cell r="BI56">
            <v>0</v>
          </cell>
        </row>
        <row r="57">
          <cell r="F57">
            <v>12651354</v>
          </cell>
          <cell r="H57">
            <v>7417198</v>
          </cell>
          <cell r="I57">
            <v>23222310</v>
          </cell>
          <cell r="J57">
            <v>106115597</v>
          </cell>
          <cell r="L57">
            <v>1548578</v>
          </cell>
          <cell r="N57">
            <v>4704.1546203601147</v>
          </cell>
          <cell r="O57">
            <v>958553</v>
          </cell>
          <cell r="S57">
            <v>0</v>
          </cell>
          <cell r="T57">
            <v>0</v>
          </cell>
          <cell r="X57">
            <v>38508689</v>
          </cell>
          <cell r="AC57">
            <v>0</v>
          </cell>
          <cell r="AD57">
            <v>0</v>
          </cell>
          <cell r="AE57">
            <v>152238155</v>
          </cell>
          <cell r="AI57">
            <v>7849702</v>
          </cell>
          <cell r="AJ57">
            <v>63689669</v>
          </cell>
          <cell r="AK57">
            <v>23651140</v>
          </cell>
          <cell r="AM57">
            <v>2255345</v>
          </cell>
          <cell r="AN57">
            <v>54792299</v>
          </cell>
          <cell r="AO57">
            <v>0</v>
          </cell>
          <cell r="AT57">
            <v>0</v>
          </cell>
          <cell r="BH57">
            <v>0</v>
          </cell>
          <cell r="BI57">
            <v>0</v>
          </cell>
        </row>
        <row r="58">
          <cell r="F58">
            <v>5622823</v>
          </cell>
          <cell r="H58">
            <v>453533</v>
          </cell>
          <cell r="I58">
            <v>0</v>
          </cell>
          <cell r="J58">
            <v>70927862</v>
          </cell>
          <cell r="L58">
            <v>0</v>
          </cell>
          <cell r="N58">
            <v>4636.4928305152434</v>
          </cell>
          <cell r="O58">
            <v>654536</v>
          </cell>
          <cell r="S58">
            <v>1868641</v>
          </cell>
          <cell r="T58">
            <v>0</v>
          </cell>
          <cell r="X58">
            <v>0</v>
          </cell>
          <cell r="AA58">
            <v>0</v>
          </cell>
          <cell r="AC58">
            <v>0</v>
          </cell>
          <cell r="AD58">
            <v>0</v>
          </cell>
          <cell r="AE58">
            <v>79527395</v>
          </cell>
          <cell r="AI58">
            <v>3599904</v>
          </cell>
          <cell r="AJ58">
            <v>25928108</v>
          </cell>
          <cell r="AK58">
            <v>12437087</v>
          </cell>
          <cell r="AM58">
            <v>1178165</v>
          </cell>
          <cell r="AN58">
            <v>36384131</v>
          </cell>
          <cell r="AO58">
            <v>0</v>
          </cell>
          <cell r="AT58">
            <v>0</v>
          </cell>
          <cell r="BH58">
            <v>0</v>
          </cell>
          <cell r="BI58">
            <v>0</v>
          </cell>
        </row>
        <row r="59">
          <cell r="F59">
            <v>6747388</v>
          </cell>
          <cell r="H59">
            <v>296872</v>
          </cell>
          <cell r="I59">
            <v>0</v>
          </cell>
          <cell r="J59">
            <v>60022553</v>
          </cell>
          <cell r="L59">
            <v>252748</v>
          </cell>
          <cell r="N59">
            <v>4656.0166016771627</v>
          </cell>
          <cell r="O59">
            <v>545153</v>
          </cell>
          <cell r="S59">
            <v>0</v>
          </cell>
          <cell r="T59">
            <v>0</v>
          </cell>
          <cell r="X59">
            <v>3210974</v>
          </cell>
          <cell r="AA59">
            <v>0</v>
          </cell>
          <cell r="AC59">
            <v>0</v>
          </cell>
          <cell r="AD59">
            <v>0</v>
          </cell>
          <cell r="AE59">
            <v>67891777</v>
          </cell>
          <cell r="AI59">
            <v>4515689</v>
          </cell>
          <cell r="AJ59">
            <v>76610819</v>
          </cell>
          <cell r="AK59">
            <v>1236584</v>
          </cell>
          <cell r="AM59">
            <v>0</v>
          </cell>
          <cell r="AN59">
            <v>0</v>
          </cell>
          <cell r="AO59">
            <v>14471315</v>
          </cell>
          <cell r="AT59">
            <v>0</v>
          </cell>
          <cell r="BH59">
            <v>0</v>
          </cell>
          <cell r="BI59">
            <v>0</v>
          </cell>
        </row>
        <row r="60">
          <cell r="F60">
            <v>4498259</v>
          </cell>
          <cell r="H60">
            <v>189337</v>
          </cell>
          <cell r="I60">
            <v>478831</v>
          </cell>
          <cell r="J60">
            <v>37862342</v>
          </cell>
          <cell r="L60">
            <v>0</v>
          </cell>
          <cell r="N60">
            <v>4636.492794655016</v>
          </cell>
          <cell r="O60">
            <v>317144</v>
          </cell>
          <cell r="S60">
            <v>0</v>
          </cell>
          <cell r="T60">
            <v>0</v>
          </cell>
          <cell r="X60">
            <v>5766285</v>
          </cell>
          <cell r="AA60">
            <v>0</v>
          </cell>
          <cell r="AC60">
            <v>0</v>
          </cell>
          <cell r="AD60">
            <v>0</v>
          </cell>
          <cell r="AE60">
            <v>43394513</v>
          </cell>
          <cell r="AI60">
            <v>3949549</v>
          </cell>
          <cell r="AJ60">
            <v>32427117</v>
          </cell>
          <cell r="AK60">
            <v>6374975</v>
          </cell>
          <cell r="AM60">
            <v>642872</v>
          </cell>
          <cell r="AN60">
            <v>0</v>
          </cell>
          <cell r="AO60">
            <v>0</v>
          </cell>
          <cell r="AT60">
            <v>0</v>
          </cell>
          <cell r="BH60">
            <v>0</v>
          </cell>
          <cell r="BI60">
            <v>0</v>
          </cell>
        </row>
        <row r="61">
          <cell r="F61">
            <v>10121082</v>
          </cell>
          <cell r="H61">
            <v>209578</v>
          </cell>
          <cell r="I61">
            <v>0</v>
          </cell>
          <cell r="J61">
            <v>85395435</v>
          </cell>
          <cell r="L61">
            <v>0</v>
          </cell>
          <cell r="N61">
            <v>4636.4928323264448</v>
          </cell>
          <cell r="O61">
            <v>780444</v>
          </cell>
          <cell r="S61">
            <v>0</v>
          </cell>
          <cell r="T61">
            <v>0</v>
          </cell>
          <cell r="X61">
            <v>3942331</v>
          </cell>
          <cell r="AA61">
            <v>0</v>
          </cell>
          <cell r="AC61">
            <v>0</v>
          </cell>
          <cell r="AD61">
            <v>0</v>
          </cell>
          <cell r="AE61">
            <v>96539766</v>
          </cell>
          <cell r="AI61">
            <v>9350555</v>
          </cell>
          <cell r="AJ61">
            <v>113280563</v>
          </cell>
          <cell r="AK61">
            <v>1768362</v>
          </cell>
          <cell r="AM61">
            <v>0</v>
          </cell>
          <cell r="AN61">
            <v>0</v>
          </cell>
          <cell r="AO61">
            <v>27859714</v>
          </cell>
          <cell r="AT61">
            <v>0</v>
          </cell>
          <cell r="BH61">
            <v>0</v>
          </cell>
          <cell r="BI61">
            <v>0</v>
          </cell>
        </row>
        <row r="62">
          <cell r="F62">
            <v>6747388</v>
          </cell>
          <cell r="H62">
            <v>914286</v>
          </cell>
          <cell r="I62">
            <v>1692650</v>
          </cell>
          <cell r="J62">
            <v>59044346</v>
          </cell>
          <cell r="L62">
            <v>0</v>
          </cell>
          <cell r="N62">
            <v>4636.4928895066232</v>
          </cell>
          <cell r="O62">
            <v>581389</v>
          </cell>
          <cell r="S62">
            <v>1054273</v>
          </cell>
          <cell r="T62">
            <v>3319053</v>
          </cell>
          <cell r="X62">
            <v>0</v>
          </cell>
          <cell r="AA62">
            <v>0</v>
          </cell>
          <cell r="AC62">
            <v>0</v>
          </cell>
          <cell r="AD62">
            <v>0</v>
          </cell>
          <cell r="AE62">
            <v>73353385</v>
          </cell>
          <cell r="AI62">
            <v>8202119</v>
          </cell>
          <cell r="AJ62">
            <v>26203585</v>
          </cell>
          <cell r="AK62">
            <v>10671918</v>
          </cell>
          <cell r="AM62">
            <v>1086700</v>
          </cell>
          <cell r="AN62">
            <v>27189063</v>
          </cell>
          <cell r="AO62">
            <v>0</v>
          </cell>
          <cell r="AT62">
            <v>0</v>
          </cell>
          <cell r="BH62">
            <v>0</v>
          </cell>
          <cell r="BI62">
            <v>0</v>
          </cell>
        </row>
        <row r="63">
          <cell r="F63">
            <v>5622823</v>
          </cell>
          <cell r="H63">
            <v>739420</v>
          </cell>
          <cell r="I63">
            <v>285572</v>
          </cell>
          <cell r="J63">
            <v>65623455</v>
          </cell>
          <cell r="L63">
            <v>0</v>
          </cell>
          <cell r="N63">
            <v>4636.492883998807</v>
          </cell>
          <cell r="O63">
            <v>614306</v>
          </cell>
          <cell r="S63">
            <v>3162503</v>
          </cell>
          <cell r="T63">
            <v>0</v>
          </cell>
          <cell r="X63">
            <v>0</v>
          </cell>
          <cell r="AA63">
            <v>0</v>
          </cell>
          <cell r="AC63">
            <v>0</v>
          </cell>
          <cell r="AD63">
            <v>0</v>
          </cell>
          <cell r="AE63">
            <v>76048079</v>
          </cell>
          <cell r="AI63">
            <v>7644000</v>
          </cell>
          <cell r="AJ63">
            <v>15032975</v>
          </cell>
          <cell r="AK63">
            <v>11204735</v>
          </cell>
          <cell r="AM63">
            <v>1126621</v>
          </cell>
          <cell r="AN63">
            <v>41039748</v>
          </cell>
          <cell r="AO63">
            <v>0</v>
          </cell>
          <cell r="AT63">
            <v>0</v>
          </cell>
          <cell r="BH63">
            <v>0</v>
          </cell>
          <cell r="BI63">
            <v>0</v>
          </cell>
        </row>
        <row r="64">
          <cell r="F64">
            <v>6747388</v>
          </cell>
          <cell r="H64">
            <v>1498161</v>
          </cell>
          <cell r="I64">
            <v>509427</v>
          </cell>
          <cell r="J64">
            <v>95074213</v>
          </cell>
          <cell r="L64">
            <v>1502263</v>
          </cell>
          <cell r="N64">
            <v>4709.7538665597804</v>
          </cell>
          <cell r="O64">
            <v>895317</v>
          </cell>
          <cell r="S64">
            <v>4625395</v>
          </cell>
          <cell r="T64">
            <v>0</v>
          </cell>
          <cell r="X64">
            <v>0</v>
          </cell>
          <cell r="AA64">
            <v>0</v>
          </cell>
          <cell r="AC64">
            <v>0</v>
          </cell>
          <cell r="AD64">
            <v>0</v>
          </cell>
          <cell r="AE64">
            <v>110852164</v>
          </cell>
          <cell r="AI64">
            <v>13513055</v>
          </cell>
          <cell r="AJ64">
            <v>15349212</v>
          </cell>
          <cell r="AK64">
            <v>15944355</v>
          </cell>
          <cell r="AM64">
            <v>1642228</v>
          </cell>
          <cell r="AN64">
            <v>64403314</v>
          </cell>
          <cell r="AO64">
            <v>0</v>
          </cell>
          <cell r="AT64">
            <v>0</v>
          </cell>
          <cell r="BH64">
            <v>0</v>
          </cell>
          <cell r="BI64">
            <v>0</v>
          </cell>
        </row>
        <row r="65">
          <cell r="F65">
            <v>5622823</v>
          </cell>
          <cell r="H65">
            <v>1251474</v>
          </cell>
          <cell r="I65">
            <v>280122</v>
          </cell>
          <cell r="J65">
            <v>37917931</v>
          </cell>
          <cell r="L65">
            <v>0</v>
          </cell>
          <cell r="N65">
            <v>4636.4928532283993</v>
          </cell>
          <cell r="O65">
            <v>383115</v>
          </cell>
          <cell r="S65">
            <v>1507394</v>
          </cell>
          <cell r="T65">
            <v>0</v>
          </cell>
          <cell r="X65">
            <v>0</v>
          </cell>
          <cell r="AA65">
            <v>0</v>
          </cell>
          <cell r="AC65">
            <v>0</v>
          </cell>
          <cell r="AD65">
            <v>0</v>
          </cell>
          <cell r="AE65">
            <v>46962859</v>
          </cell>
          <cell r="AI65">
            <v>1953702</v>
          </cell>
          <cell r="AJ65">
            <v>11410386</v>
          </cell>
          <cell r="AK65">
            <v>7372597</v>
          </cell>
          <cell r="AM65">
            <v>695735</v>
          </cell>
          <cell r="AN65">
            <v>25530439</v>
          </cell>
          <cell r="AO65">
            <v>0</v>
          </cell>
          <cell r="AT65">
            <v>0</v>
          </cell>
          <cell r="BH65">
            <v>0</v>
          </cell>
          <cell r="BI65">
            <v>0</v>
          </cell>
        </row>
        <row r="66">
          <cell r="F66">
            <v>3373694</v>
          </cell>
          <cell r="H66">
            <v>524600</v>
          </cell>
          <cell r="I66">
            <v>155769</v>
          </cell>
          <cell r="J66">
            <v>28892259</v>
          </cell>
          <cell r="L66">
            <v>0</v>
          </cell>
          <cell r="N66">
            <v>4636.492877305428</v>
          </cell>
          <cell r="O66">
            <v>280044</v>
          </cell>
          <cell r="S66">
            <v>0</v>
          </cell>
          <cell r="T66">
            <v>2292171</v>
          </cell>
          <cell r="X66">
            <v>0</v>
          </cell>
          <cell r="AA66">
            <v>0</v>
          </cell>
          <cell r="AC66">
            <v>0</v>
          </cell>
          <cell r="AD66">
            <v>0</v>
          </cell>
          <cell r="AE66">
            <v>35518537</v>
          </cell>
          <cell r="AI66">
            <v>1957028</v>
          </cell>
          <cell r="AJ66">
            <v>12344717</v>
          </cell>
          <cell r="AK66">
            <v>5497448</v>
          </cell>
          <cell r="AM66">
            <v>526192</v>
          </cell>
          <cell r="AN66">
            <v>15193152</v>
          </cell>
          <cell r="AO66">
            <v>0</v>
          </cell>
          <cell r="AT66">
            <v>0</v>
          </cell>
          <cell r="BH66">
            <v>0</v>
          </cell>
          <cell r="BI66">
            <v>0</v>
          </cell>
        </row>
        <row r="67">
          <cell r="F67">
            <v>5763394</v>
          </cell>
          <cell r="H67">
            <v>954936</v>
          </cell>
          <cell r="I67">
            <v>0</v>
          </cell>
          <cell r="J67">
            <v>60374880</v>
          </cell>
          <cell r="L67">
            <v>0</v>
          </cell>
          <cell r="N67">
            <v>4636.49286151469</v>
          </cell>
          <cell r="O67">
            <v>570292</v>
          </cell>
          <cell r="S67">
            <v>1118494</v>
          </cell>
          <cell r="T67">
            <v>5692292</v>
          </cell>
          <cell r="X67">
            <v>0</v>
          </cell>
          <cell r="AA67">
            <v>0</v>
          </cell>
          <cell r="AC67">
            <v>0</v>
          </cell>
          <cell r="AD67">
            <v>0</v>
          </cell>
          <cell r="AE67">
            <v>74474288</v>
          </cell>
          <cell r="AI67">
            <v>6447752</v>
          </cell>
          <cell r="AJ67">
            <v>62837105</v>
          </cell>
          <cell r="AK67">
            <v>2967632</v>
          </cell>
          <cell r="AM67">
            <v>1103305</v>
          </cell>
          <cell r="AN67">
            <v>1118494</v>
          </cell>
          <cell r="AO67">
            <v>0</v>
          </cell>
          <cell r="AT67">
            <v>0</v>
          </cell>
          <cell r="BH67">
            <v>0</v>
          </cell>
          <cell r="BI67">
            <v>0</v>
          </cell>
        </row>
        <row r="68">
          <cell r="F68">
            <v>3935976</v>
          </cell>
          <cell r="H68">
            <v>735489</v>
          </cell>
          <cell r="I68">
            <v>222903</v>
          </cell>
          <cell r="J68">
            <v>9163286</v>
          </cell>
          <cell r="L68">
            <v>0</v>
          </cell>
          <cell r="N68">
            <v>4636.4927087444457</v>
          </cell>
          <cell r="O68">
            <v>119490</v>
          </cell>
          <cell r="S68">
            <v>0</v>
          </cell>
          <cell r="T68">
            <v>317950</v>
          </cell>
          <cell r="X68">
            <v>0</v>
          </cell>
          <cell r="AA68">
            <v>0</v>
          </cell>
          <cell r="AC68">
            <v>0</v>
          </cell>
          <cell r="AD68">
            <v>0</v>
          </cell>
          <cell r="AE68">
            <v>14495094</v>
          </cell>
          <cell r="AI68">
            <v>942721</v>
          </cell>
          <cell r="AJ68">
            <v>3563498</v>
          </cell>
          <cell r="AK68">
            <v>2219908</v>
          </cell>
          <cell r="AM68">
            <v>214739</v>
          </cell>
          <cell r="AN68">
            <v>7554228</v>
          </cell>
          <cell r="AO68">
            <v>0</v>
          </cell>
          <cell r="AT68">
            <v>0</v>
          </cell>
          <cell r="BH68">
            <v>0</v>
          </cell>
          <cell r="BI68">
            <v>0</v>
          </cell>
        </row>
        <row r="69">
          <cell r="F69">
            <v>5622824</v>
          </cell>
          <cell r="H69">
            <v>1645</v>
          </cell>
          <cell r="I69">
            <v>0</v>
          </cell>
          <cell r="J69">
            <v>37921133</v>
          </cell>
          <cell r="L69">
            <v>0</v>
          </cell>
          <cell r="N69">
            <v>4636.4928278337766</v>
          </cell>
          <cell r="O69">
            <v>327663</v>
          </cell>
          <cell r="S69">
            <v>0</v>
          </cell>
          <cell r="T69">
            <v>0</v>
          </cell>
          <cell r="X69">
            <v>5039547</v>
          </cell>
          <cell r="AA69">
            <v>0</v>
          </cell>
          <cell r="AC69">
            <v>0</v>
          </cell>
          <cell r="AD69">
            <v>0</v>
          </cell>
          <cell r="AE69">
            <v>43915740</v>
          </cell>
          <cell r="AI69">
            <v>3389900</v>
          </cell>
          <cell r="AJ69">
            <v>13400387</v>
          </cell>
          <cell r="AK69">
            <v>6638220</v>
          </cell>
          <cell r="AM69">
            <v>650593</v>
          </cell>
          <cell r="AN69">
            <v>19836640</v>
          </cell>
          <cell r="AO69">
            <v>0</v>
          </cell>
          <cell r="AT69">
            <v>0</v>
          </cell>
          <cell r="BH69">
            <v>0</v>
          </cell>
          <cell r="BI69">
            <v>0</v>
          </cell>
        </row>
        <row r="70">
          <cell r="F70">
            <v>8153094</v>
          </cell>
          <cell r="H70">
            <v>6042939</v>
          </cell>
          <cell r="I70">
            <v>1979896</v>
          </cell>
          <cell r="J70">
            <v>78028424</v>
          </cell>
          <cell r="L70">
            <v>0</v>
          </cell>
          <cell r="N70">
            <v>4636.4928633553791</v>
          </cell>
          <cell r="O70">
            <v>770567</v>
          </cell>
          <cell r="S70">
            <v>0</v>
          </cell>
          <cell r="T70">
            <v>0</v>
          </cell>
          <cell r="X70">
            <v>3579590</v>
          </cell>
          <cell r="AA70">
            <v>0</v>
          </cell>
          <cell r="AC70">
            <v>0</v>
          </cell>
          <cell r="AD70">
            <v>0</v>
          </cell>
          <cell r="AE70">
            <v>95005090</v>
          </cell>
          <cell r="AI70">
            <v>8626588</v>
          </cell>
          <cell r="AJ70">
            <v>45445645</v>
          </cell>
          <cell r="AK70">
            <v>14148985</v>
          </cell>
          <cell r="AM70">
            <v>1407461</v>
          </cell>
          <cell r="AN70">
            <v>25376411</v>
          </cell>
          <cell r="AO70">
            <v>0</v>
          </cell>
          <cell r="AT70">
            <v>0</v>
          </cell>
          <cell r="BH70">
            <v>0</v>
          </cell>
          <cell r="BI70">
            <v>0</v>
          </cell>
        </row>
        <row r="71">
          <cell r="F71">
            <v>7871952</v>
          </cell>
          <cell r="H71">
            <v>4905246</v>
          </cell>
          <cell r="I71">
            <v>575345</v>
          </cell>
          <cell r="J71">
            <v>106442285</v>
          </cell>
          <cell r="L71">
            <v>3338884</v>
          </cell>
          <cell r="N71">
            <v>4781.9304802352171</v>
          </cell>
          <cell r="O71">
            <v>1046637</v>
          </cell>
          <cell r="S71">
            <v>0</v>
          </cell>
          <cell r="T71">
            <v>14421919</v>
          </cell>
          <cell r="X71">
            <v>0</v>
          </cell>
          <cell r="AA71">
            <v>0</v>
          </cell>
          <cell r="AC71">
            <v>0</v>
          </cell>
          <cell r="AD71">
            <v>0</v>
          </cell>
          <cell r="AE71">
            <v>138602268</v>
          </cell>
          <cell r="AI71">
            <v>15809563</v>
          </cell>
          <cell r="AJ71">
            <v>176142815</v>
          </cell>
          <cell r="AK71">
            <v>2797352</v>
          </cell>
          <cell r="AM71">
            <v>0</v>
          </cell>
          <cell r="AN71">
            <v>0</v>
          </cell>
          <cell r="AO71">
            <v>56147462</v>
          </cell>
          <cell r="AT71">
            <v>0</v>
          </cell>
          <cell r="BH71">
            <v>0</v>
          </cell>
          <cell r="BI71">
            <v>0</v>
          </cell>
        </row>
        <row r="72">
          <cell r="F72">
            <v>7871953</v>
          </cell>
          <cell r="H72">
            <v>500846</v>
          </cell>
          <cell r="I72">
            <v>116704</v>
          </cell>
          <cell r="J72">
            <v>68452300</v>
          </cell>
          <cell r="L72">
            <v>0</v>
          </cell>
          <cell r="N72">
            <v>4636.4928581744198</v>
          </cell>
          <cell r="O72">
            <v>654005</v>
          </cell>
          <cell r="S72">
            <v>2090521</v>
          </cell>
          <cell r="T72">
            <v>0</v>
          </cell>
          <cell r="X72">
            <v>0</v>
          </cell>
          <cell r="AA72">
            <v>0</v>
          </cell>
          <cell r="AC72">
            <v>0</v>
          </cell>
          <cell r="AD72">
            <v>0</v>
          </cell>
          <cell r="AE72">
            <v>79686329</v>
          </cell>
          <cell r="AI72">
            <v>3883413</v>
          </cell>
          <cell r="AJ72">
            <v>20160957</v>
          </cell>
          <cell r="AK72">
            <v>12416681</v>
          </cell>
          <cell r="AM72">
            <v>1180520</v>
          </cell>
          <cell r="AN72">
            <v>42044758</v>
          </cell>
          <cell r="AO72">
            <v>0</v>
          </cell>
          <cell r="AT72">
            <v>0</v>
          </cell>
          <cell r="BH72">
            <v>0</v>
          </cell>
          <cell r="BI72">
            <v>0</v>
          </cell>
        </row>
        <row r="73">
          <cell r="F73">
            <v>11245647</v>
          </cell>
          <cell r="H73">
            <v>842717</v>
          </cell>
          <cell r="I73">
            <v>614083</v>
          </cell>
          <cell r="J73">
            <v>119396360</v>
          </cell>
          <cell r="L73">
            <v>0</v>
          </cell>
          <cell r="N73">
            <v>4636.4928408070919</v>
          </cell>
          <cell r="O73">
            <v>1122840</v>
          </cell>
          <cell r="S73">
            <v>6136306</v>
          </cell>
          <cell r="T73">
            <v>0</v>
          </cell>
          <cell r="X73">
            <v>0</v>
          </cell>
          <cell r="AA73">
            <v>0</v>
          </cell>
          <cell r="AC73">
            <v>0</v>
          </cell>
          <cell r="AD73">
            <v>0</v>
          </cell>
          <cell r="AE73">
            <v>139357953</v>
          </cell>
          <cell r="AI73">
            <v>6644853</v>
          </cell>
          <cell r="AJ73">
            <v>34320271</v>
          </cell>
          <cell r="AK73">
            <v>21738692</v>
          </cell>
          <cell r="AM73">
            <v>2064530</v>
          </cell>
          <cell r="AN73">
            <v>74589607</v>
          </cell>
          <cell r="AO73">
            <v>0</v>
          </cell>
          <cell r="AT73">
            <v>0</v>
          </cell>
          <cell r="BH73">
            <v>0</v>
          </cell>
          <cell r="BI73">
            <v>0</v>
          </cell>
        </row>
        <row r="74">
          <cell r="F74">
            <v>11245646</v>
          </cell>
          <cell r="H74">
            <v>1264048</v>
          </cell>
          <cell r="I74">
            <v>0</v>
          </cell>
          <cell r="J74">
            <v>115254264</v>
          </cell>
          <cell r="L74">
            <v>0</v>
          </cell>
          <cell r="N74">
            <v>4636.4928732897752</v>
          </cell>
          <cell r="O74">
            <v>1085994</v>
          </cell>
          <cell r="S74">
            <v>5622390</v>
          </cell>
          <cell r="T74">
            <v>0</v>
          </cell>
          <cell r="X74">
            <v>0</v>
          </cell>
          <cell r="AA74">
            <v>0</v>
          </cell>
          <cell r="AC74">
            <v>0</v>
          </cell>
          <cell r="AD74">
            <v>0</v>
          </cell>
          <cell r="AE74">
            <v>134472342</v>
          </cell>
          <cell r="AI74">
            <v>11397865</v>
          </cell>
          <cell r="AJ74">
            <v>51100750</v>
          </cell>
          <cell r="AK74">
            <v>20159865</v>
          </cell>
          <cell r="AM74">
            <v>1992152</v>
          </cell>
          <cell r="AN74">
            <v>49821710</v>
          </cell>
          <cell r="AO74">
            <v>0</v>
          </cell>
          <cell r="AT74">
            <v>0</v>
          </cell>
          <cell r="BH74">
            <v>0</v>
          </cell>
          <cell r="BI74">
            <v>0</v>
          </cell>
        </row>
        <row r="75">
          <cell r="F75">
            <v>4498258</v>
          </cell>
          <cell r="H75">
            <v>256027</v>
          </cell>
          <cell r="I75">
            <v>0</v>
          </cell>
          <cell r="J75">
            <v>42378517</v>
          </cell>
          <cell r="L75">
            <v>0</v>
          </cell>
          <cell r="N75">
            <v>4636.4928032911857</v>
          </cell>
          <cell r="O75">
            <v>400629</v>
          </cell>
          <cell r="S75">
            <v>515696</v>
          </cell>
          <cell r="T75">
            <v>0</v>
          </cell>
          <cell r="X75">
            <v>0</v>
          </cell>
          <cell r="AA75">
            <v>0</v>
          </cell>
          <cell r="AC75">
            <v>0</v>
          </cell>
          <cell r="AD75">
            <v>0</v>
          </cell>
          <cell r="AE75">
            <v>48049127</v>
          </cell>
          <cell r="AI75">
            <v>2057745</v>
          </cell>
          <cell r="AJ75">
            <v>7573704</v>
          </cell>
          <cell r="AK75">
            <v>7533488</v>
          </cell>
          <cell r="AM75">
            <v>711828</v>
          </cell>
          <cell r="AN75">
            <v>30172362</v>
          </cell>
          <cell r="AO75">
            <v>0</v>
          </cell>
          <cell r="AT75">
            <v>0</v>
          </cell>
          <cell r="BH75">
            <v>0</v>
          </cell>
          <cell r="BI75">
            <v>0</v>
          </cell>
        </row>
        <row r="76">
          <cell r="F76">
            <v>7028529</v>
          </cell>
          <cell r="H76">
            <v>976404</v>
          </cell>
          <cell r="I76">
            <v>0</v>
          </cell>
          <cell r="J76">
            <v>21097397</v>
          </cell>
          <cell r="L76">
            <v>0</v>
          </cell>
          <cell r="N76">
            <v>4636.4927949022695</v>
          </cell>
          <cell r="O76">
            <v>247370</v>
          </cell>
          <cell r="S76">
            <v>904667</v>
          </cell>
          <cell r="T76">
            <v>0</v>
          </cell>
          <cell r="X76">
            <v>0</v>
          </cell>
          <cell r="AA76">
            <v>0</v>
          </cell>
          <cell r="AC76">
            <v>0</v>
          </cell>
          <cell r="AD76">
            <v>0</v>
          </cell>
          <cell r="AE76">
            <v>30254367</v>
          </cell>
          <cell r="AI76">
            <v>1001034</v>
          </cell>
          <cell r="AJ76">
            <v>4932950</v>
          </cell>
          <cell r="AK76">
            <v>4791759</v>
          </cell>
          <cell r="AM76">
            <v>448206</v>
          </cell>
          <cell r="AN76">
            <v>19080418</v>
          </cell>
          <cell r="AO76">
            <v>0</v>
          </cell>
          <cell r="AT76">
            <v>0</v>
          </cell>
          <cell r="BH76">
            <v>0</v>
          </cell>
          <cell r="BI76">
            <v>0</v>
          </cell>
        </row>
        <row r="77">
          <cell r="F77">
            <v>3935976</v>
          </cell>
          <cell r="H77">
            <v>171019</v>
          </cell>
          <cell r="I77">
            <v>0</v>
          </cell>
          <cell r="J77">
            <v>11448569</v>
          </cell>
          <cell r="L77">
            <v>4337308</v>
          </cell>
          <cell r="N77">
            <v>6393.0354932286864</v>
          </cell>
          <cell r="O77">
            <v>169089</v>
          </cell>
          <cell r="S77">
            <v>0</v>
          </cell>
          <cell r="T77">
            <v>0</v>
          </cell>
          <cell r="X77">
            <v>0</v>
          </cell>
          <cell r="AA77">
            <v>0</v>
          </cell>
          <cell r="AC77">
            <v>0</v>
          </cell>
          <cell r="AD77">
            <v>0</v>
          </cell>
          <cell r="AE77">
            <v>20061961</v>
          </cell>
          <cell r="AI77">
            <v>783040</v>
          </cell>
          <cell r="AJ77">
            <v>9917748</v>
          </cell>
          <cell r="AK77">
            <v>3157928</v>
          </cell>
          <cell r="AM77">
            <v>297210</v>
          </cell>
          <cell r="AN77">
            <v>5906035</v>
          </cell>
          <cell r="AO77">
            <v>0</v>
          </cell>
          <cell r="AT77">
            <v>0</v>
          </cell>
          <cell r="BH77">
            <v>0</v>
          </cell>
          <cell r="BI77">
            <v>0</v>
          </cell>
        </row>
        <row r="78">
          <cell r="F78">
            <v>7309670</v>
          </cell>
          <cell r="H78">
            <v>2095055</v>
          </cell>
          <cell r="I78">
            <v>0</v>
          </cell>
          <cell r="J78">
            <v>63265409</v>
          </cell>
          <cell r="L78">
            <v>0</v>
          </cell>
          <cell r="N78">
            <v>4636.4928802280674</v>
          </cell>
          <cell r="O78">
            <v>617696</v>
          </cell>
          <cell r="S78">
            <v>0</v>
          </cell>
          <cell r="T78">
            <v>21769</v>
          </cell>
          <cell r="X78">
            <v>0</v>
          </cell>
          <cell r="AA78">
            <v>0</v>
          </cell>
          <cell r="AC78">
            <v>-562282</v>
          </cell>
          <cell r="AD78">
            <v>-4779</v>
          </cell>
          <cell r="AE78">
            <v>72742538</v>
          </cell>
          <cell r="AI78">
            <v>7610125</v>
          </cell>
          <cell r="AJ78">
            <v>81484028</v>
          </cell>
          <cell r="AK78">
            <v>1440163</v>
          </cell>
          <cell r="AM78">
            <v>0</v>
          </cell>
          <cell r="AN78">
            <v>0</v>
          </cell>
          <cell r="AO78">
            <v>17791778</v>
          </cell>
          <cell r="AT78">
            <v>0</v>
          </cell>
          <cell r="BH78">
            <v>0</v>
          </cell>
          <cell r="BI78">
            <v>0</v>
          </cell>
        </row>
        <row r="79">
          <cell r="F79">
            <v>7309670</v>
          </cell>
          <cell r="H79">
            <v>335152</v>
          </cell>
          <cell r="I79">
            <v>545800</v>
          </cell>
          <cell r="J79">
            <v>75489244</v>
          </cell>
          <cell r="L79">
            <v>0</v>
          </cell>
          <cell r="N79">
            <v>4636.4928781311291</v>
          </cell>
          <cell r="O79">
            <v>711279</v>
          </cell>
          <cell r="S79">
            <v>151985</v>
          </cell>
          <cell r="T79">
            <v>0</v>
          </cell>
          <cell r="X79">
            <v>0</v>
          </cell>
          <cell r="AA79">
            <v>0</v>
          </cell>
          <cell r="AC79">
            <v>0</v>
          </cell>
          <cell r="AD79">
            <v>0</v>
          </cell>
          <cell r="AE79">
            <v>84543130</v>
          </cell>
          <cell r="AI79">
            <v>4410000</v>
          </cell>
          <cell r="AJ79">
            <v>32893124</v>
          </cell>
          <cell r="AK79">
            <v>13125980</v>
          </cell>
          <cell r="AM79">
            <v>1252471</v>
          </cell>
          <cell r="AN79">
            <v>32861555</v>
          </cell>
          <cell r="AO79">
            <v>0</v>
          </cell>
          <cell r="AT79">
            <v>0</v>
          </cell>
          <cell r="BH79">
            <v>0</v>
          </cell>
          <cell r="BI79">
            <v>0</v>
          </cell>
        </row>
        <row r="80">
          <cell r="F80">
            <v>8434235</v>
          </cell>
          <cell r="H80">
            <v>386229</v>
          </cell>
          <cell r="I80">
            <v>0</v>
          </cell>
          <cell r="J80">
            <v>30348071</v>
          </cell>
          <cell r="L80">
            <v>0</v>
          </cell>
          <cell r="N80">
            <v>4636.492816416825</v>
          </cell>
          <cell r="O80">
            <v>332933</v>
          </cell>
          <cell r="S80">
            <v>460841</v>
          </cell>
          <cell r="T80">
            <v>3922900</v>
          </cell>
          <cell r="X80">
            <v>0</v>
          </cell>
          <cell r="AA80">
            <v>0</v>
          </cell>
          <cell r="AC80">
            <v>0</v>
          </cell>
          <cell r="AD80">
            <v>0</v>
          </cell>
          <cell r="AE80">
            <v>43885209</v>
          </cell>
          <cell r="AI80">
            <v>1413947</v>
          </cell>
          <cell r="AJ80">
            <v>22496641</v>
          </cell>
          <cell r="AK80">
            <v>6956884</v>
          </cell>
          <cell r="AM80">
            <v>650141</v>
          </cell>
          <cell r="AN80">
            <v>12367596</v>
          </cell>
          <cell r="AO80">
            <v>0</v>
          </cell>
          <cell r="AT80">
            <v>0</v>
          </cell>
          <cell r="BH80">
            <v>0</v>
          </cell>
          <cell r="BI80">
            <v>0</v>
          </cell>
        </row>
        <row r="82">
          <cell r="N82">
            <v>4636.4928540700002</v>
          </cell>
        </row>
      </sheetData>
      <sheetData sheetId="20">
        <row r="9">
          <cell r="BU9">
            <v>0</v>
          </cell>
          <cell r="BV9">
            <v>0</v>
          </cell>
          <cell r="BW9">
            <v>0</v>
          </cell>
          <cell r="CG9">
            <v>271.55011300000001</v>
          </cell>
          <cell r="CH9">
            <v>24.44</v>
          </cell>
          <cell r="CI9">
            <v>19.329999999999998</v>
          </cell>
          <cell r="CW9">
            <v>8734.1300979999996</v>
          </cell>
          <cell r="CX9">
            <v>618.83000000000004</v>
          </cell>
          <cell r="CY9">
            <v>344.31999999999994</v>
          </cell>
          <cell r="DQ9">
            <v>-9.8000000434694812E-5</v>
          </cell>
          <cell r="DR9">
            <v>0</v>
          </cell>
          <cell r="DS9">
            <v>0</v>
          </cell>
        </row>
        <row r="10">
          <cell r="BU10">
            <v>0</v>
          </cell>
          <cell r="BV10">
            <v>0</v>
          </cell>
          <cell r="BW10">
            <v>0</v>
          </cell>
          <cell r="CG10">
            <v>392.71195</v>
          </cell>
          <cell r="CH10">
            <v>0</v>
          </cell>
          <cell r="CI10">
            <v>0</v>
          </cell>
          <cell r="CW10">
            <v>11292.810094</v>
          </cell>
          <cell r="CX10">
            <v>0</v>
          </cell>
          <cell r="CY10">
            <v>0</v>
          </cell>
          <cell r="DQ10">
            <v>-9.4000000899541192E-5</v>
          </cell>
          <cell r="DR10">
            <v>0</v>
          </cell>
          <cell r="DS10">
            <v>0</v>
          </cell>
        </row>
        <row r="11">
          <cell r="BU11">
            <v>0</v>
          </cell>
          <cell r="BV11">
            <v>0</v>
          </cell>
          <cell r="BW11">
            <v>0</v>
          </cell>
          <cell r="CG11">
            <v>3.475692</v>
          </cell>
          <cell r="CH11">
            <v>-5.7800000000000011</v>
          </cell>
          <cell r="CI11">
            <v>0</v>
          </cell>
          <cell r="CW11">
            <v>2353.4939619999996</v>
          </cell>
          <cell r="CX11">
            <v>28.82</v>
          </cell>
          <cell r="CY11">
            <v>0</v>
          </cell>
          <cell r="DQ11">
            <v>156.01603800000066</v>
          </cell>
          <cell r="DR11">
            <v>0</v>
          </cell>
          <cell r="DS11">
            <v>0</v>
          </cell>
        </row>
        <row r="12">
          <cell r="BU12">
            <v>0</v>
          </cell>
          <cell r="BV12">
            <v>0</v>
          </cell>
          <cell r="BW12">
            <v>0</v>
          </cell>
          <cell r="CG12">
            <v>0</v>
          </cell>
          <cell r="CH12">
            <v>0</v>
          </cell>
          <cell r="CI12">
            <v>0</v>
          </cell>
          <cell r="CW12">
            <v>9632.3200000000015</v>
          </cell>
          <cell r="CX12">
            <v>1186.81</v>
          </cell>
          <cell r="CY12">
            <v>16.150000000000002</v>
          </cell>
          <cell r="DQ12">
            <v>0</v>
          </cell>
          <cell r="DR12">
            <v>0</v>
          </cell>
          <cell r="DS12">
            <v>0</v>
          </cell>
        </row>
        <row r="13">
          <cell r="BU13">
            <v>755.591587</v>
          </cell>
          <cell r="BV13">
            <v>0</v>
          </cell>
          <cell r="BW13">
            <v>0</v>
          </cell>
          <cell r="CG13">
            <v>22.358461999999999</v>
          </cell>
          <cell r="CH13">
            <v>17.18</v>
          </cell>
          <cell r="CI13">
            <v>0</v>
          </cell>
          <cell r="CW13">
            <v>10733.140049</v>
          </cell>
          <cell r="CX13">
            <v>154.24</v>
          </cell>
          <cell r="CY13">
            <v>0</v>
          </cell>
          <cell r="DQ13">
            <v>-4.9000000217347406E-5</v>
          </cell>
          <cell r="DR13">
            <v>0</v>
          </cell>
          <cell r="DS13">
            <v>0</v>
          </cell>
        </row>
        <row r="14">
          <cell r="BU14">
            <v>0</v>
          </cell>
          <cell r="BV14">
            <v>0</v>
          </cell>
          <cell r="BW14">
            <v>0</v>
          </cell>
          <cell r="CG14">
            <v>802.420616</v>
          </cell>
          <cell r="CH14">
            <v>115.17</v>
          </cell>
          <cell r="CI14">
            <v>-72.589999999999989</v>
          </cell>
          <cell r="CW14">
            <v>16817.204492000001</v>
          </cell>
          <cell r="CX14">
            <v>334.47</v>
          </cell>
          <cell r="CY14">
            <v>125.51</v>
          </cell>
          <cell r="DQ14">
            <v>203.9555079999991</v>
          </cell>
          <cell r="DR14">
            <v>0</v>
          </cell>
          <cell r="DS14">
            <v>0</v>
          </cell>
        </row>
        <row r="15">
          <cell r="BU15">
            <v>0</v>
          </cell>
          <cell r="BV15">
            <v>0</v>
          </cell>
          <cell r="BW15">
            <v>0</v>
          </cell>
          <cell r="CG15">
            <v>405.63009599999998</v>
          </cell>
          <cell r="CH15">
            <v>-0.75</v>
          </cell>
          <cell r="CI15">
            <v>0</v>
          </cell>
          <cell r="CW15">
            <v>16761.360032000001</v>
          </cell>
          <cell r="CX15">
            <v>99.9</v>
          </cell>
          <cell r="CY15">
            <v>0</v>
          </cell>
          <cell r="DQ15">
            <v>-3.1999999919207767E-5</v>
          </cell>
          <cell r="DR15">
            <v>0</v>
          </cell>
          <cell r="DS15">
            <v>0</v>
          </cell>
        </row>
        <row r="16">
          <cell r="BU16">
            <v>0</v>
          </cell>
          <cell r="BV16">
            <v>0</v>
          </cell>
          <cell r="BW16">
            <v>0</v>
          </cell>
          <cell r="CG16">
            <v>571.20068000000003</v>
          </cell>
          <cell r="CH16">
            <v>-22.620000000000005</v>
          </cell>
          <cell r="CI16">
            <v>0</v>
          </cell>
          <cell r="CW16">
            <v>14251.649949999999</v>
          </cell>
          <cell r="CX16">
            <v>314.25</v>
          </cell>
          <cell r="CY16">
            <v>0</v>
          </cell>
          <cell r="DQ16">
            <v>5.0000000555883162E-5</v>
          </cell>
          <cell r="DR16">
            <v>0</v>
          </cell>
          <cell r="DS16">
            <v>0</v>
          </cell>
        </row>
        <row r="17">
          <cell r="BU17">
            <v>0</v>
          </cell>
          <cell r="BV17">
            <v>0</v>
          </cell>
          <cell r="BW17">
            <v>0</v>
          </cell>
          <cell r="CG17">
            <v>496.45939600000003</v>
          </cell>
          <cell r="CH17">
            <v>48.26</v>
          </cell>
          <cell r="CI17">
            <v>26.94</v>
          </cell>
          <cell r="CW17">
            <v>11155.51705</v>
          </cell>
          <cell r="CX17">
            <v>308.69</v>
          </cell>
          <cell r="CY17">
            <v>26.94</v>
          </cell>
          <cell r="DQ17">
            <v>167.99294999999984</v>
          </cell>
          <cell r="DR17">
            <v>0</v>
          </cell>
          <cell r="DS17">
            <v>0</v>
          </cell>
        </row>
        <row r="18">
          <cell r="BU18">
            <v>0</v>
          </cell>
          <cell r="BV18">
            <v>0</v>
          </cell>
          <cell r="BW18">
            <v>0</v>
          </cell>
          <cell r="CG18">
            <v>58.150050999999998</v>
          </cell>
          <cell r="CH18">
            <v>-40.200000000000017</v>
          </cell>
          <cell r="CI18">
            <v>0</v>
          </cell>
          <cell r="CW18">
            <v>32431.099994999997</v>
          </cell>
          <cell r="CX18">
            <v>209.29</v>
          </cell>
          <cell r="CY18">
            <v>0</v>
          </cell>
          <cell r="DQ18">
            <v>5.0000016926787794E-6</v>
          </cell>
          <cell r="DR18">
            <v>0</v>
          </cell>
          <cell r="DS18">
            <v>0</v>
          </cell>
        </row>
        <row r="19">
          <cell r="BU19">
            <v>0</v>
          </cell>
          <cell r="BV19">
            <v>0</v>
          </cell>
          <cell r="BW19">
            <v>0</v>
          </cell>
          <cell r="CG19">
            <v>0</v>
          </cell>
          <cell r="CH19">
            <v>0</v>
          </cell>
          <cell r="CI19">
            <v>0</v>
          </cell>
          <cell r="CW19">
            <v>5827.7000000000007</v>
          </cell>
          <cell r="CX19">
            <v>32.299999999999997</v>
          </cell>
          <cell r="CY19">
            <v>0</v>
          </cell>
          <cell r="DQ19">
            <v>0</v>
          </cell>
          <cell r="DR19">
            <v>0</v>
          </cell>
          <cell r="DS19">
            <v>0</v>
          </cell>
        </row>
        <row r="20">
          <cell r="BU20">
            <v>0</v>
          </cell>
          <cell r="BV20">
            <v>0</v>
          </cell>
          <cell r="BW20">
            <v>0</v>
          </cell>
          <cell r="CG20">
            <v>0</v>
          </cell>
          <cell r="CH20">
            <v>0</v>
          </cell>
          <cell r="CI20">
            <v>0</v>
          </cell>
          <cell r="CW20">
            <v>28259.660000000003</v>
          </cell>
          <cell r="CX20">
            <v>108.13</v>
          </cell>
          <cell r="CY20">
            <v>0</v>
          </cell>
          <cell r="DQ20">
            <v>0</v>
          </cell>
          <cell r="DR20">
            <v>0</v>
          </cell>
          <cell r="DS20">
            <v>0</v>
          </cell>
        </row>
        <row r="21">
          <cell r="BU21">
            <v>0</v>
          </cell>
          <cell r="BV21">
            <v>0</v>
          </cell>
          <cell r="BW21">
            <v>0</v>
          </cell>
          <cell r="CG21">
            <v>0</v>
          </cell>
          <cell r="CH21">
            <v>0</v>
          </cell>
          <cell r="CI21">
            <v>0</v>
          </cell>
          <cell r="CW21">
            <v>1400.6700000000003</v>
          </cell>
          <cell r="CX21">
            <v>71.290000000000006</v>
          </cell>
          <cell r="CY21">
            <v>4.4408920985006262E-16</v>
          </cell>
          <cell r="DQ21">
            <v>0</v>
          </cell>
          <cell r="DR21">
            <v>0</v>
          </cell>
          <cell r="DS21">
            <v>-4.4408920985006262E-16</v>
          </cell>
        </row>
        <row r="22">
          <cell r="BU22">
            <v>0</v>
          </cell>
          <cell r="BV22">
            <v>0</v>
          </cell>
          <cell r="BW22">
            <v>0</v>
          </cell>
          <cell r="CG22">
            <v>0</v>
          </cell>
          <cell r="CH22">
            <v>0</v>
          </cell>
          <cell r="CI22">
            <v>0</v>
          </cell>
          <cell r="CW22">
            <v>6729.6500000000005</v>
          </cell>
          <cell r="CX22">
            <v>234.49</v>
          </cell>
          <cell r="CY22">
            <v>271.70000000000005</v>
          </cell>
          <cell r="DQ22">
            <v>0</v>
          </cell>
          <cell r="DR22">
            <v>0</v>
          </cell>
          <cell r="DS22">
            <v>0</v>
          </cell>
        </row>
        <row r="23">
          <cell r="BU23">
            <v>0</v>
          </cell>
          <cell r="BV23">
            <v>0</v>
          </cell>
          <cell r="BW23">
            <v>0</v>
          </cell>
          <cell r="CG23">
            <v>675.59997899999996</v>
          </cell>
          <cell r="CH23">
            <v>17.399999999999999</v>
          </cell>
          <cell r="CI23">
            <v>0</v>
          </cell>
          <cell r="CW23">
            <v>19137.459996999998</v>
          </cell>
          <cell r="CX23">
            <v>25.54</v>
          </cell>
          <cell r="CY23">
            <v>0</v>
          </cell>
          <cell r="DQ23">
            <v>3.0000010156072676E-6</v>
          </cell>
          <cell r="DR23">
            <v>0</v>
          </cell>
          <cell r="DS23">
            <v>0</v>
          </cell>
        </row>
        <row r="24">
          <cell r="BU24">
            <v>24.820018000000001</v>
          </cell>
          <cell r="BV24">
            <v>0</v>
          </cell>
          <cell r="BW24">
            <v>45.506787000000003</v>
          </cell>
          <cell r="CG24">
            <v>0</v>
          </cell>
          <cell r="CH24">
            <v>-28.710179000000011</v>
          </cell>
          <cell r="CI24">
            <v>24.383213000000001</v>
          </cell>
          <cell r="CW24">
            <v>1474.2099559999999</v>
          </cell>
          <cell r="CX24">
            <v>79.059999999999988</v>
          </cell>
          <cell r="CY24">
            <v>69.89</v>
          </cell>
          <cell r="DQ24">
            <v>4.4000000116284355E-5</v>
          </cell>
          <cell r="DR24">
            <v>0</v>
          </cell>
          <cell r="DS24">
            <v>0</v>
          </cell>
        </row>
        <row r="25">
          <cell r="BU25">
            <v>0</v>
          </cell>
          <cell r="BV25">
            <v>0</v>
          </cell>
          <cell r="BW25">
            <v>0</v>
          </cell>
          <cell r="CG25">
            <v>0</v>
          </cell>
          <cell r="CH25">
            <v>0</v>
          </cell>
          <cell r="CI25">
            <v>0</v>
          </cell>
          <cell r="CW25">
            <v>26593.3</v>
          </cell>
          <cell r="CX25">
            <v>318.31</v>
          </cell>
          <cell r="CY25">
            <v>13.659999999999997</v>
          </cell>
          <cell r="DQ25">
            <v>0</v>
          </cell>
          <cell r="DR25">
            <v>0</v>
          </cell>
          <cell r="DS25">
            <v>0</v>
          </cell>
        </row>
        <row r="26">
          <cell r="BU26">
            <v>0</v>
          </cell>
          <cell r="BV26">
            <v>0</v>
          </cell>
          <cell r="BW26">
            <v>0</v>
          </cell>
          <cell r="CG26">
            <v>213.59745699999999</v>
          </cell>
          <cell r="CH26">
            <v>-36.409999999999911</v>
          </cell>
          <cell r="CI26">
            <v>-31.970000000000002</v>
          </cell>
          <cell r="CW26">
            <v>4812.3799950000011</v>
          </cell>
          <cell r="CX26">
            <v>480.09</v>
          </cell>
          <cell r="CY26">
            <v>27.74</v>
          </cell>
          <cell r="DQ26">
            <v>4.999998964194674E-6</v>
          </cell>
          <cell r="DR26">
            <v>0</v>
          </cell>
          <cell r="DS26">
            <v>0</v>
          </cell>
        </row>
        <row r="27">
          <cell r="BU27">
            <v>0</v>
          </cell>
          <cell r="BV27">
            <v>0</v>
          </cell>
          <cell r="BW27">
            <v>0</v>
          </cell>
          <cell r="CG27">
            <v>0</v>
          </cell>
          <cell r="CH27">
            <v>0</v>
          </cell>
          <cell r="CI27">
            <v>0</v>
          </cell>
          <cell r="CW27">
            <v>11918.4</v>
          </cell>
          <cell r="CX27">
            <v>187.9700000000002</v>
          </cell>
          <cell r="CY27">
            <v>2681.59</v>
          </cell>
          <cell r="DQ27">
            <v>0</v>
          </cell>
          <cell r="DR27">
            <v>-3.979039320256561E-13</v>
          </cell>
          <cell r="DS27">
            <v>0</v>
          </cell>
        </row>
        <row r="28">
          <cell r="BU28">
            <v>0</v>
          </cell>
          <cell r="BV28">
            <v>0</v>
          </cell>
          <cell r="BW28">
            <v>0</v>
          </cell>
          <cell r="CG28">
            <v>745.40296699999999</v>
          </cell>
          <cell r="CH28">
            <v>-26.490000000000009</v>
          </cell>
          <cell r="CI28">
            <v>0</v>
          </cell>
          <cell r="CW28">
            <v>18109.519956000004</v>
          </cell>
          <cell r="CX28">
            <v>83.02</v>
          </cell>
          <cell r="CY28">
            <v>0</v>
          </cell>
          <cell r="DQ28">
            <v>4.3999996705679223E-5</v>
          </cell>
          <cell r="DR28">
            <v>0</v>
          </cell>
          <cell r="DS28">
            <v>0</v>
          </cell>
        </row>
        <row r="29">
          <cell r="BU29">
            <v>0</v>
          </cell>
          <cell r="BV29">
            <v>0</v>
          </cell>
          <cell r="BW29">
            <v>0</v>
          </cell>
          <cell r="CG29">
            <v>332.31506000000002</v>
          </cell>
          <cell r="CH29">
            <v>8.93</v>
          </cell>
          <cell r="CI29">
            <v>0</v>
          </cell>
          <cell r="CW29">
            <v>7043.8067300000002</v>
          </cell>
          <cell r="CX29">
            <v>13.58</v>
          </cell>
          <cell r="CY29">
            <v>0</v>
          </cell>
          <cell r="DQ29">
            <v>76.843269999999393</v>
          </cell>
          <cell r="DR29">
            <v>0</v>
          </cell>
          <cell r="DS29">
            <v>0</v>
          </cell>
        </row>
        <row r="30">
          <cell r="BU30">
            <v>0</v>
          </cell>
          <cell r="BV30">
            <v>0</v>
          </cell>
          <cell r="BW30">
            <v>0</v>
          </cell>
          <cell r="CG30">
            <v>238.319954</v>
          </cell>
          <cell r="CH30">
            <v>14.42</v>
          </cell>
          <cell r="CI30">
            <v>-4.3100000000000005</v>
          </cell>
          <cell r="CW30">
            <v>6817.8099689999999</v>
          </cell>
          <cell r="CX30">
            <v>47.72</v>
          </cell>
          <cell r="CY30">
            <v>7.9</v>
          </cell>
          <cell r="DQ30">
            <v>3.1000000490166713E-5</v>
          </cell>
          <cell r="DR30">
            <v>0</v>
          </cell>
          <cell r="DS30">
            <v>0</v>
          </cell>
        </row>
        <row r="31">
          <cell r="BU31">
            <v>0</v>
          </cell>
          <cell r="BV31">
            <v>0</v>
          </cell>
          <cell r="BW31">
            <v>0</v>
          </cell>
          <cell r="CG31">
            <v>225.437737</v>
          </cell>
          <cell r="CH31">
            <v>10.4</v>
          </cell>
          <cell r="CI31">
            <v>0</v>
          </cell>
          <cell r="CW31">
            <v>19123.070015000001</v>
          </cell>
          <cell r="CX31">
            <v>51.879999999999995</v>
          </cell>
          <cell r="CY31">
            <v>0</v>
          </cell>
          <cell r="DQ31">
            <v>-1.5000001440057531E-5</v>
          </cell>
          <cell r="DR31">
            <v>0</v>
          </cell>
          <cell r="DS31">
            <v>0</v>
          </cell>
        </row>
        <row r="32">
          <cell r="BU32">
            <v>96.086252000000002</v>
          </cell>
          <cell r="BV32">
            <v>0</v>
          </cell>
          <cell r="BW32">
            <v>0</v>
          </cell>
          <cell r="CG32">
            <v>7.8637220000000001</v>
          </cell>
          <cell r="CH32">
            <v>-3.7398979999999966</v>
          </cell>
          <cell r="CI32">
            <v>-7.9300049999999978</v>
          </cell>
          <cell r="CW32">
            <v>1677.9699740000001</v>
          </cell>
          <cell r="CX32">
            <v>57.930000000000007</v>
          </cell>
          <cell r="CY32">
            <v>25.05</v>
          </cell>
          <cell r="DQ32">
            <v>2.599999993435631E-5</v>
          </cell>
          <cell r="DR32">
            <v>0</v>
          </cell>
          <cell r="DS32">
            <v>0</v>
          </cell>
        </row>
        <row r="33">
          <cell r="BU33">
            <v>293.57986799999998</v>
          </cell>
          <cell r="BV33">
            <v>0</v>
          </cell>
          <cell r="BW33">
            <v>0</v>
          </cell>
          <cell r="CG33">
            <v>13.590102</v>
          </cell>
          <cell r="CH33">
            <v>-22.6</v>
          </cell>
          <cell r="CI33">
            <v>0</v>
          </cell>
          <cell r="CW33">
            <v>1648.7299699999999</v>
          </cell>
          <cell r="CX33">
            <v>52.21</v>
          </cell>
          <cell r="CY33">
            <v>0</v>
          </cell>
          <cell r="DQ33">
            <v>3.0000000151630957E-5</v>
          </cell>
          <cell r="DR33">
            <v>0</v>
          </cell>
          <cell r="DS33">
            <v>0</v>
          </cell>
        </row>
        <row r="34">
          <cell r="BU34">
            <v>0</v>
          </cell>
          <cell r="BV34">
            <v>0</v>
          </cell>
          <cell r="BW34">
            <v>0</v>
          </cell>
          <cell r="CG34">
            <v>246.789976</v>
          </cell>
          <cell r="CH34">
            <v>19.989999999999998</v>
          </cell>
          <cell r="CI34">
            <v>130.27000000000001</v>
          </cell>
          <cell r="CW34">
            <v>19922.549921000002</v>
          </cell>
          <cell r="CX34">
            <v>157</v>
          </cell>
          <cell r="CY34">
            <v>227.63</v>
          </cell>
          <cell r="DQ34">
            <v>7.8999997640494257E-5</v>
          </cell>
          <cell r="DR34">
            <v>0</v>
          </cell>
          <cell r="DS34">
            <v>0</v>
          </cell>
        </row>
        <row r="35">
          <cell r="BU35">
            <v>0</v>
          </cell>
          <cell r="BV35">
            <v>0</v>
          </cell>
          <cell r="BW35">
            <v>0</v>
          </cell>
          <cell r="CG35">
            <v>4568.4848039999997</v>
          </cell>
          <cell r="CH35">
            <v>356.31</v>
          </cell>
          <cell r="CI35">
            <v>201.18</v>
          </cell>
          <cell r="CW35">
            <v>99151.743855999986</v>
          </cell>
          <cell r="CX35">
            <v>2290.7299999999996</v>
          </cell>
          <cell r="CY35">
            <v>3110.2</v>
          </cell>
          <cell r="DQ35">
            <v>1390.4761440000148</v>
          </cell>
          <cell r="DR35">
            <v>0</v>
          </cell>
          <cell r="DS35">
            <v>0</v>
          </cell>
        </row>
        <row r="36">
          <cell r="BU36">
            <v>0</v>
          </cell>
          <cell r="BV36">
            <v>0</v>
          </cell>
          <cell r="BW36">
            <v>0</v>
          </cell>
          <cell r="CG36">
            <v>1854.9050139999999</v>
          </cell>
          <cell r="CH36">
            <v>278.58999999999997</v>
          </cell>
          <cell r="CI36">
            <v>0</v>
          </cell>
          <cell r="CW36">
            <v>51867.929944999996</v>
          </cell>
          <cell r="CX36">
            <v>298.92999999999995</v>
          </cell>
          <cell r="CY36">
            <v>0</v>
          </cell>
          <cell r="DQ36">
            <v>5.5000004067551345E-5</v>
          </cell>
          <cell r="DR36">
            <v>0</v>
          </cell>
          <cell r="DS36">
            <v>0</v>
          </cell>
        </row>
        <row r="37">
          <cell r="BU37">
            <v>0</v>
          </cell>
          <cell r="BV37">
            <v>0</v>
          </cell>
          <cell r="BW37">
            <v>0</v>
          </cell>
          <cell r="CG37">
            <v>0</v>
          </cell>
          <cell r="CH37">
            <v>0</v>
          </cell>
          <cell r="CI37">
            <v>0</v>
          </cell>
          <cell r="CW37">
            <v>3736.0199999999991</v>
          </cell>
          <cell r="CX37">
            <v>166.95999999999998</v>
          </cell>
          <cell r="CY37">
            <v>0</v>
          </cell>
          <cell r="DQ37">
            <v>0</v>
          </cell>
          <cell r="DR37">
            <v>0</v>
          </cell>
          <cell r="DS37">
            <v>0</v>
          </cell>
        </row>
        <row r="38">
          <cell r="BU38">
            <v>315.74713700000001</v>
          </cell>
          <cell r="BV38">
            <v>0</v>
          </cell>
          <cell r="BW38">
            <v>0</v>
          </cell>
          <cell r="CG38">
            <v>1.102889</v>
          </cell>
          <cell r="CH38">
            <v>5.36</v>
          </cell>
          <cell r="CI38">
            <v>-6.1099999999999994</v>
          </cell>
          <cell r="CW38">
            <v>2571.0800260000001</v>
          </cell>
          <cell r="CX38">
            <v>40.5</v>
          </cell>
          <cell r="CY38">
            <v>48.49</v>
          </cell>
          <cell r="DQ38">
            <v>-2.6000000161729986E-5</v>
          </cell>
          <cell r="DR38">
            <v>0</v>
          </cell>
          <cell r="DS38">
            <v>0</v>
          </cell>
        </row>
        <row r="39">
          <cell r="BU39">
            <v>0</v>
          </cell>
          <cell r="BV39">
            <v>0</v>
          </cell>
          <cell r="BW39">
            <v>0</v>
          </cell>
          <cell r="CG39">
            <v>421.03995400000002</v>
          </cell>
          <cell r="CH39">
            <v>-29.330000000000041</v>
          </cell>
          <cell r="CI39">
            <v>-39.259999999999991</v>
          </cell>
          <cell r="CW39">
            <v>8867.0899110000009</v>
          </cell>
          <cell r="CX39">
            <v>283.75</v>
          </cell>
          <cell r="CY39">
            <v>602.28</v>
          </cell>
          <cell r="DQ39">
            <v>8.8999999206862412E-5</v>
          </cell>
          <cell r="DR39">
            <v>0</v>
          </cell>
          <cell r="DS39">
            <v>0</v>
          </cell>
        </row>
        <row r="40">
          <cell r="BU40">
            <v>0</v>
          </cell>
          <cell r="BV40">
            <v>0</v>
          </cell>
          <cell r="BW40">
            <v>0</v>
          </cell>
          <cell r="CG40">
            <v>48.845965999999997</v>
          </cell>
          <cell r="CH40">
            <v>-81.230000000000018</v>
          </cell>
          <cell r="CI40">
            <v>0</v>
          </cell>
          <cell r="CW40">
            <v>9958.5664160000015</v>
          </cell>
          <cell r="CX40">
            <v>655.23</v>
          </cell>
          <cell r="CY40">
            <v>0</v>
          </cell>
          <cell r="DQ40">
            <v>151.76358399999845</v>
          </cell>
          <cell r="DR40">
            <v>0</v>
          </cell>
          <cell r="DS40">
            <v>0</v>
          </cell>
        </row>
        <row r="41">
          <cell r="BU41">
            <v>0</v>
          </cell>
          <cell r="BV41">
            <v>0</v>
          </cell>
          <cell r="BW41">
            <v>0</v>
          </cell>
          <cell r="CG41">
            <v>0</v>
          </cell>
          <cell r="CH41">
            <v>0</v>
          </cell>
          <cell r="CI41">
            <v>0</v>
          </cell>
          <cell r="CW41">
            <v>6045.7400000000007</v>
          </cell>
          <cell r="CX41">
            <v>336.90999999999991</v>
          </cell>
          <cell r="CY41">
            <v>120.32999999999998</v>
          </cell>
          <cell r="DQ41">
            <v>0</v>
          </cell>
          <cell r="DR41">
            <v>0</v>
          </cell>
          <cell r="DS41">
            <v>0</v>
          </cell>
        </row>
        <row r="42">
          <cell r="BU42">
            <v>0</v>
          </cell>
          <cell r="BV42">
            <v>0</v>
          </cell>
          <cell r="BW42">
            <v>0</v>
          </cell>
          <cell r="CG42">
            <v>1216.370388</v>
          </cell>
          <cell r="CH42">
            <v>917.79</v>
          </cell>
          <cell r="CI42">
            <v>-574.06999999999971</v>
          </cell>
          <cell r="CW42">
            <v>24490.023863999999</v>
          </cell>
          <cell r="CX42">
            <v>2820.43</v>
          </cell>
          <cell r="CY42">
            <v>3122.28</v>
          </cell>
          <cell r="DQ42">
            <v>801.17613600000186</v>
          </cell>
          <cell r="DR42">
            <v>0</v>
          </cell>
          <cell r="DS42">
            <v>0</v>
          </cell>
        </row>
        <row r="43">
          <cell r="BU43">
            <v>0</v>
          </cell>
          <cell r="BV43">
            <v>0</v>
          </cell>
          <cell r="BW43">
            <v>0</v>
          </cell>
          <cell r="CG43">
            <v>499.46223800000001</v>
          </cell>
          <cell r="CH43">
            <v>47.01</v>
          </cell>
          <cell r="CI43">
            <v>-39.950000000000017</v>
          </cell>
          <cell r="CW43">
            <v>10061.861526999999</v>
          </cell>
          <cell r="CX43">
            <v>423.01</v>
          </cell>
          <cell r="CY43">
            <v>150.06</v>
          </cell>
          <cell r="DQ43">
            <v>353.26847300000009</v>
          </cell>
          <cell r="DR43">
            <v>0</v>
          </cell>
          <cell r="DS43">
            <v>0</v>
          </cell>
        </row>
        <row r="44">
          <cell r="BU44">
            <v>22.508379000000001</v>
          </cell>
          <cell r="BV44">
            <v>0</v>
          </cell>
          <cell r="BW44">
            <v>0</v>
          </cell>
          <cell r="CG44">
            <v>106.331546</v>
          </cell>
          <cell r="CH44">
            <v>91.55</v>
          </cell>
          <cell r="CI44">
            <v>-16.25</v>
          </cell>
          <cell r="CW44">
            <v>5160.7199249999994</v>
          </cell>
          <cell r="CX44">
            <v>490.93</v>
          </cell>
          <cell r="CY44">
            <v>0</v>
          </cell>
          <cell r="DQ44">
            <v>7.5000000833824743E-5</v>
          </cell>
          <cell r="DR44">
            <v>0</v>
          </cell>
          <cell r="DS44">
            <v>0</v>
          </cell>
        </row>
        <row r="45">
          <cell r="BU45">
            <v>0</v>
          </cell>
          <cell r="BV45">
            <v>0</v>
          </cell>
          <cell r="BW45">
            <v>0</v>
          </cell>
          <cell r="CG45">
            <v>1394.475236</v>
          </cell>
          <cell r="CH45">
            <v>337.24</v>
          </cell>
          <cell r="CI45">
            <v>-41.460000000000491</v>
          </cell>
          <cell r="CW45">
            <v>28621.559380999999</v>
          </cell>
          <cell r="CX45">
            <v>2819.8899999999994</v>
          </cell>
          <cell r="CY45">
            <v>3365.62</v>
          </cell>
          <cell r="DQ45">
            <v>2035.8606189999991</v>
          </cell>
          <cell r="DR45">
            <v>0</v>
          </cell>
          <cell r="DS45">
            <v>0</v>
          </cell>
        </row>
        <row r="46">
          <cell r="BU46">
            <v>0</v>
          </cell>
          <cell r="BV46">
            <v>0</v>
          </cell>
          <cell r="BW46">
            <v>0</v>
          </cell>
          <cell r="CG46">
            <v>176.84006500000001</v>
          </cell>
          <cell r="CH46">
            <v>-1.71</v>
          </cell>
          <cell r="CI46">
            <v>0</v>
          </cell>
          <cell r="CW46">
            <v>8063.3700040000003</v>
          </cell>
          <cell r="CX46">
            <v>0</v>
          </cell>
          <cell r="CY46">
            <v>0</v>
          </cell>
          <cell r="DQ46">
            <v>-4.0000004446483217E-6</v>
          </cell>
          <cell r="DR46">
            <v>0</v>
          </cell>
          <cell r="DS46">
            <v>0</v>
          </cell>
        </row>
        <row r="47">
          <cell r="BU47">
            <v>313.67010499999998</v>
          </cell>
          <cell r="BV47">
            <v>69.250060000000005</v>
          </cell>
          <cell r="BW47">
            <v>0</v>
          </cell>
          <cell r="CG47">
            <v>-1.05E-4</v>
          </cell>
          <cell r="CH47">
            <v>0</v>
          </cell>
          <cell r="CI47">
            <v>0</v>
          </cell>
          <cell r="CW47">
            <v>1675.7899999999997</v>
          </cell>
          <cell r="CX47">
            <v>108.97006</v>
          </cell>
          <cell r="CY47">
            <v>0</v>
          </cell>
          <cell r="DQ47">
            <v>0</v>
          </cell>
          <cell r="DR47">
            <v>-6.0000000004833964E-5</v>
          </cell>
          <cell r="DS47">
            <v>0</v>
          </cell>
        </row>
        <row r="48">
          <cell r="BU48">
            <v>0</v>
          </cell>
          <cell r="BV48">
            <v>0</v>
          </cell>
          <cell r="BW48">
            <v>0</v>
          </cell>
          <cell r="CG48">
            <v>537.02011700000003</v>
          </cell>
          <cell r="CH48">
            <v>-4.4200000000000159</v>
          </cell>
          <cell r="CI48">
            <v>-14.519999999999982</v>
          </cell>
          <cell r="CW48">
            <v>18477.320073000003</v>
          </cell>
          <cell r="CX48">
            <v>327.02</v>
          </cell>
          <cell r="CY48">
            <v>516.11</v>
          </cell>
          <cell r="DQ48">
            <v>-7.3000002885237336E-5</v>
          </cell>
          <cell r="DR48">
            <v>0</v>
          </cell>
          <cell r="DS48">
            <v>0</v>
          </cell>
        </row>
        <row r="49">
          <cell r="BU49">
            <v>0</v>
          </cell>
          <cell r="BV49">
            <v>0</v>
          </cell>
          <cell r="BW49">
            <v>0</v>
          </cell>
          <cell r="CG49">
            <v>1372.0515459999999</v>
          </cell>
          <cell r="CH49">
            <v>195.37</v>
          </cell>
          <cell r="CI49">
            <v>-270.18999999999988</v>
          </cell>
          <cell r="CW49">
            <v>21443.851488</v>
          </cell>
          <cell r="CX49">
            <v>666.73</v>
          </cell>
          <cell r="CY49">
            <v>313.43</v>
          </cell>
          <cell r="DQ49">
            <v>232.9885119999999</v>
          </cell>
          <cell r="DR49">
            <v>0</v>
          </cell>
          <cell r="DS49">
            <v>0</v>
          </cell>
        </row>
        <row r="50">
          <cell r="BU50">
            <v>0</v>
          </cell>
          <cell r="BV50">
            <v>0</v>
          </cell>
          <cell r="BW50">
            <v>0</v>
          </cell>
          <cell r="CG50">
            <v>715.62989400000004</v>
          </cell>
          <cell r="CH50">
            <v>-2.3299999999999983</v>
          </cell>
          <cell r="CI50">
            <v>0</v>
          </cell>
          <cell r="CW50">
            <v>19316.759977000002</v>
          </cell>
          <cell r="CX50">
            <v>38.590000000000003</v>
          </cell>
          <cell r="CY50">
            <v>0</v>
          </cell>
          <cell r="DQ50">
            <v>2.2999996872385964E-5</v>
          </cell>
          <cell r="DR50">
            <v>0</v>
          </cell>
          <cell r="DS50">
            <v>0</v>
          </cell>
        </row>
        <row r="51">
          <cell r="BU51">
            <v>0</v>
          </cell>
          <cell r="BV51">
            <v>0</v>
          </cell>
          <cell r="BW51">
            <v>0</v>
          </cell>
          <cell r="CG51">
            <v>412.65012999999999</v>
          </cell>
          <cell r="CH51">
            <v>327.48</v>
          </cell>
          <cell r="CI51">
            <v>-214.43000000000029</v>
          </cell>
          <cell r="CW51">
            <v>22700.450086000004</v>
          </cell>
          <cell r="CX51">
            <v>718.77</v>
          </cell>
          <cell r="CY51">
            <v>5795.41</v>
          </cell>
          <cell r="DQ51">
            <v>-8.6000003648223355E-5</v>
          </cell>
          <cell r="DR51">
            <v>0</v>
          </cell>
          <cell r="DS51">
            <v>0</v>
          </cell>
        </row>
        <row r="52">
          <cell r="BU52">
            <v>173.14003099999999</v>
          </cell>
          <cell r="BV52">
            <v>34.549987999999999</v>
          </cell>
          <cell r="BW52">
            <v>0</v>
          </cell>
          <cell r="CG52">
            <v>-3.1000000000000001E-5</v>
          </cell>
          <cell r="CH52">
            <v>0</v>
          </cell>
          <cell r="CI52">
            <v>0</v>
          </cell>
          <cell r="CW52">
            <v>3933.1199999999994</v>
          </cell>
          <cell r="CX52">
            <v>48.399988</v>
          </cell>
          <cell r="CY52">
            <v>0</v>
          </cell>
          <cell r="DQ52">
            <v>0</v>
          </cell>
          <cell r="DR52">
            <v>1.1999999998124622E-5</v>
          </cell>
          <cell r="DS52">
            <v>0</v>
          </cell>
        </row>
        <row r="53">
          <cell r="BU53">
            <v>0</v>
          </cell>
          <cell r="BV53">
            <v>0</v>
          </cell>
          <cell r="BW53">
            <v>0</v>
          </cell>
          <cell r="CG53">
            <v>0</v>
          </cell>
          <cell r="CH53">
            <v>0</v>
          </cell>
          <cell r="CI53">
            <v>0</v>
          </cell>
          <cell r="CW53">
            <v>12242.749999999998</v>
          </cell>
          <cell r="CX53">
            <v>208.88999950301803</v>
          </cell>
          <cell r="CY53">
            <v>51.55</v>
          </cell>
          <cell r="DQ53">
            <v>0</v>
          </cell>
          <cell r="DR53">
            <v>4.9698195425662561E-7</v>
          </cell>
          <cell r="DS53">
            <v>0</v>
          </cell>
        </row>
        <row r="54">
          <cell r="BU54">
            <v>0</v>
          </cell>
          <cell r="BV54">
            <v>0</v>
          </cell>
          <cell r="BW54">
            <v>0</v>
          </cell>
          <cell r="CG54">
            <v>1272.0240229999999</v>
          </cell>
          <cell r="CH54">
            <v>41.99</v>
          </cell>
          <cell r="CI54">
            <v>0</v>
          </cell>
          <cell r="CW54">
            <v>26920.740129999998</v>
          </cell>
          <cell r="CX54">
            <v>201.62</v>
          </cell>
          <cell r="CY54">
            <v>0</v>
          </cell>
          <cell r="DQ54">
            <v>930.84987000000183</v>
          </cell>
          <cell r="DR54">
            <v>0</v>
          </cell>
          <cell r="DS54">
            <v>0</v>
          </cell>
        </row>
        <row r="55">
          <cell r="BU55">
            <v>0</v>
          </cell>
          <cell r="BV55">
            <v>0</v>
          </cell>
          <cell r="BW55">
            <v>0</v>
          </cell>
          <cell r="CG55">
            <v>645.25332800000001</v>
          </cell>
          <cell r="CH55">
            <v>63.14</v>
          </cell>
          <cell r="CI55">
            <v>0</v>
          </cell>
          <cell r="CW55">
            <v>14217.515340000002</v>
          </cell>
          <cell r="CX55">
            <v>65.180000000000007</v>
          </cell>
          <cell r="CY55">
            <v>0</v>
          </cell>
          <cell r="DQ55">
            <v>467.59465999999884</v>
          </cell>
          <cell r="DR55">
            <v>0</v>
          </cell>
          <cell r="DS55">
            <v>0</v>
          </cell>
        </row>
        <row r="56">
          <cell r="BU56">
            <v>0</v>
          </cell>
          <cell r="BV56">
            <v>0</v>
          </cell>
          <cell r="BW56">
            <v>0</v>
          </cell>
          <cell r="CG56">
            <v>1730.3436200000001</v>
          </cell>
          <cell r="CH56">
            <v>186.88</v>
          </cell>
          <cell r="CI56">
            <v>60.38</v>
          </cell>
          <cell r="CW56">
            <v>33613.700787000002</v>
          </cell>
          <cell r="CX56">
            <v>2206.9900000000007</v>
          </cell>
          <cell r="CY56">
            <v>6208.41</v>
          </cell>
          <cell r="DQ56">
            <v>10.689212999997835</v>
          </cell>
          <cell r="DR56">
            <v>0</v>
          </cell>
          <cell r="DS56">
            <v>0</v>
          </cell>
        </row>
        <row r="57">
          <cell r="BU57">
            <v>0</v>
          </cell>
          <cell r="BV57">
            <v>0</v>
          </cell>
          <cell r="BW57">
            <v>0</v>
          </cell>
          <cell r="CG57">
            <v>0</v>
          </cell>
          <cell r="CH57">
            <v>0</v>
          </cell>
          <cell r="CI57">
            <v>0</v>
          </cell>
          <cell r="CW57">
            <v>16309.68</v>
          </cell>
          <cell r="CX57">
            <v>1616.3600000000004</v>
          </cell>
          <cell r="CY57">
            <v>5618.59</v>
          </cell>
          <cell r="DQ57">
            <v>0</v>
          </cell>
          <cell r="DR57">
            <v>0</v>
          </cell>
          <cell r="DS57">
            <v>0</v>
          </cell>
        </row>
        <row r="58">
          <cell r="BU58">
            <v>0</v>
          </cell>
          <cell r="BV58">
            <v>0</v>
          </cell>
          <cell r="BW58">
            <v>0</v>
          </cell>
          <cell r="CG58">
            <v>399.58997900000003</v>
          </cell>
          <cell r="CH58">
            <v>7.0000000000000007E-2</v>
          </cell>
          <cell r="CI58">
            <v>0</v>
          </cell>
          <cell r="CW58">
            <v>15697.330015</v>
          </cell>
          <cell r="CX58">
            <v>162.73999999999998</v>
          </cell>
          <cell r="CY58">
            <v>0</v>
          </cell>
          <cell r="DQ58">
            <v>-1.4999999621068127E-5</v>
          </cell>
          <cell r="DR58">
            <v>0</v>
          </cell>
          <cell r="DS58">
            <v>0</v>
          </cell>
        </row>
        <row r="59">
          <cell r="BU59">
            <v>0</v>
          </cell>
          <cell r="BV59">
            <v>0</v>
          </cell>
          <cell r="BW59">
            <v>0</v>
          </cell>
          <cell r="CG59">
            <v>0</v>
          </cell>
          <cell r="CH59">
            <v>0</v>
          </cell>
          <cell r="CI59">
            <v>0</v>
          </cell>
          <cell r="CW59">
            <v>12258.39</v>
          </cell>
          <cell r="CX59">
            <v>107.44999999999999</v>
          </cell>
          <cell r="CY59">
            <v>0</v>
          </cell>
          <cell r="DQ59">
            <v>0</v>
          </cell>
          <cell r="DR59">
            <v>0</v>
          </cell>
          <cell r="DS59">
            <v>0</v>
          </cell>
        </row>
        <row r="60">
          <cell r="BU60">
            <v>0</v>
          </cell>
          <cell r="BV60">
            <v>0</v>
          </cell>
          <cell r="BW60">
            <v>0</v>
          </cell>
          <cell r="CG60">
            <v>0</v>
          </cell>
          <cell r="CH60">
            <v>0</v>
          </cell>
          <cell r="CI60">
            <v>0</v>
          </cell>
          <cell r="CW60">
            <v>6904.1899999999987</v>
          </cell>
          <cell r="CX60">
            <v>92.89</v>
          </cell>
          <cell r="CY60">
            <v>165.29000000000002</v>
          </cell>
          <cell r="DQ60">
            <v>0</v>
          </cell>
          <cell r="DR60">
            <v>0</v>
          </cell>
          <cell r="DS60">
            <v>0</v>
          </cell>
        </row>
        <row r="61">
          <cell r="BU61">
            <v>0</v>
          </cell>
          <cell r="BV61">
            <v>0</v>
          </cell>
          <cell r="BW61">
            <v>0</v>
          </cell>
          <cell r="CG61">
            <v>0</v>
          </cell>
          <cell r="CH61">
            <v>0</v>
          </cell>
          <cell r="CI61">
            <v>0</v>
          </cell>
          <cell r="CW61">
            <v>17524.529999999995</v>
          </cell>
          <cell r="CX61">
            <v>159.09000000000003</v>
          </cell>
          <cell r="CY61">
            <v>0</v>
          </cell>
          <cell r="DQ61">
            <v>0</v>
          </cell>
          <cell r="DR61">
            <v>0</v>
          </cell>
          <cell r="DS61">
            <v>0</v>
          </cell>
        </row>
        <row r="62">
          <cell r="BU62">
            <v>709.82074899999998</v>
          </cell>
          <cell r="BV62">
            <v>0</v>
          </cell>
          <cell r="BW62">
            <v>0</v>
          </cell>
          <cell r="CG62">
            <v>155.649292</v>
          </cell>
          <cell r="CH62">
            <v>-16.660000000000082</v>
          </cell>
          <cell r="CI62">
            <v>112.76</v>
          </cell>
          <cell r="CW62">
            <v>13600.170041000001</v>
          </cell>
          <cell r="CX62">
            <v>311.27</v>
          </cell>
          <cell r="CY62">
            <v>628.37</v>
          </cell>
          <cell r="DQ62">
            <v>-4.1000001147040166E-5</v>
          </cell>
          <cell r="DR62">
            <v>0</v>
          </cell>
          <cell r="DS62">
            <v>0</v>
          </cell>
        </row>
        <row r="63">
          <cell r="BU63">
            <v>0</v>
          </cell>
          <cell r="BV63">
            <v>0</v>
          </cell>
          <cell r="BW63">
            <v>0</v>
          </cell>
          <cell r="CG63">
            <v>685.27041099999997</v>
          </cell>
          <cell r="CH63">
            <v>-3.3700000000000045</v>
          </cell>
          <cell r="CI63">
            <v>-9.75</v>
          </cell>
          <cell r="CW63">
            <v>14838.954378999999</v>
          </cell>
          <cell r="CX63">
            <v>261.83999999999997</v>
          </cell>
          <cell r="CY63">
            <v>77.239999999999995</v>
          </cell>
          <cell r="DQ63">
            <v>73.215621000001192</v>
          </cell>
          <cell r="DR63">
            <v>0</v>
          </cell>
          <cell r="DS63">
            <v>0</v>
          </cell>
        </row>
        <row r="64">
          <cell r="BU64">
            <v>0</v>
          </cell>
          <cell r="BV64">
            <v>0</v>
          </cell>
          <cell r="BW64">
            <v>0</v>
          </cell>
          <cell r="CG64">
            <v>925.86885600000005</v>
          </cell>
          <cell r="CH64">
            <v>189.81</v>
          </cell>
          <cell r="CI64">
            <v>-71.760000000000005</v>
          </cell>
          <cell r="CW64">
            <v>21431.500091999998</v>
          </cell>
          <cell r="CX64">
            <v>727.15999999999985</v>
          </cell>
          <cell r="CY64">
            <v>83.42</v>
          </cell>
          <cell r="DQ64">
            <v>-9.1999998403480276E-5</v>
          </cell>
          <cell r="DR64">
            <v>0</v>
          </cell>
          <cell r="DS64">
            <v>0</v>
          </cell>
        </row>
        <row r="65">
          <cell r="BU65">
            <v>0</v>
          </cell>
          <cell r="BV65">
            <v>0</v>
          </cell>
          <cell r="BW65">
            <v>0</v>
          </cell>
          <cell r="CG65">
            <v>394.380718</v>
          </cell>
          <cell r="CH65">
            <v>-124.88999999999999</v>
          </cell>
          <cell r="CI65">
            <v>4.37</v>
          </cell>
          <cell r="CW65">
            <v>8572.530064999999</v>
          </cell>
          <cell r="CX65">
            <v>323.98</v>
          </cell>
          <cell r="CY65">
            <v>89.700000000000017</v>
          </cell>
          <cell r="DQ65">
            <v>-6.4999998357961886E-5</v>
          </cell>
          <cell r="DR65">
            <v>0</v>
          </cell>
          <cell r="DS65">
            <v>0</v>
          </cell>
        </row>
        <row r="66">
          <cell r="BU66">
            <v>476.09006799999997</v>
          </cell>
          <cell r="BV66">
            <v>23.480022000000002</v>
          </cell>
          <cell r="BW66">
            <v>0</v>
          </cell>
          <cell r="CG66">
            <v>-6.7999999999999999E-5</v>
          </cell>
          <cell r="CH66">
            <v>55.869978000000003</v>
          </cell>
          <cell r="CI66">
            <v>-47.45</v>
          </cell>
          <cell r="CW66">
            <v>6707.579999999999</v>
          </cell>
          <cell r="CX66">
            <v>267.51</v>
          </cell>
          <cell r="CY66">
            <v>0</v>
          </cell>
          <cell r="DQ66">
            <v>0</v>
          </cell>
          <cell r="DR66">
            <v>0</v>
          </cell>
          <cell r="DS66">
            <v>0</v>
          </cell>
        </row>
        <row r="67">
          <cell r="BU67">
            <v>1217.3674149999999</v>
          </cell>
          <cell r="BV67">
            <v>0</v>
          </cell>
          <cell r="BW67">
            <v>0</v>
          </cell>
          <cell r="CG67">
            <v>263.052503</v>
          </cell>
          <cell r="CH67">
            <v>-39.659999999999968</v>
          </cell>
          <cell r="CI67">
            <v>0</v>
          </cell>
          <cell r="CW67">
            <v>14502.089918000001</v>
          </cell>
          <cell r="CX67">
            <v>302.85000000000002</v>
          </cell>
          <cell r="CY67">
            <v>0</v>
          </cell>
          <cell r="DQ67">
            <v>8.1999998656101525E-5</v>
          </cell>
          <cell r="DR67">
            <v>0</v>
          </cell>
          <cell r="DS67">
            <v>0</v>
          </cell>
        </row>
        <row r="68">
          <cell r="BU68">
            <v>25.820039000000001</v>
          </cell>
          <cell r="BV68">
            <v>0</v>
          </cell>
          <cell r="BW68">
            <v>59.569609999999997</v>
          </cell>
          <cell r="CG68">
            <v>-3.8999999999999999E-5</v>
          </cell>
          <cell r="CH68">
            <v>-262.02</v>
          </cell>
          <cell r="CI68">
            <v>222.53039000000001</v>
          </cell>
          <cell r="CW68">
            <v>2002.1600000000003</v>
          </cell>
          <cell r="CX68">
            <v>1.7799999999999727</v>
          </cell>
          <cell r="CY68">
            <v>350</v>
          </cell>
          <cell r="DQ68">
            <v>0</v>
          </cell>
          <cell r="DR68">
            <v>0</v>
          </cell>
          <cell r="DS68">
            <v>0</v>
          </cell>
        </row>
        <row r="69">
          <cell r="BU69">
            <v>0</v>
          </cell>
          <cell r="BV69">
            <v>0</v>
          </cell>
          <cell r="BW69">
            <v>0</v>
          </cell>
          <cell r="CG69">
            <v>0</v>
          </cell>
          <cell r="CH69">
            <v>0</v>
          </cell>
          <cell r="CI69">
            <v>0</v>
          </cell>
          <cell r="CW69">
            <v>7100.9499999999989</v>
          </cell>
          <cell r="CX69">
            <v>0.78999999999999992</v>
          </cell>
          <cell r="CY69">
            <v>0</v>
          </cell>
          <cell r="DQ69">
            <v>0</v>
          </cell>
          <cell r="DR69">
            <v>0</v>
          </cell>
          <cell r="DS69">
            <v>0</v>
          </cell>
        </row>
        <row r="70">
          <cell r="BU70">
            <v>0</v>
          </cell>
          <cell r="BV70">
            <v>0</v>
          </cell>
          <cell r="BW70">
            <v>0</v>
          </cell>
          <cell r="CG70">
            <v>0</v>
          </cell>
          <cell r="CH70">
            <v>0</v>
          </cell>
          <cell r="CI70">
            <v>0</v>
          </cell>
          <cell r="CW70">
            <v>16372.499999999995</v>
          </cell>
          <cell r="CX70">
            <v>1536.99</v>
          </cell>
          <cell r="CY70">
            <v>702.34</v>
          </cell>
          <cell r="DQ70">
            <v>0</v>
          </cell>
          <cell r="DR70">
            <v>0</v>
          </cell>
          <cell r="DS70">
            <v>0</v>
          </cell>
        </row>
        <row r="71">
          <cell r="BU71">
            <v>3084.3066819999999</v>
          </cell>
          <cell r="BV71">
            <v>0</v>
          </cell>
          <cell r="BW71">
            <v>0</v>
          </cell>
          <cell r="CG71">
            <v>11.253227000000001</v>
          </cell>
          <cell r="CH71">
            <v>11.37</v>
          </cell>
          <cell r="CI71">
            <v>-25.549999999999983</v>
          </cell>
          <cell r="CW71">
            <v>26053.059909</v>
          </cell>
          <cell r="CX71">
            <v>1770.75</v>
          </cell>
          <cell r="CY71">
            <v>149.71</v>
          </cell>
          <cell r="DQ71">
            <v>9.1000001702923328E-5</v>
          </cell>
          <cell r="DR71">
            <v>0</v>
          </cell>
          <cell r="DS71">
            <v>0</v>
          </cell>
        </row>
        <row r="72">
          <cell r="BU72">
            <v>0</v>
          </cell>
          <cell r="BV72">
            <v>0</v>
          </cell>
          <cell r="BW72">
            <v>0</v>
          </cell>
          <cell r="CG72">
            <v>443.42001599999998</v>
          </cell>
          <cell r="CH72">
            <v>2.69</v>
          </cell>
          <cell r="CI72">
            <v>2.89</v>
          </cell>
          <cell r="CW72">
            <v>15207.230097</v>
          </cell>
          <cell r="CX72">
            <v>182.32999999999998</v>
          </cell>
          <cell r="CY72">
            <v>38.440000000000005</v>
          </cell>
          <cell r="DQ72">
            <v>-9.7000000096159056E-5</v>
          </cell>
          <cell r="DR72">
            <v>0</v>
          </cell>
          <cell r="DS72">
            <v>0</v>
          </cell>
        </row>
        <row r="73">
          <cell r="BU73">
            <v>0</v>
          </cell>
          <cell r="BV73">
            <v>0</v>
          </cell>
          <cell r="BW73">
            <v>0</v>
          </cell>
          <cell r="CG73">
            <v>1325.6134569999999</v>
          </cell>
          <cell r="CH73">
            <v>-16.669999999999959</v>
          </cell>
          <cell r="CI73">
            <v>-4.6100000000000136</v>
          </cell>
          <cell r="CW73">
            <v>27077.051904</v>
          </cell>
          <cell r="CX73">
            <v>285.59000000000003</v>
          </cell>
          <cell r="CY73">
            <v>182.45</v>
          </cell>
          <cell r="DQ73">
            <v>554.9080959999992</v>
          </cell>
          <cell r="DR73">
            <v>0</v>
          </cell>
          <cell r="DS73">
            <v>0</v>
          </cell>
        </row>
        <row r="74">
          <cell r="BU74">
            <v>0</v>
          </cell>
          <cell r="BV74">
            <v>0</v>
          </cell>
          <cell r="BW74">
            <v>0</v>
          </cell>
          <cell r="CG74">
            <v>1212.4301869999999</v>
          </cell>
          <cell r="CH74">
            <v>-16.649999999999977</v>
          </cell>
          <cell r="CI74">
            <v>0</v>
          </cell>
          <cell r="CW74">
            <v>26070.500101000005</v>
          </cell>
          <cell r="CX74">
            <v>436.73</v>
          </cell>
          <cell r="CY74">
            <v>0</v>
          </cell>
          <cell r="DQ74">
            <v>-1.0100000508828089E-4</v>
          </cell>
          <cell r="DR74">
            <v>0</v>
          </cell>
          <cell r="DS74">
            <v>0</v>
          </cell>
        </row>
        <row r="75">
          <cell r="BU75">
            <v>0</v>
          </cell>
          <cell r="BV75">
            <v>0</v>
          </cell>
          <cell r="BW75">
            <v>0</v>
          </cell>
          <cell r="CG75">
            <v>114.87021799999999</v>
          </cell>
          <cell r="CH75">
            <v>-7.6200000000000045</v>
          </cell>
          <cell r="CI75">
            <v>0</v>
          </cell>
          <cell r="CW75">
            <v>9255.080027</v>
          </cell>
          <cell r="CX75">
            <v>84.21</v>
          </cell>
          <cell r="CY75">
            <v>0</v>
          </cell>
          <cell r="DQ75">
            <v>-2.7000000045518391E-5</v>
          </cell>
          <cell r="DR75">
            <v>0</v>
          </cell>
          <cell r="DS75">
            <v>0</v>
          </cell>
        </row>
        <row r="76">
          <cell r="BU76">
            <v>0</v>
          </cell>
          <cell r="BV76">
            <v>0</v>
          </cell>
          <cell r="BW76">
            <v>0</v>
          </cell>
          <cell r="CG76">
            <v>184.23778100000001</v>
          </cell>
          <cell r="CH76">
            <v>15.36</v>
          </cell>
          <cell r="CI76">
            <v>0</v>
          </cell>
          <cell r="CW76">
            <v>4734.5299810000006</v>
          </cell>
          <cell r="CX76">
            <v>365.57</v>
          </cell>
          <cell r="CY76">
            <v>0</v>
          </cell>
          <cell r="DQ76">
            <v>1.8999999156221747E-5</v>
          </cell>
          <cell r="DR76">
            <v>0</v>
          </cell>
          <cell r="DS76">
            <v>0</v>
          </cell>
        </row>
        <row r="77">
          <cell r="BU77">
            <v>0</v>
          </cell>
          <cell r="BV77">
            <v>0</v>
          </cell>
          <cell r="BW77">
            <v>0</v>
          </cell>
          <cell r="CG77">
            <v>13.060793</v>
          </cell>
          <cell r="CH77">
            <v>-21.720000000000006</v>
          </cell>
          <cell r="CI77">
            <v>0</v>
          </cell>
          <cell r="CW77">
            <v>2482.2911009999998</v>
          </cell>
          <cell r="CX77">
            <v>39.619999999999997</v>
          </cell>
          <cell r="CY77">
            <v>0</v>
          </cell>
          <cell r="DQ77">
            <v>9.7388990000004014</v>
          </cell>
          <cell r="DR77">
            <v>0</v>
          </cell>
          <cell r="DS77">
            <v>0</v>
          </cell>
        </row>
        <row r="78">
          <cell r="BU78">
            <v>4.0000830000000001</v>
          </cell>
          <cell r="BV78">
            <v>1.090068</v>
          </cell>
          <cell r="BW78">
            <v>0</v>
          </cell>
          <cell r="CG78">
            <v>-8.2999999999999998E-5</v>
          </cell>
          <cell r="CH78">
            <v>0</v>
          </cell>
          <cell r="CI78">
            <v>0</v>
          </cell>
          <cell r="CW78">
            <v>13649.1</v>
          </cell>
          <cell r="CX78">
            <v>752.53006800000003</v>
          </cell>
          <cell r="CY78">
            <v>0</v>
          </cell>
          <cell r="DQ78">
            <v>0</v>
          </cell>
          <cell r="DR78">
            <v>-6.800000005569018E-5</v>
          </cell>
          <cell r="DS78">
            <v>0</v>
          </cell>
        </row>
        <row r="79">
          <cell r="BU79">
            <v>0</v>
          </cell>
          <cell r="BV79">
            <v>0</v>
          </cell>
          <cell r="BW79">
            <v>0</v>
          </cell>
          <cell r="CG79">
            <v>108.480008</v>
          </cell>
          <cell r="CH79">
            <v>-81.179999999999993</v>
          </cell>
          <cell r="CI79">
            <v>-38.359999999999985</v>
          </cell>
          <cell r="CW79">
            <v>16390.019952999999</v>
          </cell>
          <cell r="CX79">
            <v>39.03</v>
          </cell>
          <cell r="CY79">
            <v>127.9</v>
          </cell>
          <cell r="DQ79">
            <v>4.7000001359265298E-5</v>
          </cell>
          <cell r="DR79">
            <v>0</v>
          </cell>
          <cell r="DS79">
            <v>0</v>
          </cell>
        </row>
        <row r="80">
          <cell r="BU80">
            <v>838.96093699999994</v>
          </cell>
          <cell r="BV80">
            <v>0</v>
          </cell>
          <cell r="BW80">
            <v>0</v>
          </cell>
          <cell r="CG80">
            <v>91.479014000000006</v>
          </cell>
          <cell r="CH80">
            <v>11.77</v>
          </cell>
          <cell r="CI80">
            <v>0</v>
          </cell>
          <cell r="CW80">
            <v>7475.9199509999999</v>
          </cell>
          <cell r="CX80">
            <v>150.30000000000001</v>
          </cell>
          <cell r="CY80">
            <v>0</v>
          </cell>
          <cell r="DQ80">
            <v>4.9000000217347406E-5</v>
          </cell>
          <cell r="DR80">
            <v>0</v>
          </cell>
          <cell r="DS80">
            <v>0</v>
          </cell>
        </row>
      </sheetData>
      <sheetData sheetId="21">
        <row r="9">
          <cell r="AA9">
            <v>0</v>
          </cell>
          <cell r="AB9">
            <v>0</v>
          </cell>
          <cell r="AP9" t="str">
            <v>Y</v>
          </cell>
          <cell r="BM9">
            <v>0</v>
          </cell>
          <cell r="BT9">
            <v>0</v>
          </cell>
        </row>
        <row r="10">
          <cell r="AA10">
            <v>0</v>
          </cell>
          <cell r="AB10">
            <v>0</v>
          </cell>
          <cell r="AP10" t="str">
            <v>Y</v>
          </cell>
          <cell r="BM10">
            <v>0</v>
          </cell>
          <cell r="BT10">
            <v>0</v>
          </cell>
        </row>
        <row r="11">
          <cell r="AA11">
            <v>0</v>
          </cell>
          <cell r="AB11">
            <v>0</v>
          </cell>
          <cell r="AP11" t="str">
            <v>Y</v>
          </cell>
          <cell r="BM11">
            <v>0</v>
          </cell>
          <cell r="BT11">
            <v>0</v>
          </cell>
        </row>
        <row r="12">
          <cell r="AA12">
            <v>0</v>
          </cell>
          <cell r="AB12">
            <v>0</v>
          </cell>
          <cell r="AP12" t="str">
            <v>N</v>
          </cell>
          <cell r="BM12">
            <v>-1739185.9196826972</v>
          </cell>
          <cell r="BT12">
            <v>0</v>
          </cell>
        </row>
        <row r="13">
          <cell r="AA13">
            <v>0</v>
          </cell>
          <cell r="AB13">
            <v>0</v>
          </cell>
          <cell r="AP13" t="str">
            <v>N</v>
          </cell>
          <cell r="BM13">
            <v>0</v>
          </cell>
          <cell r="BT13">
            <v>0</v>
          </cell>
        </row>
        <row r="14">
          <cell r="AA14">
            <v>0</v>
          </cell>
          <cell r="AB14">
            <v>0</v>
          </cell>
          <cell r="AP14" t="str">
            <v>Y</v>
          </cell>
          <cell r="BM14">
            <v>0</v>
          </cell>
          <cell r="BT14">
            <v>0</v>
          </cell>
        </row>
        <row r="15">
          <cell r="AA15">
            <v>0</v>
          </cell>
          <cell r="AB15">
            <v>0</v>
          </cell>
          <cell r="AP15" t="str">
            <v>N</v>
          </cell>
          <cell r="BM15">
            <v>0</v>
          </cell>
          <cell r="BT15">
            <v>0</v>
          </cell>
        </row>
        <row r="16">
          <cell r="AA16">
            <v>0</v>
          </cell>
          <cell r="AB16">
            <v>0</v>
          </cell>
          <cell r="AP16" t="str">
            <v>Y</v>
          </cell>
          <cell r="BM16">
            <v>0</v>
          </cell>
          <cell r="BT16">
            <v>0</v>
          </cell>
        </row>
        <row r="17">
          <cell r="AA17">
            <v>0</v>
          </cell>
          <cell r="AB17">
            <v>0</v>
          </cell>
          <cell r="AP17" t="str">
            <v>Y</v>
          </cell>
          <cell r="BM17">
            <v>0</v>
          </cell>
          <cell r="BT17">
            <v>0</v>
          </cell>
        </row>
        <row r="18">
          <cell r="AA18">
            <v>0</v>
          </cell>
          <cell r="AB18">
            <v>0</v>
          </cell>
          <cell r="AP18" t="str">
            <v>N</v>
          </cell>
          <cell r="BM18">
            <v>0</v>
          </cell>
          <cell r="BT18">
            <v>0</v>
          </cell>
        </row>
        <row r="19">
          <cell r="AA19">
            <v>0</v>
          </cell>
          <cell r="AB19">
            <v>0</v>
          </cell>
          <cell r="AP19" t="str">
            <v>N</v>
          </cell>
          <cell r="BM19">
            <v>-944858.70104115026</v>
          </cell>
          <cell r="BT19">
            <v>0</v>
          </cell>
        </row>
        <row r="20">
          <cell r="AA20">
            <v>0</v>
          </cell>
          <cell r="AB20">
            <v>0</v>
          </cell>
          <cell r="AP20" t="str">
            <v>N</v>
          </cell>
          <cell r="BM20">
            <v>-1948093.2077342588</v>
          </cell>
          <cell r="BT20">
            <v>0</v>
          </cell>
        </row>
        <row r="21">
          <cell r="AA21">
            <v>0</v>
          </cell>
          <cell r="AB21">
            <v>0</v>
          </cell>
          <cell r="AP21" t="str">
            <v>N</v>
          </cell>
          <cell r="BM21">
            <v>-29634.110064452158</v>
          </cell>
          <cell r="BT21">
            <v>0</v>
          </cell>
        </row>
        <row r="22">
          <cell r="AA22">
            <v>0</v>
          </cell>
          <cell r="AB22">
            <v>0</v>
          </cell>
          <cell r="AP22" t="str">
            <v>N</v>
          </cell>
          <cell r="BM22">
            <v>-516660.38671294006</v>
          </cell>
          <cell r="BT22">
            <v>0</v>
          </cell>
        </row>
        <row r="23">
          <cell r="AA23">
            <v>0</v>
          </cell>
          <cell r="AB23">
            <v>0</v>
          </cell>
          <cell r="AP23" t="str">
            <v>Y</v>
          </cell>
          <cell r="BM23">
            <v>0</v>
          </cell>
          <cell r="BT23">
            <v>0</v>
          </cell>
        </row>
        <row r="24">
          <cell r="AA24">
            <v>0</v>
          </cell>
          <cell r="AB24">
            <v>0</v>
          </cell>
          <cell r="AP24" t="str">
            <v>N</v>
          </cell>
          <cell r="BM24">
            <v>0</v>
          </cell>
          <cell r="BT24">
            <v>0</v>
          </cell>
        </row>
        <row r="25">
          <cell r="AA25">
            <v>0</v>
          </cell>
          <cell r="AB25">
            <v>0</v>
          </cell>
          <cell r="AP25" t="str">
            <v>N</v>
          </cell>
          <cell r="BM25">
            <v>-2458848.7853247398</v>
          </cell>
          <cell r="BT25">
            <v>0</v>
          </cell>
        </row>
        <row r="26">
          <cell r="AA26">
            <v>0</v>
          </cell>
          <cell r="AB26">
            <v>0</v>
          </cell>
          <cell r="AP26" t="str">
            <v>Y</v>
          </cell>
          <cell r="BM26">
            <v>0</v>
          </cell>
          <cell r="BT26">
            <v>0</v>
          </cell>
        </row>
        <row r="27">
          <cell r="AA27">
            <v>0</v>
          </cell>
          <cell r="AB27">
            <v>0</v>
          </cell>
          <cell r="AP27" t="str">
            <v>N</v>
          </cell>
          <cell r="BM27">
            <v>-2365262.2706990582</v>
          </cell>
          <cell r="BT27">
            <v>0</v>
          </cell>
        </row>
        <row r="28">
          <cell r="AA28">
            <v>0</v>
          </cell>
          <cell r="AB28">
            <v>0</v>
          </cell>
          <cell r="AP28" t="str">
            <v>Y</v>
          </cell>
          <cell r="BM28">
            <v>0</v>
          </cell>
          <cell r="BT28">
            <v>0</v>
          </cell>
        </row>
        <row r="29">
          <cell r="AA29">
            <v>0</v>
          </cell>
          <cell r="AB29">
            <v>0</v>
          </cell>
          <cell r="AP29" t="str">
            <v>Y</v>
          </cell>
          <cell r="BM29">
            <v>0</v>
          </cell>
          <cell r="BT29">
            <v>0</v>
          </cell>
        </row>
        <row r="30">
          <cell r="AA30">
            <v>0</v>
          </cell>
          <cell r="AB30">
            <v>0</v>
          </cell>
          <cell r="AP30" t="str">
            <v>Y</v>
          </cell>
          <cell r="BM30">
            <v>0</v>
          </cell>
          <cell r="BT30">
            <v>0</v>
          </cell>
        </row>
        <row r="31">
          <cell r="AA31">
            <v>0</v>
          </cell>
          <cell r="AB31">
            <v>0</v>
          </cell>
          <cell r="AP31" t="str">
            <v>N</v>
          </cell>
          <cell r="BM31">
            <v>0</v>
          </cell>
          <cell r="BT31">
            <v>0</v>
          </cell>
        </row>
        <row r="32">
          <cell r="AA32">
            <v>0</v>
          </cell>
          <cell r="AB32">
            <v>0</v>
          </cell>
          <cell r="AP32" t="str">
            <v>N</v>
          </cell>
          <cell r="BM32">
            <v>0</v>
          </cell>
          <cell r="BT32">
            <v>0</v>
          </cell>
        </row>
        <row r="33">
          <cell r="AA33">
            <v>0</v>
          </cell>
          <cell r="AB33">
            <v>0</v>
          </cell>
          <cell r="AP33" t="str">
            <v>N</v>
          </cell>
          <cell r="BM33">
            <v>0</v>
          </cell>
          <cell r="BT33">
            <v>0</v>
          </cell>
        </row>
        <row r="34">
          <cell r="AA34">
            <v>0</v>
          </cell>
          <cell r="AB34">
            <v>0</v>
          </cell>
          <cell r="AP34" t="str">
            <v>N</v>
          </cell>
          <cell r="BM34">
            <v>0</v>
          </cell>
          <cell r="BT34">
            <v>0</v>
          </cell>
        </row>
        <row r="35">
          <cell r="AA35">
            <v>0</v>
          </cell>
          <cell r="AB35">
            <v>0</v>
          </cell>
          <cell r="AP35" t="str">
            <v>Y</v>
          </cell>
          <cell r="BM35">
            <v>0</v>
          </cell>
          <cell r="BT35">
            <v>0</v>
          </cell>
        </row>
        <row r="36">
          <cell r="AA36">
            <v>0</v>
          </cell>
          <cell r="AB36">
            <v>0</v>
          </cell>
          <cell r="AP36" t="str">
            <v>Y</v>
          </cell>
          <cell r="BM36">
            <v>0</v>
          </cell>
          <cell r="BT36">
            <v>0</v>
          </cell>
        </row>
        <row r="37">
          <cell r="AA37">
            <v>0</v>
          </cell>
          <cell r="AB37">
            <v>0</v>
          </cell>
          <cell r="AP37" t="str">
            <v>Y</v>
          </cell>
          <cell r="BM37">
            <v>-2025920.674268716</v>
          </cell>
          <cell r="BT37">
            <v>0</v>
          </cell>
        </row>
        <row r="38">
          <cell r="AA38">
            <v>0</v>
          </cell>
          <cell r="AB38">
            <v>0</v>
          </cell>
          <cell r="AP38" t="str">
            <v>N</v>
          </cell>
          <cell r="BM38">
            <v>0</v>
          </cell>
          <cell r="BT38">
            <v>0</v>
          </cell>
        </row>
        <row r="39">
          <cell r="AA39">
            <v>0</v>
          </cell>
          <cell r="AB39">
            <v>0</v>
          </cell>
          <cell r="AP39" t="str">
            <v>Y</v>
          </cell>
          <cell r="BM39">
            <v>0</v>
          </cell>
          <cell r="BT39">
            <v>0</v>
          </cell>
        </row>
        <row r="40">
          <cell r="AA40">
            <v>0</v>
          </cell>
          <cell r="AB40">
            <v>0</v>
          </cell>
          <cell r="AP40" t="str">
            <v>Y</v>
          </cell>
          <cell r="BM40">
            <v>0</v>
          </cell>
          <cell r="BT40">
            <v>0</v>
          </cell>
        </row>
        <row r="41">
          <cell r="AA41">
            <v>0</v>
          </cell>
          <cell r="AB41">
            <v>0</v>
          </cell>
          <cell r="AP41" t="str">
            <v>N</v>
          </cell>
          <cell r="BM41">
            <v>-27833.415964303422</v>
          </cell>
          <cell r="BT41">
            <v>0</v>
          </cell>
        </row>
        <row r="42">
          <cell r="AA42">
            <v>0</v>
          </cell>
          <cell r="AB42">
            <v>0</v>
          </cell>
          <cell r="AP42" t="str">
            <v>Y</v>
          </cell>
          <cell r="BM42">
            <v>0</v>
          </cell>
          <cell r="BT42">
            <v>0</v>
          </cell>
        </row>
        <row r="43">
          <cell r="AA43">
            <v>0</v>
          </cell>
          <cell r="AB43">
            <v>0</v>
          </cell>
          <cell r="AP43" t="str">
            <v>Y</v>
          </cell>
          <cell r="BM43">
            <v>0</v>
          </cell>
          <cell r="BT43">
            <v>0</v>
          </cell>
        </row>
        <row r="44">
          <cell r="AA44">
            <v>0</v>
          </cell>
          <cell r="AB44">
            <v>0</v>
          </cell>
          <cell r="AP44" t="str">
            <v>Y</v>
          </cell>
          <cell r="BM44">
            <v>0</v>
          </cell>
          <cell r="BT44">
            <v>0</v>
          </cell>
        </row>
        <row r="45">
          <cell r="AA45">
            <v>0</v>
          </cell>
          <cell r="AB45">
            <v>0</v>
          </cell>
          <cell r="AP45" t="str">
            <v>Y</v>
          </cell>
          <cell r="BM45">
            <v>0</v>
          </cell>
          <cell r="BT45">
            <v>0</v>
          </cell>
        </row>
        <row r="46">
          <cell r="AA46">
            <v>0</v>
          </cell>
          <cell r="AB46">
            <v>0</v>
          </cell>
          <cell r="AP46" t="str">
            <v>N</v>
          </cell>
          <cell r="BM46">
            <v>0</v>
          </cell>
          <cell r="BT46">
            <v>0</v>
          </cell>
        </row>
        <row r="47">
          <cell r="AA47">
            <v>0</v>
          </cell>
          <cell r="AB47">
            <v>0</v>
          </cell>
          <cell r="AP47" t="str">
            <v>N</v>
          </cell>
          <cell r="BM47">
            <v>0</v>
          </cell>
          <cell r="BT47">
            <v>0</v>
          </cell>
        </row>
        <row r="48">
          <cell r="AA48">
            <v>0</v>
          </cell>
          <cell r="AB48">
            <v>0</v>
          </cell>
          <cell r="AP48" t="str">
            <v>Y</v>
          </cell>
          <cell r="BM48">
            <v>0</v>
          </cell>
          <cell r="BT48">
            <v>0</v>
          </cell>
        </row>
        <row r="49">
          <cell r="AA49">
            <v>0</v>
          </cell>
          <cell r="AB49">
            <v>0</v>
          </cell>
          <cell r="AP49" t="str">
            <v>Y</v>
          </cell>
          <cell r="BM49">
            <v>0</v>
          </cell>
          <cell r="BT49">
            <v>0</v>
          </cell>
        </row>
        <row r="50">
          <cell r="AA50">
            <v>0</v>
          </cell>
          <cell r="AB50">
            <v>0</v>
          </cell>
          <cell r="AP50" t="str">
            <v>Y</v>
          </cell>
          <cell r="BM50">
            <v>0</v>
          </cell>
          <cell r="BT50">
            <v>0</v>
          </cell>
        </row>
        <row r="51">
          <cell r="AA51">
            <v>0</v>
          </cell>
          <cell r="AB51">
            <v>0</v>
          </cell>
          <cell r="AP51" t="str">
            <v>N</v>
          </cell>
          <cell r="BM51">
            <v>0</v>
          </cell>
          <cell r="BT51">
            <v>0</v>
          </cell>
        </row>
        <row r="52">
          <cell r="AA52">
            <v>0</v>
          </cell>
          <cell r="AB52">
            <v>0</v>
          </cell>
          <cell r="AP52" t="str">
            <v>N</v>
          </cell>
          <cell r="BM52">
            <v>0</v>
          </cell>
          <cell r="BT52">
            <v>0</v>
          </cell>
        </row>
        <row r="53">
          <cell r="AA53">
            <v>0</v>
          </cell>
          <cell r="AB53">
            <v>0</v>
          </cell>
          <cell r="AP53" t="str">
            <v>N</v>
          </cell>
          <cell r="BM53">
            <v>-385952.40456122957</v>
          </cell>
          <cell r="BT53">
            <v>0</v>
          </cell>
        </row>
        <row r="54">
          <cell r="AA54">
            <v>0</v>
          </cell>
          <cell r="AB54">
            <v>0</v>
          </cell>
          <cell r="AP54" t="str">
            <v>Y</v>
          </cell>
          <cell r="BM54">
            <v>0</v>
          </cell>
          <cell r="BT54">
            <v>0</v>
          </cell>
        </row>
        <row r="55">
          <cell r="AA55">
            <v>0</v>
          </cell>
          <cell r="AB55">
            <v>0</v>
          </cell>
          <cell r="AP55" t="str">
            <v>Y</v>
          </cell>
          <cell r="BM55">
            <v>0</v>
          </cell>
          <cell r="BT55">
            <v>0</v>
          </cell>
        </row>
        <row r="56">
          <cell r="AA56">
            <v>0</v>
          </cell>
          <cell r="AB56">
            <v>0</v>
          </cell>
          <cell r="AP56" t="str">
            <v>Y</v>
          </cell>
          <cell r="BM56">
            <v>0</v>
          </cell>
          <cell r="BT56">
            <v>0</v>
          </cell>
        </row>
        <row r="57">
          <cell r="AA57">
            <v>0</v>
          </cell>
          <cell r="AB57">
            <v>0</v>
          </cell>
          <cell r="AP57" t="str">
            <v>N</v>
          </cell>
          <cell r="BM57">
            <v>-38184123.946455136</v>
          </cell>
          <cell r="BT57">
            <v>0</v>
          </cell>
        </row>
        <row r="58">
          <cell r="AA58">
            <v>0</v>
          </cell>
          <cell r="AB58">
            <v>0</v>
          </cell>
          <cell r="AP58" t="str">
            <v>Y</v>
          </cell>
          <cell r="BM58">
            <v>0</v>
          </cell>
          <cell r="BT58">
            <v>0</v>
          </cell>
        </row>
        <row r="59">
          <cell r="AA59">
            <v>0</v>
          </cell>
          <cell r="AB59">
            <v>0</v>
          </cell>
          <cell r="AP59" t="str">
            <v>N</v>
          </cell>
          <cell r="BM59">
            <v>-3183910.7585523054</v>
          </cell>
          <cell r="BT59">
            <v>0</v>
          </cell>
        </row>
        <row r="60">
          <cell r="AA60">
            <v>0</v>
          </cell>
          <cell r="AB60">
            <v>0</v>
          </cell>
          <cell r="AP60" t="str">
            <v>N</v>
          </cell>
          <cell r="BM60">
            <v>-5717684.6802181462</v>
          </cell>
          <cell r="BT60">
            <v>0</v>
          </cell>
        </row>
        <row r="61">
          <cell r="AA61">
            <v>0</v>
          </cell>
          <cell r="AB61">
            <v>0</v>
          </cell>
          <cell r="AP61" t="str">
            <v>N</v>
          </cell>
          <cell r="BM61">
            <v>-3909103.6192364902</v>
          </cell>
          <cell r="BT61">
            <v>0</v>
          </cell>
        </row>
        <row r="62">
          <cell r="AA62">
            <v>0</v>
          </cell>
          <cell r="AB62">
            <v>0</v>
          </cell>
          <cell r="AP62" t="str">
            <v>N</v>
          </cell>
          <cell r="BM62">
            <v>0</v>
          </cell>
          <cell r="BT62">
            <v>0</v>
          </cell>
        </row>
        <row r="63">
          <cell r="AA63">
            <v>0</v>
          </cell>
          <cell r="AB63">
            <v>0</v>
          </cell>
          <cell r="AP63" t="str">
            <v>Y</v>
          </cell>
          <cell r="BM63">
            <v>0</v>
          </cell>
          <cell r="BT63">
            <v>0</v>
          </cell>
        </row>
        <row r="64">
          <cell r="AA64">
            <v>0</v>
          </cell>
          <cell r="AB64">
            <v>0</v>
          </cell>
          <cell r="AP64" t="str">
            <v>Y</v>
          </cell>
          <cell r="BM64">
            <v>0</v>
          </cell>
          <cell r="BT64">
            <v>0</v>
          </cell>
        </row>
        <row r="65">
          <cell r="AA65">
            <v>0</v>
          </cell>
          <cell r="AB65">
            <v>0</v>
          </cell>
          <cell r="AP65" t="str">
            <v>Y</v>
          </cell>
          <cell r="BM65">
            <v>0</v>
          </cell>
          <cell r="BT65">
            <v>0</v>
          </cell>
        </row>
        <row r="66">
          <cell r="AA66">
            <v>0</v>
          </cell>
          <cell r="AB66">
            <v>0</v>
          </cell>
          <cell r="AP66" t="str">
            <v>N</v>
          </cell>
          <cell r="BM66">
            <v>0</v>
          </cell>
          <cell r="BT66">
            <v>0</v>
          </cell>
        </row>
        <row r="67">
          <cell r="AA67">
            <v>0</v>
          </cell>
          <cell r="AB67">
            <v>0</v>
          </cell>
          <cell r="AP67" t="str">
            <v>N</v>
          </cell>
          <cell r="BM67">
            <v>0</v>
          </cell>
          <cell r="BT67">
            <v>0</v>
          </cell>
        </row>
        <row r="68">
          <cell r="AA68">
            <v>0</v>
          </cell>
          <cell r="AB68">
            <v>0</v>
          </cell>
          <cell r="AP68" t="str">
            <v>N</v>
          </cell>
          <cell r="BM68">
            <v>0</v>
          </cell>
          <cell r="BT68">
            <v>0</v>
          </cell>
        </row>
        <row r="69">
          <cell r="AA69">
            <v>0</v>
          </cell>
          <cell r="AB69">
            <v>0</v>
          </cell>
          <cell r="AP69" t="str">
            <v>N</v>
          </cell>
          <cell r="BM69">
            <v>-4997071.8889439767</v>
          </cell>
          <cell r="BT69">
            <v>0</v>
          </cell>
        </row>
        <row r="70">
          <cell r="AA70">
            <v>0</v>
          </cell>
          <cell r="AB70">
            <v>0</v>
          </cell>
          <cell r="AP70" t="str">
            <v>N</v>
          </cell>
          <cell r="BM70">
            <v>-3549419.9305899851</v>
          </cell>
          <cell r="BT70">
            <v>0</v>
          </cell>
        </row>
        <row r="71">
          <cell r="AA71">
            <v>0</v>
          </cell>
          <cell r="AB71">
            <v>0</v>
          </cell>
          <cell r="AP71" t="str">
            <v>Y</v>
          </cell>
          <cell r="BM71">
            <v>0</v>
          </cell>
          <cell r="BT71">
            <v>0</v>
          </cell>
        </row>
        <row r="72">
          <cell r="AA72">
            <v>0</v>
          </cell>
          <cell r="AB72">
            <v>0</v>
          </cell>
          <cell r="AP72" t="str">
            <v>Y</v>
          </cell>
          <cell r="BM72">
            <v>0</v>
          </cell>
          <cell r="BT72">
            <v>0</v>
          </cell>
        </row>
        <row r="73">
          <cell r="AA73">
            <v>0</v>
          </cell>
          <cell r="AB73">
            <v>0</v>
          </cell>
          <cell r="AP73" t="str">
            <v>Y</v>
          </cell>
          <cell r="BM73">
            <v>0</v>
          </cell>
          <cell r="BT73">
            <v>0</v>
          </cell>
        </row>
        <row r="74">
          <cell r="AA74">
            <v>0</v>
          </cell>
          <cell r="AB74">
            <v>0</v>
          </cell>
          <cell r="AP74" t="str">
            <v>Y</v>
          </cell>
          <cell r="BM74">
            <v>0</v>
          </cell>
          <cell r="BT74">
            <v>0</v>
          </cell>
        </row>
        <row r="75">
          <cell r="AA75">
            <v>0</v>
          </cell>
          <cell r="AB75">
            <v>0</v>
          </cell>
          <cell r="AP75" t="str">
            <v>N</v>
          </cell>
          <cell r="BM75">
            <v>0</v>
          </cell>
          <cell r="BT75">
            <v>0</v>
          </cell>
        </row>
        <row r="76">
          <cell r="AA76">
            <v>0</v>
          </cell>
          <cell r="AB76">
            <v>0</v>
          </cell>
          <cell r="AP76" t="str">
            <v>Y</v>
          </cell>
          <cell r="BM76">
            <v>0</v>
          </cell>
          <cell r="BT76">
            <v>0</v>
          </cell>
        </row>
        <row r="77">
          <cell r="AA77">
            <v>0</v>
          </cell>
          <cell r="AB77">
            <v>0</v>
          </cell>
          <cell r="AP77" t="str">
            <v>N</v>
          </cell>
          <cell r="BM77">
            <v>0</v>
          </cell>
          <cell r="BT77">
            <v>0</v>
          </cell>
        </row>
        <row r="78">
          <cell r="AA78">
            <v>0</v>
          </cell>
          <cell r="AB78">
            <v>0</v>
          </cell>
          <cell r="AP78" t="str">
            <v>N</v>
          </cell>
          <cell r="BM78">
            <v>0</v>
          </cell>
          <cell r="BT78">
            <v>0</v>
          </cell>
        </row>
        <row r="79">
          <cell r="AA79">
            <v>0</v>
          </cell>
          <cell r="AB79">
            <v>0</v>
          </cell>
          <cell r="AP79" t="str">
            <v>N</v>
          </cell>
          <cell r="BM79">
            <v>0</v>
          </cell>
          <cell r="BT79">
            <v>0</v>
          </cell>
        </row>
        <row r="80">
          <cell r="AA80">
            <v>0</v>
          </cell>
          <cell r="AB80">
            <v>0</v>
          </cell>
          <cell r="AP80" t="str">
            <v>N</v>
          </cell>
          <cell r="BM80">
            <v>0</v>
          </cell>
          <cell r="BT80">
            <v>0</v>
          </cell>
        </row>
      </sheetData>
      <sheetData sheetId="22" refreshError="1"/>
      <sheetData sheetId="23">
        <row r="7">
          <cell r="AC7">
            <v>0</v>
          </cell>
          <cell r="AI7">
            <v>952922</v>
          </cell>
        </row>
        <row r="8">
          <cell r="AC8">
            <v>0</v>
          </cell>
          <cell r="AI8">
            <v>1302521</v>
          </cell>
        </row>
        <row r="9">
          <cell r="AC9">
            <v>0</v>
          </cell>
          <cell r="AI9">
            <v>0</v>
          </cell>
        </row>
        <row r="10">
          <cell r="AC10">
            <v>0</v>
          </cell>
          <cell r="AI10">
            <v>1067899</v>
          </cell>
        </row>
        <row r="11">
          <cell r="AC11">
            <v>0</v>
          </cell>
          <cell r="AI11">
            <v>0</v>
          </cell>
        </row>
        <row r="12">
          <cell r="AC12">
            <v>0</v>
          </cell>
          <cell r="AI12">
            <v>1740214</v>
          </cell>
        </row>
        <row r="13">
          <cell r="AC13">
            <v>0</v>
          </cell>
          <cell r="AI13">
            <v>1497099</v>
          </cell>
        </row>
        <row r="14">
          <cell r="AC14">
            <v>1208721</v>
          </cell>
          <cell r="AI14">
            <v>1647259</v>
          </cell>
        </row>
        <row r="15">
          <cell r="AC15">
            <v>40217</v>
          </cell>
          <cell r="AI15">
            <v>1292654</v>
          </cell>
        </row>
        <row r="16">
          <cell r="AC16">
            <v>940812</v>
          </cell>
          <cell r="AI16">
            <v>0</v>
          </cell>
        </row>
        <row r="17">
          <cell r="AC17">
            <v>144367</v>
          </cell>
          <cell r="AI17">
            <v>124211</v>
          </cell>
        </row>
        <row r="18">
          <cell r="AC18">
            <v>1216429</v>
          </cell>
          <cell r="AI18">
            <v>3444204</v>
          </cell>
        </row>
        <row r="19">
          <cell r="AC19">
            <v>0</v>
          </cell>
          <cell r="AI19">
            <v>0</v>
          </cell>
        </row>
        <row r="20">
          <cell r="AC20">
            <v>0</v>
          </cell>
          <cell r="AI20">
            <v>783951</v>
          </cell>
        </row>
        <row r="21">
          <cell r="AC21">
            <v>47181</v>
          </cell>
          <cell r="AI21">
            <v>1401703</v>
          </cell>
        </row>
        <row r="22">
          <cell r="AC22">
            <v>0</v>
          </cell>
          <cell r="AI22">
            <v>0</v>
          </cell>
        </row>
        <row r="23">
          <cell r="AC23">
            <v>0</v>
          </cell>
          <cell r="AI23">
            <v>0</v>
          </cell>
        </row>
        <row r="24">
          <cell r="AC24">
            <v>0</v>
          </cell>
          <cell r="AI24">
            <v>525019</v>
          </cell>
        </row>
        <row r="25">
          <cell r="AC25">
            <v>0</v>
          </cell>
          <cell r="AI25">
            <v>1404728</v>
          </cell>
        </row>
        <row r="26">
          <cell r="AC26">
            <v>0</v>
          </cell>
          <cell r="AI26">
            <v>2066272</v>
          </cell>
        </row>
        <row r="27">
          <cell r="AC27">
            <v>0</v>
          </cell>
          <cell r="AI27">
            <v>711729</v>
          </cell>
        </row>
        <row r="28">
          <cell r="AC28">
            <v>332117</v>
          </cell>
          <cell r="AI28">
            <v>0</v>
          </cell>
        </row>
        <row r="29">
          <cell r="AC29">
            <v>0</v>
          </cell>
          <cell r="AI29">
            <v>2006513</v>
          </cell>
        </row>
        <row r="30">
          <cell r="AC30">
            <v>0</v>
          </cell>
          <cell r="AI30">
            <v>0</v>
          </cell>
        </row>
        <row r="31">
          <cell r="AC31">
            <v>0</v>
          </cell>
          <cell r="AI31">
            <v>0</v>
          </cell>
        </row>
        <row r="32">
          <cell r="AC32">
            <v>177802</v>
          </cell>
          <cell r="AI32">
            <v>1574197</v>
          </cell>
        </row>
        <row r="33">
          <cell r="AC33">
            <v>0</v>
          </cell>
          <cell r="AI33">
            <v>10380678</v>
          </cell>
        </row>
        <row r="34">
          <cell r="AC34">
            <v>0</v>
          </cell>
          <cell r="AI34">
            <v>5309002</v>
          </cell>
        </row>
        <row r="35">
          <cell r="AC35">
            <v>0</v>
          </cell>
          <cell r="AI35">
            <v>0</v>
          </cell>
        </row>
        <row r="36">
          <cell r="AC36">
            <v>0</v>
          </cell>
          <cell r="AI36">
            <v>0</v>
          </cell>
        </row>
        <row r="37">
          <cell r="AC37">
            <v>59167</v>
          </cell>
          <cell r="AI37">
            <v>698302</v>
          </cell>
        </row>
        <row r="38">
          <cell r="AC38">
            <v>0</v>
          </cell>
          <cell r="AI38">
            <v>0</v>
          </cell>
        </row>
        <row r="39">
          <cell r="AC39">
            <v>0</v>
          </cell>
          <cell r="AI39">
            <v>0</v>
          </cell>
        </row>
        <row r="40">
          <cell r="AC40">
            <v>0</v>
          </cell>
          <cell r="AI40">
            <v>2870228</v>
          </cell>
        </row>
        <row r="41">
          <cell r="AC41">
            <v>0</v>
          </cell>
          <cell r="AI41">
            <v>1052666</v>
          </cell>
        </row>
        <row r="42">
          <cell r="AC42">
            <v>0</v>
          </cell>
          <cell r="AI42">
            <v>0</v>
          </cell>
        </row>
        <row r="43">
          <cell r="AC43">
            <v>0</v>
          </cell>
          <cell r="AI43">
            <v>3304645</v>
          </cell>
        </row>
        <row r="44">
          <cell r="AC44">
            <v>0</v>
          </cell>
          <cell r="AI44">
            <v>568473</v>
          </cell>
        </row>
        <row r="45">
          <cell r="AC45">
            <v>0</v>
          </cell>
          <cell r="AI45">
            <v>0</v>
          </cell>
        </row>
        <row r="46">
          <cell r="AC46">
            <v>0</v>
          </cell>
          <cell r="AI46">
            <v>1261591</v>
          </cell>
        </row>
        <row r="47">
          <cell r="AC47">
            <v>0</v>
          </cell>
          <cell r="AI47">
            <v>930839</v>
          </cell>
        </row>
        <row r="48">
          <cell r="AC48">
            <v>195740</v>
          </cell>
          <cell r="AI48">
            <v>1991048</v>
          </cell>
        </row>
        <row r="49">
          <cell r="AC49">
            <v>0</v>
          </cell>
          <cell r="AI49">
            <v>2438824</v>
          </cell>
        </row>
        <row r="50">
          <cell r="AC50">
            <v>0</v>
          </cell>
          <cell r="AI50">
            <v>0</v>
          </cell>
        </row>
        <row r="51">
          <cell r="AC51">
            <v>0</v>
          </cell>
          <cell r="AI51">
            <v>1325382</v>
          </cell>
        </row>
        <row r="52">
          <cell r="AC52">
            <v>0</v>
          </cell>
          <cell r="AI52">
            <v>3025914</v>
          </cell>
        </row>
        <row r="53">
          <cell r="AC53">
            <v>0</v>
          </cell>
          <cell r="AI53">
            <v>1543344</v>
          </cell>
        </row>
        <row r="54">
          <cell r="AC54">
            <v>0</v>
          </cell>
          <cell r="AI54">
            <v>3973954</v>
          </cell>
        </row>
        <row r="55">
          <cell r="AC55">
            <v>0</v>
          </cell>
          <cell r="AI55">
            <v>0</v>
          </cell>
        </row>
        <row r="56">
          <cell r="AC56">
            <v>0</v>
          </cell>
          <cell r="AI56">
            <v>1030509</v>
          </cell>
        </row>
        <row r="57">
          <cell r="AC57">
            <v>0</v>
          </cell>
          <cell r="AI57">
            <v>0</v>
          </cell>
        </row>
        <row r="58">
          <cell r="AC58">
            <v>0</v>
          </cell>
          <cell r="AI58">
            <v>0</v>
          </cell>
        </row>
        <row r="59">
          <cell r="AC59">
            <v>0</v>
          </cell>
          <cell r="AI59">
            <v>0</v>
          </cell>
        </row>
        <row r="60">
          <cell r="AC60">
            <v>0</v>
          </cell>
          <cell r="AI60">
            <v>0</v>
          </cell>
        </row>
        <row r="61">
          <cell r="AC61">
            <v>762877</v>
          </cell>
          <cell r="AI61">
            <v>1605487</v>
          </cell>
        </row>
        <row r="62">
          <cell r="AC62">
            <v>0</v>
          </cell>
          <cell r="AI62">
            <v>2256852</v>
          </cell>
        </row>
        <row r="63">
          <cell r="AC63">
            <v>0</v>
          </cell>
          <cell r="AI63">
            <v>902417</v>
          </cell>
        </row>
        <row r="64">
          <cell r="AC64">
            <v>0</v>
          </cell>
          <cell r="AI64">
            <v>0</v>
          </cell>
        </row>
        <row r="65">
          <cell r="AC65">
            <v>0</v>
          </cell>
          <cell r="AI65">
            <v>0</v>
          </cell>
        </row>
        <row r="66">
          <cell r="AC66">
            <v>0</v>
          </cell>
          <cell r="AI66">
            <v>0</v>
          </cell>
        </row>
        <row r="67">
          <cell r="AC67">
            <v>0</v>
          </cell>
          <cell r="AI67">
            <v>0</v>
          </cell>
        </row>
        <row r="68">
          <cell r="AC68">
            <v>1022236</v>
          </cell>
          <cell r="AI68">
            <v>689509</v>
          </cell>
        </row>
        <row r="69">
          <cell r="AC69">
            <v>0</v>
          </cell>
          <cell r="AI69">
            <v>0</v>
          </cell>
        </row>
        <row r="70">
          <cell r="AC70">
            <v>829</v>
          </cell>
          <cell r="AI70">
            <v>1092086</v>
          </cell>
        </row>
        <row r="71">
          <cell r="AC71">
            <v>0</v>
          </cell>
          <cell r="AI71">
            <v>2765951</v>
          </cell>
        </row>
        <row r="72">
          <cell r="AC72">
            <v>0</v>
          </cell>
          <cell r="AI72">
            <v>2074079</v>
          </cell>
        </row>
        <row r="73">
          <cell r="AC73">
            <v>0</v>
          </cell>
          <cell r="AI73">
            <v>975647</v>
          </cell>
        </row>
        <row r="74">
          <cell r="AC74">
            <v>0</v>
          </cell>
          <cell r="AI74">
            <v>504029</v>
          </cell>
        </row>
        <row r="75">
          <cell r="AC75">
            <v>0</v>
          </cell>
          <cell r="AI75">
            <v>0</v>
          </cell>
        </row>
        <row r="76">
          <cell r="AC76">
            <v>0</v>
          </cell>
          <cell r="AI76">
            <v>0</v>
          </cell>
        </row>
        <row r="77">
          <cell r="AC77">
            <v>0</v>
          </cell>
          <cell r="AI77">
            <v>1784261</v>
          </cell>
        </row>
        <row r="78">
          <cell r="AC78">
            <v>0</v>
          </cell>
          <cell r="AI78">
            <v>0</v>
          </cell>
        </row>
      </sheetData>
      <sheetData sheetId="24" refreshError="1"/>
      <sheetData sheetId="25">
        <row r="9">
          <cell r="H9">
            <v>43046382</v>
          </cell>
        </row>
        <row r="10">
          <cell r="H10">
            <v>51884029</v>
          </cell>
        </row>
        <row r="11">
          <cell r="H11">
            <v>10672898</v>
          </cell>
        </row>
        <row r="12">
          <cell r="H12">
            <v>51305649</v>
          </cell>
        </row>
        <row r="13">
          <cell r="H13">
            <v>52567673</v>
          </cell>
        </row>
        <row r="14">
          <cell r="H14">
            <v>77513935</v>
          </cell>
        </row>
        <row r="15">
          <cell r="H15">
            <v>78357577</v>
          </cell>
        </row>
        <row r="16">
          <cell r="H16">
            <v>65575111</v>
          </cell>
        </row>
        <row r="17">
          <cell r="H17">
            <v>51458769</v>
          </cell>
        </row>
        <row r="18">
          <cell r="H18">
            <v>159748634</v>
          </cell>
        </row>
        <row r="19">
          <cell r="H19">
            <v>29548156</v>
          </cell>
        </row>
        <row r="20">
          <cell r="H20">
            <v>137108953</v>
          </cell>
        </row>
        <row r="21">
          <cell r="H21">
            <v>6966801</v>
          </cell>
        </row>
        <row r="22">
          <cell r="H22">
            <v>35148291</v>
          </cell>
        </row>
        <row r="23">
          <cell r="H23">
            <v>88696021</v>
          </cell>
        </row>
        <row r="24">
          <cell r="H24">
            <v>7330430</v>
          </cell>
        </row>
        <row r="25">
          <cell r="H25">
            <v>140369286</v>
          </cell>
        </row>
        <row r="26">
          <cell r="H26">
            <v>23539137</v>
          </cell>
        </row>
        <row r="27">
          <cell r="H27">
            <v>69034162</v>
          </cell>
        </row>
        <row r="28">
          <cell r="H28">
            <v>82927688</v>
          </cell>
        </row>
        <row r="29">
          <cell r="H29">
            <v>31910245</v>
          </cell>
        </row>
        <row r="30">
          <cell r="H30">
            <v>32308153</v>
          </cell>
        </row>
        <row r="31">
          <cell r="H31">
            <v>89961582</v>
          </cell>
        </row>
        <row r="32">
          <cell r="H32">
            <v>8695985</v>
          </cell>
        </row>
        <row r="33">
          <cell r="H33">
            <v>8472021</v>
          </cell>
        </row>
        <row r="34">
          <cell r="H34">
            <v>95188236</v>
          </cell>
        </row>
        <row r="35">
          <cell r="H35">
            <v>465415614</v>
          </cell>
        </row>
        <row r="36">
          <cell r="H36">
            <v>238028047</v>
          </cell>
        </row>
        <row r="37">
          <cell r="H37">
            <v>26531409</v>
          </cell>
        </row>
        <row r="38">
          <cell r="H38">
            <v>13914188</v>
          </cell>
        </row>
        <row r="39">
          <cell r="H39">
            <v>43630543</v>
          </cell>
        </row>
        <row r="40">
          <cell r="H40">
            <v>46264576</v>
          </cell>
        </row>
        <row r="41">
          <cell r="H41">
            <v>34051157</v>
          </cell>
        </row>
        <row r="42">
          <cell r="H42">
            <v>128686105</v>
          </cell>
        </row>
        <row r="43">
          <cell r="H43">
            <v>47196032</v>
          </cell>
        </row>
        <row r="44">
          <cell r="H44">
            <v>25748180</v>
          </cell>
        </row>
        <row r="45">
          <cell r="H45">
            <v>148163063</v>
          </cell>
        </row>
        <row r="46">
          <cell r="H46">
            <v>38038302</v>
          </cell>
        </row>
        <row r="47">
          <cell r="H47">
            <v>8060311</v>
          </cell>
        </row>
        <row r="48">
          <cell r="H48">
            <v>89052081</v>
          </cell>
        </row>
        <row r="49">
          <cell r="H49">
            <v>100170911</v>
          </cell>
        </row>
        <row r="50">
          <cell r="H50">
            <v>88803081</v>
          </cell>
        </row>
        <row r="51">
          <cell r="H51">
            <v>128257002</v>
          </cell>
        </row>
        <row r="52">
          <cell r="H52">
            <v>23773117</v>
          </cell>
        </row>
        <row r="53">
          <cell r="H53">
            <v>59423256</v>
          </cell>
        </row>
        <row r="54">
          <cell r="H54">
            <v>122588526</v>
          </cell>
        </row>
        <row r="55">
          <cell r="H55">
            <v>64562395</v>
          </cell>
        </row>
        <row r="56">
          <cell r="H56">
            <v>178171452</v>
          </cell>
        </row>
        <row r="57">
          <cell r="H57">
            <v>153995438</v>
          </cell>
        </row>
        <row r="58">
          <cell r="H58">
            <v>73912045</v>
          </cell>
        </row>
        <row r="59">
          <cell r="H59">
            <v>68785399</v>
          </cell>
        </row>
        <row r="60">
          <cell r="H60">
            <v>42390379</v>
          </cell>
        </row>
        <row r="61">
          <cell r="H61">
            <v>98429909</v>
          </cell>
        </row>
        <row r="62">
          <cell r="H62">
            <v>68616118</v>
          </cell>
        </row>
        <row r="63">
          <cell r="H63">
            <v>63912211</v>
          </cell>
        </row>
        <row r="64">
          <cell r="H64">
            <v>101185525</v>
          </cell>
        </row>
        <row r="65">
          <cell r="H65">
            <v>40459681</v>
          </cell>
        </row>
        <row r="66">
          <cell r="H66">
            <v>35029895</v>
          </cell>
        </row>
        <row r="67">
          <cell r="H67">
            <v>70456968</v>
          </cell>
        </row>
        <row r="68">
          <cell r="H68">
            <v>10134423</v>
          </cell>
        </row>
        <row r="69">
          <cell r="H69">
            <v>42019378</v>
          </cell>
        </row>
        <row r="70">
          <cell r="H70">
            <v>89909686</v>
          </cell>
        </row>
        <row r="71">
          <cell r="H71">
            <v>129403254</v>
          </cell>
        </row>
        <row r="72">
          <cell r="H72">
            <v>71608933</v>
          </cell>
        </row>
        <row r="73">
          <cell r="H73">
            <v>124010870</v>
          </cell>
        </row>
        <row r="74">
          <cell r="H74">
            <v>120181403</v>
          </cell>
        </row>
        <row r="75">
          <cell r="H75">
            <v>43742915</v>
          </cell>
        </row>
        <row r="76">
          <cell r="H76">
            <v>22598051</v>
          </cell>
        </row>
        <row r="77">
          <cell r="H77">
            <v>15511027</v>
          </cell>
        </row>
        <row r="78">
          <cell r="H78">
            <v>78590056</v>
          </cell>
        </row>
        <row r="79">
          <cell r="H79">
            <v>78555434</v>
          </cell>
        </row>
        <row r="80">
          <cell r="H80">
            <v>36448546</v>
          </cell>
        </row>
      </sheetData>
      <sheetData sheetId="26" refreshError="1"/>
      <sheetData sheetId="27">
        <row r="7">
          <cell r="E7">
            <v>1088411</v>
          </cell>
        </row>
        <row r="8">
          <cell r="E8">
            <v>1286405</v>
          </cell>
        </row>
        <row r="9">
          <cell r="E9">
            <v>325927</v>
          </cell>
        </row>
        <row r="10">
          <cell r="E10">
            <v>1273447</v>
          </cell>
        </row>
        <row r="11">
          <cell r="E11">
            <v>1307023</v>
          </cell>
        </row>
        <row r="12">
          <cell r="E12">
            <v>1835799</v>
          </cell>
        </row>
        <row r="13">
          <cell r="E13">
            <v>1916711</v>
          </cell>
        </row>
        <row r="14">
          <cell r="E14">
            <v>1627870</v>
          </cell>
        </row>
        <row r="15">
          <cell r="E15">
            <v>1252073</v>
          </cell>
        </row>
        <row r="16">
          <cell r="E16">
            <v>3826969</v>
          </cell>
        </row>
        <row r="17">
          <cell r="E17">
            <v>628991</v>
          </cell>
        </row>
        <row r="18">
          <cell r="E18">
            <v>3370267</v>
          </cell>
        </row>
        <row r="19">
          <cell r="E19">
            <v>242897</v>
          </cell>
        </row>
        <row r="20">
          <cell r="E20">
            <v>861857</v>
          </cell>
        </row>
        <row r="21">
          <cell r="E21">
            <v>2185535</v>
          </cell>
        </row>
        <row r="22">
          <cell r="E22">
            <v>251044</v>
          </cell>
        </row>
        <row r="23">
          <cell r="E23">
            <v>3579663</v>
          </cell>
        </row>
        <row r="24">
          <cell r="E24">
            <v>614174</v>
          </cell>
        </row>
        <row r="25">
          <cell r="E25">
            <v>1670627</v>
          </cell>
        </row>
        <row r="26">
          <cell r="E26">
            <v>2019097</v>
          </cell>
        </row>
        <row r="27">
          <cell r="E27">
            <v>796066</v>
          </cell>
        </row>
        <row r="28">
          <cell r="E28">
            <v>798228</v>
          </cell>
        </row>
        <row r="29">
          <cell r="E29">
            <v>2331710</v>
          </cell>
        </row>
        <row r="30">
          <cell r="E30">
            <v>282228</v>
          </cell>
        </row>
        <row r="31">
          <cell r="E31">
            <v>275140</v>
          </cell>
        </row>
        <row r="32">
          <cell r="E32">
            <v>2281374</v>
          </cell>
        </row>
        <row r="33">
          <cell r="E33">
            <v>11171059</v>
          </cell>
        </row>
        <row r="34">
          <cell r="E34">
            <v>5754330</v>
          </cell>
        </row>
        <row r="35">
          <cell r="E35">
            <v>0</v>
          </cell>
        </row>
        <row r="36">
          <cell r="E36">
            <v>403157</v>
          </cell>
        </row>
        <row r="37">
          <cell r="E37">
            <v>1101498</v>
          </cell>
        </row>
        <row r="38">
          <cell r="E38">
            <v>0</v>
          </cell>
        </row>
        <row r="39">
          <cell r="E39">
            <v>860494</v>
          </cell>
        </row>
        <row r="40">
          <cell r="E40">
            <v>3007037</v>
          </cell>
        </row>
        <row r="41">
          <cell r="E41">
            <v>1181378</v>
          </cell>
        </row>
        <row r="42">
          <cell r="E42">
            <v>679571</v>
          </cell>
        </row>
        <row r="43">
          <cell r="E43">
            <v>3517802</v>
          </cell>
        </row>
        <row r="44">
          <cell r="E44">
            <v>951408</v>
          </cell>
        </row>
        <row r="45">
          <cell r="E45">
            <v>276172</v>
          </cell>
        </row>
        <row r="46">
          <cell r="E46">
            <v>2143903</v>
          </cell>
        </row>
        <row r="47">
          <cell r="E47">
            <v>2393002</v>
          </cell>
        </row>
        <row r="48">
          <cell r="E48">
            <v>2287152</v>
          </cell>
        </row>
        <row r="49">
          <cell r="E49">
            <v>3096655</v>
          </cell>
        </row>
        <row r="50">
          <cell r="E50">
            <v>638020</v>
          </cell>
        </row>
        <row r="51">
          <cell r="E51">
            <v>1430505</v>
          </cell>
        </row>
        <row r="52">
          <cell r="E52">
            <v>2982051</v>
          </cell>
        </row>
        <row r="53">
          <cell r="E53">
            <v>1607651</v>
          </cell>
        </row>
        <row r="54">
          <cell r="E54">
            <v>4363726</v>
          </cell>
        </row>
        <row r="55">
          <cell r="E55">
            <v>3571265</v>
          </cell>
        </row>
        <row r="56">
          <cell r="E56">
            <v>1779908</v>
          </cell>
        </row>
        <row r="57">
          <cell r="E57">
            <v>1689859</v>
          </cell>
        </row>
        <row r="58">
          <cell r="E58">
            <v>1073715</v>
          </cell>
        </row>
        <row r="59">
          <cell r="E59">
            <v>2428412</v>
          </cell>
        </row>
        <row r="60">
          <cell r="E60">
            <v>1686066</v>
          </cell>
        </row>
        <row r="61">
          <cell r="E61">
            <v>1666167</v>
          </cell>
        </row>
        <row r="62">
          <cell r="E62">
            <v>2415734</v>
          </cell>
        </row>
        <row r="63">
          <cell r="E63">
            <v>1030460</v>
          </cell>
        </row>
        <row r="64">
          <cell r="E64">
            <v>859205</v>
          </cell>
        </row>
        <row r="65">
          <cell r="E65">
            <v>1705604</v>
          </cell>
        </row>
        <row r="66">
          <cell r="E66">
            <v>349908</v>
          </cell>
        </row>
        <row r="67">
          <cell r="E67">
            <v>1065402</v>
          </cell>
        </row>
        <row r="68">
          <cell r="E68">
            <v>2194122</v>
          </cell>
        </row>
        <row r="69">
          <cell r="E69">
            <v>0</v>
          </cell>
        </row>
        <row r="70">
          <cell r="E70">
            <v>1728311</v>
          </cell>
        </row>
        <row r="71">
          <cell r="E71">
            <v>3026319</v>
          </cell>
        </row>
        <row r="72">
          <cell r="E72">
            <v>2940525</v>
          </cell>
        </row>
        <row r="73">
          <cell r="E73">
            <v>1079211</v>
          </cell>
        </row>
        <row r="74">
          <cell r="E74">
            <v>661304</v>
          </cell>
        </row>
        <row r="75">
          <cell r="E75">
            <v>434317</v>
          </cell>
        </row>
        <row r="76">
          <cell r="E76">
            <v>1921919</v>
          </cell>
        </row>
        <row r="77">
          <cell r="E77">
            <v>1921144</v>
          </cell>
        </row>
        <row r="78">
          <cell r="E78">
            <v>995019</v>
          </cell>
        </row>
      </sheetData>
      <sheetData sheetId="28" refreshError="1"/>
      <sheetData sheetId="29">
        <row r="9">
          <cell r="BP9">
            <v>0</v>
          </cell>
          <cell r="BQ9">
            <v>0</v>
          </cell>
          <cell r="BR9">
            <v>0</v>
          </cell>
          <cell r="BX9">
            <v>0</v>
          </cell>
          <cell r="BY9">
            <v>0</v>
          </cell>
          <cell r="BZ9">
            <v>0</v>
          </cell>
        </row>
        <row r="10">
          <cell r="BP10">
            <v>0</v>
          </cell>
          <cell r="BQ10">
            <v>0</v>
          </cell>
          <cell r="BR10">
            <v>0</v>
          </cell>
          <cell r="BX10">
            <v>0</v>
          </cell>
          <cell r="BY10">
            <v>0</v>
          </cell>
          <cell r="BZ10">
            <v>0</v>
          </cell>
        </row>
        <row r="11">
          <cell r="BP11">
            <v>0</v>
          </cell>
          <cell r="BQ11">
            <v>0</v>
          </cell>
          <cell r="BR11">
            <v>0</v>
          </cell>
          <cell r="BX11">
            <v>0</v>
          </cell>
          <cell r="BY11">
            <v>0</v>
          </cell>
          <cell r="BZ11">
            <v>0</v>
          </cell>
        </row>
        <row r="12">
          <cell r="BP12">
            <v>0</v>
          </cell>
          <cell r="BQ12">
            <v>0</v>
          </cell>
          <cell r="BR12">
            <v>0</v>
          </cell>
          <cell r="BX12">
            <v>0</v>
          </cell>
          <cell r="BY12">
            <v>0</v>
          </cell>
          <cell r="BZ12">
            <v>0</v>
          </cell>
        </row>
        <row r="13">
          <cell r="BP13">
            <v>0</v>
          </cell>
          <cell r="BQ13">
            <v>0</v>
          </cell>
          <cell r="BR13">
            <v>0</v>
          </cell>
          <cell r="BX13">
            <v>0</v>
          </cell>
          <cell r="BY13">
            <v>0</v>
          </cell>
          <cell r="BZ13">
            <v>3503295</v>
          </cell>
        </row>
        <row r="14">
          <cell r="BP14">
            <v>0</v>
          </cell>
          <cell r="BQ14">
            <v>0</v>
          </cell>
          <cell r="BR14">
            <v>0</v>
          </cell>
          <cell r="BX14">
            <v>0</v>
          </cell>
          <cell r="BY14">
            <v>0</v>
          </cell>
          <cell r="BZ14">
            <v>0</v>
          </cell>
        </row>
        <row r="15">
          <cell r="BP15">
            <v>0</v>
          </cell>
          <cell r="BQ15">
            <v>0</v>
          </cell>
          <cell r="BR15">
            <v>0</v>
          </cell>
          <cell r="BX15">
            <v>0</v>
          </cell>
          <cell r="BY15">
            <v>0</v>
          </cell>
          <cell r="BZ15">
            <v>0</v>
          </cell>
        </row>
        <row r="16">
          <cell r="BP16">
            <v>0</v>
          </cell>
          <cell r="BQ16">
            <v>0</v>
          </cell>
          <cell r="BR16">
            <v>5134387</v>
          </cell>
          <cell r="BX16">
            <v>0</v>
          </cell>
          <cell r="BY16">
            <v>0</v>
          </cell>
          <cell r="BZ16">
            <v>0</v>
          </cell>
        </row>
        <row r="17">
          <cell r="BP17">
            <v>0</v>
          </cell>
          <cell r="BQ17">
            <v>0</v>
          </cell>
          <cell r="BR17">
            <v>0</v>
          </cell>
          <cell r="BX17">
            <v>0</v>
          </cell>
          <cell r="BY17">
            <v>0</v>
          </cell>
          <cell r="BZ17">
            <v>0</v>
          </cell>
        </row>
        <row r="18">
          <cell r="BP18">
            <v>0</v>
          </cell>
          <cell r="BQ18">
            <v>0</v>
          </cell>
          <cell r="BR18">
            <v>10571923</v>
          </cell>
          <cell r="BX18">
            <v>0</v>
          </cell>
          <cell r="BY18">
            <v>0</v>
          </cell>
          <cell r="BZ18">
            <v>0</v>
          </cell>
        </row>
        <row r="19">
          <cell r="BP19">
            <v>0</v>
          </cell>
          <cell r="BQ19">
            <v>0</v>
          </cell>
          <cell r="BR19">
            <v>0</v>
          </cell>
          <cell r="BX19">
            <v>0</v>
          </cell>
          <cell r="BY19">
            <v>0</v>
          </cell>
          <cell r="BZ19">
            <v>0</v>
          </cell>
        </row>
        <row r="20">
          <cell r="BP20">
            <v>0</v>
          </cell>
          <cell r="BQ20">
            <v>0</v>
          </cell>
          <cell r="BR20">
            <v>2785663</v>
          </cell>
          <cell r="BX20">
            <v>0</v>
          </cell>
          <cell r="BY20">
            <v>0</v>
          </cell>
          <cell r="BZ20">
            <v>0</v>
          </cell>
        </row>
        <row r="21">
          <cell r="BP21">
            <v>0</v>
          </cell>
          <cell r="BQ21">
            <v>0</v>
          </cell>
          <cell r="BR21">
            <v>0</v>
          </cell>
          <cell r="BX21">
            <v>0</v>
          </cell>
          <cell r="BY21">
            <v>0</v>
          </cell>
          <cell r="BZ21">
            <v>466754</v>
          </cell>
        </row>
        <row r="22">
          <cell r="BP22">
            <v>0</v>
          </cell>
          <cell r="BQ22">
            <v>966455</v>
          </cell>
          <cell r="BR22">
            <v>0</v>
          </cell>
          <cell r="BX22">
            <v>0</v>
          </cell>
          <cell r="BY22">
            <v>0</v>
          </cell>
          <cell r="BZ22">
            <v>0</v>
          </cell>
        </row>
        <row r="23">
          <cell r="BP23">
            <v>0</v>
          </cell>
          <cell r="BQ23">
            <v>0</v>
          </cell>
          <cell r="BR23">
            <v>0</v>
          </cell>
          <cell r="BX23">
            <v>0</v>
          </cell>
          <cell r="BY23">
            <v>0</v>
          </cell>
          <cell r="BZ23">
            <v>0</v>
          </cell>
        </row>
        <row r="24">
          <cell r="BP24">
            <v>0</v>
          </cell>
          <cell r="BQ24">
            <v>8176</v>
          </cell>
          <cell r="BR24">
            <v>819795</v>
          </cell>
          <cell r="BX24">
            <v>0</v>
          </cell>
          <cell r="BY24">
            <v>424963</v>
          </cell>
          <cell r="BZ24">
            <v>0</v>
          </cell>
        </row>
        <row r="25">
          <cell r="BP25">
            <v>1249644</v>
          </cell>
          <cell r="BQ25">
            <v>0</v>
          </cell>
          <cell r="BR25">
            <v>7621190</v>
          </cell>
          <cell r="BX25">
            <v>0</v>
          </cell>
          <cell r="BY25">
            <v>7740843</v>
          </cell>
          <cell r="BZ25">
            <v>1676463</v>
          </cell>
        </row>
        <row r="26">
          <cell r="BP26">
            <v>0</v>
          </cell>
          <cell r="BQ26">
            <v>0</v>
          </cell>
          <cell r="BR26">
            <v>0</v>
          </cell>
          <cell r="BX26">
            <v>0</v>
          </cell>
          <cell r="BY26">
            <v>0</v>
          </cell>
          <cell r="BZ26">
            <v>0</v>
          </cell>
        </row>
        <row r="27">
          <cell r="BP27">
            <v>0</v>
          </cell>
          <cell r="BQ27">
            <v>0</v>
          </cell>
          <cell r="BR27">
            <v>0</v>
          </cell>
          <cell r="BX27">
            <v>0</v>
          </cell>
          <cell r="BY27">
            <v>0</v>
          </cell>
          <cell r="BZ27">
            <v>0</v>
          </cell>
        </row>
        <row r="28">
          <cell r="BP28">
            <v>0</v>
          </cell>
          <cell r="BQ28">
            <v>0</v>
          </cell>
          <cell r="BR28">
            <v>0</v>
          </cell>
          <cell r="BX28">
            <v>0</v>
          </cell>
          <cell r="BY28">
            <v>0</v>
          </cell>
          <cell r="BZ28">
            <v>0</v>
          </cell>
        </row>
        <row r="29">
          <cell r="BP29">
            <v>0</v>
          </cell>
          <cell r="BQ29">
            <v>0</v>
          </cell>
          <cell r="BR29">
            <v>0</v>
          </cell>
          <cell r="BX29">
            <v>0</v>
          </cell>
          <cell r="BY29">
            <v>0</v>
          </cell>
          <cell r="BZ29">
            <v>0</v>
          </cell>
        </row>
        <row r="30">
          <cell r="BP30">
            <v>0</v>
          </cell>
          <cell r="BQ30">
            <v>2001759</v>
          </cell>
          <cell r="BR30">
            <v>292208</v>
          </cell>
          <cell r="BX30">
            <v>0</v>
          </cell>
          <cell r="BY30">
            <v>0</v>
          </cell>
          <cell r="BZ30">
            <v>0</v>
          </cell>
        </row>
        <row r="31">
          <cell r="BP31">
            <v>0</v>
          </cell>
          <cell r="BQ31">
            <v>0</v>
          </cell>
          <cell r="BR31">
            <v>0</v>
          </cell>
          <cell r="BX31">
            <v>0</v>
          </cell>
          <cell r="BY31">
            <v>0</v>
          </cell>
          <cell r="BZ31">
            <v>0</v>
          </cell>
        </row>
        <row r="32">
          <cell r="BP32">
            <v>0</v>
          </cell>
          <cell r="BQ32">
            <v>11289</v>
          </cell>
          <cell r="BR32">
            <v>1928032</v>
          </cell>
          <cell r="BX32">
            <v>0</v>
          </cell>
          <cell r="BY32">
            <v>1047857</v>
          </cell>
          <cell r="BZ32">
            <v>0</v>
          </cell>
        </row>
        <row r="33">
          <cell r="BP33">
            <v>0</v>
          </cell>
          <cell r="BQ33">
            <v>0</v>
          </cell>
          <cell r="BR33">
            <v>1451971</v>
          </cell>
          <cell r="BX33">
            <v>0</v>
          </cell>
          <cell r="BY33">
            <v>1474767</v>
          </cell>
          <cell r="BZ33">
            <v>557318</v>
          </cell>
        </row>
        <row r="34">
          <cell r="BP34">
            <v>0</v>
          </cell>
          <cell r="BQ34">
            <v>0</v>
          </cell>
          <cell r="BR34">
            <v>0</v>
          </cell>
          <cell r="BX34">
            <v>0</v>
          </cell>
          <cell r="BY34">
            <v>0</v>
          </cell>
          <cell r="BZ34">
            <v>0</v>
          </cell>
        </row>
        <row r="35">
          <cell r="BP35">
            <v>0</v>
          </cell>
          <cell r="BQ35">
            <v>0</v>
          </cell>
          <cell r="BR35">
            <v>0</v>
          </cell>
          <cell r="BX35">
            <v>0</v>
          </cell>
          <cell r="BY35">
            <v>0</v>
          </cell>
          <cell r="BZ35">
            <v>0</v>
          </cell>
        </row>
        <row r="36">
          <cell r="BP36">
            <v>0</v>
          </cell>
          <cell r="BQ36">
            <v>0</v>
          </cell>
          <cell r="BR36">
            <v>0</v>
          </cell>
          <cell r="BX36">
            <v>0</v>
          </cell>
          <cell r="BY36">
            <v>0</v>
          </cell>
          <cell r="BZ36">
            <v>0</v>
          </cell>
        </row>
        <row r="37">
          <cell r="BP37">
            <v>250224</v>
          </cell>
          <cell r="BQ37">
            <v>1564916</v>
          </cell>
          <cell r="BR37">
            <v>1523043</v>
          </cell>
          <cell r="BX37">
            <v>1589485</v>
          </cell>
          <cell r="BY37">
            <v>1546955</v>
          </cell>
          <cell r="BZ37">
            <v>1458254</v>
          </cell>
        </row>
        <row r="38">
          <cell r="BP38">
            <v>0</v>
          </cell>
          <cell r="BQ38">
            <v>140157</v>
          </cell>
          <cell r="BR38">
            <v>0</v>
          </cell>
          <cell r="BX38">
            <v>142357</v>
          </cell>
          <cell r="BY38">
            <v>0</v>
          </cell>
          <cell r="BZ38">
            <v>3261348</v>
          </cell>
        </row>
        <row r="39">
          <cell r="BP39">
            <v>0</v>
          </cell>
          <cell r="BQ39">
            <v>0</v>
          </cell>
          <cell r="BR39">
            <v>0</v>
          </cell>
          <cell r="BX39">
            <v>0</v>
          </cell>
          <cell r="BY39">
            <v>0</v>
          </cell>
          <cell r="BZ39">
            <v>0</v>
          </cell>
        </row>
        <row r="40">
          <cell r="BP40">
            <v>0</v>
          </cell>
          <cell r="BQ40">
            <v>0</v>
          </cell>
          <cell r="BR40">
            <v>0</v>
          </cell>
          <cell r="BX40">
            <v>0</v>
          </cell>
          <cell r="BY40">
            <v>0</v>
          </cell>
          <cell r="BZ40">
            <v>0</v>
          </cell>
        </row>
        <row r="41">
          <cell r="BP41">
            <v>0</v>
          </cell>
          <cell r="BQ41">
            <v>1276386</v>
          </cell>
          <cell r="BR41">
            <v>0</v>
          </cell>
          <cell r="BX41">
            <v>1296425</v>
          </cell>
          <cell r="BY41">
            <v>0</v>
          </cell>
          <cell r="BZ41">
            <v>1251953</v>
          </cell>
        </row>
        <row r="42">
          <cell r="BP42">
            <v>0</v>
          </cell>
          <cell r="BQ42">
            <v>0</v>
          </cell>
          <cell r="BR42">
            <v>0</v>
          </cell>
          <cell r="BX42">
            <v>0</v>
          </cell>
          <cell r="BY42">
            <v>0</v>
          </cell>
          <cell r="BZ42">
            <v>0</v>
          </cell>
        </row>
        <row r="43">
          <cell r="BP43">
            <v>0</v>
          </cell>
          <cell r="BQ43">
            <v>0</v>
          </cell>
          <cell r="BR43">
            <v>0</v>
          </cell>
          <cell r="BX43">
            <v>0</v>
          </cell>
          <cell r="BY43">
            <v>0</v>
          </cell>
          <cell r="BZ43">
            <v>0</v>
          </cell>
        </row>
        <row r="44">
          <cell r="BP44">
            <v>0</v>
          </cell>
          <cell r="BQ44">
            <v>0</v>
          </cell>
          <cell r="BR44">
            <v>0</v>
          </cell>
          <cell r="BX44">
            <v>0</v>
          </cell>
          <cell r="BY44">
            <v>0</v>
          </cell>
          <cell r="BZ44">
            <v>104360</v>
          </cell>
        </row>
        <row r="45">
          <cell r="BP45">
            <v>0</v>
          </cell>
          <cell r="BQ45">
            <v>0</v>
          </cell>
          <cell r="BR45">
            <v>0</v>
          </cell>
          <cell r="BX45">
            <v>0</v>
          </cell>
          <cell r="BY45">
            <v>0</v>
          </cell>
          <cell r="BZ45">
            <v>0</v>
          </cell>
        </row>
        <row r="46">
          <cell r="BP46">
            <v>0</v>
          </cell>
          <cell r="BQ46">
            <v>0</v>
          </cell>
          <cell r="BR46">
            <v>0</v>
          </cell>
          <cell r="BX46">
            <v>0</v>
          </cell>
          <cell r="BY46">
            <v>0</v>
          </cell>
          <cell r="BZ46">
            <v>0</v>
          </cell>
        </row>
        <row r="47">
          <cell r="BP47">
            <v>0</v>
          </cell>
          <cell r="BQ47">
            <v>823399</v>
          </cell>
          <cell r="BR47">
            <v>0</v>
          </cell>
          <cell r="BX47">
            <v>836326</v>
          </cell>
          <cell r="BY47">
            <v>0</v>
          </cell>
          <cell r="BZ47">
            <v>924330</v>
          </cell>
        </row>
        <row r="48">
          <cell r="BP48">
            <v>0</v>
          </cell>
          <cell r="BQ48">
            <v>0</v>
          </cell>
          <cell r="BR48">
            <v>0</v>
          </cell>
          <cell r="BX48">
            <v>0</v>
          </cell>
          <cell r="BY48">
            <v>0</v>
          </cell>
          <cell r="BZ48">
            <v>0</v>
          </cell>
        </row>
        <row r="49">
          <cell r="BP49">
            <v>0</v>
          </cell>
          <cell r="BQ49">
            <v>0</v>
          </cell>
          <cell r="BR49">
            <v>0</v>
          </cell>
          <cell r="BX49">
            <v>0</v>
          </cell>
          <cell r="BY49">
            <v>0</v>
          </cell>
          <cell r="BZ49">
            <v>0</v>
          </cell>
        </row>
        <row r="50">
          <cell r="BP50">
            <v>0</v>
          </cell>
          <cell r="BQ50">
            <v>0</v>
          </cell>
          <cell r="BR50">
            <v>0</v>
          </cell>
          <cell r="BX50">
            <v>0</v>
          </cell>
          <cell r="BY50">
            <v>0</v>
          </cell>
          <cell r="BZ50">
            <v>0</v>
          </cell>
        </row>
        <row r="51">
          <cell r="BP51">
            <v>0</v>
          </cell>
          <cell r="BQ51">
            <v>0</v>
          </cell>
          <cell r="BR51">
            <v>0</v>
          </cell>
          <cell r="BX51">
            <v>0</v>
          </cell>
          <cell r="BY51">
            <v>0</v>
          </cell>
          <cell r="BZ51">
            <v>0</v>
          </cell>
        </row>
        <row r="52">
          <cell r="BP52">
            <v>0</v>
          </cell>
          <cell r="BQ52">
            <v>1257572</v>
          </cell>
          <cell r="BR52">
            <v>692660</v>
          </cell>
          <cell r="BX52">
            <v>1277316</v>
          </cell>
          <cell r="BY52">
            <v>703535</v>
          </cell>
          <cell r="BZ52">
            <v>2847716</v>
          </cell>
        </row>
        <row r="53">
          <cell r="BP53">
            <v>0</v>
          </cell>
          <cell r="BQ53">
            <v>0</v>
          </cell>
          <cell r="BR53">
            <v>0</v>
          </cell>
          <cell r="BX53">
            <v>0</v>
          </cell>
          <cell r="BY53">
            <v>0</v>
          </cell>
          <cell r="BZ53">
            <v>0</v>
          </cell>
        </row>
        <row r="54">
          <cell r="BP54">
            <v>0</v>
          </cell>
          <cell r="BQ54">
            <v>0</v>
          </cell>
          <cell r="BR54">
            <v>0</v>
          </cell>
          <cell r="BX54">
            <v>0</v>
          </cell>
          <cell r="BY54">
            <v>0</v>
          </cell>
          <cell r="BZ54">
            <v>0</v>
          </cell>
        </row>
        <row r="55">
          <cell r="BP55">
            <v>0</v>
          </cell>
          <cell r="BQ55">
            <v>0</v>
          </cell>
          <cell r="BR55">
            <v>0</v>
          </cell>
          <cell r="BX55">
            <v>0</v>
          </cell>
          <cell r="BY55">
            <v>0</v>
          </cell>
          <cell r="BZ55">
            <v>0</v>
          </cell>
        </row>
        <row r="56">
          <cell r="BP56">
            <v>0</v>
          </cell>
          <cell r="BQ56">
            <v>0</v>
          </cell>
          <cell r="BR56">
            <v>0</v>
          </cell>
          <cell r="BX56">
            <v>0</v>
          </cell>
          <cell r="BY56">
            <v>0</v>
          </cell>
          <cell r="BZ56">
            <v>0</v>
          </cell>
        </row>
        <row r="57">
          <cell r="BP57">
            <v>0</v>
          </cell>
          <cell r="BQ57">
            <v>6056194</v>
          </cell>
          <cell r="BR57">
            <v>0</v>
          </cell>
          <cell r="BX57">
            <v>6151276</v>
          </cell>
          <cell r="BY57">
            <v>0</v>
          </cell>
          <cell r="BZ57">
            <v>0</v>
          </cell>
        </row>
        <row r="58">
          <cell r="BP58">
            <v>0</v>
          </cell>
          <cell r="BQ58">
            <v>0</v>
          </cell>
          <cell r="BR58">
            <v>0</v>
          </cell>
          <cell r="BX58">
            <v>0</v>
          </cell>
          <cell r="BY58">
            <v>0</v>
          </cell>
          <cell r="BZ58">
            <v>0</v>
          </cell>
        </row>
        <row r="59">
          <cell r="BP59">
            <v>0</v>
          </cell>
          <cell r="BQ59">
            <v>0</v>
          </cell>
          <cell r="BR59">
            <v>1662569</v>
          </cell>
          <cell r="BX59">
            <v>0</v>
          </cell>
          <cell r="BY59">
            <v>1688671</v>
          </cell>
          <cell r="BZ59">
            <v>2263093</v>
          </cell>
        </row>
        <row r="60">
          <cell r="BP60">
            <v>0</v>
          </cell>
          <cell r="BQ60">
            <v>0</v>
          </cell>
          <cell r="BR60">
            <v>3133649</v>
          </cell>
          <cell r="BX60">
            <v>0</v>
          </cell>
          <cell r="BY60">
            <v>1233659</v>
          </cell>
          <cell r="BZ60">
            <v>0</v>
          </cell>
        </row>
        <row r="61">
          <cell r="BP61">
            <v>0</v>
          </cell>
          <cell r="BQ61">
            <v>2182320</v>
          </cell>
          <cell r="BR61">
            <v>1031974</v>
          </cell>
          <cell r="BX61">
            <v>2216582</v>
          </cell>
          <cell r="BY61">
            <v>1048176</v>
          </cell>
          <cell r="BZ61">
            <v>3462110</v>
          </cell>
        </row>
        <row r="62">
          <cell r="BP62">
            <v>0</v>
          </cell>
          <cell r="BQ62">
            <v>0</v>
          </cell>
          <cell r="BR62">
            <v>0</v>
          </cell>
          <cell r="BX62">
            <v>0</v>
          </cell>
          <cell r="BY62">
            <v>0</v>
          </cell>
          <cell r="BZ62">
            <v>3291079</v>
          </cell>
        </row>
        <row r="63">
          <cell r="BP63">
            <v>0</v>
          </cell>
          <cell r="BQ63">
            <v>0</v>
          </cell>
          <cell r="BR63">
            <v>0</v>
          </cell>
          <cell r="BX63">
            <v>0</v>
          </cell>
          <cell r="BY63">
            <v>0</v>
          </cell>
          <cell r="BZ63">
            <v>0</v>
          </cell>
        </row>
        <row r="64">
          <cell r="BP64">
            <v>0</v>
          </cell>
          <cell r="BQ64">
            <v>0</v>
          </cell>
          <cell r="BR64">
            <v>0</v>
          </cell>
          <cell r="BX64">
            <v>0</v>
          </cell>
          <cell r="BY64">
            <v>0</v>
          </cell>
          <cell r="BZ64">
            <v>0</v>
          </cell>
        </row>
        <row r="65">
          <cell r="BP65">
            <v>0</v>
          </cell>
          <cell r="BQ65">
            <v>0</v>
          </cell>
          <cell r="BR65">
            <v>0</v>
          </cell>
          <cell r="BX65">
            <v>0</v>
          </cell>
          <cell r="BY65">
            <v>0</v>
          </cell>
          <cell r="BZ65">
            <v>0</v>
          </cell>
        </row>
        <row r="66">
          <cell r="BP66">
            <v>0</v>
          </cell>
          <cell r="BQ66">
            <v>0</v>
          </cell>
          <cell r="BR66">
            <v>0</v>
          </cell>
          <cell r="BX66">
            <v>0</v>
          </cell>
          <cell r="BY66">
            <v>0</v>
          </cell>
          <cell r="BZ66">
            <v>3786008</v>
          </cell>
        </row>
        <row r="67">
          <cell r="BP67">
            <v>0</v>
          </cell>
          <cell r="BQ67">
            <v>0</v>
          </cell>
          <cell r="BR67">
            <v>0</v>
          </cell>
          <cell r="BX67">
            <v>0</v>
          </cell>
          <cell r="BY67">
            <v>0</v>
          </cell>
          <cell r="BZ67">
            <v>5644315</v>
          </cell>
        </row>
        <row r="68">
          <cell r="BP68">
            <v>319247</v>
          </cell>
          <cell r="BQ68">
            <v>473457</v>
          </cell>
          <cell r="BR68">
            <v>0</v>
          </cell>
          <cell r="BX68">
            <v>480890</v>
          </cell>
          <cell r="BY68">
            <v>0</v>
          </cell>
          <cell r="BZ68">
            <v>627078</v>
          </cell>
        </row>
        <row r="69">
          <cell r="BP69">
            <v>0</v>
          </cell>
          <cell r="BQ69">
            <v>0</v>
          </cell>
          <cell r="BR69">
            <v>7007900</v>
          </cell>
          <cell r="BX69">
            <v>0</v>
          </cell>
          <cell r="BY69">
            <v>1493373</v>
          </cell>
          <cell r="BZ69">
            <v>0</v>
          </cell>
        </row>
        <row r="70">
          <cell r="BP70">
            <v>0</v>
          </cell>
          <cell r="BQ70">
            <v>0</v>
          </cell>
          <cell r="BR70">
            <v>4216310</v>
          </cell>
          <cell r="BX70">
            <v>0</v>
          </cell>
          <cell r="BY70">
            <v>0</v>
          </cell>
          <cell r="BZ70">
            <v>0</v>
          </cell>
        </row>
        <row r="71">
          <cell r="BP71">
            <v>0</v>
          </cell>
          <cell r="BQ71">
            <v>2274866</v>
          </cell>
          <cell r="BR71">
            <v>1748744</v>
          </cell>
          <cell r="BX71">
            <v>2310581</v>
          </cell>
          <cell r="BY71">
            <v>1776199</v>
          </cell>
          <cell r="BZ71">
            <v>12086343</v>
          </cell>
        </row>
        <row r="72">
          <cell r="BP72">
            <v>0</v>
          </cell>
          <cell r="BQ72">
            <v>0</v>
          </cell>
          <cell r="BR72">
            <v>0</v>
          </cell>
          <cell r="BX72">
            <v>0</v>
          </cell>
          <cell r="BY72">
            <v>0</v>
          </cell>
          <cell r="BZ72">
            <v>0</v>
          </cell>
        </row>
        <row r="73">
          <cell r="BP73">
            <v>0</v>
          </cell>
          <cell r="BQ73">
            <v>0</v>
          </cell>
          <cell r="BR73">
            <v>0</v>
          </cell>
          <cell r="BX73">
            <v>0</v>
          </cell>
          <cell r="BY73">
            <v>0</v>
          </cell>
          <cell r="BZ73">
            <v>0</v>
          </cell>
        </row>
        <row r="74">
          <cell r="BP74">
            <v>0</v>
          </cell>
          <cell r="BQ74">
            <v>0</v>
          </cell>
          <cell r="BR74">
            <v>0</v>
          </cell>
          <cell r="BX74">
            <v>0</v>
          </cell>
          <cell r="BY74">
            <v>0</v>
          </cell>
          <cell r="BZ74">
            <v>0</v>
          </cell>
        </row>
        <row r="75">
          <cell r="BP75">
            <v>0</v>
          </cell>
          <cell r="BQ75">
            <v>0</v>
          </cell>
          <cell r="BR75">
            <v>0</v>
          </cell>
          <cell r="BX75">
            <v>0</v>
          </cell>
          <cell r="BY75">
            <v>0</v>
          </cell>
          <cell r="BZ75">
            <v>0</v>
          </cell>
        </row>
        <row r="76">
          <cell r="BP76">
            <v>0</v>
          </cell>
          <cell r="BQ76">
            <v>0</v>
          </cell>
          <cell r="BR76">
            <v>0</v>
          </cell>
          <cell r="BX76">
            <v>0</v>
          </cell>
          <cell r="BY76">
            <v>0</v>
          </cell>
          <cell r="BZ76">
            <v>0</v>
          </cell>
        </row>
        <row r="77">
          <cell r="BP77">
            <v>0</v>
          </cell>
          <cell r="BQ77">
            <v>0</v>
          </cell>
          <cell r="BR77">
            <v>0</v>
          </cell>
          <cell r="BX77">
            <v>0</v>
          </cell>
          <cell r="BY77">
            <v>0</v>
          </cell>
          <cell r="BZ77">
            <v>0</v>
          </cell>
        </row>
        <row r="78">
          <cell r="BP78">
            <v>0</v>
          </cell>
          <cell r="BQ78">
            <v>0</v>
          </cell>
          <cell r="BR78">
            <v>2350681</v>
          </cell>
          <cell r="BX78">
            <v>0</v>
          </cell>
          <cell r="BY78">
            <v>2387587</v>
          </cell>
          <cell r="BZ78">
            <v>5973118</v>
          </cell>
        </row>
        <row r="79">
          <cell r="BP79">
            <v>0</v>
          </cell>
          <cell r="BQ79">
            <v>0</v>
          </cell>
          <cell r="BR79">
            <v>0</v>
          </cell>
          <cell r="BX79">
            <v>0</v>
          </cell>
          <cell r="BY79">
            <v>0</v>
          </cell>
          <cell r="BZ79">
            <v>0</v>
          </cell>
        </row>
        <row r="80">
          <cell r="BP80">
            <v>0</v>
          </cell>
          <cell r="BQ80">
            <v>0</v>
          </cell>
          <cell r="BR80">
            <v>0</v>
          </cell>
          <cell r="BX80">
            <v>0</v>
          </cell>
          <cell r="BY80">
            <v>0</v>
          </cell>
          <cell r="BZ80">
            <v>3889836</v>
          </cell>
        </row>
      </sheetData>
      <sheetData sheetId="30">
        <row r="9">
          <cell r="AG9">
            <v>0</v>
          </cell>
          <cell r="AH9">
            <v>0</v>
          </cell>
          <cell r="AI9">
            <v>0</v>
          </cell>
          <cell r="AL9">
            <v>0</v>
          </cell>
          <cell r="AM9">
            <v>0</v>
          </cell>
          <cell r="AN9">
            <v>0</v>
          </cell>
          <cell r="AO9">
            <v>0</v>
          </cell>
        </row>
        <row r="10">
          <cell r="AG10">
            <v>0</v>
          </cell>
          <cell r="AH10">
            <v>0</v>
          </cell>
          <cell r="AI10">
            <v>0</v>
          </cell>
          <cell r="AL10">
            <v>0</v>
          </cell>
          <cell r="AM10">
            <v>0</v>
          </cell>
          <cell r="AN10">
            <v>0</v>
          </cell>
          <cell r="AO10">
            <v>0</v>
          </cell>
        </row>
        <row r="11">
          <cell r="AG11">
            <v>0</v>
          </cell>
          <cell r="AH11">
            <v>0</v>
          </cell>
          <cell r="AI11">
            <v>0</v>
          </cell>
          <cell r="AL11">
            <v>0</v>
          </cell>
          <cell r="AM11">
            <v>0</v>
          </cell>
          <cell r="AN11">
            <v>0</v>
          </cell>
          <cell r="AO11">
            <v>0</v>
          </cell>
        </row>
        <row r="12">
          <cell r="AG12">
            <v>0</v>
          </cell>
          <cell r="AH12">
            <v>0</v>
          </cell>
          <cell r="AI12">
            <v>0</v>
          </cell>
          <cell r="AL12">
            <v>0</v>
          </cell>
          <cell r="AM12">
            <v>0</v>
          </cell>
          <cell r="AN12">
            <v>0</v>
          </cell>
          <cell r="AO12">
            <v>0</v>
          </cell>
        </row>
        <row r="13">
          <cell r="AG13">
            <v>0</v>
          </cell>
          <cell r="AH13">
            <v>0</v>
          </cell>
          <cell r="AI13">
            <v>0</v>
          </cell>
          <cell r="AL13">
            <v>0</v>
          </cell>
          <cell r="AM13">
            <v>0</v>
          </cell>
          <cell r="AN13">
            <v>0</v>
          </cell>
          <cell r="AO13">
            <v>0</v>
          </cell>
        </row>
        <row r="14">
          <cell r="AG14">
            <v>0</v>
          </cell>
          <cell r="AH14">
            <v>0</v>
          </cell>
          <cell r="AI14">
            <v>0</v>
          </cell>
          <cell r="AL14">
            <v>0</v>
          </cell>
          <cell r="AM14">
            <v>0</v>
          </cell>
          <cell r="AN14">
            <v>0</v>
          </cell>
          <cell r="AO14">
            <v>0</v>
          </cell>
        </row>
        <row r="15">
          <cell r="AG15">
            <v>0</v>
          </cell>
          <cell r="AH15">
            <v>0</v>
          </cell>
          <cell r="AI15">
            <v>0</v>
          </cell>
          <cell r="AL15">
            <v>0</v>
          </cell>
          <cell r="AM15">
            <v>0</v>
          </cell>
          <cell r="AN15">
            <v>0</v>
          </cell>
          <cell r="AO15">
            <v>0</v>
          </cell>
        </row>
        <row r="16">
          <cell r="AG16">
            <v>0</v>
          </cell>
          <cell r="AH16">
            <v>0</v>
          </cell>
          <cell r="AI16">
            <v>0</v>
          </cell>
          <cell r="AL16">
            <v>0</v>
          </cell>
          <cell r="AM16">
            <v>0</v>
          </cell>
          <cell r="AN16">
            <v>0</v>
          </cell>
          <cell r="AO16">
            <v>0</v>
          </cell>
        </row>
        <row r="17">
          <cell r="AG17">
            <v>0</v>
          </cell>
          <cell r="AH17">
            <v>0</v>
          </cell>
          <cell r="AI17">
            <v>0</v>
          </cell>
          <cell r="AL17">
            <v>0</v>
          </cell>
          <cell r="AM17">
            <v>0</v>
          </cell>
          <cell r="AN17">
            <v>0</v>
          </cell>
          <cell r="AO17">
            <v>0</v>
          </cell>
        </row>
        <row r="18">
          <cell r="AG18">
            <v>0</v>
          </cell>
          <cell r="AH18">
            <v>0</v>
          </cell>
          <cell r="AI18">
            <v>0</v>
          </cell>
          <cell r="AL18">
            <v>0</v>
          </cell>
          <cell r="AM18">
            <v>0</v>
          </cell>
          <cell r="AN18">
            <v>0</v>
          </cell>
          <cell r="AO18">
            <v>0</v>
          </cell>
        </row>
        <row r="19">
          <cell r="AG19">
            <v>0</v>
          </cell>
          <cell r="AH19">
            <v>0</v>
          </cell>
          <cell r="AI19">
            <v>0</v>
          </cell>
          <cell r="AL19">
            <v>0</v>
          </cell>
          <cell r="AM19">
            <v>0</v>
          </cell>
          <cell r="AN19">
            <v>0</v>
          </cell>
          <cell r="AO19">
            <v>0</v>
          </cell>
        </row>
        <row r="20">
          <cell r="AG20">
            <v>0</v>
          </cell>
          <cell r="AH20">
            <v>0</v>
          </cell>
          <cell r="AI20">
            <v>0</v>
          </cell>
          <cell r="AL20">
            <v>0</v>
          </cell>
          <cell r="AM20">
            <v>0</v>
          </cell>
          <cell r="AN20">
            <v>0</v>
          </cell>
          <cell r="AO20">
            <v>0</v>
          </cell>
        </row>
        <row r="21">
          <cell r="AG21">
            <v>0</v>
          </cell>
          <cell r="AH21">
            <v>0</v>
          </cell>
          <cell r="AI21">
            <v>0</v>
          </cell>
          <cell r="AL21">
            <v>0</v>
          </cell>
          <cell r="AM21">
            <v>0</v>
          </cell>
          <cell r="AN21">
            <v>0</v>
          </cell>
          <cell r="AO21">
            <v>0</v>
          </cell>
        </row>
        <row r="22">
          <cell r="AG22">
            <v>0</v>
          </cell>
          <cell r="AH22">
            <v>0</v>
          </cell>
          <cell r="AI22">
            <v>0</v>
          </cell>
          <cell r="AL22">
            <v>0</v>
          </cell>
          <cell r="AM22">
            <v>0</v>
          </cell>
          <cell r="AN22">
            <v>0</v>
          </cell>
          <cell r="AO22">
            <v>0</v>
          </cell>
        </row>
        <row r="23">
          <cell r="AG23">
            <v>0</v>
          </cell>
          <cell r="AH23">
            <v>0</v>
          </cell>
          <cell r="AI23">
            <v>0</v>
          </cell>
          <cell r="AL23">
            <v>0</v>
          </cell>
          <cell r="AM23">
            <v>0</v>
          </cell>
          <cell r="AN23">
            <v>0</v>
          </cell>
          <cell r="AO23">
            <v>0</v>
          </cell>
        </row>
        <row r="24">
          <cell r="AG24">
            <v>0</v>
          </cell>
          <cell r="AH24">
            <v>0</v>
          </cell>
          <cell r="AI24">
            <v>0</v>
          </cell>
          <cell r="AL24">
            <v>0</v>
          </cell>
          <cell r="AM24">
            <v>0</v>
          </cell>
          <cell r="AN24">
            <v>0</v>
          </cell>
          <cell r="AO24">
            <v>0</v>
          </cell>
        </row>
        <row r="25">
          <cell r="AG25">
            <v>0</v>
          </cell>
          <cell r="AH25">
            <v>0</v>
          </cell>
          <cell r="AI25">
            <v>0</v>
          </cell>
          <cell r="AL25">
            <v>0</v>
          </cell>
          <cell r="AM25">
            <v>0</v>
          </cell>
          <cell r="AN25">
            <v>0</v>
          </cell>
          <cell r="AO25">
            <v>0</v>
          </cell>
        </row>
        <row r="26">
          <cell r="AG26">
            <v>0</v>
          </cell>
          <cell r="AH26">
            <v>0</v>
          </cell>
          <cell r="AI26">
            <v>0</v>
          </cell>
          <cell r="AL26">
            <v>0</v>
          </cell>
          <cell r="AM26">
            <v>0</v>
          </cell>
          <cell r="AN26">
            <v>0</v>
          </cell>
          <cell r="AO26">
            <v>0</v>
          </cell>
        </row>
        <row r="27">
          <cell r="AG27">
            <v>0</v>
          </cell>
          <cell r="AH27">
            <v>0</v>
          </cell>
          <cell r="AI27">
            <v>0</v>
          </cell>
          <cell r="AL27">
            <v>0</v>
          </cell>
          <cell r="AM27">
            <v>0</v>
          </cell>
          <cell r="AN27">
            <v>0</v>
          </cell>
          <cell r="AO27">
            <v>0</v>
          </cell>
        </row>
        <row r="28">
          <cell r="AG28">
            <v>0</v>
          </cell>
          <cell r="AH28">
            <v>0</v>
          </cell>
          <cell r="AI28">
            <v>0</v>
          </cell>
          <cell r="AL28">
            <v>0</v>
          </cell>
          <cell r="AM28">
            <v>0</v>
          </cell>
          <cell r="AN28">
            <v>0</v>
          </cell>
          <cell r="AO28">
            <v>0</v>
          </cell>
        </row>
        <row r="29">
          <cell r="AG29">
            <v>0</v>
          </cell>
          <cell r="AH29">
            <v>0</v>
          </cell>
          <cell r="AI29">
            <v>0</v>
          </cell>
          <cell r="AL29">
            <v>0</v>
          </cell>
          <cell r="AM29">
            <v>0</v>
          </cell>
          <cell r="AN29">
            <v>0</v>
          </cell>
          <cell r="AO29">
            <v>0</v>
          </cell>
        </row>
        <row r="30">
          <cell r="AG30">
            <v>0</v>
          </cell>
          <cell r="AH30">
            <v>0</v>
          </cell>
          <cell r="AI30">
            <v>0</v>
          </cell>
          <cell r="AL30">
            <v>0</v>
          </cell>
          <cell r="AM30">
            <v>0</v>
          </cell>
          <cell r="AN30">
            <v>0</v>
          </cell>
          <cell r="AO30">
            <v>0</v>
          </cell>
        </row>
        <row r="31">
          <cell r="AG31">
            <v>0</v>
          </cell>
          <cell r="AH31">
            <v>0</v>
          </cell>
          <cell r="AI31">
            <v>0</v>
          </cell>
          <cell r="AL31">
            <v>0</v>
          </cell>
          <cell r="AM31">
            <v>0</v>
          </cell>
          <cell r="AN31">
            <v>0</v>
          </cell>
          <cell r="AO31">
            <v>0</v>
          </cell>
        </row>
        <row r="32">
          <cell r="AG32">
            <v>0</v>
          </cell>
          <cell r="AH32">
            <v>0</v>
          </cell>
          <cell r="AI32">
            <v>0</v>
          </cell>
          <cell r="AL32">
            <v>0</v>
          </cell>
          <cell r="AM32">
            <v>0</v>
          </cell>
          <cell r="AN32">
            <v>0</v>
          </cell>
          <cell r="AO32">
            <v>0</v>
          </cell>
        </row>
        <row r="33">
          <cell r="AG33">
            <v>0</v>
          </cell>
          <cell r="AH33">
            <v>0</v>
          </cell>
          <cell r="AI33">
            <v>0</v>
          </cell>
          <cell r="AL33">
            <v>0</v>
          </cell>
          <cell r="AM33">
            <v>0</v>
          </cell>
          <cell r="AN33">
            <v>0</v>
          </cell>
          <cell r="AO33">
            <v>0</v>
          </cell>
        </row>
        <row r="34">
          <cell r="AG34">
            <v>0</v>
          </cell>
          <cell r="AH34">
            <v>0</v>
          </cell>
          <cell r="AI34">
            <v>0</v>
          </cell>
          <cell r="AL34">
            <v>0</v>
          </cell>
          <cell r="AM34">
            <v>0</v>
          </cell>
          <cell r="AN34">
            <v>0</v>
          </cell>
          <cell r="AO34">
            <v>0</v>
          </cell>
        </row>
        <row r="35">
          <cell r="AG35">
            <v>0</v>
          </cell>
          <cell r="AH35">
            <v>0</v>
          </cell>
          <cell r="AI35">
            <v>0</v>
          </cell>
          <cell r="AL35">
            <v>0</v>
          </cell>
          <cell r="AM35">
            <v>0</v>
          </cell>
          <cell r="AN35">
            <v>0</v>
          </cell>
          <cell r="AO35">
            <v>0</v>
          </cell>
        </row>
        <row r="36">
          <cell r="AG36">
            <v>0</v>
          </cell>
          <cell r="AH36">
            <v>0</v>
          </cell>
          <cell r="AI36">
            <v>0</v>
          </cell>
          <cell r="AL36">
            <v>0</v>
          </cell>
          <cell r="AM36">
            <v>0</v>
          </cell>
          <cell r="AN36">
            <v>0</v>
          </cell>
          <cell r="AO36">
            <v>0</v>
          </cell>
        </row>
        <row r="37">
          <cell r="AG37">
            <v>0</v>
          </cell>
          <cell r="AH37">
            <v>0</v>
          </cell>
          <cell r="AI37">
            <v>0</v>
          </cell>
          <cell r="AL37">
            <v>0</v>
          </cell>
          <cell r="AM37">
            <v>0</v>
          </cell>
          <cell r="AN37">
            <v>0</v>
          </cell>
          <cell r="AO37">
            <v>0</v>
          </cell>
        </row>
        <row r="38">
          <cell r="AG38">
            <v>0</v>
          </cell>
          <cell r="AH38">
            <v>0</v>
          </cell>
          <cell r="AI38">
            <v>0</v>
          </cell>
          <cell r="AL38">
            <v>0</v>
          </cell>
          <cell r="AM38">
            <v>0</v>
          </cell>
          <cell r="AN38">
            <v>0</v>
          </cell>
          <cell r="AO38">
            <v>0</v>
          </cell>
        </row>
        <row r="39">
          <cell r="AG39">
            <v>0</v>
          </cell>
          <cell r="AH39">
            <v>0</v>
          </cell>
          <cell r="AI39">
            <v>0</v>
          </cell>
          <cell r="AL39">
            <v>0</v>
          </cell>
          <cell r="AM39">
            <v>0</v>
          </cell>
          <cell r="AN39">
            <v>0</v>
          </cell>
          <cell r="AO39">
            <v>0</v>
          </cell>
        </row>
        <row r="40">
          <cell r="AG40">
            <v>0</v>
          </cell>
          <cell r="AH40">
            <v>0</v>
          </cell>
          <cell r="AI40">
            <v>0</v>
          </cell>
          <cell r="AL40">
            <v>0</v>
          </cell>
          <cell r="AM40">
            <v>0</v>
          </cell>
          <cell r="AN40">
            <v>0</v>
          </cell>
          <cell r="AO40">
            <v>0</v>
          </cell>
        </row>
        <row r="41">
          <cell r="AG41">
            <v>0</v>
          </cell>
          <cell r="AH41">
            <v>0</v>
          </cell>
          <cell r="AI41">
            <v>0</v>
          </cell>
          <cell r="AL41">
            <v>0</v>
          </cell>
          <cell r="AM41">
            <v>0</v>
          </cell>
          <cell r="AN41">
            <v>0</v>
          </cell>
          <cell r="AO41">
            <v>0</v>
          </cell>
        </row>
        <row r="42">
          <cell r="AG42">
            <v>0</v>
          </cell>
          <cell r="AH42">
            <v>0</v>
          </cell>
          <cell r="AI42">
            <v>0</v>
          </cell>
          <cell r="AL42">
            <v>0</v>
          </cell>
          <cell r="AM42">
            <v>0</v>
          </cell>
          <cell r="AN42">
            <v>0</v>
          </cell>
          <cell r="AO42">
            <v>0</v>
          </cell>
        </row>
        <row r="43">
          <cell r="AG43">
            <v>0</v>
          </cell>
          <cell r="AH43">
            <v>0</v>
          </cell>
          <cell r="AI43">
            <v>0</v>
          </cell>
          <cell r="AL43">
            <v>0</v>
          </cell>
          <cell r="AM43">
            <v>0</v>
          </cell>
          <cell r="AN43">
            <v>0</v>
          </cell>
          <cell r="AO43">
            <v>0</v>
          </cell>
        </row>
        <row r="44">
          <cell r="AG44">
            <v>0</v>
          </cell>
          <cell r="AH44">
            <v>0</v>
          </cell>
          <cell r="AI44">
            <v>0</v>
          </cell>
          <cell r="AL44">
            <v>0</v>
          </cell>
          <cell r="AM44">
            <v>0</v>
          </cell>
          <cell r="AN44">
            <v>0</v>
          </cell>
          <cell r="AO44">
            <v>0</v>
          </cell>
        </row>
        <row r="45">
          <cell r="AG45">
            <v>0</v>
          </cell>
          <cell r="AH45">
            <v>0</v>
          </cell>
          <cell r="AI45">
            <v>0</v>
          </cell>
          <cell r="AL45">
            <v>0</v>
          </cell>
          <cell r="AM45">
            <v>0</v>
          </cell>
          <cell r="AN45">
            <v>0</v>
          </cell>
          <cell r="AO45">
            <v>0</v>
          </cell>
        </row>
        <row r="46">
          <cell r="AG46">
            <v>0</v>
          </cell>
          <cell r="AH46">
            <v>0</v>
          </cell>
          <cell r="AI46">
            <v>0</v>
          </cell>
          <cell r="AL46">
            <v>0</v>
          </cell>
          <cell r="AM46">
            <v>0</v>
          </cell>
          <cell r="AN46">
            <v>0</v>
          </cell>
          <cell r="AO46">
            <v>0</v>
          </cell>
        </row>
        <row r="47">
          <cell r="AG47">
            <v>0</v>
          </cell>
          <cell r="AH47">
            <v>0</v>
          </cell>
          <cell r="AI47">
            <v>0</v>
          </cell>
          <cell r="AL47">
            <v>0</v>
          </cell>
          <cell r="AM47">
            <v>0</v>
          </cell>
          <cell r="AN47">
            <v>0</v>
          </cell>
          <cell r="AO47">
            <v>0</v>
          </cell>
        </row>
        <row r="48">
          <cell r="AG48">
            <v>0</v>
          </cell>
          <cell r="AH48">
            <v>0</v>
          </cell>
          <cell r="AI48">
            <v>0</v>
          </cell>
          <cell r="AL48">
            <v>0</v>
          </cell>
          <cell r="AM48">
            <v>0</v>
          </cell>
          <cell r="AN48">
            <v>0</v>
          </cell>
          <cell r="AO48">
            <v>0</v>
          </cell>
        </row>
        <row r="49">
          <cell r="AG49">
            <v>0</v>
          </cell>
          <cell r="AH49">
            <v>0</v>
          </cell>
          <cell r="AI49">
            <v>0</v>
          </cell>
          <cell r="AL49">
            <v>0</v>
          </cell>
          <cell r="AM49">
            <v>0</v>
          </cell>
          <cell r="AN49">
            <v>0</v>
          </cell>
          <cell r="AO49">
            <v>0</v>
          </cell>
        </row>
        <row r="50">
          <cell r="AG50">
            <v>0</v>
          </cell>
          <cell r="AH50">
            <v>0</v>
          </cell>
          <cell r="AI50">
            <v>0</v>
          </cell>
          <cell r="AL50">
            <v>0</v>
          </cell>
          <cell r="AM50">
            <v>0</v>
          </cell>
          <cell r="AN50">
            <v>0</v>
          </cell>
          <cell r="AO50">
            <v>0</v>
          </cell>
        </row>
        <row r="51">
          <cell r="AG51">
            <v>0</v>
          </cell>
          <cell r="AH51">
            <v>0</v>
          </cell>
          <cell r="AI51">
            <v>0</v>
          </cell>
          <cell r="AL51">
            <v>0</v>
          </cell>
          <cell r="AM51">
            <v>0</v>
          </cell>
          <cell r="AN51">
            <v>0</v>
          </cell>
          <cell r="AO51">
            <v>0</v>
          </cell>
        </row>
        <row r="52">
          <cell r="AG52">
            <v>0</v>
          </cell>
          <cell r="AH52">
            <v>0</v>
          </cell>
          <cell r="AI52">
            <v>0</v>
          </cell>
          <cell r="AL52">
            <v>0</v>
          </cell>
          <cell r="AM52">
            <v>0</v>
          </cell>
          <cell r="AN52">
            <v>0</v>
          </cell>
          <cell r="AO52">
            <v>0</v>
          </cell>
        </row>
        <row r="53">
          <cell r="AG53">
            <v>0</v>
          </cell>
          <cell r="AH53">
            <v>0</v>
          </cell>
          <cell r="AI53">
            <v>0</v>
          </cell>
          <cell r="AL53">
            <v>0</v>
          </cell>
          <cell r="AM53">
            <v>0</v>
          </cell>
          <cell r="AN53">
            <v>0</v>
          </cell>
          <cell r="AO53">
            <v>0</v>
          </cell>
        </row>
        <row r="54">
          <cell r="AG54">
            <v>0</v>
          </cell>
          <cell r="AH54">
            <v>0</v>
          </cell>
          <cell r="AI54">
            <v>0</v>
          </cell>
          <cell r="AL54">
            <v>0</v>
          </cell>
          <cell r="AM54">
            <v>0</v>
          </cell>
          <cell r="AN54">
            <v>0</v>
          </cell>
          <cell r="AO54">
            <v>0</v>
          </cell>
        </row>
        <row r="55">
          <cell r="AG55">
            <v>0</v>
          </cell>
          <cell r="AH55">
            <v>0</v>
          </cell>
          <cell r="AI55">
            <v>0</v>
          </cell>
          <cell r="AL55">
            <v>0</v>
          </cell>
          <cell r="AM55">
            <v>0</v>
          </cell>
          <cell r="AN55">
            <v>0</v>
          </cell>
          <cell r="AO55">
            <v>0</v>
          </cell>
        </row>
        <row r="56">
          <cell r="AG56">
            <v>0</v>
          </cell>
          <cell r="AH56">
            <v>0</v>
          </cell>
          <cell r="AI56">
            <v>0</v>
          </cell>
          <cell r="AL56">
            <v>0</v>
          </cell>
          <cell r="AM56">
            <v>0</v>
          </cell>
          <cell r="AN56">
            <v>0</v>
          </cell>
          <cell r="AO56">
            <v>0</v>
          </cell>
        </row>
        <row r="57">
          <cell r="AG57">
            <v>0</v>
          </cell>
          <cell r="AH57">
            <v>0</v>
          </cell>
          <cell r="AI57">
            <v>0</v>
          </cell>
          <cell r="AL57">
            <v>0</v>
          </cell>
          <cell r="AM57">
            <v>0</v>
          </cell>
          <cell r="AN57">
            <v>0</v>
          </cell>
          <cell r="AO57">
            <v>0</v>
          </cell>
        </row>
        <row r="58">
          <cell r="AG58">
            <v>0</v>
          </cell>
          <cell r="AH58">
            <v>0</v>
          </cell>
          <cell r="AI58">
            <v>0</v>
          </cell>
          <cell r="AL58">
            <v>0</v>
          </cell>
          <cell r="AM58">
            <v>0</v>
          </cell>
          <cell r="AN58">
            <v>0</v>
          </cell>
          <cell r="AO58">
            <v>0</v>
          </cell>
        </row>
        <row r="59">
          <cell r="AG59">
            <v>0</v>
          </cell>
          <cell r="AH59">
            <v>0</v>
          </cell>
          <cell r="AI59">
            <v>0</v>
          </cell>
          <cell r="AL59">
            <v>0</v>
          </cell>
          <cell r="AM59">
            <v>0</v>
          </cell>
          <cell r="AN59">
            <v>0</v>
          </cell>
          <cell r="AO59">
            <v>0</v>
          </cell>
        </row>
        <row r="60">
          <cell r="AG60">
            <v>0</v>
          </cell>
          <cell r="AH60">
            <v>0</v>
          </cell>
          <cell r="AI60">
            <v>0</v>
          </cell>
          <cell r="AL60">
            <v>0</v>
          </cell>
          <cell r="AM60">
            <v>0</v>
          </cell>
          <cell r="AN60">
            <v>0</v>
          </cell>
          <cell r="AO60">
            <v>0</v>
          </cell>
        </row>
        <row r="61">
          <cell r="AG61">
            <v>0</v>
          </cell>
          <cell r="AH61">
            <v>0</v>
          </cell>
          <cell r="AI61">
            <v>0</v>
          </cell>
          <cell r="AL61">
            <v>0</v>
          </cell>
          <cell r="AM61">
            <v>0</v>
          </cell>
          <cell r="AN61">
            <v>0</v>
          </cell>
          <cell r="AO61">
            <v>0</v>
          </cell>
        </row>
        <row r="62">
          <cell r="AG62">
            <v>0</v>
          </cell>
          <cell r="AH62">
            <v>0</v>
          </cell>
          <cell r="AI62">
            <v>0</v>
          </cell>
          <cell r="AL62">
            <v>0</v>
          </cell>
          <cell r="AM62">
            <v>0</v>
          </cell>
          <cell r="AN62">
            <v>0</v>
          </cell>
          <cell r="AO62">
            <v>0</v>
          </cell>
        </row>
        <row r="63">
          <cell r="AG63">
            <v>0</v>
          </cell>
          <cell r="AH63">
            <v>0</v>
          </cell>
          <cell r="AI63">
            <v>0</v>
          </cell>
          <cell r="AL63">
            <v>0</v>
          </cell>
          <cell r="AM63">
            <v>0</v>
          </cell>
          <cell r="AN63">
            <v>0</v>
          </cell>
          <cell r="AO63">
            <v>0</v>
          </cell>
        </row>
        <row r="64">
          <cell r="AG64">
            <v>0</v>
          </cell>
          <cell r="AH64">
            <v>0</v>
          </cell>
          <cell r="AI64">
            <v>0</v>
          </cell>
          <cell r="AL64">
            <v>0</v>
          </cell>
          <cell r="AM64">
            <v>0</v>
          </cell>
          <cell r="AN64">
            <v>0</v>
          </cell>
          <cell r="AO64">
            <v>0</v>
          </cell>
        </row>
        <row r="65">
          <cell r="AG65">
            <v>0</v>
          </cell>
          <cell r="AH65">
            <v>0</v>
          </cell>
          <cell r="AI65">
            <v>0</v>
          </cell>
          <cell r="AL65">
            <v>0</v>
          </cell>
          <cell r="AM65">
            <v>0</v>
          </cell>
          <cell r="AN65">
            <v>0</v>
          </cell>
          <cell r="AO65">
            <v>0</v>
          </cell>
        </row>
        <row r="66">
          <cell r="AG66">
            <v>0</v>
          </cell>
          <cell r="AH66">
            <v>0</v>
          </cell>
          <cell r="AI66">
            <v>0</v>
          </cell>
          <cell r="AL66">
            <v>0</v>
          </cell>
          <cell r="AM66">
            <v>0</v>
          </cell>
          <cell r="AN66">
            <v>0</v>
          </cell>
          <cell r="AO66">
            <v>0</v>
          </cell>
        </row>
        <row r="67">
          <cell r="AG67">
            <v>0</v>
          </cell>
          <cell r="AH67">
            <v>0</v>
          </cell>
          <cell r="AI67">
            <v>0</v>
          </cell>
          <cell r="AL67">
            <v>0</v>
          </cell>
          <cell r="AM67">
            <v>0</v>
          </cell>
          <cell r="AN67">
            <v>0</v>
          </cell>
          <cell r="AO67">
            <v>0</v>
          </cell>
        </row>
        <row r="68">
          <cell r="AG68">
            <v>0</v>
          </cell>
          <cell r="AH68">
            <v>0</v>
          </cell>
          <cell r="AI68">
            <v>0</v>
          </cell>
          <cell r="AL68">
            <v>0</v>
          </cell>
          <cell r="AM68">
            <v>0</v>
          </cell>
          <cell r="AN68">
            <v>0</v>
          </cell>
          <cell r="AO68">
            <v>0</v>
          </cell>
        </row>
        <row r="69">
          <cell r="AG69">
            <v>0</v>
          </cell>
          <cell r="AH69">
            <v>0</v>
          </cell>
          <cell r="AI69">
            <v>0</v>
          </cell>
          <cell r="AL69">
            <v>0</v>
          </cell>
          <cell r="AM69">
            <v>0</v>
          </cell>
          <cell r="AN69">
            <v>0</v>
          </cell>
          <cell r="AO69">
            <v>0</v>
          </cell>
        </row>
        <row r="70">
          <cell r="AG70">
            <v>0</v>
          </cell>
          <cell r="AH70">
            <v>0</v>
          </cell>
          <cell r="AI70">
            <v>0</v>
          </cell>
          <cell r="AL70">
            <v>0</v>
          </cell>
          <cell r="AM70">
            <v>0</v>
          </cell>
          <cell r="AN70">
            <v>0</v>
          </cell>
          <cell r="AO70">
            <v>0</v>
          </cell>
        </row>
        <row r="71">
          <cell r="AG71">
            <v>0</v>
          </cell>
          <cell r="AH71">
            <v>0</v>
          </cell>
          <cell r="AI71">
            <v>0</v>
          </cell>
          <cell r="AL71">
            <v>0</v>
          </cell>
          <cell r="AM71">
            <v>0</v>
          </cell>
          <cell r="AN71">
            <v>0</v>
          </cell>
          <cell r="AO71">
            <v>0</v>
          </cell>
        </row>
        <row r="72">
          <cell r="AG72">
            <v>0</v>
          </cell>
          <cell r="AH72">
            <v>0</v>
          </cell>
          <cell r="AI72">
            <v>0</v>
          </cell>
          <cell r="AL72">
            <v>0</v>
          </cell>
          <cell r="AM72">
            <v>0</v>
          </cell>
          <cell r="AN72">
            <v>0</v>
          </cell>
          <cell r="AO72">
            <v>0</v>
          </cell>
        </row>
        <row r="73">
          <cell r="AG73">
            <v>0</v>
          </cell>
          <cell r="AH73">
            <v>0</v>
          </cell>
          <cell r="AI73">
            <v>0</v>
          </cell>
          <cell r="AL73">
            <v>0</v>
          </cell>
          <cell r="AM73">
            <v>0</v>
          </cell>
          <cell r="AN73">
            <v>0</v>
          </cell>
          <cell r="AO73">
            <v>0</v>
          </cell>
        </row>
        <row r="74">
          <cell r="AG74">
            <v>0</v>
          </cell>
          <cell r="AH74">
            <v>0</v>
          </cell>
          <cell r="AI74">
            <v>0</v>
          </cell>
          <cell r="AL74">
            <v>0</v>
          </cell>
          <cell r="AM74">
            <v>0</v>
          </cell>
          <cell r="AN74">
            <v>0</v>
          </cell>
          <cell r="AO74">
            <v>0</v>
          </cell>
        </row>
        <row r="75">
          <cell r="AG75">
            <v>0</v>
          </cell>
          <cell r="AH75">
            <v>0</v>
          </cell>
          <cell r="AI75">
            <v>0</v>
          </cell>
          <cell r="AL75">
            <v>0</v>
          </cell>
          <cell r="AM75">
            <v>0</v>
          </cell>
          <cell r="AN75">
            <v>0</v>
          </cell>
          <cell r="AO75">
            <v>0</v>
          </cell>
        </row>
        <row r="76">
          <cell r="AG76">
            <v>0</v>
          </cell>
          <cell r="AH76">
            <v>0</v>
          </cell>
          <cell r="AI76">
            <v>0</v>
          </cell>
          <cell r="AL76">
            <v>0</v>
          </cell>
          <cell r="AM76">
            <v>0</v>
          </cell>
          <cell r="AN76">
            <v>0</v>
          </cell>
          <cell r="AO76">
            <v>0</v>
          </cell>
        </row>
        <row r="77">
          <cell r="AG77">
            <v>0</v>
          </cell>
          <cell r="AH77">
            <v>0</v>
          </cell>
          <cell r="AI77">
            <v>0</v>
          </cell>
          <cell r="AL77">
            <v>0</v>
          </cell>
          <cell r="AM77">
            <v>0</v>
          </cell>
          <cell r="AN77">
            <v>0</v>
          </cell>
          <cell r="AO77">
            <v>0</v>
          </cell>
        </row>
        <row r="78">
          <cell r="AG78">
            <v>0</v>
          </cell>
          <cell r="AH78">
            <v>0</v>
          </cell>
          <cell r="AI78">
            <v>0</v>
          </cell>
          <cell r="AL78">
            <v>0</v>
          </cell>
          <cell r="AM78">
            <v>0</v>
          </cell>
          <cell r="AN78">
            <v>0</v>
          </cell>
          <cell r="AO78">
            <v>0</v>
          </cell>
        </row>
        <row r="79">
          <cell r="AG79">
            <v>0</v>
          </cell>
          <cell r="AH79">
            <v>0</v>
          </cell>
          <cell r="AI79">
            <v>0</v>
          </cell>
          <cell r="AL79">
            <v>0</v>
          </cell>
          <cell r="AM79">
            <v>0</v>
          </cell>
          <cell r="AN79">
            <v>0</v>
          </cell>
          <cell r="AO79">
            <v>0</v>
          </cell>
        </row>
        <row r="80">
          <cell r="AG80">
            <v>0</v>
          </cell>
          <cell r="AH80">
            <v>0</v>
          </cell>
          <cell r="AI80">
            <v>0</v>
          </cell>
          <cell r="AL80">
            <v>0</v>
          </cell>
          <cell r="AM80">
            <v>0</v>
          </cell>
          <cell r="AN80">
            <v>0</v>
          </cell>
          <cell r="AO80">
            <v>0</v>
          </cell>
        </row>
      </sheetData>
      <sheetData sheetId="31">
        <row r="1">
          <cell r="C1">
            <v>5622823</v>
          </cell>
          <cell r="D1">
            <v>4498258</v>
          </cell>
          <cell r="E1">
            <v>3373694</v>
          </cell>
          <cell r="G1">
            <v>1124565</v>
          </cell>
          <cell r="H1">
            <v>843423</v>
          </cell>
          <cell r="I1">
            <v>562282</v>
          </cell>
          <cell r="J1">
            <v>281141</v>
          </cell>
          <cell r="K1">
            <v>140571</v>
          </cell>
          <cell r="O1">
            <v>562282</v>
          </cell>
          <cell r="P1">
            <v>1124565</v>
          </cell>
        </row>
        <row r="2">
          <cell r="C2">
            <v>4498258</v>
          </cell>
          <cell r="D2">
            <v>3935976</v>
          </cell>
          <cell r="E2">
            <v>3373694</v>
          </cell>
        </row>
        <row r="9">
          <cell r="C9">
            <v>0</v>
          </cell>
          <cell r="D9">
            <v>1</v>
          </cell>
          <cell r="E9">
            <v>0</v>
          </cell>
          <cell r="F9">
            <v>1</v>
          </cell>
          <cell r="G9">
            <v>0</v>
          </cell>
          <cell r="H9">
            <v>0</v>
          </cell>
          <cell r="I9">
            <v>0</v>
          </cell>
          <cell r="J9">
            <v>0</v>
          </cell>
          <cell r="K9">
            <v>0</v>
          </cell>
          <cell r="L9">
            <v>0</v>
          </cell>
          <cell r="M9" t="str">
            <v>S</v>
          </cell>
          <cell r="N9">
            <v>5622823</v>
          </cell>
          <cell r="O9">
            <v>0</v>
          </cell>
          <cell r="P9">
            <v>1</v>
          </cell>
        </row>
        <row r="10">
          <cell r="C10">
            <v>0</v>
          </cell>
          <cell r="D10">
            <v>1</v>
          </cell>
          <cell r="E10">
            <v>0</v>
          </cell>
          <cell r="F10">
            <v>1</v>
          </cell>
          <cell r="G10">
            <v>1</v>
          </cell>
          <cell r="H10">
            <v>0</v>
          </cell>
          <cell r="I10">
            <v>0</v>
          </cell>
          <cell r="J10">
            <v>0</v>
          </cell>
          <cell r="K10">
            <v>0</v>
          </cell>
          <cell r="L10">
            <v>1</v>
          </cell>
          <cell r="M10" t="str">
            <v>S</v>
          </cell>
          <cell r="N10">
            <v>5622823</v>
          </cell>
          <cell r="O10">
            <v>0</v>
          </cell>
          <cell r="P10">
            <v>0</v>
          </cell>
        </row>
        <row r="11">
          <cell r="C11">
            <v>0</v>
          </cell>
          <cell r="D11">
            <v>0</v>
          </cell>
          <cell r="E11">
            <v>1</v>
          </cell>
          <cell r="F11">
            <v>1</v>
          </cell>
          <cell r="G11">
            <v>0</v>
          </cell>
          <cell r="H11">
            <v>0</v>
          </cell>
          <cell r="I11">
            <v>0</v>
          </cell>
          <cell r="J11">
            <v>0</v>
          </cell>
          <cell r="K11">
            <v>0</v>
          </cell>
          <cell r="L11">
            <v>0</v>
          </cell>
          <cell r="M11" t="str">
            <v>S</v>
          </cell>
          <cell r="N11">
            <v>3935976</v>
          </cell>
          <cell r="O11">
            <v>1</v>
          </cell>
          <cell r="P11">
            <v>0</v>
          </cell>
        </row>
        <row r="12">
          <cell r="C12">
            <v>0</v>
          </cell>
          <cell r="D12">
            <v>1</v>
          </cell>
          <cell r="E12">
            <v>0</v>
          </cell>
          <cell r="F12">
            <v>1</v>
          </cell>
          <cell r="G12">
            <v>0</v>
          </cell>
          <cell r="H12">
            <v>0</v>
          </cell>
          <cell r="I12">
            <v>0</v>
          </cell>
          <cell r="J12">
            <v>0</v>
          </cell>
          <cell r="K12">
            <v>0</v>
          </cell>
          <cell r="L12">
            <v>0</v>
          </cell>
          <cell r="M12" t="str">
            <v>S</v>
          </cell>
          <cell r="N12">
            <v>5622823</v>
          </cell>
          <cell r="O12">
            <v>0</v>
          </cell>
          <cell r="P12">
            <v>1</v>
          </cell>
        </row>
        <row r="13">
          <cell r="C13">
            <v>0</v>
          </cell>
          <cell r="D13">
            <v>1</v>
          </cell>
          <cell r="E13">
            <v>0</v>
          </cell>
          <cell r="F13">
            <v>1</v>
          </cell>
          <cell r="G13">
            <v>0</v>
          </cell>
          <cell r="H13">
            <v>0</v>
          </cell>
          <cell r="I13">
            <v>0</v>
          </cell>
          <cell r="J13">
            <v>0</v>
          </cell>
          <cell r="K13">
            <v>0</v>
          </cell>
          <cell r="L13">
            <v>0</v>
          </cell>
          <cell r="M13" t="str">
            <v>S</v>
          </cell>
          <cell r="N13">
            <v>5622823</v>
          </cell>
          <cell r="O13">
            <v>0</v>
          </cell>
          <cell r="P13">
            <v>1</v>
          </cell>
        </row>
        <row r="14">
          <cell r="C14">
            <v>0</v>
          </cell>
          <cell r="D14">
            <v>1</v>
          </cell>
          <cell r="E14">
            <v>0</v>
          </cell>
          <cell r="F14">
            <v>1</v>
          </cell>
          <cell r="G14">
            <v>0</v>
          </cell>
          <cell r="H14">
            <v>0</v>
          </cell>
          <cell r="I14">
            <v>0</v>
          </cell>
          <cell r="J14">
            <v>0</v>
          </cell>
          <cell r="K14">
            <v>0</v>
          </cell>
          <cell r="L14">
            <v>0</v>
          </cell>
          <cell r="M14" t="str">
            <v>S</v>
          </cell>
          <cell r="N14">
            <v>4498258</v>
          </cell>
          <cell r="O14">
            <v>0</v>
          </cell>
          <cell r="P14">
            <v>0</v>
          </cell>
        </row>
        <row r="15">
          <cell r="C15">
            <v>0</v>
          </cell>
          <cell r="D15">
            <v>1</v>
          </cell>
          <cell r="E15">
            <v>1</v>
          </cell>
          <cell r="F15">
            <v>2</v>
          </cell>
          <cell r="G15">
            <v>0</v>
          </cell>
          <cell r="H15">
            <v>0</v>
          </cell>
          <cell r="I15">
            <v>0</v>
          </cell>
          <cell r="J15">
            <v>0</v>
          </cell>
          <cell r="K15">
            <v>0</v>
          </cell>
          <cell r="L15">
            <v>0</v>
          </cell>
          <cell r="M15" t="str">
            <v>M</v>
          </cell>
          <cell r="N15">
            <v>7309670</v>
          </cell>
          <cell r="O15">
            <v>0</v>
          </cell>
          <cell r="P15">
            <v>0</v>
          </cell>
        </row>
        <row r="16">
          <cell r="C16">
            <v>0</v>
          </cell>
          <cell r="D16">
            <v>1</v>
          </cell>
          <cell r="E16">
            <v>0</v>
          </cell>
          <cell r="F16">
            <v>1</v>
          </cell>
          <cell r="G16">
            <v>0</v>
          </cell>
          <cell r="H16">
            <v>0</v>
          </cell>
          <cell r="I16">
            <v>0</v>
          </cell>
          <cell r="J16">
            <v>0</v>
          </cell>
          <cell r="K16">
            <v>0</v>
          </cell>
          <cell r="L16">
            <v>0</v>
          </cell>
          <cell r="M16" t="str">
            <v>S</v>
          </cell>
          <cell r="N16">
            <v>6747388</v>
          </cell>
          <cell r="O16">
            <v>0</v>
          </cell>
          <cell r="P16">
            <v>2</v>
          </cell>
        </row>
        <row r="17">
          <cell r="C17">
            <v>0</v>
          </cell>
          <cell r="D17">
            <v>1</v>
          </cell>
          <cell r="E17">
            <v>0</v>
          </cell>
          <cell r="F17">
            <v>1</v>
          </cell>
          <cell r="G17">
            <v>0</v>
          </cell>
          <cell r="H17">
            <v>0</v>
          </cell>
          <cell r="I17">
            <v>0</v>
          </cell>
          <cell r="J17">
            <v>0</v>
          </cell>
          <cell r="K17">
            <v>0</v>
          </cell>
          <cell r="L17">
            <v>0</v>
          </cell>
          <cell r="M17" t="str">
            <v>S</v>
          </cell>
          <cell r="N17">
            <v>4498258</v>
          </cell>
          <cell r="O17">
            <v>0</v>
          </cell>
          <cell r="P17">
            <v>0</v>
          </cell>
        </row>
        <row r="18">
          <cell r="C18">
            <v>0</v>
          </cell>
          <cell r="D18">
            <v>2</v>
          </cell>
          <cell r="E18">
            <v>1</v>
          </cell>
          <cell r="F18">
            <v>3</v>
          </cell>
          <cell r="G18">
            <v>0</v>
          </cell>
          <cell r="H18">
            <v>0</v>
          </cell>
          <cell r="I18">
            <v>0</v>
          </cell>
          <cell r="J18">
            <v>0</v>
          </cell>
          <cell r="K18">
            <v>0</v>
          </cell>
          <cell r="L18">
            <v>0</v>
          </cell>
          <cell r="M18" t="str">
            <v>M</v>
          </cell>
          <cell r="N18">
            <v>11245646</v>
          </cell>
          <cell r="O18">
            <v>0</v>
          </cell>
          <cell r="P18">
            <v>0</v>
          </cell>
        </row>
        <row r="19">
          <cell r="C19">
            <v>0</v>
          </cell>
          <cell r="D19">
            <v>0</v>
          </cell>
          <cell r="E19">
            <v>1</v>
          </cell>
          <cell r="F19">
            <v>1</v>
          </cell>
          <cell r="G19">
            <v>0</v>
          </cell>
          <cell r="H19">
            <v>0</v>
          </cell>
          <cell r="I19">
            <v>0</v>
          </cell>
          <cell r="J19">
            <v>0</v>
          </cell>
          <cell r="K19">
            <v>0</v>
          </cell>
          <cell r="L19">
            <v>0</v>
          </cell>
          <cell r="M19" t="str">
            <v>S</v>
          </cell>
          <cell r="N19">
            <v>3373694</v>
          </cell>
          <cell r="O19">
            <v>0</v>
          </cell>
          <cell r="P19">
            <v>0</v>
          </cell>
        </row>
        <row r="20">
          <cell r="C20">
            <v>0</v>
          </cell>
          <cell r="D20">
            <v>1</v>
          </cell>
          <cell r="E20">
            <v>2</v>
          </cell>
          <cell r="F20">
            <v>3</v>
          </cell>
          <cell r="G20">
            <v>0</v>
          </cell>
          <cell r="H20">
            <v>0</v>
          </cell>
          <cell r="I20">
            <v>0</v>
          </cell>
          <cell r="J20">
            <v>0</v>
          </cell>
          <cell r="K20">
            <v>0</v>
          </cell>
          <cell r="L20">
            <v>0</v>
          </cell>
          <cell r="M20" t="str">
            <v>M</v>
          </cell>
          <cell r="N20">
            <v>12932494</v>
          </cell>
          <cell r="O20">
            <v>0</v>
          </cell>
          <cell r="P20">
            <v>2</v>
          </cell>
        </row>
        <row r="21">
          <cell r="C21">
            <v>0</v>
          </cell>
          <cell r="D21">
            <v>0</v>
          </cell>
          <cell r="E21">
            <v>1</v>
          </cell>
          <cell r="F21">
            <v>1</v>
          </cell>
          <cell r="G21">
            <v>0</v>
          </cell>
          <cell r="H21">
            <v>0</v>
          </cell>
          <cell r="I21">
            <v>0</v>
          </cell>
          <cell r="J21">
            <v>0</v>
          </cell>
          <cell r="K21">
            <v>0</v>
          </cell>
          <cell r="L21">
            <v>0</v>
          </cell>
          <cell r="M21" t="str">
            <v>S</v>
          </cell>
          <cell r="N21">
            <v>3935976</v>
          </cell>
          <cell r="O21">
            <v>1</v>
          </cell>
          <cell r="P21">
            <v>0</v>
          </cell>
        </row>
        <row r="22">
          <cell r="C22">
            <v>0</v>
          </cell>
          <cell r="D22">
            <v>0</v>
          </cell>
          <cell r="E22">
            <v>1</v>
          </cell>
          <cell r="F22">
            <v>1</v>
          </cell>
          <cell r="G22">
            <v>0</v>
          </cell>
          <cell r="H22">
            <v>0</v>
          </cell>
          <cell r="I22">
            <v>0</v>
          </cell>
          <cell r="J22">
            <v>0</v>
          </cell>
          <cell r="K22">
            <v>0</v>
          </cell>
          <cell r="L22">
            <v>0</v>
          </cell>
          <cell r="M22" t="str">
            <v>S</v>
          </cell>
          <cell r="N22">
            <v>3373694</v>
          </cell>
          <cell r="O22">
            <v>0</v>
          </cell>
          <cell r="P22">
            <v>0</v>
          </cell>
        </row>
        <row r="23">
          <cell r="C23">
            <v>0</v>
          </cell>
          <cell r="D23">
            <v>1</v>
          </cell>
          <cell r="E23">
            <v>1</v>
          </cell>
          <cell r="F23">
            <v>2</v>
          </cell>
          <cell r="G23">
            <v>0</v>
          </cell>
          <cell r="H23">
            <v>0</v>
          </cell>
          <cell r="I23">
            <v>0</v>
          </cell>
          <cell r="J23">
            <v>0</v>
          </cell>
          <cell r="K23">
            <v>0</v>
          </cell>
          <cell r="L23">
            <v>0</v>
          </cell>
          <cell r="M23" t="str">
            <v>S</v>
          </cell>
          <cell r="N23">
            <v>7871952</v>
          </cell>
          <cell r="O23">
            <v>0</v>
          </cell>
          <cell r="P23">
            <v>0</v>
          </cell>
        </row>
        <row r="24">
          <cell r="C24">
            <v>0</v>
          </cell>
          <cell r="D24">
            <v>0</v>
          </cell>
          <cell r="E24">
            <v>1</v>
          </cell>
          <cell r="F24">
            <v>1</v>
          </cell>
          <cell r="G24">
            <v>0</v>
          </cell>
          <cell r="H24">
            <v>0</v>
          </cell>
          <cell r="I24">
            <v>0</v>
          </cell>
          <cell r="J24">
            <v>0</v>
          </cell>
          <cell r="K24">
            <v>0</v>
          </cell>
          <cell r="L24">
            <v>0</v>
          </cell>
          <cell r="M24" t="str">
            <v>S</v>
          </cell>
          <cell r="N24">
            <v>3935976</v>
          </cell>
          <cell r="O24">
            <v>1</v>
          </cell>
          <cell r="P24">
            <v>0</v>
          </cell>
        </row>
        <row r="25">
          <cell r="C25">
            <v>0</v>
          </cell>
          <cell r="D25">
            <v>2</v>
          </cell>
          <cell r="E25">
            <v>0</v>
          </cell>
          <cell r="F25">
            <v>2</v>
          </cell>
          <cell r="G25">
            <v>1</v>
          </cell>
          <cell r="H25">
            <v>0</v>
          </cell>
          <cell r="I25">
            <v>0</v>
          </cell>
          <cell r="J25">
            <v>0</v>
          </cell>
          <cell r="K25">
            <v>0</v>
          </cell>
          <cell r="L25">
            <v>1</v>
          </cell>
          <cell r="M25" t="str">
            <v>M</v>
          </cell>
          <cell r="N25">
            <v>8996517</v>
          </cell>
          <cell r="O25">
            <v>0</v>
          </cell>
          <cell r="P25">
            <v>0</v>
          </cell>
        </row>
        <row r="26">
          <cell r="C26">
            <v>0</v>
          </cell>
          <cell r="D26">
            <v>0</v>
          </cell>
          <cell r="E26">
            <v>1</v>
          </cell>
          <cell r="F26">
            <v>1</v>
          </cell>
          <cell r="G26">
            <v>0</v>
          </cell>
          <cell r="H26">
            <v>0</v>
          </cell>
          <cell r="I26">
            <v>0</v>
          </cell>
          <cell r="J26">
            <v>0</v>
          </cell>
          <cell r="K26">
            <v>0</v>
          </cell>
          <cell r="L26">
            <v>0</v>
          </cell>
          <cell r="M26" t="str">
            <v>S</v>
          </cell>
          <cell r="N26">
            <v>3935976</v>
          </cell>
          <cell r="O26">
            <v>1</v>
          </cell>
          <cell r="P26">
            <v>0</v>
          </cell>
        </row>
        <row r="27">
          <cell r="C27">
            <v>0</v>
          </cell>
          <cell r="D27">
            <v>1</v>
          </cell>
          <cell r="E27">
            <v>0</v>
          </cell>
          <cell r="F27">
            <v>1</v>
          </cell>
          <cell r="G27">
            <v>1</v>
          </cell>
          <cell r="H27">
            <v>0</v>
          </cell>
          <cell r="I27">
            <v>0</v>
          </cell>
          <cell r="J27">
            <v>0</v>
          </cell>
          <cell r="K27">
            <v>0</v>
          </cell>
          <cell r="L27">
            <v>1</v>
          </cell>
          <cell r="M27" t="str">
            <v>S</v>
          </cell>
          <cell r="N27">
            <v>5622823</v>
          </cell>
          <cell r="O27">
            <v>0</v>
          </cell>
          <cell r="P27">
            <v>0</v>
          </cell>
        </row>
        <row r="28">
          <cell r="C28">
            <v>0</v>
          </cell>
          <cell r="D28">
            <v>1</v>
          </cell>
          <cell r="E28">
            <v>1</v>
          </cell>
          <cell r="F28">
            <v>2</v>
          </cell>
          <cell r="G28">
            <v>0</v>
          </cell>
          <cell r="H28">
            <v>0</v>
          </cell>
          <cell r="I28">
            <v>0</v>
          </cell>
          <cell r="J28">
            <v>0</v>
          </cell>
          <cell r="K28">
            <v>0</v>
          </cell>
          <cell r="L28">
            <v>0</v>
          </cell>
          <cell r="M28" t="str">
            <v>M</v>
          </cell>
          <cell r="N28">
            <v>7309670</v>
          </cell>
          <cell r="O28">
            <v>0</v>
          </cell>
          <cell r="P28">
            <v>0</v>
          </cell>
        </row>
        <row r="29">
          <cell r="C29">
            <v>0</v>
          </cell>
          <cell r="D29">
            <v>0</v>
          </cell>
          <cell r="E29">
            <v>1</v>
          </cell>
          <cell r="F29">
            <v>1</v>
          </cell>
          <cell r="G29">
            <v>0</v>
          </cell>
          <cell r="H29">
            <v>0</v>
          </cell>
          <cell r="I29">
            <v>0</v>
          </cell>
          <cell r="J29">
            <v>1</v>
          </cell>
          <cell r="K29">
            <v>0</v>
          </cell>
          <cell r="L29">
            <v>1</v>
          </cell>
          <cell r="M29" t="str">
            <v>S</v>
          </cell>
          <cell r="N29">
            <v>3654835</v>
          </cell>
          <cell r="O29">
            <v>0</v>
          </cell>
          <cell r="P29">
            <v>0</v>
          </cell>
        </row>
        <row r="30">
          <cell r="C30">
            <v>0</v>
          </cell>
          <cell r="D30">
            <v>0</v>
          </cell>
          <cell r="E30">
            <v>1</v>
          </cell>
          <cell r="F30">
            <v>1</v>
          </cell>
          <cell r="G30">
            <v>0</v>
          </cell>
          <cell r="H30">
            <v>0</v>
          </cell>
          <cell r="I30">
            <v>0</v>
          </cell>
          <cell r="J30">
            <v>0</v>
          </cell>
          <cell r="K30">
            <v>0</v>
          </cell>
          <cell r="L30">
            <v>0</v>
          </cell>
          <cell r="M30" t="str">
            <v>S</v>
          </cell>
          <cell r="N30">
            <v>3373694</v>
          </cell>
          <cell r="O30">
            <v>0</v>
          </cell>
          <cell r="P30">
            <v>0</v>
          </cell>
        </row>
        <row r="31">
          <cell r="C31">
            <v>0</v>
          </cell>
          <cell r="D31">
            <v>1</v>
          </cell>
          <cell r="E31">
            <v>2</v>
          </cell>
          <cell r="F31">
            <v>3</v>
          </cell>
          <cell r="G31">
            <v>1</v>
          </cell>
          <cell r="H31">
            <v>0</v>
          </cell>
          <cell r="I31">
            <v>0</v>
          </cell>
          <cell r="J31">
            <v>1</v>
          </cell>
          <cell r="K31">
            <v>0</v>
          </cell>
          <cell r="L31">
            <v>2</v>
          </cell>
          <cell r="M31" t="str">
            <v>M</v>
          </cell>
          <cell r="N31">
            <v>14338200</v>
          </cell>
          <cell r="O31">
            <v>0</v>
          </cell>
          <cell r="P31">
            <v>2</v>
          </cell>
        </row>
        <row r="32">
          <cell r="C32">
            <v>0</v>
          </cell>
          <cell r="D32">
            <v>0</v>
          </cell>
          <cell r="E32">
            <v>1</v>
          </cell>
          <cell r="F32">
            <v>1</v>
          </cell>
          <cell r="G32">
            <v>0</v>
          </cell>
          <cell r="H32">
            <v>0</v>
          </cell>
          <cell r="I32">
            <v>0</v>
          </cell>
          <cell r="J32">
            <v>0</v>
          </cell>
          <cell r="K32">
            <v>0</v>
          </cell>
          <cell r="L32">
            <v>0</v>
          </cell>
          <cell r="M32" t="str">
            <v>S</v>
          </cell>
          <cell r="N32">
            <v>3935976</v>
          </cell>
          <cell r="O32">
            <v>1</v>
          </cell>
          <cell r="P32">
            <v>0</v>
          </cell>
        </row>
        <row r="33">
          <cell r="C33">
            <v>0</v>
          </cell>
          <cell r="D33">
            <v>0</v>
          </cell>
          <cell r="E33">
            <v>1</v>
          </cell>
          <cell r="F33">
            <v>1</v>
          </cell>
          <cell r="G33">
            <v>0</v>
          </cell>
          <cell r="H33">
            <v>0</v>
          </cell>
          <cell r="I33">
            <v>0</v>
          </cell>
          <cell r="J33">
            <v>0</v>
          </cell>
          <cell r="K33">
            <v>0</v>
          </cell>
          <cell r="L33">
            <v>0</v>
          </cell>
          <cell r="M33" t="str">
            <v>S</v>
          </cell>
          <cell r="N33">
            <v>3935976</v>
          </cell>
          <cell r="O33">
            <v>1</v>
          </cell>
          <cell r="P33">
            <v>0</v>
          </cell>
        </row>
        <row r="34">
          <cell r="C34">
            <v>1</v>
          </cell>
          <cell r="D34">
            <v>0</v>
          </cell>
          <cell r="E34">
            <v>0</v>
          </cell>
          <cell r="F34">
            <v>1</v>
          </cell>
          <cell r="G34">
            <v>0</v>
          </cell>
          <cell r="H34">
            <v>0</v>
          </cell>
          <cell r="I34">
            <v>0</v>
          </cell>
          <cell r="J34">
            <v>0</v>
          </cell>
          <cell r="K34">
            <v>0</v>
          </cell>
          <cell r="L34">
            <v>0</v>
          </cell>
          <cell r="M34" t="str">
            <v>S</v>
          </cell>
          <cell r="N34">
            <v>6747388</v>
          </cell>
          <cell r="O34">
            <v>0</v>
          </cell>
          <cell r="P34">
            <v>1</v>
          </cell>
        </row>
        <row r="35">
          <cell r="C35">
            <v>1</v>
          </cell>
          <cell r="D35">
            <v>4</v>
          </cell>
          <cell r="E35">
            <v>4</v>
          </cell>
          <cell r="F35">
            <v>9</v>
          </cell>
          <cell r="G35">
            <v>0</v>
          </cell>
          <cell r="H35">
            <v>0</v>
          </cell>
          <cell r="I35">
            <v>0</v>
          </cell>
          <cell r="J35">
            <v>0</v>
          </cell>
          <cell r="K35">
            <v>0</v>
          </cell>
          <cell r="L35">
            <v>0</v>
          </cell>
          <cell r="M35" t="str">
            <v>M</v>
          </cell>
          <cell r="N35">
            <v>33736938</v>
          </cell>
          <cell r="O35">
            <v>0</v>
          </cell>
          <cell r="P35">
            <v>0</v>
          </cell>
        </row>
        <row r="36">
          <cell r="C36">
            <v>1</v>
          </cell>
          <cell r="D36">
            <v>2</v>
          </cell>
          <cell r="E36">
            <v>1</v>
          </cell>
          <cell r="F36">
            <v>4</v>
          </cell>
          <cell r="G36">
            <v>1</v>
          </cell>
          <cell r="H36">
            <v>0</v>
          </cell>
          <cell r="I36">
            <v>0</v>
          </cell>
          <cell r="J36">
            <v>0</v>
          </cell>
          <cell r="K36">
            <v>0</v>
          </cell>
          <cell r="L36">
            <v>1</v>
          </cell>
          <cell r="M36" t="str">
            <v>M</v>
          </cell>
          <cell r="N36">
            <v>19117599</v>
          </cell>
          <cell r="O36">
            <v>0</v>
          </cell>
          <cell r="P36">
            <v>2</v>
          </cell>
        </row>
        <row r="37">
          <cell r="C37">
            <v>0</v>
          </cell>
          <cell r="D37">
            <v>0</v>
          </cell>
          <cell r="E37">
            <v>1</v>
          </cell>
          <cell r="F37">
            <v>1</v>
          </cell>
          <cell r="G37">
            <v>0</v>
          </cell>
          <cell r="H37">
            <v>0</v>
          </cell>
          <cell r="I37">
            <v>0</v>
          </cell>
          <cell r="J37">
            <v>0</v>
          </cell>
          <cell r="K37">
            <v>0</v>
          </cell>
          <cell r="L37">
            <v>0</v>
          </cell>
          <cell r="M37" t="str">
            <v>S</v>
          </cell>
          <cell r="N37">
            <v>3373694</v>
          </cell>
          <cell r="O37">
            <v>0</v>
          </cell>
          <cell r="P37">
            <v>0</v>
          </cell>
        </row>
        <row r="38">
          <cell r="C38">
            <v>0</v>
          </cell>
          <cell r="D38">
            <v>0</v>
          </cell>
          <cell r="E38">
            <v>1</v>
          </cell>
          <cell r="F38">
            <v>1</v>
          </cell>
          <cell r="G38">
            <v>0</v>
          </cell>
          <cell r="H38">
            <v>0</v>
          </cell>
          <cell r="I38">
            <v>0</v>
          </cell>
          <cell r="J38">
            <v>2</v>
          </cell>
          <cell r="K38">
            <v>0</v>
          </cell>
          <cell r="L38">
            <v>2</v>
          </cell>
          <cell r="M38" t="str">
            <v>S</v>
          </cell>
          <cell r="N38">
            <v>4498258</v>
          </cell>
          <cell r="O38">
            <v>1</v>
          </cell>
          <cell r="P38">
            <v>0</v>
          </cell>
        </row>
        <row r="39">
          <cell r="C39">
            <v>0</v>
          </cell>
          <cell r="D39">
            <v>1</v>
          </cell>
          <cell r="E39">
            <v>0</v>
          </cell>
          <cell r="F39">
            <v>1</v>
          </cell>
          <cell r="G39">
            <v>1</v>
          </cell>
          <cell r="H39">
            <v>0</v>
          </cell>
          <cell r="I39">
            <v>0</v>
          </cell>
          <cell r="J39">
            <v>0</v>
          </cell>
          <cell r="K39">
            <v>0</v>
          </cell>
          <cell r="L39">
            <v>1</v>
          </cell>
          <cell r="M39" t="str">
            <v>S</v>
          </cell>
          <cell r="N39">
            <v>5622823</v>
          </cell>
          <cell r="O39">
            <v>0</v>
          </cell>
          <cell r="P39">
            <v>0</v>
          </cell>
        </row>
        <row r="40">
          <cell r="C40">
            <v>0</v>
          </cell>
          <cell r="D40">
            <v>1</v>
          </cell>
          <cell r="E40">
            <v>0</v>
          </cell>
          <cell r="F40">
            <v>1</v>
          </cell>
          <cell r="G40">
            <v>0</v>
          </cell>
          <cell r="H40">
            <v>0</v>
          </cell>
          <cell r="I40">
            <v>0</v>
          </cell>
          <cell r="J40">
            <v>0</v>
          </cell>
          <cell r="K40">
            <v>0</v>
          </cell>
          <cell r="L40">
            <v>0</v>
          </cell>
          <cell r="M40" t="str">
            <v>S</v>
          </cell>
          <cell r="N40">
            <v>5622823</v>
          </cell>
          <cell r="O40">
            <v>0</v>
          </cell>
          <cell r="P40">
            <v>1</v>
          </cell>
        </row>
        <row r="41">
          <cell r="C41">
            <v>0</v>
          </cell>
          <cell r="D41">
            <v>0</v>
          </cell>
          <cell r="E41">
            <v>1</v>
          </cell>
          <cell r="F41">
            <v>1</v>
          </cell>
          <cell r="G41">
            <v>0</v>
          </cell>
          <cell r="H41">
            <v>0</v>
          </cell>
          <cell r="I41">
            <v>0</v>
          </cell>
          <cell r="J41">
            <v>1</v>
          </cell>
          <cell r="K41">
            <v>0</v>
          </cell>
          <cell r="L41">
            <v>1</v>
          </cell>
          <cell r="M41" t="str">
            <v>S</v>
          </cell>
          <cell r="N41">
            <v>3654835</v>
          </cell>
          <cell r="O41">
            <v>0</v>
          </cell>
          <cell r="P41">
            <v>0</v>
          </cell>
        </row>
        <row r="42">
          <cell r="C42">
            <v>1</v>
          </cell>
          <cell r="D42">
            <v>0</v>
          </cell>
          <cell r="E42">
            <v>0</v>
          </cell>
          <cell r="F42">
            <v>1</v>
          </cell>
          <cell r="G42">
            <v>0</v>
          </cell>
          <cell r="H42">
            <v>0</v>
          </cell>
          <cell r="I42">
            <v>0</v>
          </cell>
          <cell r="J42">
            <v>0</v>
          </cell>
          <cell r="K42">
            <v>0</v>
          </cell>
          <cell r="L42">
            <v>0</v>
          </cell>
          <cell r="M42" t="str">
            <v>S</v>
          </cell>
          <cell r="N42">
            <v>5622823</v>
          </cell>
          <cell r="O42">
            <v>0</v>
          </cell>
          <cell r="P42">
            <v>0</v>
          </cell>
        </row>
        <row r="43">
          <cell r="C43">
            <v>0</v>
          </cell>
          <cell r="D43">
            <v>1</v>
          </cell>
          <cell r="E43">
            <v>0</v>
          </cell>
          <cell r="F43">
            <v>1</v>
          </cell>
          <cell r="G43">
            <v>0</v>
          </cell>
          <cell r="H43">
            <v>0</v>
          </cell>
          <cell r="I43">
            <v>0</v>
          </cell>
          <cell r="J43">
            <v>0</v>
          </cell>
          <cell r="K43">
            <v>0</v>
          </cell>
          <cell r="L43">
            <v>0</v>
          </cell>
          <cell r="M43" t="str">
            <v>S</v>
          </cell>
          <cell r="N43">
            <v>5622823</v>
          </cell>
          <cell r="O43">
            <v>0</v>
          </cell>
          <cell r="P43">
            <v>1</v>
          </cell>
        </row>
        <row r="44">
          <cell r="C44">
            <v>0</v>
          </cell>
          <cell r="D44">
            <v>0</v>
          </cell>
          <cell r="E44">
            <v>1</v>
          </cell>
          <cell r="F44">
            <v>1</v>
          </cell>
          <cell r="G44">
            <v>0</v>
          </cell>
          <cell r="H44">
            <v>0</v>
          </cell>
          <cell r="I44">
            <v>1</v>
          </cell>
          <cell r="J44">
            <v>0</v>
          </cell>
          <cell r="K44">
            <v>0</v>
          </cell>
          <cell r="L44">
            <v>1</v>
          </cell>
          <cell r="M44" t="str">
            <v>S</v>
          </cell>
          <cell r="N44">
            <v>3935976</v>
          </cell>
          <cell r="O44">
            <v>0</v>
          </cell>
          <cell r="P44">
            <v>0</v>
          </cell>
        </row>
        <row r="45">
          <cell r="C45">
            <v>0</v>
          </cell>
          <cell r="D45">
            <v>2</v>
          </cell>
          <cell r="E45">
            <v>0</v>
          </cell>
          <cell r="F45">
            <v>2</v>
          </cell>
          <cell r="G45">
            <v>0</v>
          </cell>
          <cell r="H45">
            <v>0</v>
          </cell>
          <cell r="I45">
            <v>0</v>
          </cell>
          <cell r="J45">
            <v>0</v>
          </cell>
          <cell r="K45">
            <v>0</v>
          </cell>
          <cell r="L45">
            <v>0</v>
          </cell>
          <cell r="M45" t="str">
            <v>M</v>
          </cell>
          <cell r="N45">
            <v>8996517</v>
          </cell>
          <cell r="O45">
            <v>0</v>
          </cell>
          <cell r="P45">
            <v>1</v>
          </cell>
        </row>
        <row r="46">
          <cell r="C46">
            <v>0</v>
          </cell>
          <cell r="D46">
            <v>0</v>
          </cell>
          <cell r="E46">
            <v>1</v>
          </cell>
          <cell r="F46">
            <v>1</v>
          </cell>
          <cell r="G46">
            <v>1</v>
          </cell>
          <cell r="H46">
            <v>0</v>
          </cell>
          <cell r="I46">
            <v>0</v>
          </cell>
          <cell r="J46">
            <v>0</v>
          </cell>
          <cell r="K46">
            <v>0</v>
          </cell>
          <cell r="L46">
            <v>1</v>
          </cell>
          <cell r="M46" t="str">
            <v>S</v>
          </cell>
          <cell r="N46">
            <v>4498259</v>
          </cell>
          <cell r="O46">
            <v>0</v>
          </cell>
          <cell r="P46">
            <v>0</v>
          </cell>
        </row>
        <row r="47">
          <cell r="C47">
            <v>0</v>
          </cell>
          <cell r="D47">
            <v>0</v>
          </cell>
          <cell r="E47">
            <v>1</v>
          </cell>
          <cell r="F47">
            <v>1</v>
          </cell>
          <cell r="G47">
            <v>0</v>
          </cell>
          <cell r="H47">
            <v>0</v>
          </cell>
          <cell r="I47">
            <v>0</v>
          </cell>
          <cell r="J47">
            <v>0</v>
          </cell>
          <cell r="K47">
            <v>1</v>
          </cell>
          <cell r="L47">
            <v>1</v>
          </cell>
          <cell r="M47" t="str">
            <v>S</v>
          </cell>
          <cell r="N47">
            <v>4076547</v>
          </cell>
          <cell r="O47">
            <v>1</v>
          </cell>
          <cell r="P47">
            <v>0</v>
          </cell>
        </row>
        <row r="48">
          <cell r="C48">
            <v>1</v>
          </cell>
          <cell r="D48">
            <v>0</v>
          </cell>
          <cell r="E48">
            <v>0</v>
          </cell>
          <cell r="F48">
            <v>1</v>
          </cell>
          <cell r="G48">
            <v>0</v>
          </cell>
          <cell r="H48">
            <v>0</v>
          </cell>
          <cell r="I48">
            <v>0</v>
          </cell>
          <cell r="J48">
            <v>0</v>
          </cell>
          <cell r="K48">
            <v>0</v>
          </cell>
          <cell r="L48">
            <v>0</v>
          </cell>
          <cell r="M48" t="str">
            <v>S</v>
          </cell>
          <cell r="N48">
            <v>6747388</v>
          </cell>
          <cell r="O48">
            <v>0</v>
          </cell>
          <cell r="P48">
            <v>1</v>
          </cell>
        </row>
        <row r="49">
          <cell r="C49">
            <v>1</v>
          </cell>
          <cell r="D49">
            <v>0</v>
          </cell>
          <cell r="E49">
            <v>0</v>
          </cell>
          <cell r="F49">
            <v>1</v>
          </cell>
          <cell r="G49">
            <v>1</v>
          </cell>
          <cell r="H49">
            <v>0</v>
          </cell>
          <cell r="I49">
            <v>0</v>
          </cell>
          <cell r="J49">
            <v>0</v>
          </cell>
          <cell r="K49">
            <v>0</v>
          </cell>
          <cell r="L49">
            <v>1</v>
          </cell>
          <cell r="M49" t="str">
            <v>S</v>
          </cell>
          <cell r="N49">
            <v>6747388</v>
          </cell>
          <cell r="O49">
            <v>0</v>
          </cell>
          <cell r="P49">
            <v>0</v>
          </cell>
        </row>
        <row r="50">
          <cell r="C50">
            <v>0</v>
          </cell>
          <cell r="D50">
            <v>0</v>
          </cell>
          <cell r="E50">
            <v>4</v>
          </cell>
          <cell r="F50">
            <v>4</v>
          </cell>
          <cell r="G50">
            <v>0</v>
          </cell>
          <cell r="H50">
            <v>0</v>
          </cell>
          <cell r="I50">
            <v>0</v>
          </cell>
          <cell r="J50">
            <v>0</v>
          </cell>
          <cell r="K50">
            <v>0</v>
          </cell>
          <cell r="L50">
            <v>0</v>
          </cell>
          <cell r="M50" t="str">
            <v>M</v>
          </cell>
          <cell r="N50">
            <v>13494776</v>
          </cell>
          <cell r="O50">
            <v>0</v>
          </cell>
          <cell r="P50">
            <v>0</v>
          </cell>
        </row>
        <row r="51">
          <cell r="C51">
            <v>1</v>
          </cell>
          <cell r="D51">
            <v>0</v>
          </cell>
          <cell r="E51">
            <v>1</v>
          </cell>
          <cell r="F51">
            <v>2</v>
          </cell>
          <cell r="G51">
            <v>1</v>
          </cell>
          <cell r="H51">
            <v>0</v>
          </cell>
          <cell r="I51">
            <v>0</v>
          </cell>
          <cell r="J51">
            <v>0</v>
          </cell>
          <cell r="K51">
            <v>0</v>
          </cell>
          <cell r="L51">
            <v>1</v>
          </cell>
          <cell r="M51" t="str">
            <v>M</v>
          </cell>
          <cell r="N51">
            <v>10121082</v>
          </cell>
          <cell r="O51">
            <v>0</v>
          </cell>
          <cell r="P51">
            <v>1</v>
          </cell>
        </row>
        <row r="52">
          <cell r="C52">
            <v>0</v>
          </cell>
          <cell r="D52">
            <v>0</v>
          </cell>
          <cell r="E52">
            <v>1</v>
          </cell>
          <cell r="F52">
            <v>1</v>
          </cell>
          <cell r="G52">
            <v>0</v>
          </cell>
          <cell r="H52">
            <v>0</v>
          </cell>
          <cell r="I52">
            <v>1</v>
          </cell>
          <cell r="J52">
            <v>1</v>
          </cell>
          <cell r="K52">
            <v>0</v>
          </cell>
          <cell r="L52">
            <v>2</v>
          </cell>
          <cell r="M52" t="str">
            <v>S</v>
          </cell>
          <cell r="N52">
            <v>4779399</v>
          </cell>
          <cell r="O52">
            <v>1</v>
          </cell>
          <cell r="P52">
            <v>0</v>
          </cell>
        </row>
        <row r="53">
          <cell r="C53">
            <v>0</v>
          </cell>
          <cell r="D53">
            <v>1</v>
          </cell>
          <cell r="E53">
            <v>0</v>
          </cell>
          <cell r="F53">
            <v>1</v>
          </cell>
          <cell r="G53">
            <v>0</v>
          </cell>
          <cell r="H53">
            <v>0</v>
          </cell>
          <cell r="I53">
            <v>0</v>
          </cell>
          <cell r="J53">
            <v>0</v>
          </cell>
          <cell r="K53">
            <v>0</v>
          </cell>
          <cell r="L53">
            <v>0</v>
          </cell>
          <cell r="M53" t="str">
            <v>S</v>
          </cell>
          <cell r="N53">
            <v>4498258</v>
          </cell>
          <cell r="O53">
            <v>0</v>
          </cell>
          <cell r="P53">
            <v>0</v>
          </cell>
        </row>
        <row r="54">
          <cell r="C54">
            <v>0</v>
          </cell>
          <cell r="D54">
            <v>1</v>
          </cell>
          <cell r="E54">
            <v>2</v>
          </cell>
          <cell r="F54">
            <v>3</v>
          </cell>
          <cell r="G54">
            <v>0</v>
          </cell>
          <cell r="H54">
            <v>0</v>
          </cell>
          <cell r="I54">
            <v>0</v>
          </cell>
          <cell r="J54">
            <v>0</v>
          </cell>
          <cell r="K54">
            <v>0</v>
          </cell>
          <cell r="L54">
            <v>0</v>
          </cell>
          <cell r="M54" t="str">
            <v>M</v>
          </cell>
          <cell r="N54">
            <v>10683364</v>
          </cell>
          <cell r="O54">
            <v>0</v>
          </cell>
          <cell r="P54">
            <v>0</v>
          </cell>
        </row>
        <row r="55">
          <cell r="C55">
            <v>0</v>
          </cell>
          <cell r="D55">
            <v>1</v>
          </cell>
          <cell r="E55">
            <v>1</v>
          </cell>
          <cell r="F55">
            <v>2</v>
          </cell>
          <cell r="G55">
            <v>0</v>
          </cell>
          <cell r="H55">
            <v>0</v>
          </cell>
          <cell r="I55">
            <v>0</v>
          </cell>
          <cell r="J55">
            <v>0</v>
          </cell>
          <cell r="K55">
            <v>0</v>
          </cell>
          <cell r="L55">
            <v>0</v>
          </cell>
          <cell r="M55" t="str">
            <v>M</v>
          </cell>
          <cell r="N55">
            <v>7309670</v>
          </cell>
          <cell r="O55">
            <v>0</v>
          </cell>
          <cell r="P55">
            <v>0</v>
          </cell>
        </row>
        <row r="56">
          <cell r="C56">
            <v>0</v>
          </cell>
          <cell r="D56">
            <v>2</v>
          </cell>
          <cell r="E56">
            <v>1</v>
          </cell>
          <cell r="F56">
            <v>3</v>
          </cell>
          <cell r="G56">
            <v>5</v>
          </cell>
          <cell r="H56">
            <v>0</v>
          </cell>
          <cell r="I56">
            <v>0</v>
          </cell>
          <cell r="J56">
            <v>0</v>
          </cell>
          <cell r="K56">
            <v>0</v>
          </cell>
          <cell r="L56">
            <v>5</v>
          </cell>
          <cell r="M56" t="str">
            <v>M</v>
          </cell>
          <cell r="N56">
            <v>16868471</v>
          </cell>
          <cell r="O56">
            <v>0</v>
          </cell>
          <cell r="P56">
            <v>0</v>
          </cell>
        </row>
        <row r="57">
          <cell r="C57">
            <v>1</v>
          </cell>
          <cell r="D57">
            <v>0</v>
          </cell>
          <cell r="E57">
            <v>0</v>
          </cell>
          <cell r="F57">
            <v>1</v>
          </cell>
          <cell r="G57">
            <v>5</v>
          </cell>
          <cell r="H57">
            <v>0</v>
          </cell>
          <cell r="I57">
            <v>0</v>
          </cell>
          <cell r="J57">
            <v>1</v>
          </cell>
          <cell r="K57">
            <v>0</v>
          </cell>
          <cell r="L57">
            <v>6</v>
          </cell>
          <cell r="M57" t="str">
            <v>S</v>
          </cell>
          <cell r="N57">
            <v>12651354</v>
          </cell>
          <cell r="O57">
            <v>0</v>
          </cell>
          <cell r="P57">
            <v>1</v>
          </cell>
        </row>
        <row r="58">
          <cell r="C58">
            <v>0</v>
          </cell>
          <cell r="D58">
            <v>1</v>
          </cell>
          <cell r="E58">
            <v>0</v>
          </cell>
          <cell r="F58">
            <v>1</v>
          </cell>
          <cell r="G58">
            <v>1</v>
          </cell>
          <cell r="H58">
            <v>0</v>
          </cell>
          <cell r="I58">
            <v>0</v>
          </cell>
          <cell r="J58">
            <v>0</v>
          </cell>
          <cell r="K58">
            <v>0</v>
          </cell>
          <cell r="L58">
            <v>1</v>
          </cell>
          <cell r="M58" t="str">
            <v>S</v>
          </cell>
          <cell r="N58">
            <v>5622823</v>
          </cell>
          <cell r="O58">
            <v>0</v>
          </cell>
          <cell r="P58">
            <v>0</v>
          </cell>
        </row>
        <row r="59">
          <cell r="C59">
            <v>0</v>
          </cell>
          <cell r="D59">
            <v>0</v>
          </cell>
          <cell r="E59">
            <v>2</v>
          </cell>
          <cell r="F59">
            <v>2</v>
          </cell>
          <cell r="G59">
            <v>0</v>
          </cell>
          <cell r="H59">
            <v>0</v>
          </cell>
          <cell r="I59">
            <v>0</v>
          </cell>
          <cell r="J59">
            <v>0</v>
          </cell>
          <cell r="K59">
            <v>0</v>
          </cell>
          <cell r="L59">
            <v>0</v>
          </cell>
          <cell r="M59" t="str">
            <v>M</v>
          </cell>
          <cell r="N59">
            <v>6747388</v>
          </cell>
          <cell r="O59">
            <v>0</v>
          </cell>
          <cell r="P59">
            <v>0</v>
          </cell>
        </row>
        <row r="60">
          <cell r="C60">
            <v>0</v>
          </cell>
          <cell r="D60">
            <v>0</v>
          </cell>
          <cell r="E60">
            <v>1</v>
          </cell>
          <cell r="F60">
            <v>1</v>
          </cell>
          <cell r="G60">
            <v>0</v>
          </cell>
          <cell r="H60">
            <v>0</v>
          </cell>
          <cell r="I60">
            <v>0</v>
          </cell>
          <cell r="J60">
            <v>0</v>
          </cell>
          <cell r="K60">
            <v>0</v>
          </cell>
          <cell r="L60">
            <v>0</v>
          </cell>
          <cell r="M60" t="str">
            <v>S</v>
          </cell>
          <cell r="N60">
            <v>4498259</v>
          </cell>
          <cell r="O60">
            <v>0</v>
          </cell>
          <cell r="P60">
            <v>1</v>
          </cell>
        </row>
        <row r="61">
          <cell r="C61">
            <v>0</v>
          </cell>
          <cell r="D61">
            <v>0</v>
          </cell>
          <cell r="E61">
            <v>3</v>
          </cell>
          <cell r="F61">
            <v>3</v>
          </cell>
          <cell r="G61">
            <v>0</v>
          </cell>
          <cell r="H61">
            <v>0</v>
          </cell>
          <cell r="I61">
            <v>0</v>
          </cell>
          <cell r="J61">
            <v>0</v>
          </cell>
          <cell r="K61">
            <v>0</v>
          </cell>
          <cell r="L61">
            <v>0</v>
          </cell>
          <cell r="M61" t="str">
            <v>M</v>
          </cell>
          <cell r="N61">
            <v>10121082</v>
          </cell>
          <cell r="O61">
            <v>0</v>
          </cell>
          <cell r="P61">
            <v>0</v>
          </cell>
        </row>
        <row r="62">
          <cell r="C62">
            <v>0</v>
          </cell>
          <cell r="D62">
            <v>1</v>
          </cell>
          <cell r="E62">
            <v>0</v>
          </cell>
          <cell r="F62">
            <v>1</v>
          </cell>
          <cell r="G62">
            <v>2</v>
          </cell>
          <cell r="H62">
            <v>0</v>
          </cell>
          <cell r="I62">
            <v>0</v>
          </cell>
          <cell r="J62">
            <v>0</v>
          </cell>
          <cell r="K62">
            <v>0</v>
          </cell>
          <cell r="L62">
            <v>2</v>
          </cell>
          <cell r="M62" t="str">
            <v>S</v>
          </cell>
          <cell r="N62">
            <v>6747388</v>
          </cell>
          <cell r="O62">
            <v>0</v>
          </cell>
          <cell r="P62">
            <v>0</v>
          </cell>
        </row>
        <row r="63">
          <cell r="C63">
            <v>0</v>
          </cell>
          <cell r="D63">
            <v>1</v>
          </cell>
          <cell r="E63">
            <v>0</v>
          </cell>
          <cell r="F63">
            <v>1</v>
          </cell>
          <cell r="G63">
            <v>0</v>
          </cell>
          <cell r="H63">
            <v>0</v>
          </cell>
          <cell r="I63">
            <v>0</v>
          </cell>
          <cell r="J63">
            <v>0</v>
          </cell>
          <cell r="K63">
            <v>0</v>
          </cell>
          <cell r="L63">
            <v>0</v>
          </cell>
          <cell r="M63" t="str">
            <v>S</v>
          </cell>
          <cell r="N63">
            <v>5622823</v>
          </cell>
          <cell r="O63">
            <v>0</v>
          </cell>
          <cell r="P63">
            <v>1</v>
          </cell>
        </row>
        <row r="64">
          <cell r="C64">
            <v>1</v>
          </cell>
          <cell r="D64">
            <v>0</v>
          </cell>
          <cell r="E64">
            <v>0</v>
          </cell>
          <cell r="F64">
            <v>1</v>
          </cell>
          <cell r="G64">
            <v>0</v>
          </cell>
          <cell r="H64">
            <v>0</v>
          </cell>
          <cell r="I64">
            <v>0</v>
          </cell>
          <cell r="J64">
            <v>0</v>
          </cell>
          <cell r="K64">
            <v>0</v>
          </cell>
          <cell r="L64">
            <v>0</v>
          </cell>
          <cell r="M64" t="str">
            <v>S</v>
          </cell>
          <cell r="N64">
            <v>6747388</v>
          </cell>
          <cell r="O64">
            <v>0</v>
          </cell>
          <cell r="P64">
            <v>1</v>
          </cell>
        </row>
        <row r="65">
          <cell r="C65">
            <v>0</v>
          </cell>
          <cell r="D65">
            <v>1</v>
          </cell>
          <cell r="E65">
            <v>0</v>
          </cell>
          <cell r="F65">
            <v>1</v>
          </cell>
          <cell r="G65">
            <v>0</v>
          </cell>
          <cell r="H65">
            <v>0</v>
          </cell>
          <cell r="I65">
            <v>0</v>
          </cell>
          <cell r="J65">
            <v>0</v>
          </cell>
          <cell r="K65">
            <v>0</v>
          </cell>
          <cell r="L65">
            <v>0</v>
          </cell>
          <cell r="M65" t="str">
            <v>S</v>
          </cell>
          <cell r="N65">
            <v>5622823</v>
          </cell>
          <cell r="O65">
            <v>0</v>
          </cell>
          <cell r="P65">
            <v>1</v>
          </cell>
        </row>
        <row r="66">
          <cell r="C66">
            <v>0</v>
          </cell>
          <cell r="D66">
            <v>0</v>
          </cell>
          <cell r="E66">
            <v>1</v>
          </cell>
          <cell r="F66">
            <v>1</v>
          </cell>
          <cell r="G66">
            <v>0</v>
          </cell>
          <cell r="H66">
            <v>0</v>
          </cell>
          <cell r="I66">
            <v>0</v>
          </cell>
          <cell r="J66">
            <v>0</v>
          </cell>
          <cell r="K66">
            <v>0</v>
          </cell>
          <cell r="L66">
            <v>0</v>
          </cell>
          <cell r="M66" t="str">
            <v>S</v>
          </cell>
          <cell r="N66">
            <v>3373694</v>
          </cell>
          <cell r="O66">
            <v>0</v>
          </cell>
          <cell r="P66">
            <v>0</v>
          </cell>
        </row>
        <row r="67">
          <cell r="C67">
            <v>0</v>
          </cell>
          <cell r="D67">
            <v>1</v>
          </cell>
          <cell r="E67">
            <v>0</v>
          </cell>
          <cell r="F67">
            <v>1</v>
          </cell>
          <cell r="G67">
            <v>0</v>
          </cell>
          <cell r="H67">
            <v>0</v>
          </cell>
          <cell r="I67">
            <v>0</v>
          </cell>
          <cell r="J67">
            <v>0</v>
          </cell>
          <cell r="K67">
            <v>1</v>
          </cell>
          <cell r="L67">
            <v>1</v>
          </cell>
          <cell r="M67" t="str">
            <v>S</v>
          </cell>
          <cell r="N67">
            <v>5763394</v>
          </cell>
          <cell r="O67">
            <v>0</v>
          </cell>
          <cell r="P67">
            <v>1</v>
          </cell>
        </row>
        <row r="68">
          <cell r="C68">
            <v>0</v>
          </cell>
          <cell r="D68">
            <v>0</v>
          </cell>
          <cell r="E68">
            <v>1</v>
          </cell>
          <cell r="F68">
            <v>1</v>
          </cell>
          <cell r="G68">
            <v>0</v>
          </cell>
          <cell r="H68">
            <v>0</v>
          </cell>
          <cell r="I68">
            <v>0</v>
          </cell>
          <cell r="J68">
            <v>0</v>
          </cell>
          <cell r="K68">
            <v>0</v>
          </cell>
          <cell r="L68">
            <v>0</v>
          </cell>
          <cell r="M68" t="str">
            <v>S</v>
          </cell>
          <cell r="N68">
            <v>3935976</v>
          </cell>
          <cell r="O68">
            <v>1</v>
          </cell>
          <cell r="P68">
            <v>0</v>
          </cell>
        </row>
        <row r="69">
          <cell r="C69">
            <v>0</v>
          </cell>
          <cell r="D69">
            <v>0</v>
          </cell>
          <cell r="E69">
            <v>1</v>
          </cell>
          <cell r="F69">
            <v>1</v>
          </cell>
          <cell r="G69">
            <v>0</v>
          </cell>
          <cell r="H69">
            <v>0</v>
          </cell>
          <cell r="I69">
            <v>0</v>
          </cell>
          <cell r="J69">
            <v>0</v>
          </cell>
          <cell r="K69">
            <v>0</v>
          </cell>
          <cell r="L69">
            <v>0</v>
          </cell>
          <cell r="M69" t="str">
            <v>S</v>
          </cell>
          <cell r="N69">
            <v>5622824</v>
          </cell>
          <cell r="O69">
            <v>0</v>
          </cell>
          <cell r="P69">
            <v>2</v>
          </cell>
        </row>
        <row r="70">
          <cell r="C70">
            <v>1</v>
          </cell>
          <cell r="D70">
            <v>0</v>
          </cell>
          <cell r="E70">
            <v>0</v>
          </cell>
          <cell r="F70">
            <v>1</v>
          </cell>
          <cell r="G70">
            <v>1</v>
          </cell>
          <cell r="H70">
            <v>0</v>
          </cell>
          <cell r="I70">
            <v>0</v>
          </cell>
          <cell r="J70">
            <v>1</v>
          </cell>
          <cell r="K70">
            <v>0</v>
          </cell>
          <cell r="L70">
            <v>2</v>
          </cell>
          <cell r="M70" t="str">
            <v>S</v>
          </cell>
          <cell r="N70">
            <v>8153094</v>
          </cell>
          <cell r="O70">
            <v>0</v>
          </cell>
          <cell r="P70">
            <v>1</v>
          </cell>
        </row>
        <row r="71">
          <cell r="C71">
            <v>0</v>
          </cell>
          <cell r="D71">
            <v>2</v>
          </cell>
          <cell r="E71">
            <v>0</v>
          </cell>
          <cell r="F71">
            <v>2</v>
          </cell>
          <cell r="G71">
            <v>0</v>
          </cell>
          <cell r="H71">
            <v>0</v>
          </cell>
          <cell r="I71">
            <v>0</v>
          </cell>
          <cell r="J71">
            <v>0</v>
          </cell>
          <cell r="K71">
            <v>0</v>
          </cell>
          <cell r="L71">
            <v>0</v>
          </cell>
          <cell r="M71" t="str">
            <v>M</v>
          </cell>
          <cell r="N71">
            <v>7871952</v>
          </cell>
          <cell r="O71">
            <v>0</v>
          </cell>
          <cell r="P71">
            <v>0</v>
          </cell>
        </row>
        <row r="72">
          <cell r="C72">
            <v>0</v>
          </cell>
          <cell r="D72">
            <v>1</v>
          </cell>
          <cell r="E72">
            <v>0</v>
          </cell>
          <cell r="F72">
            <v>1</v>
          </cell>
          <cell r="G72">
            <v>0</v>
          </cell>
          <cell r="H72">
            <v>0</v>
          </cell>
          <cell r="I72">
            <v>0</v>
          </cell>
          <cell r="J72">
            <v>0</v>
          </cell>
          <cell r="K72">
            <v>0</v>
          </cell>
          <cell r="L72">
            <v>0</v>
          </cell>
          <cell r="M72" t="str">
            <v>S</v>
          </cell>
          <cell r="N72">
            <v>7871953</v>
          </cell>
          <cell r="O72">
            <v>0</v>
          </cell>
          <cell r="P72">
            <v>3</v>
          </cell>
        </row>
        <row r="73">
          <cell r="C73">
            <v>0</v>
          </cell>
          <cell r="D73">
            <v>2</v>
          </cell>
          <cell r="E73">
            <v>0</v>
          </cell>
          <cell r="F73">
            <v>2</v>
          </cell>
          <cell r="G73">
            <v>0</v>
          </cell>
          <cell r="H73">
            <v>0</v>
          </cell>
          <cell r="I73">
            <v>0</v>
          </cell>
          <cell r="J73">
            <v>0</v>
          </cell>
          <cell r="K73">
            <v>0</v>
          </cell>
          <cell r="L73">
            <v>0</v>
          </cell>
          <cell r="M73" t="str">
            <v>M</v>
          </cell>
          <cell r="N73">
            <v>11245647</v>
          </cell>
          <cell r="O73">
            <v>0</v>
          </cell>
          <cell r="P73">
            <v>3</v>
          </cell>
        </row>
        <row r="74">
          <cell r="C74">
            <v>0</v>
          </cell>
          <cell r="D74">
            <v>2</v>
          </cell>
          <cell r="E74">
            <v>1</v>
          </cell>
          <cell r="F74">
            <v>3</v>
          </cell>
          <cell r="G74">
            <v>0</v>
          </cell>
          <cell r="H74">
            <v>0</v>
          </cell>
          <cell r="I74">
            <v>0</v>
          </cell>
          <cell r="J74">
            <v>0</v>
          </cell>
          <cell r="K74">
            <v>0</v>
          </cell>
          <cell r="L74">
            <v>0</v>
          </cell>
          <cell r="M74" t="str">
            <v>M</v>
          </cell>
          <cell r="N74">
            <v>11245646</v>
          </cell>
          <cell r="O74">
            <v>0</v>
          </cell>
          <cell r="P74">
            <v>0</v>
          </cell>
        </row>
        <row r="75">
          <cell r="C75">
            <v>0</v>
          </cell>
          <cell r="D75">
            <v>1</v>
          </cell>
          <cell r="E75">
            <v>0</v>
          </cell>
          <cell r="F75">
            <v>1</v>
          </cell>
          <cell r="G75">
            <v>0</v>
          </cell>
          <cell r="H75">
            <v>0</v>
          </cell>
          <cell r="I75">
            <v>0</v>
          </cell>
          <cell r="J75">
            <v>0</v>
          </cell>
          <cell r="K75">
            <v>0</v>
          </cell>
          <cell r="L75">
            <v>0</v>
          </cell>
          <cell r="M75" t="str">
            <v>S</v>
          </cell>
          <cell r="N75">
            <v>4498258</v>
          </cell>
          <cell r="O75">
            <v>0</v>
          </cell>
          <cell r="P75">
            <v>0</v>
          </cell>
        </row>
        <row r="76">
          <cell r="C76">
            <v>0</v>
          </cell>
          <cell r="D76">
            <v>0</v>
          </cell>
          <cell r="E76">
            <v>2</v>
          </cell>
          <cell r="F76">
            <v>2</v>
          </cell>
          <cell r="G76">
            <v>0</v>
          </cell>
          <cell r="H76">
            <v>0</v>
          </cell>
          <cell r="I76">
            <v>0</v>
          </cell>
          <cell r="J76">
            <v>1</v>
          </cell>
          <cell r="K76">
            <v>0</v>
          </cell>
          <cell r="L76">
            <v>1</v>
          </cell>
          <cell r="M76" t="str">
            <v>S</v>
          </cell>
          <cell r="N76">
            <v>7028529</v>
          </cell>
          <cell r="O76">
            <v>0</v>
          </cell>
          <cell r="P76">
            <v>0</v>
          </cell>
        </row>
        <row r="77">
          <cell r="C77">
            <v>0</v>
          </cell>
          <cell r="D77">
            <v>0</v>
          </cell>
          <cell r="E77">
            <v>1</v>
          </cell>
          <cell r="F77">
            <v>1</v>
          </cell>
          <cell r="G77">
            <v>0</v>
          </cell>
          <cell r="H77">
            <v>0</v>
          </cell>
          <cell r="I77">
            <v>0</v>
          </cell>
          <cell r="J77">
            <v>0</v>
          </cell>
          <cell r="K77">
            <v>0</v>
          </cell>
          <cell r="L77">
            <v>0</v>
          </cell>
          <cell r="M77" t="str">
            <v>S</v>
          </cell>
          <cell r="N77">
            <v>3935976</v>
          </cell>
          <cell r="O77">
            <v>1</v>
          </cell>
          <cell r="P77">
            <v>0</v>
          </cell>
        </row>
        <row r="78">
          <cell r="C78">
            <v>0</v>
          </cell>
          <cell r="D78">
            <v>0</v>
          </cell>
          <cell r="E78">
            <v>2</v>
          </cell>
          <cell r="F78">
            <v>2</v>
          </cell>
          <cell r="G78">
            <v>0</v>
          </cell>
          <cell r="H78">
            <v>0</v>
          </cell>
          <cell r="I78">
            <v>0</v>
          </cell>
          <cell r="J78">
            <v>0</v>
          </cell>
          <cell r="K78">
            <v>0</v>
          </cell>
          <cell r="L78">
            <v>0</v>
          </cell>
          <cell r="M78" t="str">
            <v>M</v>
          </cell>
          <cell r="N78">
            <v>6747388</v>
          </cell>
          <cell r="O78">
            <v>0</v>
          </cell>
          <cell r="P78">
            <v>0</v>
          </cell>
        </row>
        <row r="79">
          <cell r="C79">
            <v>0</v>
          </cell>
          <cell r="D79">
            <v>1</v>
          </cell>
          <cell r="E79">
            <v>1</v>
          </cell>
          <cell r="F79">
            <v>2</v>
          </cell>
          <cell r="G79">
            <v>0</v>
          </cell>
          <cell r="H79">
            <v>0</v>
          </cell>
          <cell r="I79">
            <v>0</v>
          </cell>
          <cell r="J79">
            <v>0</v>
          </cell>
          <cell r="K79">
            <v>0</v>
          </cell>
          <cell r="L79">
            <v>0</v>
          </cell>
          <cell r="M79" t="str">
            <v>M</v>
          </cell>
          <cell r="N79">
            <v>7309670</v>
          </cell>
          <cell r="O79">
            <v>0</v>
          </cell>
          <cell r="P79">
            <v>0</v>
          </cell>
        </row>
        <row r="80">
          <cell r="C80">
            <v>0</v>
          </cell>
          <cell r="D80">
            <v>0</v>
          </cell>
          <cell r="E80">
            <v>2</v>
          </cell>
          <cell r="F80">
            <v>2</v>
          </cell>
          <cell r="G80">
            <v>0</v>
          </cell>
          <cell r="H80">
            <v>0</v>
          </cell>
          <cell r="I80">
            <v>1</v>
          </cell>
          <cell r="J80">
            <v>0</v>
          </cell>
          <cell r="K80">
            <v>0</v>
          </cell>
          <cell r="L80">
            <v>1</v>
          </cell>
          <cell r="M80" t="str">
            <v>M</v>
          </cell>
          <cell r="N80">
            <v>8434235</v>
          </cell>
          <cell r="O80">
            <v>0</v>
          </cell>
          <cell r="P80">
            <v>1</v>
          </cell>
        </row>
      </sheetData>
      <sheetData sheetId="32" refreshError="1"/>
      <sheetData sheetId="33" refreshError="1"/>
      <sheetData sheetId="34" refreshError="1"/>
      <sheetData sheetId="35">
        <row r="10">
          <cell r="C10">
            <v>18749</v>
          </cell>
          <cell r="D10">
            <v>9375</v>
          </cell>
          <cell r="E10">
            <v>9375</v>
          </cell>
          <cell r="I10">
            <v>938</v>
          </cell>
          <cell r="J10">
            <v>703</v>
          </cell>
          <cell r="K10">
            <v>469</v>
          </cell>
          <cell r="L10">
            <v>234</v>
          </cell>
          <cell r="M10">
            <v>100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ote"/>
      <sheetName val="Ex-C"/>
      <sheetName val="Exhibit C data"/>
      <sheetName val="Sheet5"/>
      <sheetName val="14-15 AD - source"/>
      <sheetName val="14-15 P1 - source"/>
      <sheetName val="14-15 P2 - source"/>
      <sheetName val="14-15 R1 - source"/>
      <sheetName val="14-15 summary (cert, pay)"/>
      <sheetName val="14-15 display (cert, pay)"/>
      <sheetName val="14-15 calc"/>
      <sheetName val="14-15 P1 - calc"/>
      <sheetName val="14-15 P2 - calc"/>
      <sheetName val="14-15 R1 - calc"/>
      <sheetName val="14-15 deferrals, growth, EPA 1"/>
      <sheetName val="13-14 deferrals, growth, EPA 1"/>
      <sheetName val="12-13 deferrals, growth, EPA 3"/>
      <sheetName val="12-13 deferrals, growth, EPA 2"/>
      <sheetName val="12-13 deferrals, growth, EPA"/>
      <sheetName val="FTES"/>
      <sheetName val="PBF Run"/>
      <sheetName val="FTES Adjustment"/>
      <sheetName val="Restoration and Growth"/>
      <sheetName val="14-15 $140M Workload Restore"/>
      <sheetName val="13-14 $86M Workload Restore"/>
      <sheetName val="12-13 $48.9M Workload Restore"/>
      <sheetName val="11-12 Workload Reduction"/>
      <sheetName val="10-11 growth deficit"/>
      <sheetName val="10-11 WkLd126M"/>
      <sheetName val="09-10 189M reduction"/>
      <sheetName val="As of 13-14 R1"/>
      <sheetName val="Growth Deficit"/>
      <sheetName val="Foundation Grant"/>
      <sheetName val="Foundation Grant (OLD)"/>
      <sheetName val="Rates"/>
      <sheetName val="FTES rates, COLA"/>
      <sheetName val="basic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7">
          <cell r="AP7">
            <v>0</v>
          </cell>
        </row>
        <row r="8">
          <cell r="AP8">
            <v>0</v>
          </cell>
        </row>
        <row r="9">
          <cell r="AP9">
            <v>0</v>
          </cell>
        </row>
        <row r="10">
          <cell r="AP10">
            <v>0</v>
          </cell>
        </row>
        <row r="11">
          <cell r="AP11">
            <v>3533073</v>
          </cell>
        </row>
        <row r="12">
          <cell r="AP12">
            <v>0</v>
          </cell>
        </row>
        <row r="13">
          <cell r="AP13">
            <v>0</v>
          </cell>
        </row>
        <row r="14">
          <cell r="AP14">
            <v>0</v>
          </cell>
        </row>
        <row r="15">
          <cell r="AP15">
            <v>0</v>
          </cell>
        </row>
        <row r="16">
          <cell r="AP16">
            <v>0</v>
          </cell>
        </row>
        <row r="17">
          <cell r="AP17">
            <v>0</v>
          </cell>
        </row>
        <row r="18">
          <cell r="AP18">
            <v>0</v>
          </cell>
        </row>
        <row r="19">
          <cell r="AP19">
            <v>0</v>
          </cell>
        </row>
        <row r="20">
          <cell r="AP20">
            <v>0</v>
          </cell>
        </row>
        <row r="21">
          <cell r="AP21">
            <v>0</v>
          </cell>
        </row>
        <row r="22">
          <cell r="AP22">
            <v>266716</v>
          </cell>
        </row>
        <row r="23">
          <cell r="AP23">
            <v>0</v>
          </cell>
        </row>
        <row r="24">
          <cell r="AP24">
            <v>0</v>
          </cell>
        </row>
        <row r="25">
          <cell r="AP25">
            <v>0</v>
          </cell>
        </row>
        <row r="26">
          <cell r="AP26">
            <v>0</v>
          </cell>
        </row>
        <row r="27">
          <cell r="AP27">
            <v>0</v>
          </cell>
        </row>
        <row r="28">
          <cell r="AP28">
            <v>0</v>
          </cell>
        </row>
        <row r="29">
          <cell r="AP29">
            <v>0</v>
          </cell>
        </row>
        <row r="30">
          <cell r="AP30">
            <v>449290</v>
          </cell>
        </row>
        <row r="31">
          <cell r="AP31">
            <v>1372751</v>
          </cell>
        </row>
        <row r="32">
          <cell r="AP32">
            <v>0</v>
          </cell>
        </row>
        <row r="33">
          <cell r="AP33">
            <v>0</v>
          </cell>
        </row>
        <row r="34">
          <cell r="AP34">
            <v>0</v>
          </cell>
        </row>
        <row r="35">
          <cell r="AP35">
            <v>0</v>
          </cell>
        </row>
        <row r="36">
          <cell r="AP36">
            <v>1476403</v>
          </cell>
        </row>
        <row r="37">
          <cell r="AP37">
            <v>0</v>
          </cell>
        </row>
        <row r="38">
          <cell r="AP38">
            <v>0</v>
          </cell>
        </row>
        <row r="39">
          <cell r="AP39">
            <v>0</v>
          </cell>
        </row>
        <row r="40">
          <cell r="AP40">
            <v>0</v>
          </cell>
        </row>
        <row r="41">
          <cell r="AP41">
            <v>0</v>
          </cell>
        </row>
        <row r="42">
          <cell r="AP42">
            <v>105247</v>
          </cell>
        </row>
        <row r="43">
          <cell r="AP43">
            <v>0</v>
          </cell>
        </row>
        <row r="44">
          <cell r="AP44">
            <v>0</v>
          </cell>
        </row>
        <row r="45">
          <cell r="AP45">
            <v>1661405</v>
          </cell>
        </row>
        <row r="46">
          <cell r="AP46">
            <v>0</v>
          </cell>
        </row>
        <row r="47">
          <cell r="AP47">
            <v>0</v>
          </cell>
        </row>
        <row r="48">
          <cell r="AP48">
            <v>0</v>
          </cell>
        </row>
        <row r="49">
          <cell r="AP49">
            <v>0</v>
          </cell>
        </row>
        <row r="50">
          <cell r="AP50">
            <v>906732</v>
          </cell>
        </row>
        <row r="51">
          <cell r="AP51">
            <v>0</v>
          </cell>
        </row>
        <row r="52">
          <cell r="AP52">
            <v>0</v>
          </cell>
        </row>
        <row r="53">
          <cell r="AP53">
            <v>0</v>
          </cell>
        </row>
        <row r="54">
          <cell r="AP54">
            <v>0</v>
          </cell>
        </row>
        <row r="55">
          <cell r="AP55">
            <v>0</v>
          </cell>
        </row>
        <row r="56">
          <cell r="AP56">
            <v>0</v>
          </cell>
        </row>
        <row r="57">
          <cell r="AP57">
            <v>0</v>
          </cell>
        </row>
        <row r="58">
          <cell r="AP58">
            <v>0</v>
          </cell>
        </row>
        <row r="59">
          <cell r="AP59">
            <v>0</v>
          </cell>
        </row>
        <row r="60">
          <cell r="AP60">
            <v>3319053</v>
          </cell>
        </row>
        <row r="61">
          <cell r="AP61">
            <v>0</v>
          </cell>
        </row>
        <row r="62">
          <cell r="AP62">
            <v>0</v>
          </cell>
        </row>
        <row r="63">
          <cell r="AP63">
            <v>0</v>
          </cell>
        </row>
        <row r="64">
          <cell r="AP64">
            <v>2292171</v>
          </cell>
        </row>
        <row r="65">
          <cell r="AP65">
            <v>5692292</v>
          </cell>
        </row>
        <row r="66">
          <cell r="AP66">
            <v>317950</v>
          </cell>
        </row>
        <row r="67">
          <cell r="AP67">
            <v>0</v>
          </cell>
        </row>
        <row r="68">
          <cell r="AP68">
            <v>0</v>
          </cell>
        </row>
        <row r="69">
          <cell r="AP69">
            <v>14421919</v>
          </cell>
        </row>
        <row r="70">
          <cell r="AP70">
            <v>0</v>
          </cell>
        </row>
        <row r="71">
          <cell r="AP71">
            <v>0</v>
          </cell>
        </row>
        <row r="72">
          <cell r="AP72">
            <v>0</v>
          </cell>
        </row>
        <row r="73">
          <cell r="AP73">
            <v>0</v>
          </cell>
        </row>
        <row r="74">
          <cell r="AP74">
            <v>0</v>
          </cell>
        </row>
        <row r="75">
          <cell r="AP75">
            <v>0</v>
          </cell>
        </row>
        <row r="76">
          <cell r="AP76">
            <v>21769</v>
          </cell>
        </row>
        <row r="77">
          <cell r="AP77">
            <v>0</v>
          </cell>
        </row>
        <row r="78">
          <cell r="AP78">
            <v>3922900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AB83"/>
  <sheetViews>
    <sheetView zoomScaleNormal="100" workbookViewId="0">
      <pane xSplit="2" ySplit="1" topLeftCell="H2" activePane="bottomRight" state="frozen"/>
      <selection activeCell="U20" sqref="U20"/>
      <selection pane="topRight" activeCell="U20" sqref="U20"/>
      <selection pane="bottomLeft" activeCell="U20" sqref="U20"/>
      <selection pane="bottomRight" activeCell="R27" sqref="R27"/>
    </sheetView>
  </sheetViews>
  <sheetFormatPr defaultColWidth="9.140625" defaultRowHeight="12.75"/>
  <cols>
    <col min="1" max="1" width="22.140625" style="499" customWidth="1"/>
    <col min="2" max="2" width="1.42578125" style="499" customWidth="1"/>
    <col min="3" max="5" width="10.7109375" style="499" customWidth="1"/>
    <col min="6" max="6" width="1.42578125" style="499" customWidth="1"/>
    <col min="7" max="13" width="10.7109375" style="499" customWidth="1"/>
    <col min="14" max="14" width="1.42578125" style="499" customWidth="1"/>
    <col min="15" max="18" width="10.7109375" style="499" customWidth="1"/>
    <col min="19" max="19" width="1.42578125" style="499" customWidth="1"/>
    <col min="20" max="26" width="10.7109375" style="507" customWidth="1"/>
    <col min="27" max="28" width="14.28515625" style="499" customWidth="1"/>
    <col min="29" max="16384" width="9.140625" style="499"/>
  </cols>
  <sheetData>
    <row r="1" spans="1:28" ht="51">
      <c r="A1" s="443" t="s">
        <v>550</v>
      </c>
      <c r="B1" s="446"/>
      <c r="C1" s="443" t="s">
        <v>551</v>
      </c>
      <c r="D1" s="443" t="s">
        <v>552</v>
      </c>
      <c r="E1" s="443" t="s">
        <v>722</v>
      </c>
      <c r="F1" s="443"/>
      <c r="G1" s="443" t="s">
        <v>721</v>
      </c>
      <c r="H1" s="443" t="s">
        <v>613</v>
      </c>
      <c r="I1" s="443" t="s">
        <v>723</v>
      </c>
      <c r="J1" s="443" t="s">
        <v>616</v>
      </c>
      <c r="K1" s="443" t="s">
        <v>617</v>
      </c>
      <c r="L1" s="443" t="s">
        <v>618</v>
      </c>
      <c r="M1" s="443" t="s">
        <v>619</v>
      </c>
      <c r="N1" s="443"/>
      <c r="O1" s="443" t="s">
        <v>621</v>
      </c>
      <c r="P1" s="443" t="s">
        <v>725</v>
      </c>
      <c r="Q1" s="443" t="s">
        <v>724</v>
      </c>
      <c r="R1" s="443" t="s">
        <v>726</v>
      </c>
      <c r="S1" s="443"/>
      <c r="T1" s="503" t="s">
        <v>620</v>
      </c>
      <c r="U1" s="503" t="s">
        <v>729</v>
      </c>
      <c r="V1" s="503" t="s">
        <v>622</v>
      </c>
      <c r="W1" s="503" t="s">
        <v>623</v>
      </c>
      <c r="X1" s="503" t="s">
        <v>728</v>
      </c>
      <c r="Y1" s="612" t="s">
        <v>727</v>
      </c>
      <c r="Z1" s="443" t="str">
        <f>E1</f>
        <v>2015-16 Restoration
Availability</v>
      </c>
      <c r="AA1" s="443"/>
      <c r="AB1" s="443"/>
    </row>
    <row r="2" spans="1:28" hidden="1">
      <c r="A2" s="444" t="s">
        <v>110</v>
      </c>
      <c r="B2" s="444"/>
      <c r="C2" s="444">
        <f>'2013-14'!S9+'2013-14'!T9+('2013-14 FTES'!DA9*'2013-14'!N9)</f>
        <v>952922.06847237551</v>
      </c>
      <c r="D2" s="444">
        <f>'2014-15 ExC'!BM2+'2014-15 ExC'!BL2+('2014-15 ExC'!AF2*'2014-15'!F2)</f>
        <v>1402456.5417614998</v>
      </c>
      <c r="E2" s="444">
        <f>'2014-15 Rest'!CD9</f>
        <v>0</v>
      </c>
      <c r="F2" s="444"/>
      <c r="G2" s="497">
        <f>Demographics!B2/Demographics!B$74</f>
        <v>6.6255817931777355E-3</v>
      </c>
      <c r="H2" s="497">
        <f>Demographics!C2/Demographics!C$74</f>
        <v>5.2752610388535383E-3</v>
      </c>
      <c r="I2" s="497">
        <f>Demographics!D2/Demographics!D$74</f>
        <v>5.3255215998813405E-3</v>
      </c>
      <c r="J2" s="497">
        <f>(G2*G$75)+(H2*H$75)+(I2*I$75)</f>
        <v>5.962986556272587E-3</v>
      </c>
      <c r="K2" s="497">
        <f>('2014-15'!AJ2+'2014-15'!AN2+'2014-15 ExC'!BL2+'2014-15 ExC'!BM2)/('2014-15'!AJ$74+'2014-15'!AN$74+'2014-15 ExC'!BL$74+'2014-15 ExC'!BM$74)</f>
        <v>8.3736615099611802E-3</v>
      </c>
      <c r="L2" s="497">
        <f>J2-K2</f>
        <v>-2.4106749536885932E-3</v>
      </c>
      <c r="M2" s="497">
        <f>IF(L2&gt;0,L2,0)</f>
        <v>0</v>
      </c>
      <c r="N2" s="444"/>
      <c r="O2" s="444">
        <f>('2014-15'!AJ2+'2014-15'!AN2+'2014-15 ExC'!BL2+'2014-15 ExC'!BM2)*O$75</f>
        <v>649147.41836999997</v>
      </c>
      <c r="P2" s="444">
        <f t="shared" ref="P2:P65" si="0">M2/M$74*P$74</f>
        <v>0</v>
      </c>
      <c r="Q2" s="444">
        <f>O2+P2</f>
        <v>649147.41836999997</v>
      </c>
      <c r="R2" s="497">
        <f>Q2/('2014-15'!AJ2+'2014-15'!AN2+'2014-15 ExC'!BL2+'2014-15 ExC'!BM2)</f>
        <v>1.4969999999999999E-2</v>
      </c>
      <c r="S2" s="444"/>
      <c r="T2" s="504">
        <f t="shared" ref="T2:T65" si="1">IF((C2*C$75)+(D2*D$75)+(Q2*Q$75)-E2&lt;0,0,(C2*C$75)+(D2*D$75)+(Q2*Q$75)-E2)</f>
        <v>913418.36174346879</v>
      </c>
      <c r="U2" s="504">
        <f>('2014-15'!AJ2+'2014-15'!AN2+'2014-15 ExC'!BL2+'2014-15 ExC'!BM2)*0.01</f>
        <v>433632.21</v>
      </c>
      <c r="V2" s="504">
        <f>IF((T2-U2)&lt;0,0,T2-U2)</f>
        <v>479786.15174346877</v>
      </c>
      <c r="W2" s="504">
        <f>V2/V$74*(Q$74-U$74)</f>
        <v>420437.66264449008</v>
      </c>
      <c r="X2" s="502">
        <f>U2+W2</f>
        <v>854069.8726444901</v>
      </c>
      <c r="Y2" s="613">
        <f>X2/('2014-15'!AJ2+'2014-15'!AN2+'2014-15 ExC'!BL2+'2014-15 ExC'!BM2)</f>
        <v>1.9695720312024101E-2</v>
      </c>
      <c r="Z2" s="497">
        <f>E2/('2014-15'!AJ2+'2014-15'!AN2+'2014-15 ExC'!BL2+'2014-15 ExC'!BM2)</f>
        <v>0</v>
      </c>
      <c r="AA2" s="444"/>
      <c r="AB2" s="444"/>
    </row>
    <row r="3" spans="1:28" hidden="1">
      <c r="A3" s="444" t="s">
        <v>111</v>
      </c>
      <c r="B3" s="444"/>
      <c r="C3" s="444">
        <f>'2013-14'!S10+'2013-14'!T10+('2013-14 FTES'!DA10*'2013-14'!N10)</f>
        <v>2399867.776161307</v>
      </c>
      <c r="D3" s="444">
        <f>'2014-15 ExC'!BM3+'2014-15 ExC'!BL3+('2014-15 ExC'!AF3*'2014-15'!F3)</f>
        <v>1836282.5604651098</v>
      </c>
      <c r="E3" s="444">
        <f>'2014-15 Rest'!CD10</f>
        <v>0</v>
      </c>
      <c r="F3" s="444"/>
      <c r="G3" s="497">
        <f>Demographics!B3/Demographics!B$74</f>
        <v>1.2410168968107744E-2</v>
      </c>
      <c r="H3" s="497">
        <f>Demographics!C3/Demographics!C$74</f>
        <v>1.1625882980315102E-2</v>
      </c>
      <c r="I3" s="497">
        <f>Demographics!D3/Demographics!D$74</f>
        <v>1.0287496358797414E-2</v>
      </c>
      <c r="J3" s="497">
        <f t="shared" ref="J3:J66" si="2">(G3*G$75)+(H3*H$75)+(I3*I$75)</f>
        <v>1.1683429318832001E-2</v>
      </c>
      <c r="K3" s="497">
        <f>('2014-15'!AJ3+'2014-15'!AN3+'2014-15 ExC'!BL3+'2014-15 ExC'!BM3)/('2014-15'!AJ$74+'2014-15'!AN$74+'2014-15 ExC'!BL$74+'2014-15 ExC'!BM$74)</f>
        <v>1.0113787868527499E-2</v>
      </c>
      <c r="L3" s="497">
        <f t="shared" ref="L3:L66" si="3">J3-K3</f>
        <v>1.5696414503045021E-3</v>
      </c>
      <c r="M3" s="497">
        <f t="shared" ref="M3:M66" si="4">IF(L3&gt;0,L3,0)</f>
        <v>1.5696414503045021E-3</v>
      </c>
      <c r="N3" s="444"/>
      <c r="O3" s="444">
        <f>('2014-15'!AJ3+'2014-15'!AN3+'2014-15 ExC'!BL3+'2014-15 ExC'!BM3)*O$75</f>
        <v>784046.41469999996</v>
      </c>
      <c r="P3" s="444">
        <f t="shared" si="0"/>
        <v>678317.51204160461</v>
      </c>
      <c r="Q3" s="444">
        <f t="shared" ref="Q3:Q66" si="5">O3+P3</f>
        <v>1462363.9267416047</v>
      </c>
      <c r="R3" s="497">
        <f>Q3/('2014-15'!AJ3+'2014-15'!AN3+'2014-15 ExC'!BL3+'2014-15 ExC'!BM3)</f>
        <v>2.7921290848193229E-2</v>
      </c>
      <c r="S3" s="444"/>
      <c r="T3" s="504">
        <f t="shared" si="1"/>
        <v>1790219.5475274066</v>
      </c>
      <c r="U3" s="504">
        <f>('2014-15'!AJ3+'2014-15'!AN3+'2014-15 ExC'!BL3+'2014-15 ExC'!BM3)*0.01</f>
        <v>523745.10000000003</v>
      </c>
      <c r="V3" s="504">
        <f t="shared" ref="V3:V66" si="6">IF((T3-U3)&lt;0,0,T3-U3)</f>
        <v>1266474.4475274065</v>
      </c>
      <c r="W3" s="504">
        <f t="shared" ref="W3:W66" si="7">V3/V$74*(Q$74-U$74)</f>
        <v>1109814.3507945531</v>
      </c>
      <c r="X3" s="502">
        <f t="shared" ref="X3:X66" si="8">U3+W3</f>
        <v>1633559.4507945532</v>
      </c>
      <c r="Y3" s="613">
        <f>X3/('2014-15'!AJ3+'2014-15'!AN3+'2014-15 ExC'!BL3+'2014-15 ExC'!BM3)</f>
        <v>3.1189971052608477E-2</v>
      </c>
      <c r="Z3" s="497">
        <f>E3/('2014-15'!AJ3+'2014-15'!AN3+'2014-15 ExC'!BL3+'2014-15 ExC'!BM3)</f>
        <v>0</v>
      </c>
      <c r="AA3" s="444"/>
      <c r="AB3" s="444"/>
    </row>
    <row r="4" spans="1:28" hidden="1">
      <c r="A4" s="444" t="s">
        <v>112</v>
      </c>
      <c r="B4" s="444"/>
      <c r="C4" s="444">
        <f>'2013-14'!S11+'2013-14'!T11+('2013-14 FTES'!DA11*'2013-14'!N11)</f>
        <v>968892.00097710581</v>
      </c>
      <c r="D4" s="444">
        <f>'2014-15 ExC'!BM4+'2014-15 ExC'!BL4+('2014-15 ExC'!AF4*'2014-15'!F4)</f>
        <v>729515.86689249205</v>
      </c>
      <c r="E4" s="444">
        <f>'2014-15 Rest'!CD11</f>
        <v>0</v>
      </c>
      <c r="F4" s="444"/>
      <c r="G4" s="497">
        <f>Demographics!B4/Demographics!B$74</f>
        <v>1.6691667648270571E-3</v>
      </c>
      <c r="H4" s="497">
        <f>Demographics!C4/Demographics!C$74</f>
        <v>1.2902124066262897E-3</v>
      </c>
      <c r="I4" s="497">
        <f>Demographics!D4/Demographics!D$74</f>
        <v>2.2688228192732579E-3</v>
      </c>
      <c r="J4" s="497">
        <f t="shared" si="2"/>
        <v>1.7243421888884153E-3</v>
      </c>
      <c r="K4" s="497">
        <f>('2014-15'!AJ4+'2014-15'!AN4+'2014-15 ExC'!BL4+'2014-15 ExC'!BM4)/('2014-15'!AJ$74+'2014-15'!AN$74+'2014-15 ExC'!BL$74+'2014-15 ExC'!BM$74)</f>
        <v>2.1226717257133961E-3</v>
      </c>
      <c r="L4" s="497">
        <f t="shared" si="3"/>
        <v>-3.9832953682498074E-4</v>
      </c>
      <c r="M4" s="497">
        <f t="shared" si="4"/>
        <v>0</v>
      </c>
      <c r="N4" s="444"/>
      <c r="O4" s="444">
        <f>('2014-15'!AJ4+'2014-15'!AN4+'2014-15 ExC'!BL4+'2014-15 ExC'!BM4)*O$75</f>
        <v>164554.88069999998</v>
      </c>
      <c r="P4" s="444">
        <f t="shared" si="0"/>
        <v>0</v>
      </c>
      <c r="Q4" s="444">
        <f t="shared" si="5"/>
        <v>164554.88069999998</v>
      </c>
      <c r="R4" s="497">
        <f>Q4/('2014-15'!AJ4+'2014-15'!AN4+'2014-15 ExC'!BL4+'2014-15 ExC'!BM4)</f>
        <v>1.4969999999999999E-2</v>
      </c>
      <c r="S4" s="444"/>
      <c r="T4" s="504">
        <f t="shared" si="1"/>
        <v>506879.40731739945</v>
      </c>
      <c r="U4" s="504">
        <f>('2014-15'!AJ4+'2014-15'!AN4+'2014-15 ExC'!BL4+'2014-15 ExC'!BM4)*0.01</f>
        <v>109923.1</v>
      </c>
      <c r="V4" s="504">
        <f t="shared" si="6"/>
        <v>396956.30731739942</v>
      </c>
      <c r="W4" s="504">
        <f t="shared" si="7"/>
        <v>347853.68734392035</v>
      </c>
      <c r="X4" s="502">
        <f t="shared" si="8"/>
        <v>457776.78734392032</v>
      </c>
      <c r="Y4" s="613">
        <f>X4/('2014-15'!AJ4+'2014-15'!AN4+'2014-15 ExC'!BL4+'2014-15 ExC'!BM4)</f>
        <v>4.1645185347203663E-2</v>
      </c>
      <c r="Z4" s="497">
        <f>E4/('2014-15'!AJ4+'2014-15'!AN4+'2014-15 ExC'!BL4+'2014-15 ExC'!BM4)</f>
        <v>0</v>
      </c>
      <c r="AA4" s="444"/>
      <c r="AB4" s="444"/>
    </row>
    <row r="5" spans="1:28" hidden="1">
      <c r="A5" s="444" t="s">
        <v>113</v>
      </c>
      <c r="B5" s="444"/>
      <c r="C5" s="444">
        <f>'2013-14'!S12+'2013-14'!T12+('2013-14 FTES'!DA12*'2013-14'!N12)</f>
        <v>1067899.4153990748</v>
      </c>
      <c r="D5" s="444">
        <f>'2014-15 ExC'!BM5+'2014-15 ExC'!BL5+('2014-15 ExC'!AF5*'2014-15'!F5)</f>
        <v>0</v>
      </c>
      <c r="E5" s="444">
        <f>'2014-15 Rest'!CD12</f>
        <v>0</v>
      </c>
      <c r="F5" s="444"/>
      <c r="G5" s="497">
        <f>Demographics!B5/Demographics!B$74</f>
        <v>7.1471718977079582E-3</v>
      </c>
      <c r="H5" s="497">
        <f>Demographics!C5/Demographics!C$74</f>
        <v>7.8136823067589643E-3</v>
      </c>
      <c r="I5" s="497">
        <f>Demographics!D5/Demographics!D$74</f>
        <v>1.0833772316462363E-2</v>
      </c>
      <c r="J5" s="497">
        <f t="shared" si="2"/>
        <v>8.2354496046593111E-3</v>
      </c>
      <c r="K5" s="497">
        <f>('2014-15'!AJ5+'2014-15'!AN5+'2014-15 ExC'!BL5+'2014-15 ExC'!BM5)/('2014-15'!AJ$74+'2014-15'!AN$74+'2014-15 ExC'!BL$74+'2014-15 ExC'!BM$74)</f>
        <v>9.2733133386724911E-3</v>
      </c>
      <c r="L5" s="497">
        <f t="shared" si="3"/>
        <v>-1.0378637340131801E-3</v>
      </c>
      <c r="M5" s="497">
        <f t="shared" si="4"/>
        <v>0</v>
      </c>
      <c r="N5" s="444"/>
      <c r="O5" s="444">
        <f>('2014-15'!AJ5+'2014-15'!AN5+'2014-15 ExC'!BL5+'2014-15 ExC'!BM5)*O$75</f>
        <v>718890.70347235003</v>
      </c>
      <c r="P5" s="444">
        <f t="shared" si="0"/>
        <v>0</v>
      </c>
      <c r="Q5" s="444">
        <f t="shared" si="5"/>
        <v>718890.70347235003</v>
      </c>
      <c r="R5" s="497">
        <f>Q5/('2014-15'!AJ5+'2014-15'!AN5+'2014-15 ExC'!BL5+'2014-15 ExC'!BM5)</f>
        <v>1.4970000000000001E-2</v>
      </c>
      <c r="S5" s="444"/>
      <c r="T5" s="504">
        <f t="shared" si="1"/>
        <v>626420.20558594377</v>
      </c>
      <c r="U5" s="504">
        <f>('2014-15'!AJ5+'2014-15'!AN5+'2014-15 ExC'!BL5+'2014-15 ExC'!BM5)*0.01</f>
        <v>480220.91080317303</v>
      </c>
      <c r="V5" s="504">
        <f t="shared" si="6"/>
        <v>146199.29478277074</v>
      </c>
      <c r="W5" s="504">
        <f t="shared" si="7"/>
        <v>128114.76437028628</v>
      </c>
      <c r="X5" s="502">
        <f t="shared" si="8"/>
        <v>608335.67517345934</v>
      </c>
      <c r="Y5" s="613">
        <f>X5/('2014-15'!AJ5+'2014-15'!AN5+'2014-15 ExC'!BL5+'2014-15 ExC'!BM5)</f>
        <v>1.2667829773510142E-2</v>
      </c>
      <c r="Z5" s="497">
        <f>E5/('2014-15'!AJ5+'2014-15'!AN5+'2014-15 ExC'!BL5+'2014-15 ExC'!BM5)</f>
        <v>0</v>
      </c>
      <c r="AA5" s="444"/>
      <c r="AB5" s="444"/>
    </row>
    <row r="6" spans="1:28" hidden="1">
      <c r="A6" s="444" t="s">
        <v>114</v>
      </c>
      <c r="B6" s="444"/>
      <c r="C6" s="444">
        <f>'2013-14'!S13+'2013-14'!T13+('2013-14 FTES'!DA13*'2013-14'!N13)</f>
        <v>0</v>
      </c>
      <c r="D6" s="444">
        <f>'2014-15 ExC'!BM6+'2014-15 ExC'!BL6+('2014-15 ExC'!AF6*'2014-15'!F6)</f>
        <v>3685924.7708807499</v>
      </c>
      <c r="E6" s="444">
        <f>'2014-15 Rest'!CD13</f>
        <v>0</v>
      </c>
      <c r="F6" s="444"/>
      <c r="G6" s="497">
        <f>Demographics!B6/Demographics!B$74</f>
        <v>6.594122888622554E-3</v>
      </c>
      <c r="H6" s="497">
        <f>Demographics!C6/Demographics!C$74</f>
        <v>5.2934279432308344E-3</v>
      </c>
      <c r="I6" s="497">
        <f>Demographics!D6/Demographics!D$74</f>
        <v>7.1432558047076827E-3</v>
      </c>
      <c r="J6" s="497">
        <f t="shared" si="2"/>
        <v>6.4062323812959067E-3</v>
      </c>
      <c r="K6" s="497">
        <f>('2014-15'!AJ6+'2014-15'!AN6+'2014-15 ExC'!BL6+'2014-15 ExC'!BM6)/('2014-15'!AJ$74+'2014-15'!AN$74+'2014-15 ExC'!BL$74+'2014-15 ExC'!BM$74)</f>
        <v>9.6987494693790612E-3</v>
      </c>
      <c r="L6" s="497">
        <f t="shared" si="3"/>
        <v>-3.2925170880831545E-3</v>
      </c>
      <c r="M6" s="497">
        <f t="shared" si="4"/>
        <v>0</v>
      </c>
      <c r="N6" s="444"/>
      <c r="O6" s="444">
        <f>('2014-15'!AJ6+'2014-15'!AN6+'2014-15 ExC'!BL6+'2014-15 ExC'!BM6)*O$75</f>
        <v>751871.5883099999</v>
      </c>
      <c r="P6" s="444">
        <f t="shared" si="0"/>
        <v>0</v>
      </c>
      <c r="Q6" s="444">
        <f t="shared" si="5"/>
        <v>751871.5883099999</v>
      </c>
      <c r="R6" s="497">
        <f>Q6/('2014-15'!AJ6+'2014-15'!AN6+'2014-15 ExC'!BL6+'2014-15 ExC'!BM6)</f>
        <v>1.4969999999999999E-2</v>
      </c>
      <c r="S6" s="444"/>
      <c r="T6" s="504">
        <f t="shared" si="1"/>
        <v>1297416.9868751874</v>
      </c>
      <c r="U6" s="504">
        <f>('2014-15'!AJ6+'2014-15'!AN6+'2014-15 ExC'!BL6+'2014-15 ExC'!BM6)*0.01</f>
        <v>502252.23</v>
      </c>
      <c r="V6" s="504">
        <f t="shared" si="6"/>
        <v>795164.75687518739</v>
      </c>
      <c r="W6" s="504">
        <f t="shared" si="7"/>
        <v>696804.62969391851</v>
      </c>
      <c r="X6" s="502">
        <f t="shared" si="8"/>
        <v>1199056.8596939184</v>
      </c>
      <c r="Y6" s="613">
        <f>X6/('2014-15'!AJ6+'2014-15'!AN6+'2014-15 ExC'!BL6+'2014-15 ExC'!BM6)</f>
        <v>2.3873599519785474E-2</v>
      </c>
      <c r="Z6" s="497">
        <f>E6/('2014-15'!AJ6+'2014-15'!AN6+'2014-15 ExC'!BL6+'2014-15 ExC'!BM6)</f>
        <v>0</v>
      </c>
      <c r="AA6" s="444"/>
      <c r="AB6" s="444"/>
    </row>
    <row r="7" spans="1:28" hidden="1">
      <c r="A7" s="444" t="s">
        <v>115</v>
      </c>
      <c r="B7" s="444"/>
      <c r="C7" s="444">
        <f>'2013-14'!S14+'2013-14'!T14+('2013-14 FTES'!DA14*'2013-14'!N14)</f>
        <v>3709233.6010480346</v>
      </c>
      <c r="D7" s="444">
        <f>'2014-15 ExC'!BM7+'2014-15 ExC'!BL7+('2014-15 ExC'!AF7*'2014-15'!F7)</f>
        <v>4789221.1805611122</v>
      </c>
      <c r="E7" s="444">
        <f>'2014-15 Rest'!CD14</f>
        <v>0</v>
      </c>
      <c r="F7" s="444"/>
      <c r="G7" s="497">
        <f>Demographics!B7/Demographics!B$74</f>
        <v>1.2653729271745417E-2</v>
      </c>
      <c r="H7" s="497">
        <f>Demographics!C7/Demographics!C$74</f>
        <v>1.0720151382274657E-2</v>
      </c>
      <c r="I7" s="497">
        <f>Demographics!D7/Demographics!D$74</f>
        <v>8.4716735464051684E-3</v>
      </c>
      <c r="J7" s="497">
        <f t="shared" si="2"/>
        <v>1.1124820868042666E-2</v>
      </c>
      <c r="K7" s="497">
        <f>('2014-15'!AJ7+'2014-15'!AN7+'2014-15 ExC'!BL7+'2014-15 ExC'!BM7)/('2014-15'!AJ$74+'2014-15'!AN$74+'2014-15 ExC'!BL$74+'2014-15 ExC'!BM$74)</f>
        <v>1.5322840168258219E-2</v>
      </c>
      <c r="L7" s="497">
        <f t="shared" si="3"/>
        <v>-4.1980193002155528E-3</v>
      </c>
      <c r="M7" s="497">
        <f t="shared" si="4"/>
        <v>0</v>
      </c>
      <c r="N7" s="444"/>
      <c r="O7" s="444">
        <f>('2014-15'!AJ7+'2014-15'!AN7+'2014-15 ExC'!BL7+'2014-15 ExC'!BM7)*O$75</f>
        <v>1187865.3233699999</v>
      </c>
      <c r="P7" s="444">
        <f t="shared" si="0"/>
        <v>0</v>
      </c>
      <c r="Q7" s="444">
        <f t="shared" si="5"/>
        <v>1187865.3233699999</v>
      </c>
      <c r="R7" s="497">
        <f>Q7/('2014-15'!AJ7+'2014-15'!AN7+'2014-15 ExC'!BL7+'2014-15 ExC'!BM7)</f>
        <v>1.4969999999999999E-2</v>
      </c>
      <c r="S7" s="444"/>
      <c r="T7" s="504">
        <f t="shared" si="1"/>
        <v>2718546.3570872871</v>
      </c>
      <c r="U7" s="504">
        <f>('2014-15'!AJ7+'2014-15'!AN7+'2014-15 ExC'!BL7+'2014-15 ExC'!BM7)*0.01</f>
        <v>793497.21</v>
      </c>
      <c r="V7" s="504">
        <f t="shared" si="6"/>
        <v>1925049.1470872872</v>
      </c>
      <c r="W7" s="504">
        <f t="shared" si="7"/>
        <v>1686924.8120981555</v>
      </c>
      <c r="X7" s="502">
        <f t="shared" si="8"/>
        <v>2480422.0220981557</v>
      </c>
      <c r="Y7" s="613">
        <f>X7/('2014-15'!AJ7+'2014-15'!AN7+'2014-15 ExC'!BL7+'2014-15 ExC'!BM7)</f>
        <v>3.1259366647277256E-2</v>
      </c>
      <c r="Z7" s="497">
        <f>E7/('2014-15'!AJ7+'2014-15'!AN7+'2014-15 ExC'!BL7+'2014-15 ExC'!BM7)</f>
        <v>0</v>
      </c>
      <c r="AA7" s="444"/>
      <c r="AB7" s="444"/>
    </row>
    <row r="8" spans="1:28" hidden="1">
      <c r="A8" s="444" t="s">
        <v>116</v>
      </c>
      <c r="B8" s="444"/>
      <c r="C8" s="444">
        <f>'2013-14'!S15+'2013-14'!T15+('2013-14 FTES'!DA15*'2013-14'!N15)</f>
        <v>1497099.2921487975</v>
      </c>
      <c r="D8" s="444">
        <f>'2014-15 ExC'!BM8+'2014-15 ExC'!BL8+('2014-15 ExC'!AF8*'2014-15'!F8)</f>
        <v>1894577.850371103</v>
      </c>
      <c r="E8" s="444">
        <f>'2014-15 Rest'!CD15</f>
        <v>0</v>
      </c>
      <c r="F8" s="444"/>
      <c r="G8" s="497">
        <f>Demographics!B8/Demographics!B$74</f>
        <v>1.6732433903456492E-2</v>
      </c>
      <c r="H8" s="497">
        <f>Demographics!C8/Demographics!C$74</f>
        <v>1.6701210021421269E-2</v>
      </c>
      <c r="I8" s="497">
        <f>Demographics!D8/Demographics!D$74</f>
        <v>1.1330734349327611E-2</v>
      </c>
      <c r="J8" s="497">
        <f t="shared" si="2"/>
        <v>1.5374203044415466E-2</v>
      </c>
      <c r="K8" s="497">
        <f>('2014-15'!AJ8+'2014-15'!AN8+'2014-15 ExC'!BL8+'2014-15 ExC'!BM8)/('2014-15'!AJ$74+'2014-15'!AN$74+'2014-15 ExC'!BL$74+'2014-15 ExC'!BM$74)</f>
        <v>1.506382822393538E-2</v>
      </c>
      <c r="L8" s="497">
        <f t="shared" si="3"/>
        <v>3.1037482048008533E-4</v>
      </c>
      <c r="M8" s="497">
        <f t="shared" si="4"/>
        <v>3.1037482048008533E-4</v>
      </c>
      <c r="N8" s="444"/>
      <c r="O8" s="444">
        <f>('2014-15'!AJ8+'2014-15'!AN8+'2014-15 ExC'!BL8+'2014-15 ExC'!BM8)*O$75</f>
        <v>1167786.0623699999</v>
      </c>
      <c r="P8" s="444">
        <f t="shared" si="0"/>
        <v>134127.87741274858</v>
      </c>
      <c r="Q8" s="444">
        <f t="shared" si="5"/>
        <v>1301913.9397827485</v>
      </c>
      <c r="R8" s="497">
        <f>Q8/('2014-15'!AJ8+'2014-15'!AN8+'2014-15 ExC'!BL8+'2014-15 ExC'!BM8)</f>
        <v>1.6689402542614577E-2</v>
      </c>
      <c r="S8" s="444"/>
      <c r="T8" s="504">
        <f t="shared" si="1"/>
        <v>1498876.2555213494</v>
      </c>
      <c r="U8" s="504">
        <f>('2014-15'!AJ8+'2014-15'!AN8+'2014-15 ExC'!BL8+'2014-15 ExC'!BM8)*0.01</f>
        <v>780084.21</v>
      </c>
      <c r="V8" s="504">
        <f t="shared" si="6"/>
        <v>718792.04552134941</v>
      </c>
      <c r="W8" s="504">
        <f t="shared" si="7"/>
        <v>629879.05434175953</v>
      </c>
      <c r="X8" s="502">
        <f t="shared" si="8"/>
        <v>1409963.2643417595</v>
      </c>
      <c r="Y8" s="613">
        <f>X8/('2014-15'!AJ8+'2014-15'!AN8+'2014-15 ExC'!BL8+'2014-15 ExC'!BM8)</f>
        <v>1.8074500756037087E-2</v>
      </c>
      <c r="Z8" s="497">
        <f>E8/('2014-15'!AJ8+'2014-15'!AN8+'2014-15 ExC'!BL8+'2014-15 ExC'!BM8)</f>
        <v>0</v>
      </c>
      <c r="AA8" s="444"/>
      <c r="AB8" s="444"/>
    </row>
    <row r="9" spans="1:28" hidden="1">
      <c r="A9" s="444" t="s">
        <v>117</v>
      </c>
      <c r="B9" s="444"/>
      <c r="C9" s="444">
        <f>'2013-14'!S16+'2013-14'!T16+('2013-14 FTES'!DA16*'2013-14'!N16)</f>
        <v>9449648.8019403368</v>
      </c>
      <c r="D9" s="444">
        <f>'2014-15 ExC'!BM9+'2014-15 ExC'!BL9+('2014-15 ExC'!AF9*'2014-15'!F9)</f>
        <v>2607277.2337951548</v>
      </c>
      <c r="E9" s="444">
        <f>'2014-15 Rest'!CD16</f>
        <v>0</v>
      </c>
      <c r="F9" s="444"/>
      <c r="G9" s="497">
        <f>Demographics!B9/Demographics!B$74</f>
        <v>2.3776309569577381E-2</v>
      </c>
      <c r="H9" s="497">
        <f>Demographics!C9/Demographics!C$74</f>
        <v>2.8565142846005479E-2</v>
      </c>
      <c r="I9" s="497">
        <f>Demographics!D9/Demographics!D$74</f>
        <v>1.4014711605286759E-2</v>
      </c>
      <c r="J9" s="497">
        <f t="shared" si="2"/>
        <v>2.253311839761175E-2</v>
      </c>
      <c r="K9" s="497">
        <f>('2014-15'!AJ9+'2014-15'!AN9+'2014-15 ExC'!BL9+'2014-15 ExC'!BM9)/('2014-15'!AJ$74+'2014-15'!AN$74+'2014-15 ExC'!BL$74+'2014-15 ExC'!BM$74)</f>
        <v>1.2933371077690214E-2</v>
      </c>
      <c r="L9" s="497">
        <f t="shared" si="3"/>
        <v>9.5997473199215359E-3</v>
      </c>
      <c r="M9" s="497">
        <f t="shared" si="4"/>
        <v>9.5997473199215359E-3</v>
      </c>
      <c r="N9" s="444"/>
      <c r="O9" s="444">
        <f>('2014-15'!AJ9+'2014-15'!AN9+'2014-15 ExC'!BL9+'2014-15 ExC'!BM9)*O$75</f>
        <v>1002627.6361799999</v>
      </c>
      <c r="P9" s="444">
        <f t="shared" si="0"/>
        <v>4148512.207685397</v>
      </c>
      <c r="Q9" s="444">
        <f t="shared" si="5"/>
        <v>5151139.8438653965</v>
      </c>
      <c r="R9" s="497">
        <f>Q9/('2014-15'!AJ9+'2014-15'!AN9+'2014-15 ExC'!BL9+'2014-15 ExC'!BM9)</f>
        <v>7.6910470727161465E-2</v>
      </c>
      <c r="S9" s="444"/>
      <c r="T9" s="504">
        <f t="shared" si="1"/>
        <v>5589801.4308665711</v>
      </c>
      <c r="U9" s="504">
        <f>('2014-15'!AJ9+'2014-15'!AN9+'2014-15 ExC'!BL9+'2014-15 ExC'!BM9)*0.01</f>
        <v>669757.94000000006</v>
      </c>
      <c r="V9" s="504">
        <f t="shared" si="6"/>
        <v>4920043.4908665707</v>
      </c>
      <c r="W9" s="504">
        <f t="shared" si="7"/>
        <v>4311444.9591600522</v>
      </c>
      <c r="X9" s="502">
        <f t="shared" si="8"/>
        <v>4981202.8991600526</v>
      </c>
      <c r="Y9" s="613">
        <f>X9/('2014-15'!AJ9+'2014-15'!AN9+'2014-15 ExC'!BL9+'2014-15 ExC'!BM9)</f>
        <v>7.4373181737271421E-2</v>
      </c>
      <c r="Z9" s="497">
        <f>E9/('2014-15'!AJ9+'2014-15'!AN9+'2014-15 ExC'!BL9+'2014-15 ExC'!BM9)</f>
        <v>0</v>
      </c>
      <c r="AA9" s="444"/>
      <c r="AB9" s="444"/>
    </row>
    <row r="10" spans="1:28" hidden="1">
      <c r="A10" s="444" t="s">
        <v>118</v>
      </c>
      <c r="B10" s="444"/>
      <c r="C10" s="444">
        <f>'2013-14'!S17+'2013-14'!T17+('2013-14 FTES'!DA17*'2013-14'!N17)</f>
        <v>3131605.3986825049</v>
      </c>
      <c r="D10" s="444">
        <f>'2014-15 ExC'!BM10+'2014-15 ExC'!BL10+('2014-15 ExC'!AF10*'2014-15'!F10)</f>
        <v>3331800.7461629836</v>
      </c>
      <c r="E10" s="444">
        <f>'2014-15 Rest'!CD17</f>
        <v>0</v>
      </c>
      <c r="F10" s="444"/>
      <c r="G10" s="497">
        <f>Demographics!B10/Demographics!B$74</f>
        <v>5.6152547398044712E-3</v>
      </c>
      <c r="H10" s="497">
        <f>Demographics!C10/Demographics!C$74</f>
        <v>4.7881608068029496E-3</v>
      </c>
      <c r="I10" s="497">
        <f>Demographics!D10/Demographics!D$74</f>
        <v>4.5716684238734442E-3</v>
      </c>
      <c r="J10" s="497">
        <f t="shared" si="2"/>
        <v>5.1475846775713343E-3</v>
      </c>
      <c r="K10" s="497">
        <f>('2014-15'!AJ10+'2014-15'!AN10+'2014-15 ExC'!BL10+'2014-15 ExC'!BM10)/('2014-15'!AJ$74+'2014-15'!AN$74+'2014-15 ExC'!BL$74+'2014-15 ExC'!BM$74)</f>
        <v>1.017529379142787E-2</v>
      </c>
      <c r="L10" s="497">
        <f t="shared" si="3"/>
        <v>-5.0277091138565353E-3</v>
      </c>
      <c r="M10" s="497">
        <f t="shared" si="4"/>
        <v>0</v>
      </c>
      <c r="N10" s="444"/>
      <c r="O10" s="444">
        <f>('2014-15'!AJ10+'2014-15'!AN10+'2014-15 ExC'!BL10+'2014-15 ExC'!BM10)*O$75</f>
        <v>788814.50939999998</v>
      </c>
      <c r="P10" s="444">
        <f t="shared" si="0"/>
        <v>0</v>
      </c>
      <c r="Q10" s="444">
        <f t="shared" si="5"/>
        <v>788814.50939999998</v>
      </c>
      <c r="R10" s="497">
        <f>Q10/('2014-15'!AJ10+'2014-15'!AN10+'2014-15 ExC'!BL10+'2014-15 ExC'!BM10)</f>
        <v>1.4969999999999999E-2</v>
      </c>
      <c r="S10" s="444"/>
      <c r="T10" s="504">
        <f t="shared" si="1"/>
        <v>2010258.7909113721</v>
      </c>
      <c r="U10" s="504">
        <f>('2014-15'!AJ10+'2014-15'!AN10+'2014-15 ExC'!BL10+'2014-15 ExC'!BM10)*0.01</f>
        <v>526930.19999999995</v>
      </c>
      <c r="V10" s="504">
        <f t="shared" si="6"/>
        <v>1483328.5909113721</v>
      </c>
      <c r="W10" s="504">
        <f t="shared" si="7"/>
        <v>1299844.1147796463</v>
      </c>
      <c r="X10" s="502">
        <f t="shared" si="8"/>
        <v>1826774.3147796462</v>
      </c>
      <c r="Y10" s="613">
        <f>X10/('2014-15'!AJ10+'2014-15'!AN10+'2014-15 ExC'!BL10+'2014-15 ExC'!BM10)</f>
        <v>3.4668240969670104E-2</v>
      </c>
      <c r="Z10" s="497">
        <f>E10/('2014-15'!AJ10+'2014-15'!AN10+'2014-15 ExC'!BL10+'2014-15 ExC'!BM10)</f>
        <v>0</v>
      </c>
      <c r="AA10" s="444"/>
      <c r="AB10" s="444"/>
    </row>
    <row r="11" spans="1:28" hidden="1">
      <c r="A11" s="444" t="s">
        <v>119</v>
      </c>
      <c r="B11" s="444"/>
      <c r="C11" s="444">
        <f>'2013-14'!S18+'2013-14'!T18+('2013-14 FTES'!DA18*'2013-14'!N18)</f>
        <v>11678714.255630227</v>
      </c>
      <c r="D11" s="444">
        <f>'2014-15 ExC'!BM11+'2014-15 ExC'!BL11+('2014-15 ExC'!AF11*'2014-15'!F11)</f>
        <v>158872.02337952313</v>
      </c>
      <c r="E11" s="444">
        <f>'2014-15 Rest'!CD18</f>
        <v>0</v>
      </c>
      <c r="F11" s="444"/>
      <c r="G11" s="497">
        <f>Demographics!B11/Demographics!B$74</f>
        <v>1.6468625785272667E-2</v>
      </c>
      <c r="H11" s="497">
        <f>Demographics!C11/Demographics!C$74</f>
        <v>1.6109413391778824E-2</v>
      </c>
      <c r="I11" s="497">
        <f>Demographics!D11/Demographics!D$74</f>
        <v>1.3811339450298827E-2</v>
      </c>
      <c r="J11" s="497">
        <f t="shared" si="2"/>
        <v>1.5714501103155747E-2</v>
      </c>
      <c r="K11" s="497">
        <f>('2014-15'!AJ11+'2014-15'!AN11+'2014-15 ExC'!BL11+'2014-15 ExC'!BM11)/('2014-15'!AJ$74+'2014-15'!AN$74+'2014-15 ExC'!BL$74+'2014-15 ExC'!BM$74)</f>
        <v>2.9149496382191643E-2</v>
      </c>
      <c r="L11" s="497">
        <f t="shared" si="3"/>
        <v>-1.3434995279035897E-2</v>
      </c>
      <c r="M11" s="497">
        <f t="shared" si="4"/>
        <v>0</v>
      </c>
      <c r="N11" s="444"/>
      <c r="O11" s="444">
        <f>('2014-15'!AJ11+'2014-15'!AN11+'2014-15 ExC'!BL11+'2014-15 ExC'!BM11)*O$75</f>
        <v>2259742.68255</v>
      </c>
      <c r="P11" s="444">
        <f t="shared" si="0"/>
        <v>0</v>
      </c>
      <c r="Q11" s="444">
        <f t="shared" si="5"/>
        <v>2259742.68255</v>
      </c>
      <c r="R11" s="497">
        <f>Q11/('2014-15'!AJ11+'2014-15'!AN11+'2014-15 ExC'!BL11+'2014-15 ExC'!BM11)</f>
        <v>1.4970000000000001E-2</v>
      </c>
      <c r="S11" s="444"/>
      <c r="T11" s="504">
        <f t="shared" si="1"/>
        <v>4089267.9110274375</v>
      </c>
      <c r="U11" s="504">
        <f>('2014-15'!AJ11+'2014-15'!AN11+'2014-15 ExC'!BL11+'2014-15 ExC'!BM11)*0.01</f>
        <v>1509514.1500000001</v>
      </c>
      <c r="V11" s="504">
        <f t="shared" si="6"/>
        <v>2579753.7610274376</v>
      </c>
      <c r="W11" s="504">
        <f t="shared" si="7"/>
        <v>2260643.9088401077</v>
      </c>
      <c r="X11" s="502">
        <f t="shared" si="8"/>
        <v>3770158.0588401081</v>
      </c>
      <c r="Y11" s="613">
        <f>X11/('2014-15'!AJ11+'2014-15'!AN11+'2014-15 ExC'!BL11+'2014-15 ExC'!BM11)</f>
        <v>2.4975970307003138E-2</v>
      </c>
      <c r="Z11" s="497">
        <f>E11/('2014-15'!AJ11+'2014-15'!AN11+'2014-15 ExC'!BL11+'2014-15 ExC'!BM11)</f>
        <v>0</v>
      </c>
      <c r="AA11" s="444"/>
      <c r="AB11" s="444"/>
    </row>
    <row r="12" spans="1:28" hidden="1">
      <c r="A12" s="444" t="s">
        <v>120</v>
      </c>
      <c r="B12" s="444"/>
      <c r="C12" s="444">
        <f>'2013-14'!S19+'2013-14'!T19+('2013-14 FTES'!DA19*'2013-14'!N19)</f>
        <v>268578.10499096982</v>
      </c>
      <c r="D12" s="444">
        <f>'2014-15 ExC'!BM12+'2014-15 ExC'!BL12+('2014-15 ExC'!AF12*'2014-15'!F12)</f>
        <v>0</v>
      </c>
      <c r="E12" s="444">
        <f>'2014-15 Rest'!CD19</f>
        <v>0</v>
      </c>
      <c r="F12" s="444"/>
      <c r="G12" s="497">
        <f>Demographics!B12/Demographics!B$74</f>
        <v>8.6720827793197643E-3</v>
      </c>
      <c r="H12" s="497">
        <f>Demographics!C12/Demographics!C$74</f>
        <v>8.258760303224302E-3</v>
      </c>
      <c r="I12" s="497">
        <f>Demographics!D12/Demographics!D$74</f>
        <v>6.8083798502538715E-3</v>
      </c>
      <c r="J12" s="497">
        <f t="shared" si="2"/>
        <v>8.1028264280294249E-3</v>
      </c>
      <c r="K12" s="497">
        <f>('2014-15'!AJ12+'2014-15'!AN12+'2014-15 ExC'!BL12+'2014-15 ExC'!BM12)/('2014-15'!AJ$74+'2014-15'!AN$74+'2014-15 ExC'!BL$74+'2014-15 ExC'!BM$74)</f>
        <v>5.2351086153329162E-3</v>
      </c>
      <c r="L12" s="497">
        <f t="shared" si="3"/>
        <v>2.8677178126965087E-3</v>
      </c>
      <c r="M12" s="497">
        <f t="shared" si="4"/>
        <v>2.8677178126965087E-3</v>
      </c>
      <c r="N12" s="444"/>
      <c r="O12" s="444">
        <f>('2014-15'!AJ12+'2014-15'!AN12+'2014-15 ExC'!BL12+'2014-15 ExC'!BM12)*O$75</f>
        <v>405838.86015541392</v>
      </c>
      <c r="P12" s="444">
        <f t="shared" si="0"/>
        <v>1239278.6974173784</v>
      </c>
      <c r="Q12" s="444">
        <f t="shared" si="5"/>
        <v>1645117.5575727923</v>
      </c>
      <c r="R12" s="497">
        <f>Q12/('2014-15'!AJ12+'2014-15'!AN12+'2014-15 ExC'!BL12+'2014-15 ExC'!BM12)</f>
        <v>6.0682729661308818E-2</v>
      </c>
      <c r="S12" s="444"/>
      <c r="T12" s="504">
        <f t="shared" si="1"/>
        <v>889703.30503413861</v>
      </c>
      <c r="U12" s="504">
        <f>('2014-15'!AJ12+'2014-15'!AN12+'2014-15 ExC'!BL12+'2014-15 ExC'!BM12)*0.01</f>
        <v>271101.44298958848</v>
      </c>
      <c r="V12" s="504">
        <f t="shared" si="6"/>
        <v>618601.86204455013</v>
      </c>
      <c r="W12" s="504">
        <f t="shared" si="7"/>
        <v>542082.17565354193</v>
      </c>
      <c r="X12" s="502">
        <f t="shared" si="8"/>
        <v>813183.61864313041</v>
      </c>
      <c r="Y12" s="613">
        <f>X12/('2014-15'!AJ12+'2014-15'!AN12+'2014-15 ExC'!BL12+'2014-15 ExC'!BM12)</f>
        <v>2.9995547411171851E-2</v>
      </c>
      <c r="Z12" s="497">
        <f>E12/('2014-15'!AJ12+'2014-15'!AN12+'2014-15 ExC'!BL12+'2014-15 ExC'!BM12)</f>
        <v>0</v>
      </c>
      <c r="AA12" s="444"/>
      <c r="AB12" s="444"/>
    </row>
    <row r="13" spans="1:28" hidden="1">
      <c r="A13" s="444" t="s">
        <v>121</v>
      </c>
      <c r="B13" s="444"/>
      <c r="C13" s="444">
        <f>'2013-14'!S20+'2013-14'!T20+('2013-14 FTES'!DA20*'2013-14'!N20)</f>
        <v>12556655.284525126</v>
      </c>
      <c r="D13" s="444">
        <f>'2014-15 ExC'!BM13+'2014-15 ExC'!BL13+('2014-15 ExC'!AF13*'2014-15'!F13)</f>
        <v>0</v>
      </c>
      <c r="E13" s="444">
        <f>'2014-15 Rest'!CD20</f>
        <v>0</v>
      </c>
      <c r="F13" s="444"/>
      <c r="G13" s="497">
        <f>Demographics!B13/Demographics!B$74</f>
        <v>2.5174055853543934E-2</v>
      </c>
      <c r="H13" s="497">
        <f>Demographics!C13/Demographics!C$74</f>
        <v>2.7114224313823269E-2</v>
      </c>
      <c r="I13" s="497">
        <f>Demographics!D13/Demographics!D$74</f>
        <v>2.0917896520271845E-2</v>
      </c>
      <c r="J13" s="497">
        <f t="shared" si="2"/>
        <v>2.4595058135295746E-2</v>
      </c>
      <c r="K13" s="497">
        <f>('2014-15'!AJ13+'2014-15'!AN13+'2014-15 ExC'!BL13+'2014-15 ExC'!BM13)/('2014-15'!AJ$74+'2014-15'!AN$74+'2014-15 ExC'!BL$74+'2014-15 ExC'!BM$74)</f>
        <v>2.5359956174217164E-2</v>
      </c>
      <c r="L13" s="497">
        <f t="shared" si="3"/>
        <v>-7.6489803892141814E-4</v>
      </c>
      <c r="M13" s="497">
        <f t="shared" si="4"/>
        <v>0</v>
      </c>
      <c r="N13" s="444"/>
      <c r="O13" s="444">
        <f>('2014-15'!AJ13+'2014-15'!AN13+'2014-15 ExC'!BL13+'2014-15 ExC'!BM13)*O$75</f>
        <v>1965967.9413702181</v>
      </c>
      <c r="P13" s="444">
        <f t="shared" si="0"/>
        <v>0</v>
      </c>
      <c r="Q13" s="444">
        <f t="shared" si="5"/>
        <v>1965967.9413702181</v>
      </c>
      <c r="R13" s="497">
        <f>Q13/('2014-15'!AJ13+'2014-15'!AN13+'2014-15 ExC'!BL13+'2014-15 ExC'!BM13)</f>
        <v>1.4969999999999999E-2</v>
      </c>
      <c r="S13" s="444"/>
      <c r="T13" s="504">
        <f t="shared" si="1"/>
        <v>4122147.7918163906</v>
      </c>
      <c r="U13" s="504">
        <f>('2014-15'!AJ13+'2014-15'!AN13+'2014-15 ExC'!BL13+'2014-15 ExC'!BM13)*0.01</f>
        <v>1313271.8379226574</v>
      </c>
      <c r="V13" s="504">
        <f t="shared" si="6"/>
        <v>2808875.9538937332</v>
      </c>
      <c r="W13" s="504">
        <f t="shared" si="7"/>
        <v>2461424.1916361642</v>
      </c>
      <c r="X13" s="502">
        <f t="shared" si="8"/>
        <v>3774696.0295588216</v>
      </c>
      <c r="Y13" s="613">
        <f>X13/('2014-15'!AJ13+'2014-15'!AN13+'2014-15 ExC'!BL13+'2014-15 ExC'!BM13)</f>
        <v>2.8742686171734727E-2</v>
      </c>
      <c r="Z13" s="497">
        <f>E13/('2014-15'!AJ13+'2014-15'!AN13+'2014-15 ExC'!BL13+'2014-15 ExC'!BM13)</f>
        <v>0</v>
      </c>
      <c r="AA13" s="444"/>
      <c r="AB13" s="444"/>
    </row>
    <row r="14" spans="1:28" hidden="1">
      <c r="A14" s="444" t="s">
        <v>122</v>
      </c>
      <c r="B14" s="444"/>
      <c r="C14" s="444">
        <f>'2013-14'!S21+'2013-14'!T21+('2013-14 FTES'!DA21*'2013-14'!N21)</f>
        <v>0</v>
      </c>
      <c r="D14" s="444">
        <f>'2014-15 ExC'!BM14+'2014-15 ExC'!BL14+('2014-15 ExC'!AF14*'2014-15'!F14)</f>
        <v>0</v>
      </c>
      <c r="E14" s="444">
        <f>'2014-15 Rest'!CD21</f>
        <v>470721</v>
      </c>
      <c r="F14" s="444"/>
      <c r="G14" s="497">
        <f>Demographics!B14/Demographics!B$74</f>
        <v>1.8715582151727398E-3</v>
      </c>
      <c r="H14" s="497">
        <f>Demographics!C14/Demographics!C$74</f>
        <v>1.7814048711764108E-3</v>
      </c>
      <c r="I14" s="497">
        <f>Demographics!D14/Demographics!D$74</f>
        <v>3.2356051124395714E-3</v>
      </c>
      <c r="J14" s="497">
        <f t="shared" si="2"/>
        <v>2.1900316034903656E-3</v>
      </c>
      <c r="K14" s="497">
        <f>('2014-15'!AJ14+'2014-15'!AN14+'2014-15 ExC'!BL14+'2014-15 ExC'!BM14)/('2014-15'!AJ$74+'2014-15'!AN$74+'2014-15 ExC'!BL$74+'2014-15 ExC'!BM$74)</f>
        <v>1.2924444772468074E-3</v>
      </c>
      <c r="L14" s="497">
        <f t="shared" si="3"/>
        <v>8.9758712624355818E-4</v>
      </c>
      <c r="M14" s="497">
        <f t="shared" si="4"/>
        <v>8.9758712624355818E-4</v>
      </c>
      <c r="N14" s="444"/>
      <c r="O14" s="444">
        <f>('2014-15'!AJ14+'2014-15'!AN14+'2014-15 ExC'!BL14+'2014-15 ExC'!BM14)*O$75</f>
        <v>100193.56464233514</v>
      </c>
      <c r="P14" s="444">
        <f t="shared" si="0"/>
        <v>387890.53780147724</v>
      </c>
      <c r="Q14" s="444">
        <f t="shared" si="5"/>
        <v>488084.10244381242</v>
      </c>
      <c r="R14" s="497">
        <f>Q14/('2014-15'!AJ14+'2014-15'!AN14+'2014-15 ExC'!BL14+'2014-15 ExC'!BM14)</f>
        <v>7.292503305643025E-2</v>
      </c>
      <c r="S14" s="444"/>
      <c r="T14" s="504">
        <f t="shared" si="1"/>
        <v>0</v>
      </c>
      <c r="U14" s="504">
        <f>('2014-15'!AJ14+'2014-15'!AN14+'2014-15 ExC'!BL14+'2014-15 ExC'!BM14)*0.01</f>
        <v>66929.56889935548</v>
      </c>
      <c r="V14" s="504">
        <f t="shared" si="6"/>
        <v>0</v>
      </c>
      <c r="W14" s="504">
        <f t="shared" si="7"/>
        <v>0</v>
      </c>
      <c r="X14" s="502">
        <f t="shared" si="8"/>
        <v>66929.56889935548</v>
      </c>
      <c r="Y14" s="613">
        <f>X14/('2014-15'!AJ14+'2014-15'!AN14+'2014-15 ExC'!BL14+'2014-15 ExC'!BM14)</f>
        <v>0.01</v>
      </c>
      <c r="Z14" s="497">
        <f>E14/('2014-15'!AJ14+'2014-15'!AN14+'2014-15 ExC'!BL14+'2014-15 ExC'!BM14)</f>
        <v>7.0330798142124742E-2</v>
      </c>
      <c r="AA14" s="444"/>
      <c r="AB14" s="444"/>
    </row>
    <row r="15" spans="1:28" hidden="1">
      <c r="A15" s="444" t="s">
        <v>123</v>
      </c>
      <c r="B15" s="444"/>
      <c r="C15" s="444">
        <f>'2013-14'!S22+'2013-14'!T22+('2013-14 FTES'!DA22*'2013-14'!N22)</f>
        <v>1850375.3440221485</v>
      </c>
      <c r="D15" s="444">
        <f>'2014-15 ExC'!BM15+'2014-15 ExC'!BL15+('2014-15 ExC'!AF15*'2014-15'!F15)</f>
        <v>0</v>
      </c>
      <c r="E15" s="444">
        <f>'2014-15 Rest'!CD22</f>
        <v>0</v>
      </c>
      <c r="F15" s="444"/>
      <c r="G15" s="497">
        <f>Demographics!B15/Demographics!B$74</f>
        <v>1.3671357351670301E-2</v>
      </c>
      <c r="H15" s="497">
        <f>Demographics!C15/Demographics!C$74</f>
        <v>1.370436192743177E-2</v>
      </c>
      <c r="I15" s="497">
        <f>Demographics!D15/Demographics!D$74</f>
        <v>1.6043845813324239E-2</v>
      </c>
      <c r="J15" s="497">
        <f t="shared" si="2"/>
        <v>1.4272730611024152E-2</v>
      </c>
      <c r="K15" s="497">
        <f>('2014-15'!AJ15+'2014-15'!AN15+'2014-15 ExC'!BL15+'2014-15 ExC'!BM15)/('2014-15'!AJ$74+'2014-15'!AN$74+'2014-15 ExC'!BL$74+'2014-15 ExC'!BM$74)</f>
        <v>6.3237467112193958E-3</v>
      </c>
      <c r="L15" s="497">
        <f t="shared" si="3"/>
        <v>7.9489838998047565E-3</v>
      </c>
      <c r="M15" s="497">
        <f t="shared" si="4"/>
        <v>7.9489838998047565E-3</v>
      </c>
      <c r="N15" s="444"/>
      <c r="O15" s="444">
        <f>('2014-15'!AJ15+'2014-15'!AN15+'2014-15 ExC'!BL15+'2014-15 ExC'!BM15)*O$75</f>
        <v>490232.83866090729</v>
      </c>
      <c r="P15" s="444">
        <f t="shared" si="0"/>
        <v>3435137.9935387964</v>
      </c>
      <c r="Q15" s="444">
        <f t="shared" si="5"/>
        <v>3925370.8321997039</v>
      </c>
      <c r="R15" s="497">
        <f>Q15/('2014-15'!AJ15+'2014-15'!AN15+'2014-15 ExC'!BL15+'2014-15 ExC'!BM15)</f>
        <v>0.11986712583053954</v>
      </c>
      <c r="S15" s="444"/>
      <c r="T15" s="504">
        <f t="shared" si="1"/>
        <v>2425279.2521053893</v>
      </c>
      <c r="U15" s="504">
        <f>('2014-15'!AJ15+'2014-15'!AN15+'2014-15 ExC'!BL15+'2014-15 ExC'!BM15)*0.01</f>
        <v>327476.84613287065</v>
      </c>
      <c r="V15" s="504">
        <f t="shared" si="6"/>
        <v>2097802.4059725185</v>
      </c>
      <c r="W15" s="504">
        <f t="shared" si="7"/>
        <v>1838308.8737597764</v>
      </c>
      <c r="X15" s="502">
        <f t="shared" si="8"/>
        <v>2165785.7198926471</v>
      </c>
      <c r="Y15" s="613">
        <f>X15/('2014-15'!AJ15+'2014-15'!AN15+'2014-15 ExC'!BL15+'2014-15 ExC'!BM15)</f>
        <v>6.6135537381287107E-2</v>
      </c>
      <c r="Z15" s="497">
        <f>E15/('2014-15'!AJ15+'2014-15'!AN15+'2014-15 ExC'!BL15+'2014-15 ExC'!BM15)</f>
        <v>0</v>
      </c>
      <c r="AA15" s="444"/>
      <c r="AB15" s="444"/>
    </row>
    <row r="16" spans="1:28" hidden="1">
      <c r="A16" s="444" t="s">
        <v>124</v>
      </c>
      <c r="B16" s="444"/>
      <c r="C16" s="444">
        <f>'2013-14'!S23+'2013-14'!T23+('2013-14 FTES'!DA23*'2013-14'!N23)</f>
        <v>1448883.9178331532</v>
      </c>
      <c r="D16" s="444">
        <f>'2014-15 ExC'!BM16+'2014-15 ExC'!BL16+('2014-15 ExC'!AF16*'2014-15'!F16)</f>
        <v>3207964.0140277138</v>
      </c>
      <c r="E16" s="444">
        <f>'2014-15 Rest'!CD23</f>
        <v>0</v>
      </c>
      <c r="F16" s="444"/>
      <c r="G16" s="497">
        <f>Demographics!B16/Demographics!B$74</f>
        <v>1.4777168782920567E-2</v>
      </c>
      <c r="H16" s="497">
        <f>Demographics!C16/Demographics!C$74</f>
        <v>1.2910697707850572E-2</v>
      </c>
      <c r="I16" s="497">
        <f>Demographics!D16/Demographics!D$74</f>
        <v>1.5414997702506294E-2</v>
      </c>
      <c r="J16" s="497">
        <f t="shared" si="2"/>
        <v>1.4470008244049501E-2</v>
      </c>
      <c r="K16" s="497">
        <f>('2014-15'!AJ16+'2014-15'!AN16+'2014-15 ExC'!BL16+'2014-15 ExC'!BM16)/('2014-15'!AJ$74+'2014-15'!AN$74+'2014-15 ExC'!BL$74+'2014-15 ExC'!BM$74)</f>
        <v>1.7153326415081403E-2</v>
      </c>
      <c r="L16" s="497">
        <f t="shared" si="3"/>
        <v>-2.6833181710319027E-3</v>
      </c>
      <c r="M16" s="497">
        <f t="shared" si="4"/>
        <v>0</v>
      </c>
      <c r="N16" s="444"/>
      <c r="O16" s="444">
        <f>('2014-15'!AJ16+'2014-15'!AN16+'2014-15 ExC'!BL16+'2014-15 ExC'!BM16)*O$75</f>
        <v>1329769.2467699999</v>
      </c>
      <c r="P16" s="444">
        <f t="shared" si="0"/>
        <v>0</v>
      </c>
      <c r="Q16" s="444">
        <f t="shared" si="5"/>
        <v>1329769.2467699999</v>
      </c>
      <c r="R16" s="497">
        <f>Q16/('2014-15'!AJ16+'2014-15'!AN16+'2014-15 ExC'!BL16+'2014-15 ExC'!BM16)</f>
        <v>1.4969999999999999E-2</v>
      </c>
      <c r="S16" s="444"/>
      <c r="T16" s="504">
        <f t="shared" si="1"/>
        <v>1829096.6063502165</v>
      </c>
      <c r="U16" s="504">
        <f>('2014-15'!AJ16+'2014-15'!AN16+'2014-15 ExC'!BL16+'2014-15 ExC'!BM16)*0.01</f>
        <v>888289.41</v>
      </c>
      <c r="V16" s="504">
        <f t="shared" si="6"/>
        <v>940807.19635021652</v>
      </c>
      <c r="W16" s="504">
        <f t="shared" si="7"/>
        <v>824431.42053023085</v>
      </c>
      <c r="X16" s="502">
        <f t="shared" si="8"/>
        <v>1712720.8305302309</v>
      </c>
      <c r="Y16" s="613">
        <f>X16/('2014-15'!AJ16+'2014-15'!AN16+'2014-15 ExC'!BL16+'2014-15 ExC'!BM16)</f>
        <v>1.9281112791046679E-2</v>
      </c>
      <c r="Z16" s="497">
        <f>E16/('2014-15'!AJ16+'2014-15'!AN16+'2014-15 ExC'!BL16+'2014-15 ExC'!BM16)</f>
        <v>0</v>
      </c>
      <c r="AA16" s="444"/>
      <c r="AB16" s="444"/>
    </row>
    <row r="17" spans="1:28" hidden="1">
      <c r="A17" s="444" t="s">
        <v>125</v>
      </c>
      <c r="B17" s="444"/>
      <c r="C17" s="444">
        <f>'2013-14'!S24+'2013-14'!T24+('2013-14 FTES'!DA24*'2013-14'!N24)</f>
        <v>416007.28301915701</v>
      </c>
      <c r="D17" s="444">
        <f>'2014-15 ExC'!BM17+'2014-15 ExC'!BL17+('2014-15 ExC'!AF17*'2014-15'!F17)</f>
        <v>266716.20573973446</v>
      </c>
      <c r="E17" s="444">
        <f>'2014-15 Rest'!CD24</f>
        <v>161859</v>
      </c>
      <c r="F17" s="444"/>
      <c r="G17" s="497">
        <f>Demographics!B17/Demographics!B$74</f>
        <v>6.3837171900039871E-4</v>
      </c>
      <c r="H17" s="497">
        <f>Demographics!C17/Demographics!C$74</f>
        <v>4.5492557415411055E-4</v>
      </c>
      <c r="I17" s="497">
        <f>Demographics!D17/Demographics!D$74</f>
        <v>1.0268000155969623E-3</v>
      </c>
      <c r="J17" s="497">
        <f t="shared" si="2"/>
        <v>6.8961725693796765E-4</v>
      </c>
      <c r="K17" s="497">
        <f>('2014-15'!AJ17+'2014-15'!AN17+'2014-15 ExC'!BL17+'2014-15 ExC'!BM17)/('2014-15'!AJ$74+'2014-15'!AN$74+'2014-15 ExC'!BL$74+'2014-15 ExC'!BM$74)</f>
        <v>1.4072095955546364E-3</v>
      </c>
      <c r="L17" s="497">
        <f t="shared" si="3"/>
        <v>-7.1759233861666875E-4</v>
      </c>
      <c r="M17" s="497">
        <f t="shared" si="4"/>
        <v>0</v>
      </c>
      <c r="N17" s="444"/>
      <c r="O17" s="444">
        <f>('2014-15'!AJ17+'2014-15'!AN17+'2014-15 ExC'!BL17+'2014-15 ExC'!BM17)*O$75</f>
        <v>109090.44686999999</v>
      </c>
      <c r="P17" s="444">
        <f t="shared" si="0"/>
        <v>0</v>
      </c>
      <c r="Q17" s="444">
        <f t="shared" si="5"/>
        <v>109090.44686999999</v>
      </c>
      <c r="R17" s="497">
        <f>Q17/('2014-15'!AJ17+'2014-15'!AN17+'2014-15 ExC'!BL17+'2014-15 ExC'!BM17)</f>
        <v>1.4969999999999997E-2</v>
      </c>
      <c r="S17" s="444"/>
      <c r="T17" s="504">
        <f t="shared" si="1"/>
        <v>63367.095624722861</v>
      </c>
      <c r="U17" s="504">
        <f>('2014-15'!AJ17+'2014-15'!AN17+'2014-15 ExC'!BL17+'2014-15 ExC'!BM17)*0.01</f>
        <v>72872.710000000006</v>
      </c>
      <c r="V17" s="504">
        <f t="shared" si="6"/>
        <v>0</v>
      </c>
      <c r="W17" s="504">
        <f t="shared" si="7"/>
        <v>0</v>
      </c>
      <c r="X17" s="502">
        <f t="shared" si="8"/>
        <v>72872.710000000006</v>
      </c>
      <c r="Y17" s="613">
        <f>X17/('2014-15'!AJ17+'2014-15'!AN17+'2014-15 ExC'!BL17+'2014-15 ExC'!BM17)</f>
        <v>0.01</v>
      </c>
      <c r="Z17" s="497">
        <f>E17/('2014-15'!AJ17+'2014-15'!AN17+'2014-15 ExC'!BL17+'2014-15 ExC'!BM17)</f>
        <v>2.2211195384390123E-2</v>
      </c>
      <c r="AA17" s="444"/>
      <c r="AB17" s="444"/>
    </row>
    <row r="18" spans="1:28" hidden="1">
      <c r="A18" s="444" t="s">
        <v>553</v>
      </c>
      <c r="B18" s="444"/>
      <c r="C18" s="444">
        <f>'2013-14'!S25+'2013-14'!T25+('2013-14 FTES'!DA25*'2013-14'!N25)</f>
        <v>0</v>
      </c>
      <c r="D18" s="444">
        <f>'2014-15 ExC'!BM18+'2014-15 ExC'!BL18+('2014-15 ExC'!AF18*'2014-15'!F18)</f>
        <v>0</v>
      </c>
      <c r="E18" s="444">
        <f>'2014-15 Rest'!CD25</f>
        <v>9497353</v>
      </c>
      <c r="F18" s="444"/>
      <c r="G18" s="497">
        <f>Demographics!B18/Demographics!B$74</f>
        <v>5.1001835533733223E-3</v>
      </c>
      <c r="H18" s="497">
        <f>Demographics!C18/Demographics!C$74</f>
        <v>7.0211247260552586E-3</v>
      </c>
      <c r="I18" s="497">
        <f>Demographics!D18/Demographics!D$74</f>
        <v>7.2571747937798699E-3</v>
      </c>
      <c r="J18" s="497">
        <f t="shared" si="2"/>
        <v>6.119666656645443E-3</v>
      </c>
      <c r="K18" s="497">
        <f>('2014-15'!AJ18+'2014-15'!AN18+'2014-15 ExC'!BL18+'2014-15 ExC'!BM18)/('2014-15'!AJ$74+'2014-15'!AN$74+'2014-15 ExC'!BL$74+'2014-15 ExC'!BM$74)</f>
        <v>2.4111452642187548E-2</v>
      </c>
      <c r="L18" s="497">
        <f t="shared" si="3"/>
        <v>-1.7991785985542106E-2</v>
      </c>
      <c r="M18" s="497">
        <f t="shared" si="4"/>
        <v>0</v>
      </c>
      <c r="N18" s="444"/>
      <c r="O18" s="444">
        <f>('2014-15'!AJ18+'2014-15'!AN18+'2014-15 ExC'!BL18+'2014-15 ExC'!BM18)*O$75</f>
        <v>1869180.7899336885</v>
      </c>
      <c r="P18" s="444">
        <f t="shared" si="0"/>
        <v>0</v>
      </c>
      <c r="Q18" s="444">
        <f t="shared" si="5"/>
        <v>1869180.7899336885</v>
      </c>
      <c r="R18" s="497">
        <f>Q18/('2014-15'!AJ18+'2014-15'!AN18+'2014-15 ExC'!BL18+'2014-15 ExC'!BM18)</f>
        <v>1.4969999999999999E-2</v>
      </c>
      <c r="S18" s="444"/>
      <c r="T18" s="504">
        <f t="shared" si="1"/>
        <v>0</v>
      </c>
      <c r="U18" s="504">
        <f>('2014-15'!AJ18+'2014-15'!AN18+'2014-15 ExC'!BL18+'2014-15 ExC'!BM18)*0.01</f>
        <v>1248617.7621467526</v>
      </c>
      <c r="V18" s="504">
        <f t="shared" si="6"/>
        <v>0</v>
      </c>
      <c r="W18" s="504">
        <f t="shared" si="7"/>
        <v>0</v>
      </c>
      <c r="X18" s="502">
        <f t="shared" si="8"/>
        <v>1248617.7621467526</v>
      </c>
      <c r="Y18" s="613">
        <f>X18/('2014-15'!AJ18+'2014-15'!AN18+'2014-15 ExC'!BL18+'2014-15 ExC'!BM18)</f>
        <v>0.01</v>
      </c>
      <c r="Z18" s="497">
        <f>E18/('2014-15'!AJ18+'2014-15'!AN18+'2014-15 ExC'!BL18+'2014-15 ExC'!BM18)</f>
        <v>7.6062933652899262E-2</v>
      </c>
      <c r="AA18" s="444"/>
      <c r="AB18" s="444"/>
    </row>
    <row r="19" spans="1:28" hidden="1">
      <c r="A19" s="444" t="s">
        <v>127</v>
      </c>
      <c r="B19" s="444"/>
      <c r="C19" s="444">
        <f>'2013-14'!S26+'2013-14'!T26+('2013-14 FTES'!DA26*'2013-14'!N26)</f>
        <v>743388.64777658822</v>
      </c>
      <c r="D19" s="444">
        <f>'2014-15 ExC'!BM19+'2014-15 ExC'!BL19+('2014-15 ExC'!AF19*'2014-15'!F19)</f>
        <v>790541.02337951038</v>
      </c>
      <c r="E19" s="444">
        <f>'2014-15 Rest'!CD26</f>
        <v>0</v>
      </c>
      <c r="F19" s="444"/>
      <c r="G19" s="497">
        <f>Demographics!B19/Demographics!B$74</f>
        <v>4.747551367750567E-3</v>
      </c>
      <c r="H19" s="497">
        <f>Demographics!C19/Demographics!C$74</f>
        <v>4.5388000458758421E-3</v>
      </c>
      <c r="I19" s="497">
        <f>Demographics!D19/Demographics!D$74</f>
        <v>3.0490532108716942E-3</v>
      </c>
      <c r="J19" s="497">
        <f t="shared" si="2"/>
        <v>4.2707389980621673E-3</v>
      </c>
      <c r="K19" s="497">
        <f>('2014-15'!AJ19+'2014-15'!AN19+'2014-15 ExC'!BL19+'2014-15 ExC'!BM19)/('2014-15'!AJ$74+'2014-15'!AN$74+'2014-15 ExC'!BL$74+'2014-15 ExC'!BM$74)</f>
        <v>4.5860176347227799E-3</v>
      </c>
      <c r="L19" s="497">
        <f t="shared" si="3"/>
        <v>-3.1527863666061268E-4</v>
      </c>
      <c r="M19" s="497">
        <f t="shared" si="4"/>
        <v>0</v>
      </c>
      <c r="N19" s="444"/>
      <c r="O19" s="444">
        <f>('2014-15'!AJ19+'2014-15'!AN19+'2014-15 ExC'!BL19+'2014-15 ExC'!BM19)*O$75</f>
        <v>355519.68569999997</v>
      </c>
      <c r="P19" s="444">
        <f t="shared" si="0"/>
        <v>0</v>
      </c>
      <c r="Q19" s="444">
        <f t="shared" si="5"/>
        <v>355519.68569999997</v>
      </c>
      <c r="R19" s="497">
        <f>Q19/('2014-15'!AJ19+'2014-15'!AN19+'2014-15 ExC'!BL19+'2014-15 ExC'!BM19)</f>
        <v>1.4969999999999999E-2</v>
      </c>
      <c r="S19" s="444"/>
      <c r="T19" s="504">
        <f t="shared" si="1"/>
        <v>561242.26063902467</v>
      </c>
      <c r="U19" s="504">
        <f>('2014-15'!AJ19+'2014-15'!AN19+'2014-15 ExC'!BL19+'2014-15 ExC'!BM19)*0.01</f>
        <v>237488.1</v>
      </c>
      <c r="V19" s="504">
        <f t="shared" si="6"/>
        <v>323754.16063902469</v>
      </c>
      <c r="W19" s="504">
        <f t="shared" si="7"/>
        <v>283706.48480758956</v>
      </c>
      <c r="X19" s="502">
        <f t="shared" si="8"/>
        <v>521194.58480758953</v>
      </c>
      <c r="Y19" s="613">
        <f>X19/('2014-15'!AJ19+'2014-15'!AN19+'2014-15 ExC'!BL19+'2014-15 ExC'!BM19)</f>
        <v>2.1946134766651026E-2</v>
      </c>
      <c r="Z19" s="497">
        <f>E19/('2014-15'!AJ19+'2014-15'!AN19+'2014-15 ExC'!BL19+'2014-15 ExC'!BM19)</f>
        <v>0</v>
      </c>
      <c r="AA19" s="444"/>
      <c r="AB19" s="444"/>
    </row>
    <row r="20" spans="1:28" hidden="1">
      <c r="A20" s="444" t="s">
        <v>128</v>
      </c>
      <c r="B20" s="444"/>
      <c r="C20" s="444">
        <f>'2013-14'!S27+'2013-14'!T27+('2013-14 FTES'!DA27*'2013-14'!N27)</f>
        <v>1404727.5800360995</v>
      </c>
      <c r="D20" s="444">
        <f>'2014-15 ExC'!BM20+'2014-15 ExC'!BL20+('2014-15 ExC'!AF20*'2014-15'!F20)</f>
        <v>0</v>
      </c>
      <c r="E20" s="444">
        <f>'2014-15 Rest'!CD27</f>
        <v>0</v>
      </c>
      <c r="F20" s="444"/>
      <c r="G20" s="497">
        <f>Demographics!B20/Demographics!B$74</f>
        <v>5.3547575682586241E-3</v>
      </c>
      <c r="H20" s="497">
        <f>Demographics!C20/Demographics!C$74</f>
        <v>5.3086717269649752E-3</v>
      </c>
      <c r="I20" s="497">
        <f>Demographics!D20/Demographics!D$74</f>
        <v>7.4028228972580689E-3</v>
      </c>
      <c r="J20" s="497">
        <f t="shared" si="2"/>
        <v>5.8552524401850733E-3</v>
      </c>
      <c r="K20" s="497">
        <f>('2014-15'!AJ20+'2014-15'!AN20+'2014-15 ExC'!BL20+'2014-15 ExC'!BM20)/('2014-15'!AJ$74+'2014-15'!AN$74+'2014-15 ExC'!BL$74+'2014-15 ExC'!BM$74)</f>
        <v>1.247204377578771E-2</v>
      </c>
      <c r="L20" s="497">
        <f t="shared" si="3"/>
        <v>-6.6167913356026372E-3</v>
      </c>
      <c r="M20" s="497">
        <f t="shared" si="4"/>
        <v>0</v>
      </c>
      <c r="N20" s="444"/>
      <c r="O20" s="444">
        <f>('2014-15'!AJ20+'2014-15'!AN20+'2014-15 ExC'!BL20+'2014-15 ExC'!BM20)*O$75</f>
        <v>966864.37697763497</v>
      </c>
      <c r="P20" s="444">
        <f t="shared" si="0"/>
        <v>0</v>
      </c>
      <c r="Q20" s="444">
        <f t="shared" si="5"/>
        <v>966864.37697763497</v>
      </c>
      <c r="R20" s="497">
        <f>Q20/('2014-15'!AJ20+'2014-15'!AN20+'2014-15 ExC'!BL20+'2014-15 ExC'!BM20)</f>
        <v>1.4969999999999999E-2</v>
      </c>
      <c r="S20" s="444"/>
      <c r="T20" s="504">
        <f t="shared" si="1"/>
        <v>834614.08349784231</v>
      </c>
      <c r="U20" s="504">
        <f>('2014-15'!AJ20+'2014-15'!AN20+'2014-15 ExC'!BL20+'2014-15 ExC'!BM20)*0.01</f>
        <v>645867.98729300941</v>
      </c>
      <c r="V20" s="504">
        <f t="shared" si="6"/>
        <v>188746.09620483289</v>
      </c>
      <c r="W20" s="504">
        <f t="shared" si="7"/>
        <v>165398.62026710162</v>
      </c>
      <c r="X20" s="502">
        <f t="shared" si="8"/>
        <v>811266.60756011098</v>
      </c>
      <c r="Y20" s="613">
        <f>X20/('2014-15'!AJ20+'2014-15'!AN20+'2014-15 ExC'!BL20+'2014-15 ExC'!BM20)</f>
        <v>1.2560873483764503E-2</v>
      </c>
      <c r="Z20" s="497">
        <f>E20/('2014-15'!AJ20+'2014-15'!AN20+'2014-15 ExC'!BL20+'2014-15 ExC'!BM20)</f>
        <v>0</v>
      </c>
      <c r="AA20" s="444"/>
      <c r="AB20" s="444"/>
    </row>
    <row r="21" spans="1:28" hidden="1">
      <c r="A21" s="444" t="s">
        <v>129</v>
      </c>
      <c r="B21" s="444"/>
      <c r="C21" s="444">
        <f>'2013-14'!S28+'2013-14'!T28+('2013-14 FTES'!DA28*'2013-14'!N28)</f>
        <v>4742460.1142669385</v>
      </c>
      <c r="D21" s="444">
        <f>'2014-15 ExC'!BM21+'2014-15 ExC'!BL21+('2014-15 ExC'!AF21*'2014-15'!F21)</f>
        <v>3410949.2057397184</v>
      </c>
      <c r="E21" s="444">
        <f>'2014-15 Rest'!CD28</f>
        <v>0</v>
      </c>
      <c r="F21" s="444"/>
      <c r="G21" s="497">
        <f>Demographics!B21/Demographics!B$74</f>
        <v>1.3973856795523886E-2</v>
      </c>
      <c r="H21" s="497">
        <f>Demographics!C21/Demographics!C$74</f>
        <v>1.3042820329866494E-2</v>
      </c>
      <c r="I21" s="497">
        <f>Demographics!D21/Demographics!D$74</f>
        <v>1.28934888034454E-2</v>
      </c>
      <c r="J21" s="497">
        <f t="shared" si="2"/>
        <v>1.3471005681089917E-2</v>
      </c>
      <c r="K21" s="497">
        <f>('2014-15'!AJ21+'2014-15'!AN21+'2014-15 ExC'!BL21+'2014-15 ExC'!BM21)/('2014-15'!AJ$74+'2014-15'!AN$74+'2014-15 ExC'!BL$74+'2014-15 ExC'!BM$74)</f>
        <v>1.6264257150580871E-2</v>
      </c>
      <c r="L21" s="497">
        <f t="shared" si="3"/>
        <v>-2.7932514694909549E-3</v>
      </c>
      <c r="M21" s="497">
        <f t="shared" si="4"/>
        <v>0</v>
      </c>
      <c r="N21" s="444"/>
      <c r="O21" s="444">
        <f>('2014-15'!AJ21+'2014-15'!AN21+'2014-15 ExC'!BL21+'2014-15 ExC'!BM21)*O$75</f>
        <v>1260846.3488099999</v>
      </c>
      <c r="P21" s="444">
        <f t="shared" si="0"/>
        <v>0</v>
      </c>
      <c r="Q21" s="444">
        <f t="shared" si="5"/>
        <v>1260846.3488099999</v>
      </c>
      <c r="R21" s="497">
        <f>Q21/('2014-15'!AJ21+'2014-15'!AN21+'2014-15 ExC'!BL21+'2014-15 ExC'!BM21)</f>
        <v>1.4969999999999999E-2</v>
      </c>
      <c r="S21" s="444"/>
      <c r="T21" s="504">
        <f t="shared" si="1"/>
        <v>2668775.5044066645</v>
      </c>
      <c r="U21" s="504">
        <f>('2014-15'!AJ21+'2014-15'!AN21+'2014-15 ExC'!BL21+'2014-15 ExC'!BM21)*0.01</f>
        <v>842248.73</v>
      </c>
      <c r="V21" s="504">
        <f t="shared" si="6"/>
        <v>1826526.7744066645</v>
      </c>
      <c r="W21" s="504">
        <f t="shared" si="7"/>
        <v>1600589.4396879529</v>
      </c>
      <c r="X21" s="502">
        <f t="shared" si="8"/>
        <v>2442838.1696879528</v>
      </c>
      <c r="Y21" s="613">
        <f>X21/('2014-15'!AJ21+'2014-15'!AN21+'2014-15 ExC'!BL21+'2014-15 ExC'!BM21)</f>
        <v>2.9003761984751852E-2</v>
      </c>
      <c r="Z21" s="497">
        <f>E21/('2014-15'!AJ21+'2014-15'!AN21+'2014-15 ExC'!BL21+'2014-15 ExC'!BM21)</f>
        <v>0</v>
      </c>
      <c r="AA21" s="444"/>
      <c r="AB21" s="444"/>
    </row>
    <row r="22" spans="1:28" hidden="1">
      <c r="A22" s="444" t="s">
        <v>130</v>
      </c>
      <c r="B22" s="444"/>
      <c r="C22" s="444">
        <f>'2013-14'!S29+'2013-14'!T29+('2013-14 FTES'!DA29*'2013-14'!N29)</f>
        <v>1339202.2450386472</v>
      </c>
      <c r="D22" s="444">
        <f>'2014-15 ExC'!BM22+'2014-15 ExC'!BL22+('2014-15 ExC'!AF22*'2014-15'!F22)</f>
        <v>1938293.6800524262</v>
      </c>
      <c r="E22" s="444">
        <f>'2014-15 Rest'!CD29</f>
        <v>0</v>
      </c>
      <c r="F22" s="444"/>
      <c r="G22" s="497">
        <f>Demographics!B22/Demographics!B$74</f>
        <v>8.6571684756735229E-3</v>
      </c>
      <c r="H22" s="497">
        <f>Demographics!C22/Demographics!C$74</f>
        <v>6.9305518286373394E-3</v>
      </c>
      <c r="I22" s="497">
        <f>Demographics!D22/Demographics!D$74</f>
        <v>5.9448127485288013E-3</v>
      </c>
      <c r="J22" s="497">
        <f t="shared" si="2"/>
        <v>7.5474253821282969E-3</v>
      </c>
      <c r="K22" s="497">
        <f>('2014-15'!AJ22+'2014-15'!AN22+'2014-15 ExC'!BL22+'2014-15 ExC'!BM22)/('2014-15'!AJ$74+'2014-15'!AN$74+'2014-15 ExC'!BL$74+'2014-15 ExC'!BM$74)</f>
        <v>6.3164172866347033E-3</v>
      </c>
      <c r="L22" s="497">
        <f t="shared" si="3"/>
        <v>1.2310080954935935E-3</v>
      </c>
      <c r="M22" s="497">
        <f t="shared" si="4"/>
        <v>1.2310080954935935E-3</v>
      </c>
      <c r="N22" s="444"/>
      <c r="O22" s="444">
        <f>('2014-15'!AJ22+'2014-15'!AN22+'2014-15 ExC'!BL22+'2014-15 ExC'!BM22)*O$75</f>
        <v>489664.64312999998</v>
      </c>
      <c r="P22" s="444">
        <f t="shared" si="0"/>
        <v>531977.76376018871</v>
      </c>
      <c r="Q22" s="444">
        <f t="shared" si="5"/>
        <v>1021642.4068901887</v>
      </c>
      <c r="R22" s="497">
        <f>Q22/('2014-15'!AJ22+'2014-15'!AN22+'2014-15 ExC'!BL22+'2014-15 ExC'!BM22)</f>
        <v>3.123359435017602E-2</v>
      </c>
      <c r="S22" s="444"/>
      <c r="T22" s="504">
        <f t="shared" si="1"/>
        <v>1330195.1847178626</v>
      </c>
      <c r="U22" s="504">
        <f>('2014-15'!AJ22+'2014-15'!AN22+'2014-15 ExC'!BL22+'2014-15 ExC'!BM22)*0.01</f>
        <v>327097.28999999998</v>
      </c>
      <c r="V22" s="504">
        <f t="shared" si="6"/>
        <v>1003097.8947178626</v>
      </c>
      <c r="W22" s="504">
        <f t="shared" si="7"/>
        <v>879016.89685341786</v>
      </c>
      <c r="X22" s="502">
        <f t="shared" si="8"/>
        <v>1206114.1868534179</v>
      </c>
      <c r="Y22" s="613">
        <f>X22/('2014-15'!AJ22+'2014-15'!AN22+'2014-15 ExC'!BL22+'2014-15 ExC'!BM22)</f>
        <v>3.6873255258501769E-2</v>
      </c>
      <c r="Z22" s="497">
        <f>E22/('2014-15'!AJ22+'2014-15'!AN22+'2014-15 ExC'!BL22+'2014-15 ExC'!BM22)</f>
        <v>0</v>
      </c>
      <c r="AA22" s="444"/>
      <c r="AB22" s="444"/>
    </row>
    <row r="23" spans="1:28" hidden="1">
      <c r="A23" s="444" t="s">
        <v>131</v>
      </c>
      <c r="B23" s="444"/>
      <c r="C23" s="444">
        <f>'2013-14'!S30+'2013-14'!T30+('2013-14 FTES'!DA30*'2013-14'!N30)</f>
        <v>2662098.931527622</v>
      </c>
      <c r="D23" s="444">
        <f>'2014-15 ExC'!BM23+'2014-15 ExC'!BL23+('2014-15 ExC'!AF23*'2014-15'!F23)</f>
        <v>1140637.1449529966</v>
      </c>
      <c r="E23" s="444">
        <f>'2014-15 Rest'!CD30</f>
        <v>0</v>
      </c>
      <c r="F23" s="444"/>
      <c r="G23" s="497">
        <f>Demographics!B23/Demographics!B$74</f>
        <v>5.4953174621014166E-3</v>
      </c>
      <c r="H23" s="497">
        <f>Demographics!C23/Demographics!C$74</f>
        <v>7.3407430036728123E-3</v>
      </c>
      <c r="I23" s="497">
        <f>Demographics!D23/Demographics!D$74</f>
        <v>6.1095747763479716E-3</v>
      </c>
      <c r="J23" s="497">
        <f t="shared" si="2"/>
        <v>6.1102381760559047E-3</v>
      </c>
      <c r="K23" s="497">
        <f>('2014-15'!AJ23+'2014-15'!AN23+'2014-15 ExC'!BL23+'2014-15 ExC'!BM23)/('2014-15'!AJ$74+'2014-15'!AN$74+'2014-15 ExC'!BL$74+'2014-15 ExC'!BM$74)</f>
        <v>6.1367505125308735E-3</v>
      </c>
      <c r="L23" s="497">
        <f t="shared" si="3"/>
        <v>-2.6512336474968784E-5</v>
      </c>
      <c r="M23" s="497">
        <f t="shared" si="4"/>
        <v>0</v>
      </c>
      <c r="N23" s="444"/>
      <c r="O23" s="444">
        <f>('2014-15'!AJ23+'2014-15'!AN23+'2014-15 ExC'!BL23+'2014-15 ExC'!BM23)*O$75</f>
        <v>475736.42039999994</v>
      </c>
      <c r="P23" s="444">
        <f t="shared" si="0"/>
        <v>0</v>
      </c>
      <c r="Q23" s="444">
        <f t="shared" si="5"/>
        <v>475736.42039999994</v>
      </c>
      <c r="R23" s="497">
        <f>Q23/('2014-15'!AJ23+'2014-15'!AN23+'2014-15 ExC'!BL23+'2014-15 ExC'!BM23)</f>
        <v>1.4969999999999999E-2</v>
      </c>
      <c r="S23" s="444"/>
      <c r="T23" s="504">
        <f t="shared" si="1"/>
        <v>1188552.2293201545</v>
      </c>
      <c r="U23" s="504">
        <f>('2014-15'!AJ23+'2014-15'!AN23+'2014-15 ExC'!BL23+'2014-15 ExC'!BM23)*0.01</f>
        <v>317793.2</v>
      </c>
      <c r="V23" s="504">
        <f t="shared" si="6"/>
        <v>870759.02932015457</v>
      </c>
      <c r="W23" s="504">
        <f t="shared" si="7"/>
        <v>763048.05731386854</v>
      </c>
      <c r="X23" s="502">
        <f t="shared" si="8"/>
        <v>1080841.2573138685</v>
      </c>
      <c r="Y23" s="613">
        <f>X23/('2014-15'!AJ23+'2014-15'!AN23+'2014-15 ExC'!BL23+'2014-15 ExC'!BM23)</f>
        <v>3.4010836522426174E-2</v>
      </c>
      <c r="Z23" s="497">
        <f>E23/('2014-15'!AJ23+'2014-15'!AN23+'2014-15 ExC'!BL23+'2014-15 ExC'!BM23)</f>
        <v>0</v>
      </c>
      <c r="AA23" s="444"/>
      <c r="AB23" s="444"/>
    </row>
    <row r="24" spans="1:28" hidden="1">
      <c r="A24" s="444" t="s">
        <v>132</v>
      </c>
      <c r="B24" s="444"/>
      <c r="C24" s="444">
        <f>'2013-14'!S31+'2013-14'!T31+('2013-14 FTES'!DA31*'2013-14'!N31)</f>
        <v>2879662.3444070425</v>
      </c>
      <c r="D24" s="444">
        <f>'2014-15 ExC'!BM24+'2014-15 ExC'!BL24+('2014-15 ExC'!AF24*'2014-15'!F24)</f>
        <v>1083366.9298614475</v>
      </c>
      <c r="E24" s="444">
        <f>'2014-15 Rest'!CD31</f>
        <v>0</v>
      </c>
      <c r="F24" s="444"/>
      <c r="G24" s="497">
        <f>Demographics!B24/Demographics!B$74</f>
        <v>2.8702116262019038E-2</v>
      </c>
      <c r="H24" s="497">
        <f>Demographics!C24/Demographics!C$74</f>
        <v>2.9495169557092468E-2</v>
      </c>
      <c r="I24" s="497">
        <f>Demographics!D24/Demographics!D$74</f>
        <v>2.9809311845204738E-2</v>
      </c>
      <c r="J24" s="497">
        <f t="shared" si="2"/>
        <v>2.9177178481583819E-2</v>
      </c>
      <c r="K24" s="497">
        <f>('2014-15'!AJ24+'2014-15'!AN24+'2014-15 ExC'!BL24+'2014-15 ExC'!BM24)/('2014-15'!AJ$74+'2014-15'!AN$74+'2014-15 ExC'!BL$74+'2014-15 ExC'!BM$74)</f>
        <v>1.7151165761502763E-2</v>
      </c>
      <c r="L24" s="497">
        <f t="shared" si="3"/>
        <v>1.2026012720081056E-2</v>
      </c>
      <c r="M24" s="497">
        <f t="shared" si="4"/>
        <v>1.2026012720081056E-2</v>
      </c>
      <c r="N24" s="444"/>
      <c r="O24" s="444">
        <f>('2014-15'!AJ24+'2014-15'!AN24+'2014-15 ExC'!BL24+'2014-15 ExC'!BM24)*O$75</f>
        <v>1329601.7474399998</v>
      </c>
      <c r="P24" s="444">
        <f t="shared" si="0"/>
        <v>5197018.1002059858</v>
      </c>
      <c r="Q24" s="444">
        <f t="shared" si="5"/>
        <v>6526619.8476459859</v>
      </c>
      <c r="R24" s="497">
        <f>Q24/('2014-15'!AJ24+'2014-15'!AN24+'2014-15 ExC'!BL24+'2014-15 ExC'!BM24)</f>
        <v>7.3483281221145808E-2</v>
      </c>
      <c r="S24" s="444"/>
      <c r="T24" s="504">
        <f t="shared" si="1"/>
        <v>4254067.2423901157</v>
      </c>
      <c r="U24" s="504">
        <f>('2014-15'!AJ24+'2014-15'!AN24+'2014-15 ExC'!BL24+'2014-15 ExC'!BM24)*0.01</f>
        <v>888177.52</v>
      </c>
      <c r="V24" s="504">
        <f t="shared" si="6"/>
        <v>3365889.7223901157</v>
      </c>
      <c r="W24" s="504">
        <f t="shared" si="7"/>
        <v>2949536.5851189885</v>
      </c>
      <c r="X24" s="502">
        <f t="shared" si="8"/>
        <v>3837714.1051189885</v>
      </c>
      <c r="Y24" s="613">
        <f>X24/('2014-15'!AJ24+'2014-15'!AN24+'2014-15 ExC'!BL24+'2014-15 ExC'!BM24)</f>
        <v>4.3208863303802018E-2</v>
      </c>
      <c r="Z24" s="497">
        <f>E24/('2014-15'!AJ24+'2014-15'!AN24+'2014-15 ExC'!BL24+'2014-15 ExC'!BM24)</f>
        <v>0</v>
      </c>
      <c r="AA24" s="444"/>
      <c r="AB24" s="444"/>
    </row>
    <row r="25" spans="1:28" hidden="1">
      <c r="A25" s="444" t="s">
        <v>133</v>
      </c>
      <c r="B25" s="444"/>
      <c r="C25" s="444">
        <f>'2013-14'!S32+'2013-14'!T32+('2013-14 FTES'!DA32*'2013-14'!N32)</f>
        <v>921911</v>
      </c>
      <c r="D25" s="444">
        <f>'2014-15 ExC'!BM25+'2014-15 ExC'!BL25+('2014-15 ExC'!AF25*'2014-15'!F25)</f>
        <v>449290.1215734788</v>
      </c>
      <c r="E25" s="444">
        <f>'2014-15 Rest'!CD32</f>
        <v>607474</v>
      </c>
      <c r="F25" s="444"/>
      <c r="G25" s="497">
        <f>Demographics!B25/Demographics!B$74</f>
        <v>1.0103571270524583E-3</v>
      </c>
      <c r="H25" s="497">
        <f>Demographics!C25/Demographics!C$74</f>
        <v>7.4859856050733321E-4</v>
      </c>
      <c r="I25" s="497">
        <f>Demographics!D25/Demographics!D$74</f>
        <v>1.3295645771579428E-3</v>
      </c>
      <c r="J25" s="497">
        <f t="shared" si="2"/>
        <v>1.0247193479425481E-3</v>
      </c>
      <c r="K25" s="497">
        <f>('2014-15'!AJ25+'2014-15'!AN25+'2014-15 ExC'!BL25+'2014-15 ExC'!BM25)/('2014-15'!AJ$74+'2014-15'!AN$74+'2014-15 ExC'!BL$74+'2014-15 ExC'!BM$74)</f>
        <v>1.5900170318984329E-3</v>
      </c>
      <c r="L25" s="497">
        <f t="shared" si="3"/>
        <v>-5.6529768395588475E-4</v>
      </c>
      <c r="M25" s="497">
        <f t="shared" si="4"/>
        <v>0</v>
      </c>
      <c r="N25" s="444"/>
      <c r="O25" s="444">
        <f>('2014-15'!AJ25+'2014-15'!AN25+'2014-15 ExC'!BL25+'2014-15 ExC'!BM25)*O$75</f>
        <v>123262.14167999999</v>
      </c>
      <c r="P25" s="444">
        <f t="shared" si="0"/>
        <v>0</v>
      </c>
      <c r="Q25" s="444">
        <f t="shared" si="5"/>
        <v>123262.14167999999</v>
      </c>
      <c r="R25" s="497">
        <f>Q25/('2014-15'!AJ25+'2014-15'!AN25+'2014-15 ExC'!BL25+'2014-15 ExC'!BM25)</f>
        <v>1.4969999999999999E-2</v>
      </c>
      <c r="S25" s="444"/>
      <c r="T25" s="504">
        <f t="shared" si="1"/>
        <v>0</v>
      </c>
      <c r="U25" s="504">
        <f>('2014-15'!AJ25+'2014-15'!AN25+'2014-15 ExC'!BL25+'2014-15 ExC'!BM25)*0.01</f>
        <v>82339.44</v>
      </c>
      <c r="V25" s="504">
        <f t="shared" si="6"/>
        <v>0</v>
      </c>
      <c r="W25" s="504">
        <f t="shared" si="7"/>
        <v>0</v>
      </c>
      <c r="X25" s="502">
        <f t="shared" si="8"/>
        <v>82339.44</v>
      </c>
      <c r="Y25" s="613">
        <f>X25/('2014-15'!AJ25+'2014-15'!AN25+'2014-15 ExC'!BL25+'2014-15 ExC'!BM25)</f>
        <v>0.01</v>
      </c>
      <c r="Z25" s="497">
        <f>E25/('2014-15'!AJ25+'2014-15'!AN25+'2014-15 ExC'!BL25+'2014-15 ExC'!BM25)</f>
        <v>7.3776795178592425E-2</v>
      </c>
      <c r="AA25" s="444"/>
      <c r="AB25" s="444"/>
    </row>
    <row r="26" spans="1:28" hidden="1">
      <c r="A26" s="444" t="s">
        <v>134</v>
      </c>
      <c r="B26" s="444"/>
      <c r="C26" s="444">
        <f>'2013-14'!S33+'2013-14'!T33+('2013-14 FTES'!DA33*'2013-14'!N33)</f>
        <v>0</v>
      </c>
      <c r="D26" s="444">
        <f>'2014-15 ExC'!BM26+'2014-15 ExC'!BL26+('2014-15 ExC'!AF26*'2014-15'!F26)</f>
        <v>1372751.1402770921</v>
      </c>
      <c r="E26" s="444">
        <f>'2014-15 Rest'!CD33</f>
        <v>676607</v>
      </c>
      <c r="F26" s="444"/>
      <c r="G26" s="497">
        <f>Demographics!B26/Demographics!B$74</f>
        <v>1.1811818361629912E-3</v>
      </c>
      <c r="H26" s="497">
        <f>Demographics!C26/Demographics!C$74</f>
        <v>5.4698115006643084E-4</v>
      </c>
      <c r="I26" s="497">
        <f>Demographics!D26/Demographics!D$74</f>
        <v>9.6295950829811908E-4</v>
      </c>
      <c r="J26" s="497">
        <f t="shared" si="2"/>
        <v>9.6807608267263307E-4</v>
      </c>
      <c r="K26" s="497">
        <f>('2014-15'!AJ26+'2014-15'!AN26+'2014-15 ExC'!BL26+'2014-15 ExC'!BM26)/('2014-15'!AJ$74+'2014-15'!AN$74+'2014-15 ExC'!BL$74+'2014-15 ExC'!BM$74)</f>
        <v>1.5343552434072074E-3</v>
      </c>
      <c r="L26" s="497">
        <f t="shared" si="3"/>
        <v>-5.6627916073457435E-4</v>
      </c>
      <c r="M26" s="497">
        <f t="shared" si="4"/>
        <v>0</v>
      </c>
      <c r="N26" s="444"/>
      <c r="O26" s="444">
        <f>('2014-15'!AJ26+'2014-15'!AN26+'2014-15 ExC'!BL26+'2014-15 ExC'!BM26)*O$75</f>
        <v>118947.09905999999</v>
      </c>
      <c r="P26" s="444">
        <f t="shared" si="0"/>
        <v>0</v>
      </c>
      <c r="Q26" s="444">
        <f t="shared" si="5"/>
        <v>118947.09905999999</v>
      </c>
      <c r="R26" s="497">
        <f>Q26/('2014-15'!AJ26+'2014-15'!AN26+'2014-15 ExC'!BL26+'2014-15 ExC'!BM26)</f>
        <v>1.4969999999999999E-2</v>
      </c>
      <c r="S26" s="444"/>
      <c r="T26" s="504">
        <f t="shared" si="1"/>
        <v>0</v>
      </c>
      <c r="U26" s="504">
        <f>('2014-15'!AJ26+'2014-15'!AN26+'2014-15 ExC'!BL26+'2014-15 ExC'!BM26)*0.01</f>
        <v>79456.98</v>
      </c>
      <c r="V26" s="504">
        <f t="shared" si="6"/>
        <v>0</v>
      </c>
      <c r="W26" s="504">
        <f t="shared" si="7"/>
        <v>0</v>
      </c>
      <c r="X26" s="502">
        <f t="shared" si="8"/>
        <v>79456.98</v>
      </c>
      <c r="Y26" s="613">
        <f>X26/('2014-15'!AJ26+'2014-15'!AN26+'2014-15 ExC'!BL26+'2014-15 ExC'!BM26)</f>
        <v>0.01</v>
      </c>
      <c r="Z26" s="497">
        <f>E26/('2014-15'!AJ26+'2014-15'!AN26+'2014-15 ExC'!BL26+'2014-15 ExC'!BM26)</f>
        <v>8.5153878237003225E-2</v>
      </c>
      <c r="AA26" s="444"/>
      <c r="AB26" s="444"/>
    </row>
    <row r="27" spans="1:28">
      <c r="A27" s="444" t="s">
        <v>135</v>
      </c>
      <c r="B27" s="444"/>
      <c r="C27" s="444">
        <f>'2013-14'!S34+'2013-14'!T34+('2013-14 FTES'!DA34*'2013-14'!N34)</f>
        <v>1751999.2510653662</v>
      </c>
      <c r="D27" s="444">
        <f>'2014-15 ExC'!BM27+'2014-15 ExC'!BL27+('2014-15 ExC'!AF27*'2014-15'!F27)</f>
        <v>1641460.3693963294</v>
      </c>
      <c r="E27" s="444">
        <f>'2014-15 Rest'!CD34</f>
        <v>0</v>
      </c>
      <c r="F27" s="444"/>
      <c r="G27" s="497">
        <f>Demographics!B27/Demographics!B$74</f>
        <v>1.3578635166220468E-2</v>
      </c>
      <c r="H27" s="497">
        <f>Demographics!C27/Demographics!C$74</f>
        <v>1.4875062676830945E-2</v>
      </c>
      <c r="I27" s="497">
        <f>Demographics!D27/Demographics!D$74</f>
        <v>1.6805344559068524E-2</v>
      </c>
      <c r="J27" s="497">
        <f t="shared" si="2"/>
        <v>1.4709419392085102E-2</v>
      </c>
      <c r="K27" s="497">
        <f>('2014-15'!AJ27+'2014-15'!AN27+'2014-15 ExC'!BL27+'2014-15 ExC'!BM27)/('2014-15'!AJ$74+'2014-15'!AN$74+'2014-15 ExC'!BL$74+'2014-15 ExC'!BM$74)</f>
        <v>1.8068769209223203E-2</v>
      </c>
      <c r="L27" s="497">
        <f t="shared" si="3"/>
        <v>-3.3593498171381013E-3</v>
      </c>
      <c r="M27" s="497">
        <f t="shared" si="4"/>
        <v>0</v>
      </c>
      <c r="N27" s="444"/>
      <c r="O27" s="444">
        <f>('2014-15'!AJ27+'2014-15'!AN27+'2014-15 ExC'!BL27+'2014-15 ExC'!BM27)*O$75</f>
        <v>1400736.6874499999</v>
      </c>
      <c r="P27" s="444">
        <f t="shared" si="0"/>
        <v>0</v>
      </c>
      <c r="Q27" s="444">
        <f t="shared" si="5"/>
        <v>1400736.6874499999</v>
      </c>
      <c r="R27" s="666">
        <f>Q27/('2014-15'!AJ27+'2014-15'!AN27+'2014-15 ExC'!BL27+'2014-15 ExC'!BM27)</f>
        <v>1.4969999999999999E-2</v>
      </c>
      <c r="S27" s="444"/>
      <c r="T27" s="504">
        <f t="shared" si="1"/>
        <v>1548733.2488404238</v>
      </c>
      <c r="U27" s="504">
        <f>('2014-15'!AJ27+'2014-15'!AN27+'2014-15 ExC'!BL27+'2014-15 ExC'!BM27)*0.01</f>
        <v>935695.85</v>
      </c>
      <c r="V27" s="504">
        <f t="shared" si="6"/>
        <v>613037.39884042379</v>
      </c>
      <c r="W27" s="504">
        <f t="shared" si="7"/>
        <v>537206.02427878312</v>
      </c>
      <c r="X27" s="502">
        <f t="shared" si="8"/>
        <v>1472901.8742787831</v>
      </c>
      <c r="Y27" s="613">
        <f>X27/('2014-15'!AJ27+'2014-15'!AN27+'2014-15 ExC'!BL27+'2014-15 ExC'!BM27)</f>
        <v>1.5741246199593415E-2</v>
      </c>
      <c r="Z27" s="497">
        <f>E27/('2014-15'!AJ27+'2014-15'!AN27+'2014-15 ExC'!BL27+'2014-15 ExC'!BM27)</f>
        <v>0</v>
      </c>
      <c r="AA27" s="444"/>
      <c r="AB27" s="444"/>
    </row>
    <row r="28" spans="1:28" hidden="1">
      <c r="A28" s="444" t="s">
        <v>136</v>
      </c>
      <c r="B28" s="444"/>
      <c r="C28" s="444">
        <f>'2013-14'!S35+'2013-14'!T35+('2013-14 FTES'!DA35*'2013-14'!N35)</f>
        <v>19309525.861336246</v>
      </c>
      <c r="D28" s="444">
        <f>'2014-15 ExC'!BM28+'2014-15 ExC'!BL28+('2014-15 ExC'!AF28*'2014-15'!F28)</f>
        <v>29531428.633407433</v>
      </c>
      <c r="E28" s="444">
        <f>'2014-15 Rest'!CD35</f>
        <v>0</v>
      </c>
      <c r="F28" s="444"/>
      <c r="G28" s="497">
        <f>Demographics!B28/Demographics!B$74</f>
        <v>0.14842428217663425</v>
      </c>
      <c r="H28" s="497">
        <f>Demographics!C28/Demographics!C$74</f>
        <v>0.14468396253302995</v>
      </c>
      <c r="I28" s="497">
        <f>Demographics!D28/Demographics!D$74</f>
        <v>0.18353687114233222</v>
      </c>
      <c r="J28" s="497">
        <f t="shared" si="2"/>
        <v>0.15626734950715768</v>
      </c>
      <c r="K28" s="497">
        <f>('2014-15'!AJ28+'2014-15'!AN28+'2014-15 ExC'!BL28+'2014-15 ExC'!BM28)/('2014-15'!AJ$74+'2014-15'!AN$74+'2014-15 ExC'!BL$74+'2014-15 ExC'!BM$74)</f>
        <v>9.2016022176551263E-2</v>
      </c>
      <c r="L28" s="497">
        <f t="shared" si="3"/>
        <v>6.4251327330606414E-2</v>
      </c>
      <c r="M28" s="497">
        <f t="shared" si="4"/>
        <v>6.4251327330606414E-2</v>
      </c>
      <c r="N28" s="444"/>
      <c r="O28" s="444">
        <f>('2014-15'!AJ28+'2014-15'!AN28+'2014-15 ExC'!BL28+'2014-15 ExC'!BM28)*O$75</f>
        <v>7133314.7600399991</v>
      </c>
      <c r="P28" s="444">
        <f t="shared" si="0"/>
        <v>27766086.638329323</v>
      </c>
      <c r="Q28" s="444">
        <f t="shared" si="5"/>
        <v>34899401.39836932</v>
      </c>
      <c r="R28" s="497">
        <f>Q28/('2014-15'!AJ28+'2014-15'!AN28+'2014-15 ExC'!BL28+'2014-15 ExC'!BM28)</f>
        <v>7.3240009239499637E-2</v>
      </c>
      <c r="S28" s="444"/>
      <c r="T28" s="504">
        <f t="shared" si="1"/>
        <v>29659939.322870579</v>
      </c>
      <c r="U28" s="504">
        <f>('2014-15'!AJ28+'2014-15'!AN28+'2014-15 ExC'!BL28+'2014-15 ExC'!BM28)*0.01</f>
        <v>4765073.32</v>
      </c>
      <c r="V28" s="504">
        <f t="shared" si="6"/>
        <v>24894866.002870578</v>
      </c>
      <c r="W28" s="504">
        <f t="shared" si="7"/>
        <v>21815425.968549054</v>
      </c>
      <c r="X28" s="502">
        <f t="shared" si="8"/>
        <v>26580499.288549054</v>
      </c>
      <c r="Y28" s="613">
        <f>X28/('2014-15'!AJ28+'2014-15'!AN28+'2014-15 ExC'!BL28+'2014-15 ExC'!BM28)</f>
        <v>5.5781931365012145E-2</v>
      </c>
      <c r="Z28" s="497">
        <f>E28/('2014-15'!AJ28+'2014-15'!AN28+'2014-15 ExC'!BL28+'2014-15 ExC'!BM28)</f>
        <v>0</v>
      </c>
      <c r="AA28" s="444"/>
      <c r="AB28" s="444"/>
    </row>
    <row r="29" spans="1:28" hidden="1">
      <c r="A29" s="444" t="s">
        <v>137</v>
      </c>
      <c r="B29" s="444"/>
      <c r="C29" s="444">
        <f>'2013-14'!S36+'2013-14'!T36+('2013-14 FTES'!DA36*'2013-14'!N36)</f>
        <v>6110791.0192478672</v>
      </c>
      <c r="D29" s="444">
        <f>'2014-15 ExC'!BM29+'2014-15 ExC'!BL29+('2014-15 ExC'!AF29*'2014-15'!F29)</f>
        <v>9456682.2571746856</v>
      </c>
      <c r="E29" s="444">
        <f>'2014-15 Rest'!CD36</f>
        <v>0</v>
      </c>
      <c r="F29" s="444"/>
      <c r="G29" s="497">
        <f>Demographics!B29/Demographics!B$74</f>
        <v>4.1469423785057989E-2</v>
      </c>
      <c r="H29" s="497">
        <f>Demographics!C29/Demographics!C$74</f>
        <v>4.7257639949690601E-2</v>
      </c>
      <c r="I29" s="497">
        <f>Demographics!D29/Demographics!D$74</f>
        <v>4.7720970345128663E-2</v>
      </c>
      <c r="J29" s="497">
        <f t="shared" si="2"/>
        <v>4.4479364466233809E-2</v>
      </c>
      <c r="K29" s="497">
        <f>('2014-15'!AJ29+'2014-15'!AN29+'2014-15 ExC'!BL29+'2014-15 ExC'!BM29)/('2014-15'!AJ$74+'2014-15'!AN$74+'2014-15 ExC'!BL$74+'2014-15 ExC'!BM$74)</f>
        <v>4.6615280069118692E-2</v>
      </c>
      <c r="L29" s="497">
        <f t="shared" si="3"/>
        <v>-2.135915602884883E-3</v>
      </c>
      <c r="M29" s="497">
        <f t="shared" si="4"/>
        <v>0</v>
      </c>
      <c r="N29" s="444"/>
      <c r="O29" s="444">
        <f>('2014-15'!AJ29+'2014-15'!AN29+'2014-15 ExC'!BL29+'2014-15 ExC'!BM29)*O$75</f>
        <v>3613734.4072799999</v>
      </c>
      <c r="P29" s="444">
        <f t="shared" si="0"/>
        <v>0</v>
      </c>
      <c r="Q29" s="444">
        <f t="shared" si="5"/>
        <v>3613734.4072799999</v>
      </c>
      <c r="R29" s="497">
        <f>Q29/('2014-15'!AJ29+'2014-15'!AN29+'2014-15 ExC'!BL29+'2014-15 ExC'!BM29)</f>
        <v>1.4969999999999999E-2</v>
      </c>
      <c r="S29" s="444"/>
      <c r="T29" s="504">
        <f t="shared" si="1"/>
        <v>5698735.5227456382</v>
      </c>
      <c r="U29" s="504">
        <f>('2014-15'!AJ29+'2014-15'!AN29+'2014-15 ExC'!BL29+'2014-15 ExC'!BM29)*0.01</f>
        <v>2413984.2400000002</v>
      </c>
      <c r="V29" s="504">
        <f t="shared" si="6"/>
        <v>3284751.2827456379</v>
      </c>
      <c r="W29" s="504">
        <f t="shared" si="7"/>
        <v>2878434.791557875</v>
      </c>
      <c r="X29" s="502">
        <f t="shared" si="8"/>
        <v>5292419.0315578748</v>
      </c>
      <c r="Y29" s="613">
        <f>X29/('2014-15'!AJ29+'2014-15'!AN29+'2014-15 ExC'!BL29+'2014-15 ExC'!BM29)</f>
        <v>2.1923999932815946E-2</v>
      </c>
      <c r="Z29" s="497">
        <f>E29/('2014-15'!AJ29+'2014-15'!AN29+'2014-15 ExC'!BL29+'2014-15 ExC'!BM29)</f>
        <v>0</v>
      </c>
      <c r="AA29" s="444"/>
      <c r="AB29" s="444"/>
    </row>
    <row r="30" spans="1:28" hidden="1">
      <c r="A30" s="444" t="s">
        <v>138</v>
      </c>
      <c r="B30" s="444"/>
      <c r="C30" s="444">
        <f>'2013-14'!S37+'2013-14'!T37+('2013-14 FTES'!DA37*'2013-14'!N37)</f>
        <v>0</v>
      </c>
      <c r="D30" s="444">
        <f>'2014-15 ExC'!BM30+'2014-15 ExC'!BL30+('2014-15 ExC'!AF30*'2014-15'!F30)</f>
        <v>0</v>
      </c>
      <c r="E30" s="444">
        <f>'2014-15 Rest'!CD37</f>
        <v>4633749</v>
      </c>
      <c r="F30" s="444"/>
      <c r="G30" s="497">
        <f>Demographics!B30/Demographics!B$74</f>
        <v>4.7330373919144972E-3</v>
      </c>
      <c r="H30" s="497">
        <f>Demographics!C30/Demographics!C$74</f>
        <v>4.3870526479200186E-3</v>
      </c>
      <c r="I30" s="497">
        <f>Demographics!D30/Demographics!D$74</f>
        <v>5.6114659080222671E-3</v>
      </c>
      <c r="J30" s="497">
        <f t="shared" si="2"/>
        <v>4.8661483349428198E-3</v>
      </c>
      <c r="K30" s="497">
        <f>('2014-15'!AJ30+'2014-15'!AN30+'2014-15 ExC'!BL30+'2014-15 ExC'!BM30)/('2014-15'!AJ$74+'2014-15'!AN$74+'2014-15 ExC'!BL$74+'2014-15 ExC'!BM$74)</f>
        <v>3.9253136238305104E-3</v>
      </c>
      <c r="L30" s="497">
        <f t="shared" si="3"/>
        <v>9.4083471111230943E-4</v>
      </c>
      <c r="M30" s="497">
        <f t="shared" si="4"/>
        <v>9.4083471111230943E-4</v>
      </c>
      <c r="N30" s="444"/>
      <c r="O30" s="444">
        <f>('2014-15'!AJ30+'2014-15'!AN30+'2014-15 ExC'!BL30+'2014-15 ExC'!BM30)*O$75</f>
        <v>304300.23976619734</v>
      </c>
      <c r="P30" s="444">
        <f t="shared" si="0"/>
        <v>406579.89782333991</v>
      </c>
      <c r="Q30" s="444">
        <f t="shared" si="5"/>
        <v>710880.13758953731</v>
      </c>
      <c r="R30" s="497">
        <f>Q30/('2014-15'!AJ30+'2014-15'!AN30+'2014-15 ExC'!BL30+'2014-15 ExC'!BM30)</f>
        <v>3.4971630873152887E-2</v>
      </c>
      <c r="S30" s="444"/>
      <c r="T30" s="504">
        <f t="shared" si="1"/>
        <v>0</v>
      </c>
      <c r="U30" s="504">
        <f>('2014-15'!AJ30+'2014-15'!AN30+'2014-15 ExC'!BL30+'2014-15 ExC'!BM30)*0.01</f>
        <v>203273.37325731287</v>
      </c>
      <c r="V30" s="504">
        <f t="shared" si="6"/>
        <v>0</v>
      </c>
      <c r="W30" s="504">
        <f t="shared" si="7"/>
        <v>0</v>
      </c>
      <c r="X30" s="502">
        <f t="shared" si="8"/>
        <v>203273.37325731287</v>
      </c>
      <c r="Y30" s="613">
        <f>X30/('2014-15'!AJ30+'2014-15'!AN30+'2014-15 ExC'!BL30+'2014-15 ExC'!BM30)</f>
        <v>0.01</v>
      </c>
      <c r="Z30" s="497">
        <f>E30/('2014-15'!AJ30+'2014-15'!AN30+'2014-15 ExC'!BL30+'2014-15 ExC'!BM30)</f>
        <v>0.22795651618052237</v>
      </c>
      <c r="AA30" s="444"/>
      <c r="AB30" s="444"/>
    </row>
    <row r="31" spans="1:28" hidden="1">
      <c r="A31" s="444" t="s">
        <v>139</v>
      </c>
      <c r="B31" s="444"/>
      <c r="C31" s="444">
        <f>'2013-14'!S38+'2013-14'!T38+('2013-14 FTES'!DA38*'2013-14'!N38)</f>
        <v>0</v>
      </c>
      <c r="D31" s="444">
        <f>'2014-15 ExC'!BM31+'2014-15 ExC'!BL31+('2014-15 ExC'!AF31*'2014-15'!F31)</f>
        <v>1476402.8784265202</v>
      </c>
      <c r="E31" s="444">
        <f>'2014-15 Rest'!CD38</f>
        <v>1956233</v>
      </c>
      <c r="F31" s="444"/>
      <c r="G31" s="497">
        <f>Demographics!B31/Demographics!B$74</f>
        <v>3.0142302393036738E-3</v>
      </c>
      <c r="H31" s="497">
        <f>Demographics!C31/Demographics!C$74</f>
        <v>3.0437438636189821E-3</v>
      </c>
      <c r="I31" s="497">
        <f>Demographics!D31/Demographics!D$74</f>
        <v>4.2792253814565879E-3</v>
      </c>
      <c r="J31" s="497">
        <f t="shared" si="2"/>
        <v>3.3378574309207293E-3</v>
      </c>
      <c r="K31" s="497">
        <f>('2014-15'!AJ31+'2014-15'!AN31+'2014-15 ExC'!BL31+'2014-15 ExC'!BM31)/('2014-15'!AJ$74+'2014-15'!AN$74+'2014-15 ExC'!BL$74+'2014-15 ExC'!BM$74)</f>
        <v>2.356913492496442E-3</v>
      </c>
      <c r="L31" s="497">
        <f t="shared" si="3"/>
        <v>9.8094393842428724E-4</v>
      </c>
      <c r="M31" s="497">
        <f t="shared" si="4"/>
        <v>9.8094393842428724E-4</v>
      </c>
      <c r="N31" s="444"/>
      <c r="O31" s="444">
        <f>('2014-15'!AJ31+'2014-15'!AN31+'2014-15 ExC'!BL31+'2014-15 ExC'!BM31)*O$75</f>
        <v>182713.89489</v>
      </c>
      <c r="P31" s="444">
        <f t="shared" si="0"/>
        <v>423913.02270666533</v>
      </c>
      <c r="Q31" s="444">
        <f t="shared" si="5"/>
        <v>606626.91759666533</v>
      </c>
      <c r="R31" s="497">
        <f>Q31/('2014-15'!AJ31+'2014-15'!AN31+'2014-15 ExC'!BL31+'2014-15 ExC'!BM31)</f>
        <v>4.9701775346036356E-2</v>
      </c>
      <c r="S31" s="444"/>
      <c r="T31" s="504">
        <f t="shared" si="1"/>
        <v>0</v>
      </c>
      <c r="U31" s="504">
        <f>('2014-15'!AJ31+'2014-15'!AN31+'2014-15 ExC'!BL31+'2014-15 ExC'!BM31)*0.01</f>
        <v>122053.37</v>
      </c>
      <c r="V31" s="504">
        <f t="shared" si="6"/>
        <v>0</v>
      </c>
      <c r="W31" s="504">
        <f t="shared" si="7"/>
        <v>0</v>
      </c>
      <c r="X31" s="502">
        <f t="shared" si="8"/>
        <v>122053.37</v>
      </c>
      <c r="Y31" s="613">
        <f>X31/('2014-15'!AJ31+'2014-15'!AN31+'2014-15 ExC'!BL31+'2014-15 ExC'!BM31)</f>
        <v>0.01</v>
      </c>
      <c r="Z31" s="497">
        <f>E31/('2014-15'!AJ31+'2014-15'!AN31+'2014-15 ExC'!BL31+'2014-15 ExC'!BM31)</f>
        <v>0.16027685265880001</v>
      </c>
      <c r="AA31" s="444"/>
      <c r="AB31" s="444"/>
    </row>
    <row r="32" spans="1:28" hidden="1">
      <c r="A32" s="444" t="s">
        <v>140</v>
      </c>
      <c r="B32" s="444"/>
      <c r="C32" s="444">
        <f>'2013-14'!S39+'2013-14'!T39+('2013-14 FTES'!DA39*'2013-14'!N39)</f>
        <v>757469.19628747215</v>
      </c>
      <c r="D32" s="444">
        <f>'2014-15 ExC'!BM32+'2014-15 ExC'!BL32+('2014-15 ExC'!AF32*'2014-15'!F32)</f>
        <v>1756294.4161553672</v>
      </c>
      <c r="E32" s="444">
        <f>'2014-15 Rest'!CD39</f>
        <v>0</v>
      </c>
      <c r="F32" s="444"/>
      <c r="G32" s="497">
        <f>Demographics!B32/Demographics!B$74</f>
        <v>8.1102543076937497E-3</v>
      </c>
      <c r="H32" s="497">
        <f>Demographics!C32/Demographics!C$74</f>
        <v>9.4509539582769177E-3</v>
      </c>
      <c r="I32" s="497">
        <f>Demographics!D32/Demographics!D$74</f>
        <v>8.4108912670008799E-3</v>
      </c>
      <c r="J32" s="497">
        <f t="shared" si="2"/>
        <v>8.5205884601663243E-3</v>
      </c>
      <c r="K32" s="497">
        <f>('2014-15'!AJ32+'2014-15'!AN32+'2014-15 ExC'!BL32+'2014-15 ExC'!BM32)/('2014-15'!AJ$74+'2014-15'!AN$74+'2014-15 ExC'!BL$74+'2014-15 ExC'!BM$74)</f>
        <v>8.476405424909586E-3</v>
      </c>
      <c r="L32" s="497">
        <f t="shared" si="3"/>
        <v>4.4183035256738223E-5</v>
      </c>
      <c r="M32" s="497">
        <f t="shared" si="4"/>
        <v>4.4183035256738223E-5</v>
      </c>
      <c r="N32" s="444"/>
      <c r="O32" s="444">
        <f>('2014-15'!AJ32+'2014-15'!AN32+'2014-15 ExC'!BL32+'2014-15 ExC'!BM32)*O$75</f>
        <v>657112.38650999998</v>
      </c>
      <c r="P32" s="444">
        <f t="shared" si="0"/>
        <v>19093.613094877895</v>
      </c>
      <c r="Q32" s="444">
        <f t="shared" si="5"/>
        <v>676205.9996048779</v>
      </c>
      <c r="R32" s="497">
        <f>Q32/('2014-15'!AJ32+'2014-15'!AN32+'2014-15 ExC'!BL32+'2014-15 ExC'!BM32)</f>
        <v>1.5404980977224316E-2</v>
      </c>
      <c r="S32" s="444"/>
      <c r="T32" s="504">
        <f t="shared" si="1"/>
        <v>966543.90291314875</v>
      </c>
      <c r="U32" s="504">
        <f>('2014-15'!AJ32+'2014-15'!AN32+'2014-15 ExC'!BL32+'2014-15 ExC'!BM32)*0.01</f>
        <v>438952.83</v>
      </c>
      <c r="V32" s="504">
        <f t="shared" si="6"/>
        <v>527591.07291314867</v>
      </c>
      <c r="W32" s="504">
        <f t="shared" si="7"/>
        <v>462329.22046967468</v>
      </c>
      <c r="X32" s="502">
        <f t="shared" si="8"/>
        <v>901282.05046967464</v>
      </c>
      <c r="Y32" s="613">
        <f>X32/('2014-15'!AJ32+'2014-15'!AN32+'2014-15 ExC'!BL32+'2014-15 ExC'!BM32)</f>
        <v>2.0532549031969442E-2</v>
      </c>
      <c r="Z32" s="497">
        <f>E32/('2014-15'!AJ32+'2014-15'!AN32+'2014-15 ExC'!BL32+'2014-15 ExC'!BM32)</f>
        <v>0</v>
      </c>
      <c r="AA32" s="444"/>
      <c r="AB32" s="444"/>
    </row>
    <row r="33" spans="1:28" hidden="1">
      <c r="A33" s="444" t="s">
        <v>554</v>
      </c>
      <c r="B33" s="444"/>
      <c r="C33" s="444">
        <f>'2013-14'!S40+'2013-14'!T40+('2013-14 FTES'!DA40*'2013-14'!N40)</f>
        <v>1382181.572965919</v>
      </c>
      <c r="D33" s="444">
        <f>'2014-15 ExC'!BM33+'2014-15 ExC'!BL33+('2014-15 ExC'!AF33*'2014-15'!F33)</f>
        <v>709631.8042922609</v>
      </c>
      <c r="E33" s="444">
        <f>'2014-15 Rest'!CD40</f>
        <v>0</v>
      </c>
      <c r="F33" s="444"/>
      <c r="G33" s="497">
        <f>Demographics!B33/Demographics!B$74</f>
        <v>7.3429558743092491E-3</v>
      </c>
      <c r="H33" s="497">
        <f>Demographics!C33/Demographics!C$74</f>
        <v>8.1621386581167028E-3</v>
      </c>
      <c r="I33" s="497">
        <f>Demographics!D33/Demographics!D$74</f>
        <v>7.9284558166347711E-3</v>
      </c>
      <c r="J33" s="497">
        <f t="shared" si="2"/>
        <v>7.6941265558424935E-3</v>
      </c>
      <c r="K33" s="497">
        <f>('2014-15'!AJ33+'2014-15'!AN33+'2014-15 ExC'!BL33+'2014-15 ExC'!BM33)/('2014-15'!AJ$74+'2014-15'!AN$74+'2014-15 ExC'!BL$74+'2014-15 ExC'!BM$74)</f>
        <v>9.2865906543011089E-3</v>
      </c>
      <c r="L33" s="497">
        <f t="shared" si="3"/>
        <v>-1.5924640984586154E-3</v>
      </c>
      <c r="M33" s="497">
        <f t="shared" si="4"/>
        <v>0</v>
      </c>
      <c r="N33" s="444"/>
      <c r="O33" s="444">
        <f>('2014-15'!AJ33+'2014-15'!AN33+'2014-15 ExC'!BL33+'2014-15 ExC'!BM33)*O$75</f>
        <v>719919.9945599999</v>
      </c>
      <c r="P33" s="444">
        <f t="shared" si="0"/>
        <v>0</v>
      </c>
      <c r="Q33" s="444">
        <f t="shared" si="5"/>
        <v>719919.9945599999</v>
      </c>
      <c r="R33" s="497">
        <f>Q33/('2014-15'!AJ33+'2014-15'!AN33+'2014-15 ExC'!BL33+'2014-15 ExC'!BM33)</f>
        <v>1.4969999999999997E-2</v>
      </c>
      <c r="S33" s="444"/>
      <c r="T33" s="504">
        <f t="shared" si="1"/>
        <v>882913.34159454494</v>
      </c>
      <c r="U33" s="504">
        <f>('2014-15'!AJ33+'2014-15'!AN33+'2014-15 ExC'!BL33+'2014-15 ExC'!BM33)*0.01</f>
        <v>480908.48</v>
      </c>
      <c r="V33" s="504">
        <f t="shared" si="6"/>
        <v>402004.86159454496</v>
      </c>
      <c r="W33" s="504">
        <f t="shared" si="7"/>
        <v>352277.74658844771</v>
      </c>
      <c r="X33" s="502">
        <f t="shared" si="8"/>
        <v>833186.22658844769</v>
      </c>
      <c r="Y33" s="613">
        <f>X33/('2014-15'!AJ33+'2014-15'!AN33+'2014-15 ExC'!BL33+'2014-15 ExC'!BM33)</f>
        <v>1.7325255453770491E-2</v>
      </c>
      <c r="Z33" s="497">
        <f>E33/('2014-15'!AJ33+'2014-15'!AN33+'2014-15 ExC'!BL33+'2014-15 ExC'!BM33)</f>
        <v>0</v>
      </c>
      <c r="AA33" s="444"/>
      <c r="AB33" s="444"/>
    </row>
    <row r="34" spans="1:28" hidden="1">
      <c r="A34" s="444" t="s">
        <v>142</v>
      </c>
      <c r="B34" s="444"/>
      <c r="C34" s="444">
        <f>'2013-14'!S41+'2013-14'!T41+('2013-14 FTES'!DA41*'2013-14'!N41)</f>
        <v>0</v>
      </c>
      <c r="D34" s="444">
        <f>'2014-15 ExC'!BM34+'2014-15 ExC'!BL34+('2014-15 ExC'!AF34*'2014-15'!F34)</f>
        <v>0</v>
      </c>
      <c r="E34" s="444">
        <f>'2014-15 Rest'!CD41</f>
        <v>2570039</v>
      </c>
      <c r="F34" s="444"/>
      <c r="G34" s="497">
        <f>Demographics!B34/Demographics!B$74</f>
        <v>2.8611504118298465E-3</v>
      </c>
      <c r="H34" s="497">
        <f>Demographics!C34/Demographics!C$74</f>
        <v>2.1716403561432593E-3</v>
      </c>
      <c r="I34" s="497">
        <f>Demographics!D34/Demographics!D$74</f>
        <v>3.5047291671604429E-3</v>
      </c>
      <c r="J34" s="497">
        <f t="shared" si="2"/>
        <v>2.8496675867408488E-3</v>
      </c>
      <c r="K34" s="497">
        <f>('2014-15'!AJ34+'2014-15'!AN34+'2014-15 ExC'!BL34+'2014-15 ExC'!BM34)/('2014-15'!AJ$74+'2014-15'!AN$74+'2014-15 ExC'!BL$74+'2014-15 ExC'!BM$74)</f>
        <v>5.6706052089611153E-3</v>
      </c>
      <c r="L34" s="497">
        <f t="shared" si="3"/>
        <v>-2.8209376222202666E-3</v>
      </c>
      <c r="M34" s="497">
        <f t="shared" si="4"/>
        <v>0</v>
      </c>
      <c r="N34" s="444"/>
      <c r="O34" s="444">
        <f>('2014-15'!AJ34+'2014-15'!AN34+'2014-15 ExC'!BL34+'2014-15 ExC'!BM34)*O$75</f>
        <v>439599.65752301435</v>
      </c>
      <c r="P34" s="444">
        <f t="shared" si="0"/>
        <v>0</v>
      </c>
      <c r="Q34" s="444">
        <f t="shared" si="5"/>
        <v>439599.65752301435</v>
      </c>
      <c r="R34" s="497">
        <f>Q34/('2014-15'!AJ34+'2014-15'!AN34+'2014-15 ExC'!BL34+'2014-15 ExC'!BM34)</f>
        <v>1.4969999999999999E-2</v>
      </c>
      <c r="S34" s="444"/>
      <c r="T34" s="504">
        <f t="shared" si="1"/>
        <v>0</v>
      </c>
      <c r="U34" s="504">
        <f>('2014-15'!AJ34+'2014-15'!AN34+'2014-15 ExC'!BL34+'2014-15 ExC'!BM34)*0.01</f>
        <v>293653.74584035698</v>
      </c>
      <c r="V34" s="504">
        <f t="shared" si="6"/>
        <v>0</v>
      </c>
      <c r="W34" s="504">
        <f t="shared" si="7"/>
        <v>0</v>
      </c>
      <c r="X34" s="502">
        <f t="shared" si="8"/>
        <v>293653.74584035698</v>
      </c>
      <c r="Y34" s="613">
        <f>X34/('2014-15'!AJ34+'2014-15'!AN34+'2014-15 ExC'!BL34+'2014-15 ExC'!BM34)</f>
        <v>0.01</v>
      </c>
      <c r="Z34" s="497">
        <f>E34/('2014-15'!AJ34+'2014-15'!AN34+'2014-15 ExC'!BL34+'2014-15 ExC'!BM34)</f>
        <v>8.7519367159620221E-2</v>
      </c>
      <c r="AA34" s="444"/>
      <c r="AB34" s="444"/>
    </row>
    <row r="35" spans="1:28" hidden="1">
      <c r="A35" s="444" t="s">
        <v>143</v>
      </c>
      <c r="B35" s="444"/>
      <c r="C35" s="444">
        <f>'2013-14'!S42+'2013-14'!T42+('2013-14 FTES'!DA42*'2013-14'!N42)</f>
        <v>6566031.4846431781</v>
      </c>
      <c r="D35" s="444">
        <f>'2014-15 ExC'!BM35+'2014-15 ExC'!BL35+('2014-15 ExC'!AF35*'2014-15'!F35)</f>
        <v>10113867.932565778</v>
      </c>
      <c r="E35" s="444">
        <f>'2014-15 Rest'!CD42</f>
        <v>0</v>
      </c>
      <c r="F35" s="444"/>
      <c r="G35" s="497">
        <f>Demographics!B35/Demographics!B$74</f>
        <v>2.221475303572144E-2</v>
      </c>
      <c r="H35" s="497">
        <f>Demographics!C35/Demographics!C$74</f>
        <v>1.9311485506173856E-2</v>
      </c>
      <c r="I35" s="497">
        <f>Demographics!D35/Demographics!D$74</f>
        <v>1.3395420456639297E-2</v>
      </c>
      <c r="J35" s="497">
        <f t="shared" si="2"/>
        <v>1.9284103008564007E-2</v>
      </c>
      <c r="K35" s="497">
        <f>('2014-15'!AJ35+'2014-15'!AN35+'2014-15 ExC'!BL35+'2014-15 ExC'!BM35)/('2014-15'!AJ$74+'2014-15'!AN$74+'2014-15 ExC'!BL$74+'2014-15 ExC'!BM$74)</f>
        <v>2.5434817482852989E-2</v>
      </c>
      <c r="L35" s="497">
        <f t="shared" si="3"/>
        <v>-6.1507144742889812E-3</v>
      </c>
      <c r="M35" s="497">
        <f t="shared" si="4"/>
        <v>0</v>
      </c>
      <c r="N35" s="444"/>
      <c r="O35" s="444">
        <f>('2014-15'!AJ35+'2014-15'!AN35+'2014-15 ExC'!BL35+'2014-15 ExC'!BM35)*O$75</f>
        <v>1971771.3793499998</v>
      </c>
      <c r="P35" s="444">
        <f t="shared" si="0"/>
        <v>0</v>
      </c>
      <c r="Q35" s="444">
        <f t="shared" si="5"/>
        <v>1971771.3793499998</v>
      </c>
      <c r="R35" s="497">
        <f>Q35/('2014-15'!AJ35+'2014-15'!AN35+'2014-15 ExC'!BL35+'2014-15 ExC'!BM35)</f>
        <v>1.4969999999999999E-2</v>
      </c>
      <c r="S35" s="444"/>
      <c r="T35" s="504">
        <f t="shared" si="1"/>
        <v>5155860.5439772392</v>
      </c>
      <c r="U35" s="504">
        <f>('2014-15'!AJ35+'2014-15'!AN35+'2014-15 ExC'!BL35+'2014-15 ExC'!BM35)*0.01</f>
        <v>1317148.55</v>
      </c>
      <c r="V35" s="504">
        <f t="shared" si="6"/>
        <v>3838711.9939772394</v>
      </c>
      <c r="W35" s="504">
        <f t="shared" si="7"/>
        <v>3363871.7842279417</v>
      </c>
      <c r="X35" s="502">
        <f t="shared" si="8"/>
        <v>4681020.3342279419</v>
      </c>
      <c r="Y35" s="613">
        <f>X35/('2014-15'!AJ35+'2014-15'!AN35+'2014-15 ExC'!BL35+'2014-15 ExC'!BM35)</f>
        <v>3.5539046330255931E-2</v>
      </c>
      <c r="Z35" s="497">
        <f>E35/('2014-15'!AJ35+'2014-15'!AN35+'2014-15 ExC'!BL35+'2014-15 ExC'!BM35)</f>
        <v>0</v>
      </c>
      <c r="AA35" s="444"/>
      <c r="AB35" s="444"/>
    </row>
    <row r="36" spans="1:28" hidden="1">
      <c r="A36" s="444" t="s">
        <v>144</v>
      </c>
      <c r="B36" s="444"/>
      <c r="C36" s="444">
        <f>'2013-14'!S43+'2013-14'!T43+('2013-14 FTES'!DA43*'2013-14'!N43)</f>
        <v>3305912.5840251963</v>
      </c>
      <c r="D36" s="444">
        <f>'2014-15 ExC'!BM36+'2014-15 ExC'!BL36+('2014-15 ExC'!AF36*'2014-15'!F36)</f>
        <v>3987203.1280132425</v>
      </c>
      <c r="E36" s="444">
        <f>'2014-15 Rest'!CD43</f>
        <v>0</v>
      </c>
      <c r="F36" s="444"/>
      <c r="G36" s="497">
        <f>Demographics!B36/Demographics!B$74</f>
        <v>2.439219390754805E-2</v>
      </c>
      <c r="H36" s="497">
        <f>Demographics!C36/Demographics!C$74</f>
        <v>2.7368547799473775E-2</v>
      </c>
      <c r="I36" s="497">
        <f>Demographics!D36/Demographics!D$74</f>
        <v>2.2046382613362774E-2</v>
      </c>
      <c r="J36" s="497">
        <f t="shared" si="2"/>
        <v>2.4549829556983163E-2</v>
      </c>
      <c r="K36" s="497">
        <f>('2014-15'!AJ36+'2014-15'!AN36+'2014-15 ExC'!BL36+'2014-15 ExC'!BM36)/('2014-15'!AJ$74+'2014-15'!AN$74+'2014-15 ExC'!BL$74+'2014-15 ExC'!BM$74)</f>
        <v>9.3353645750207312E-3</v>
      </c>
      <c r="L36" s="497">
        <f t="shared" si="3"/>
        <v>1.5214464981962432E-2</v>
      </c>
      <c r="M36" s="497">
        <f t="shared" si="4"/>
        <v>1.5214464981962432E-2</v>
      </c>
      <c r="N36" s="444"/>
      <c r="O36" s="444">
        <f>('2014-15'!AJ36+'2014-15'!AN36+'2014-15 ExC'!BL36+'2014-15 ExC'!BM36)*O$75</f>
        <v>723701.07224999997</v>
      </c>
      <c r="P36" s="444">
        <f t="shared" si="0"/>
        <v>6574901.5685122237</v>
      </c>
      <c r="Q36" s="444">
        <f t="shared" si="5"/>
        <v>7298602.6407622239</v>
      </c>
      <c r="R36" s="497">
        <f>Q36/('2014-15'!AJ36+'2014-15'!AN36+'2014-15 ExC'!BL36+'2014-15 ExC'!BM36)</f>
        <v>0.15097404953749602</v>
      </c>
      <c r="S36" s="444"/>
      <c r="T36" s="504">
        <f t="shared" si="1"/>
        <v>5472580.2483907212</v>
      </c>
      <c r="U36" s="504">
        <f>('2014-15'!AJ36+'2014-15'!AN36+'2014-15 ExC'!BL36+'2014-15 ExC'!BM36)*0.01</f>
        <v>483434.25</v>
      </c>
      <c r="V36" s="504">
        <f t="shared" si="6"/>
        <v>4989145.9983907212</v>
      </c>
      <c r="W36" s="504">
        <f t="shared" si="7"/>
        <v>4371999.6388663165</v>
      </c>
      <c r="X36" s="502">
        <f t="shared" si="8"/>
        <v>4855433.8888663165</v>
      </c>
      <c r="Y36" s="613">
        <f>X36/('2014-15'!AJ36+'2014-15'!AN36+'2014-15 ExC'!BL36+'2014-15 ExC'!BM36)</f>
        <v>0.10043628246998049</v>
      </c>
      <c r="Z36" s="497">
        <f>E36/('2014-15'!AJ36+'2014-15'!AN36+'2014-15 ExC'!BL36+'2014-15 ExC'!BM36)</f>
        <v>0</v>
      </c>
      <c r="AA36" s="444"/>
      <c r="AB36" s="444"/>
    </row>
    <row r="37" spans="1:28" hidden="1">
      <c r="A37" s="444" t="s">
        <v>145</v>
      </c>
      <c r="B37" s="444"/>
      <c r="C37" s="444">
        <f>'2013-14'!S44+'2013-14'!T44+('2013-14 FTES'!DA44*'2013-14'!N44)</f>
        <v>0</v>
      </c>
      <c r="D37" s="444">
        <f>'2014-15 ExC'!BM37+'2014-15 ExC'!BL37+('2014-15 ExC'!AF37*'2014-15'!F37)</f>
        <v>806060.35069273214</v>
      </c>
      <c r="E37" s="444">
        <f>'2014-15 Rest'!CD44</f>
        <v>0</v>
      </c>
      <c r="F37" s="444"/>
      <c r="G37" s="497">
        <f>Demographics!B37/Demographics!B$74</f>
        <v>3.7096589229265097E-3</v>
      </c>
      <c r="H37" s="497">
        <f>Demographics!C37/Demographics!C$74</f>
        <v>2.6408622231561263E-3</v>
      </c>
      <c r="I37" s="497">
        <f>Demographics!D37/Demographics!D$74</f>
        <v>3.0964557432373026E-3</v>
      </c>
      <c r="J37" s="497">
        <f t="shared" si="2"/>
        <v>3.2891589530616122E-3</v>
      </c>
      <c r="K37" s="497">
        <f>('2014-15'!AJ37+'2014-15'!AN37+'2014-15 ExC'!BL37+'2014-15 ExC'!BM37)/('2014-15'!AJ$74+'2014-15'!AN$74+'2014-15 ExC'!BL$74+'2014-15 ExC'!BM$74)</f>
        <v>4.8861735288831974E-3</v>
      </c>
      <c r="L37" s="497">
        <f t="shared" si="3"/>
        <v>-1.5970145758215852E-3</v>
      </c>
      <c r="M37" s="497">
        <f t="shared" si="4"/>
        <v>0</v>
      </c>
      <c r="N37" s="444"/>
      <c r="O37" s="444">
        <f>('2014-15'!AJ37+'2014-15'!AN37+'2014-15 ExC'!BL37+'2014-15 ExC'!BM37)*O$75</f>
        <v>378788.52974999999</v>
      </c>
      <c r="P37" s="444">
        <f t="shared" si="0"/>
        <v>0</v>
      </c>
      <c r="Q37" s="444">
        <f t="shared" si="5"/>
        <v>378788.52974999999</v>
      </c>
      <c r="R37" s="497">
        <f>Q37/('2014-15'!AJ37+'2014-15'!AN37+'2014-15 ExC'!BL37+'2014-15 ExC'!BM37)</f>
        <v>1.4969999999999999E-2</v>
      </c>
      <c r="S37" s="444"/>
      <c r="T37" s="504">
        <f t="shared" si="1"/>
        <v>390909.35254818306</v>
      </c>
      <c r="U37" s="504">
        <f>('2014-15'!AJ37+'2014-15'!AN37+'2014-15 ExC'!BL37+'2014-15 ExC'!BM37)*0.01</f>
        <v>253031.75</v>
      </c>
      <c r="V37" s="504">
        <f t="shared" si="6"/>
        <v>137877.60254818306</v>
      </c>
      <c r="W37" s="504">
        <f t="shared" si="7"/>
        <v>120822.44711677048</v>
      </c>
      <c r="X37" s="502">
        <f t="shared" si="8"/>
        <v>373854.19711677049</v>
      </c>
      <c r="Y37" s="613">
        <f>X37/('2014-15'!AJ37+'2014-15'!AN37+'2014-15 ExC'!BL37+'2014-15 ExC'!BM37)</f>
        <v>1.4774991561998465E-2</v>
      </c>
      <c r="Z37" s="497">
        <f>E37/('2014-15'!AJ37+'2014-15'!AN37+'2014-15 ExC'!BL37+'2014-15 ExC'!BM37)</f>
        <v>0</v>
      </c>
      <c r="AA37" s="444"/>
      <c r="AB37" s="444"/>
    </row>
    <row r="38" spans="1:28" hidden="1">
      <c r="A38" s="444" t="s">
        <v>146</v>
      </c>
      <c r="B38" s="444"/>
      <c r="C38" s="444">
        <f>'2013-14'!S45+'2013-14'!T45+('2013-14 FTES'!DA45*'2013-14'!N45)</f>
        <v>15161622.287076628</v>
      </c>
      <c r="D38" s="444">
        <f>'2014-15 ExC'!BM38+'2014-15 ExC'!BL38+('2014-15 ExC'!AF38*'2014-15'!F38)</f>
        <v>16850890.864177793</v>
      </c>
      <c r="E38" s="444">
        <f>'2014-15 Rest'!CD45</f>
        <v>0</v>
      </c>
      <c r="F38" s="444"/>
      <c r="G38" s="497">
        <f>Demographics!B38/Demographics!B$74</f>
        <v>2.4939146083251169E-2</v>
      </c>
      <c r="H38" s="497">
        <f>Demographics!C38/Demographics!C$74</f>
        <v>2.3643612822261507E-2</v>
      </c>
      <c r="I38" s="497">
        <f>Demographics!D38/Demographics!D$74</f>
        <v>1.7325625579629755E-2</v>
      </c>
      <c r="J38" s="497">
        <f t="shared" si="2"/>
        <v>2.2711882642098401E-2</v>
      </c>
      <c r="K38" s="497">
        <f>('2014-15'!AJ38+'2014-15'!AN38+'2014-15 ExC'!BL38+'2014-15 ExC'!BM38)/('2014-15'!AJ$74+'2014-15'!AN$74+'2014-15 ExC'!BL$74+'2014-15 ExC'!BM$74)</f>
        <v>2.9289445674237444E-2</v>
      </c>
      <c r="L38" s="497">
        <f t="shared" si="3"/>
        <v>-6.577563032139043E-3</v>
      </c>
      <c r="M38" s="497">
        <f t="shared" si="4"/>
        <v>0</v>
      </c>
      <c r="N38" s="444"/>
      <c r="O38" s="444">
        <f>('2014-15'!AJ38+'2014-15'!AN38+'2014-15 ExC'!BL38+'2014-15 ExC'!BM38)*O$75</f>
        <v>2270591.9056199999</v>
      </c>
      <c r="P38" s="444">
        <f t="shared" si="0"/>
        <v>0</v>
      </c>
      <c r="Q38" s="444">
        <f t="shared" si="5"/>
        <v>2270591.9056199999</v>
      </c>
      <c r="R38" s="497">
        <f>Q38/('2014-15'!AJ38+'2014-15'!AN38+'2014-15 ExC'!BL38+'2014-15 ExC'!BM38)</f>
        <v>1.4969999999999999E-2</v>
      </c>
      <c r="S38" s="444"/>
      <c r="T38" s="504">
        <f t="shared" si="1"/>
        <v>9138424.2406236064</v>
      </c>
      <c r="U38" s="504">
        <f>('2014-15'!AJ38+'2014-15'!AN38+'2014-15 ExC'!BL38+'2014-15 ExC'!BM38)*0.01</f>
        <v>1516761.46</v>
      </c>
      <c r="V38" s="504">
        <f t="shared" si="6"/>
        <v>7621662.7806236064</v>
      </c>
      <c r="W38" s="504">
        <f t="shared" si="7"/>
        <v>6678879.8995249756</v>
      </c>
      <c r="X38" s="502">
        <f t="shared" si="8"/>
        <v>8195641.3595249755</v>
      </c>
      <c r="Y38" s="613">
        <f>X38/('2014-15'!AJ38+'2014-15'!AN38+'2014-15 ExC'!BL38+'2014-15 ExC'!BM38)</f>
        <v>5.4033818604047178E-2</v>
      </c>
      <c r="Z38" s="497">
        <f>E38/('2014-15'!AJ38+'2014-15'!AN38+'2014-15 ExC'!BL38+'2014-15 ExC'!BM38)</f>
        <v>0</v>
      </c>
      <c r="AA38" s="444"/>
      <c r="AB38" s="444"/>
    </row>
    <row r="39" spans="1:28" hidden="1">
      <c r="A39" s="444" t="s">
        <v>147</v>
      </c>
      <c r="B39" s="444"/>
      <c r="C39" s="444">
        <f>'2013-14'!S46+'2013-14'!T46+('2013-14 FTES'!DA46*'2013-14'!N46)</f>
        <v>568473.27845432842</v>
      </c>
      <c r="D39" s="444">
        <f>'2014-15 ExC'!BM39+'2014-15 ExC'!BL39+('2014-15 ExC'!AF39*'2014-15'!F39)</f>
        <v>822078.98129638575</v>
      </c>
      <c r="E39" s="444">
        <f>'2014-15 Rest'!CD46</f>
        <v>0</v>
      </c>
      <c r="F39" s="444"/>
      <c r="G39" s="497">
        <f>Demographics!B39/Demographics!B$74</f>
        <v>5.477586599325737E-3</v>
      </c>
      <c r="H39" s="497">
        <f>Demographics!C39/Demographics!C$74</f>
        <v>5.1652697711477317E-3</v>
      </c>
      <c r="I39" s="497">
        <f>Demographics!D39/Demographics!D$74</f>
        <v>3.0551696666608051E-3</v>
      </c>
      <c r="J39" s="497">
        <f t="shared" si="2"/>
        <v>4.7939031591150028E-3</v>
      </c>
      <c r="K39" s="497">
        <f>('2014-15'!AJ39+'2014-15'!AN39+'2014-15 ExC'!BL39+'2014-15 ExC'!BM39)/('2014-15'!AJ$74+'2014-15'!AN$74+'2014-15 ExC'!BL$74+'2014-15 ExC'!BM$74)</f>
        <v>7.2207206168085573E-3</v>
      </c>
      <c r="L39" s="497">
        <f t="shared" si="3"/>
        <v>-2.4268174576935544E-3</v>
      </c>
      <c r="M39" s="497">
        <f t="shared" si="4"/>
        <v>0</v>
      </c>
      <c r="N39" s="444"/>
      <c r="O39" s="444">
        <f>('2014-15'!AJ39+'2014-15'!AN39+'2014-15 ExC'!BL39+'2014-15 ExC'!BM39)*O$75</f>
        <v>559768.52438999992</v>
      </c>
      <c r="P39" s="444">
        <f t="shared" si="0"/>
        <v>0</v>
      </c>
      <c r="Q39" s="444">
        <f t="shared" si="5"/>
        <v>559768.52438999992</v>
      </c>
      <c r="R39" s="497">
        <f>Q39/('2014-15'!AJ39+'2014-15'!AN39+'2014-15 ExC'!BL39+'2014-15 ExC'!BM39)</f>
        <v>1.4969999999999997E-2</v>
      </c>
      <c r="S39" s="444"/>
      <c r="T39" s="504">
        <f t="shared" si="1"/>
        <v>627522.32713267847</v>
      </c>
      <c r="U39" s="504">
        <f>('2014-15'!AJ39+'2014-15'!AN39+'2014-15 ExC'!BL39+'2014-15 ExC'!BM39)*0.01</f>
        <v>373926.87</v>
      </c>
      <c r="V39" s="504">
        <f t="shared" si="6"/>
        <v>253595.45713267848</v>
      </c>
      <c r="W39" s="504">
        <f t="shared" si="7"/>
        <v>222226.25823333953</v>
      </c>
      <c r="X39" s="502">
        <f t="shared" si="8"/>
        <v>596153.12823333952</v>
      </c>
      <c r="Y39" s="613">
        <f>X39/('2014-15'!AJ39+'2014-15'!AN39+'2014-15 ExC'!BL39+'2014-15 ExC'!BM39)</f>
        <v>1.5943040633408869E-2</v>
      </c>
      <c r="Z39" s="497">
        <f>E39/('2014-15'!AJ39+'2014-15'!AN39+'2014-15 ExC'!BL39+'2014-15 ExC'!BM39)</f>
        <v>0</v>
      </c>
      <c r="AA39" s="444"/>
      <c r="AB39" s="444"/>
    </row>
    <row r="40" spans="1:28" hidden="1">
      <c r="A40" s="444" t="s">
        <v>148</v>
      </c>
      <c r="B40" s="444"/>
      <c r="C40" s="444">
        <f>'2013-14'!S47+'2013-14'!T47+('2013-14 FTES'!DA47*'2013-14'!N47)</f>
        <v>0</v>
      </c>
      <c r="D40" s="444">
        <f>'2014-15 ExC'!BM40+'2014-15 ExC'!BL40+('2014-15 ExC'!AF40*'2014-15'!F40)</f>
        <v>1661405</v>
      </c>
      <c r="E40" s="444">
        <f>'2014-15 Rest'!CD47</f>
        <v>114217</v>
      </c>
      <c r="F40" s="444"/>
      <c r="G40" s="497">
        <f>Demographics!B40/Demographics!B$74</f>
        <v>1.1743809189801236E-3</v>
      </c>
      <c r="H40" s="497">
        <f>Demographics!C40/Demographics!C$74</f>
        <v>9.4738419380818023E-4</v>
      </c>
      <c r="I40" s="497">
        <f>Demographics!D40/Demographics!D$74</f>
        <v>1.4511291359665184E-3</v>
      </c>
      <c r="J40" s="497">
        <f t="shared" si="2"/>
        <v>1.1868187919337365E-3</v>
      </c>
      <c r="K40" s="497">
        <f>('2014-15'!AJ40+'2014-15'!AN40+'2014-15 ExC'!BL40+'2014-15 ExC'!BM40)/('2014-15'!AJ$74+'2014-15'!AN$74+'2014-15 ExC'!BL$74+'2014-15 ExC'!BM$74)</f>
        <v>1.561758409734625E-3</v>
      </c>
      <c r="L40" s="497">
        <f t="shared" si="3"/>
        <v>-3.7493961780088849E-4</v>
      </c>
      <c r="M40" s="497">
        <f t="shared" si="4"/>
        <v>0</v>
      </c>
      <c r="N40" s="444"/>
      <c r="O40" s="444">
        <f>('2014-15'!AJ40+'2014-15'!AN40+'2014-15 ExC'!BL40+'2014-15 ExC'!BM40)*O$75</f>
        <v>121071.46182</v>
      </c>
      <c r="P40" s="444">
        <f t="shared" si="0"/>
        <v>0</v>
      </c>
      <c r="Q40" s="444">
        <f t="shared" si="5"/>
        <v>121071.46182</v>
      </c>
      <c r="R40" s="497">
        <f>Q40/('2014-15'!AJ40+'2014-15'!AN40+'2014-15 ExC'!BL40+'2014-15 ExC'!BM40)</f>
        <v>1.4969999999999999E-2</v>
      </c>
      <c r="S40" s="444"/>
      <c r="T40" s="504">
        <f t="shared" si="1"/>
        <v>361669.98090999998</v>
      </c>
      <c r="U40" s="504">
        <f>('2014-15'!AJ40+'2014-15'!AN40+'2014-15 ExC'!BL40+'2014-15 ExC'!BM40)*0.01</f>
        <v>80876.06</v>
      </c>
      <c r="V40" s="504">
        <f t="shared" si="6"/>
        <v>280793.92090999999</v>
      </c>
      <c r="W40" s="504">
        <f t="shared" si="7"/>
        <v>246060.3320108004</v>
      </c>
      <c r="X40" s="502">
        <f t="shared" si="8"/>
        <v>326936.39201080042</v>
      </c>
      <c r="Y40" s="613">
        <f>X40/('2014-15'!AJ40+'2014-15'!AN40+'2014-15 ExC'!BL40+'2014-15 ExC'!BM40)</f>
        <v>4.0424371811732723E-2</v>
      </c>
      <c r="Z40" s="497">
        <f>E40/('2014-15'!AJ40+'2014-15'!AN40+'2014-15 ExC'!BL40+'2014-15 ExC'!BM40)</f>
        <v>1.4122473325233698E-2</v>
      </c>
      <c r="AA40" s="444"/>
      <c r="AB40" s="444"/>
    </row>
    <row r="41" spans="1:28" hidden="1">
      <c r="A41" s="444" t="s">
        <v>149</v>
      </c>
      <c r="B41" s="444"/>
      <c r="C41" s="444">
        <f>'2013-14'!S48+'2013-14'!T48+('2013-14 FTES'!DA48*'2013-14'!N48)</f>
        <v>1261591.2008522893</v>
      </c>
      <c r="D41" s="444">
        <f>'2014-15 ExC'!BM41+'2014-15 ExC'!BL41+('2014-15 ExC'!AF41*'2014-15'!F41)</f>
        <v>2450553.6586590642</v>
      </c>
      <c r="E41" s="444">
        <f>'2014-15 Rest'!CD48</f>
        <v>0</v>
      </c>
      <c r="F41" s="444"/>
      <c r="G41" s="497">
        <f>Demographics!B41/Demographics!B$74</f>
        <v>1.8584908602509699E-2</v>
      </c>
      <c r="H41" s="497">
        <f>Demographics!C41/Demographics!C$74</f>
        <v>1.6684250556885622E-2</v>
      </c>
      <c r="I41" s="497">
        <f>Demographics!D41/Demographics!D$74</f>
        <v>1.4980347062992614E-2</v>
      </c>
      <c r="J41" s="497">
        <f t="shared" si="2"/>
        <v>1.7208603706224408E-2</v>
      </c>
      <c r="K41" s="497">
        <f>('2014-15'!AJ41+'2014-15'!AN41+'2014-15 ExC'!BL41+'2014-15 ExC'!BM41)/('2014-15'!AJ$74+'2014-15'!AN$74+'2014-15 ExC'!BL$74+'2014-15 ExC'!BM$74)</f>
        <v>1.7050539630788598E-2</v>
      </c>
      <c r="L41" s="497">
        <f t="shared" si="3"/>
        <v>1.580640754358098E-4</v>
      </c>
      <c r="M41" s="497">
        <f t="shared" si="4"/>
        <v>1.580640754358098E-4</v>
      </c>
      <c r="N41" s="444"/>
      <c r="O41" s="444">
        <f>('2014-15'!AJ41+'2014-15'!AN41+'2014-15 ExC'!BL41+'2014-15 ExC'!BM41)*O$75</f>
        <v>1321800.95529</v>
      </c>
      <c r="P41" s="444">
        <f t="shared" si="0"/>
        <v>68307.083998052782</v>
      </c>
      <c r="Q41" s="444">
        <f t="shared" si="5"/>
        <v>1390108.0392880528</v>
      </c>
      <c r="R41" s="497">
        <f>Q41/('2014-15'!AJ41+'2014-15'!AN41+'2014-15 ExC'!BL41+'2014-15 ExC'!BM41)</f>
        <v>1.5743608948728973E-2</v>
      </c>
      <c r="S41" s="444"/>
      <c r="T41" s="504">
        <f t="shared" si="1"/>
        <v>1623090.2345218649</v>
      </c>
      <c r="U41" s="504">
        <f>('2014-15'!AJ41+'2014-15'!AN41+'2014-15 ExC'!BL41+'2014-15 ExC'!BM41)*0.01</f>
        <v>882966.57000000007</v>
      </c>
      <c r="V41" s="504">
        <f t="shared" si="6"/>
        <v>740123.66452186485</v>
      </c>
      <c r="W41" s="504">
        <f t="shared" si="7"/>
        <v>648571.99910560681</v>
      </c>
      <c r="X41" s="502">
        <f t="shared" si="8"/>
        <v>1531538.569105607</v>
      </c>
      <c r="Y41" s="613">
        <f>X41/('2014-15'!AJ41+'2014-15'!AN41+'2014-15 ExC'!BL41+'2014-15 ExC'!BM41)</f>
        <v>1.7345374345323256E-2</v>
      </c>
      <c r="Z41" s="497">
        <f>E41/('2014-15'!AJ41+'2014-15'!AN41+'2014-15 ExC'!BL41+'2014-15 ExC'!BM41)</f>
        <v>0</v>
      </c>
      <c r="AA41" s="444"/>
      <c r="AB41" s="444"/>
    </row>
    <row r="42" spans="1:28" hidden="1">
      <c r="A42" s="444" t="s">
        <v>150</v>
      </c>
      <c r="B42" s="444"/>
      <c r="C42" s="444">
        <f>'2013-14'!S49+'2013-14'!T49+('2013-14 FTES'!DA49*'2013-14'!N49)</f>
        <v>930839.26475986221</v>
      </c>
      <c r="D42" s="444">
        <f>'2014-15 ExC'!BM42+'2014-15 ExC'!BL42+('2014-15 ExC'!AF42*'2014-15'!F42)</f>
        <v>7159821.692321728</v>
      </c>
      <c r="E42" s="444">
        <f>'2014-15 Rest'!CD49</f>
        <v>0</v>
      </c>
      <c r="F42" s="444"/>
      <c r="G42" s="497">
        <f>Demographics!B42/Demographics!B$74</f>
        <v>8.8350844683517879E-3</v>
      </c>
      <c r="H42" s="497">
        <f>Demographics!C42/Demographics!C$74</f>
        <v>8.470748690825515E-3</v>
      </c>
      <c r="I42" s="497">
        <f>Demographics!D42/Demographics!D$74</f>
        <v>1.0090622938085412E-2</v>
      </c>
      <c r="J42" s="497">
        <f t="shared" si="2"/>
        <v>9.0578851414036265E-3</v>
      </c>
      <c r="K42" s="497">
        <f>('2014-15'!AJ42+'2014-15'!AN42+'2014-15 ExC'!BL42+'2014-15 ExC'!BM42)/('2014-15'!AJ$74+'2014-15'!AN$74+'2014-15 ExC'!BL$74+'2014-15 ExC'!BM$74)</f>
        <v>1.9766868934288705E-2</v>
      </c>
      <c r="L42" s="497">
        <f t="shared" si="3"/>
        <v>-1.0708983792885079E-2</v>
      </c>
      <c r="M42" s="497">
        <f t="shared" si="4"/>
        <v>0</v>
      </c>
      <c r="N42" s="444"/>
      <c r="O42" s="444">
        <f>('2014-15'!AJ42+'2014-15'!AN42+'2014-15 ExC'!BL42+'2014-15 ExC'!BM42)*O$75</f>
        <v>1532377.6728599998</v>
      </c>
      <c r="P42" s="444">
        <f t="shared" si="0"/>
        <v>0</v>
      </c>
      <c r="Q42" s="444">
        <f t="shared" si="5"/>
        <v>1532377.6728599998</v>
      </c>
      <c r="R42" s="497">
        <f>Q42/('2014-15'!AJ42+'2014-15'!AN42+'2014-15 ExC'!BL42+'2014-15 ExC'!BM42)</f>
        <v>1.4969999999999999E-2</v>
      </c>
      <c r="S42" s="444"/>
      <c r="T42" s="504">
        <f t="shared" si="1"/>
        <v>2788854.0757003976</v>
      </c>
      <c r="U42" s="504">
        <f>('2014-15'!AJ42+'2014-15'!AN42+'2014-15 ExC'!BL42+'2014-15 ExC'!BM42)*0.01</f>
        <v>1023632.38</v>
      </c>
      <c r="V42" s="504">
        <f t="shared" si="6"/>
        <v>1765221.6957003977</v>
      </c>
      <c r="W42" s="504">
        <f t="shared" si="7"/>
        <v>1546867.6640472075</v>
      </c>
      <c r="X42" s="502">
        <f t="shared" si="8"/>
        <v>2570500.0440472076</v>
      </c>
      <c r="Y42" s="613">
        <f>X42/('2014-15'!AJ42+'2014-15'!AN42+'2014-15 ExC'!BL42+'2014-15 ExC'!BM42)</f>
        <v>2.5111554638855872E-2</v>
      </c>
      <c r="Z42" s="497">
        <f>E42/('2014-15'!AJ42+'2014-15'!AN42+'2014-15 ExC'!BL42+'2014-15 ExC'!BM42)</f>
        <v>0</v>
      </c>
      <c r="AA42" s="444"/>
      <c r="AB42" s="444"/>
    </row>
    <row r="43" spans="1:28" hidden="1">
      <c r="A43" s="444" t="s">
        <v>151</v>
      </c>
      <c r="B43" s="444"/>
      <c r="C43" s="444">
        <f>'2013-14'!S50+'2013-14'!T50+('2013-14 FTES'!DA50*'2013-14'!N50)</f>
        <v>2186787.6211195225</v>
      </c>
      <c r="D43" s="444">
        <f>'2014-15 ExC'!BM43+'2014-15 ExC'!BL43+('2014-15 ExC'!AF43*'2014-15'!F43)</f>
        <v>3339665.1075457553</v>
      </c>
      <c r="E43" s="444">
        <f>'2014-15 Rest'!CD50</f>
        <v>0</v>
      </c>
      <c r="F43" s="444"/>
      <c r="G43" s="497">
        <f>Demographics!B43/Demographics!B$74</f>
        <v>1.3611992508437327E-2</v>
      </c>
      <c r="H43" s="497">
        <f>Demographics!C43/Demographics!C$74</f>
        <v>1.597883572236887E-2</v>
      </c>
      <c r="I43" s="497">
        <f>Demographics!D43/Demographics!D$74</f>
        <v>2.5522823172498581E-2</v>
      </c>
      <c r="J43" s="497">
        <f t="shared" si="2"/>
        <v>1.7181410977935525E-2</v>
      </c>
      <c r="K43" s="497">
        <f>('2014-15'!AJ43+'2014-15'!AN43+'2014-15 ExC'!BL43+'2014-15 ExC'!BM43)/('2014-15'!AJ$74+'2014-15'!AN$74+'2014-15 ExC'!BL$74+'2014-15 ExC'!BM$74)</f>
        <v>1.7321099649587238E-2</v>
      </c>
      <c r="L43" s="497">
        <f t="shared" si="3"/>
        <v>-1.3968867165171234E-4</v>
      </c>
      <c r="M43" s="497">
        <f t="shared" si="4"/>
        <v>0</v>
      </c>
      <c r="N43" s="444"/>
      <c r="O43" s="444">
        <f>('2014-15'!AJ43+'2014-15'!AN43+'2014-15 ExC'!BL43+'2014-15 ExC'!BM43)*O$75</f>
        <v>1342775.4522299999</v>
      </c>
      <c r="P43" s="444">
        <f t="shared" si="0"/>
        <v>0</v>
      </c>
      <c r="Q43" s="444">
        <f t="shared" si="5"/>
        <v>1342775.4522299999</v>
      </c>
      <c r="R43" s="497">
        <f>Q43/('2014-15'!AJ43+'2014-15'!AN43+'2014-15 ExC'!BL43+'2014-15 ExC'!BM43)</f>
        <v>1.4969999999999999E-2</v>
      </c>
      <c r="S43" s="444"/>
      <c r="T43" s="504">
        <f t="shared" si="1"/>
        <v>2053000.9082813193</v>
      </c>
      <c r="U43" s="504">
        <f>('2014-15'!AJ43+'2014-15'!AN43+'2014-15 ExC'!BL43+'2014-15 ExC'!BM43)*0.01</f>
        <v>896977.59</v>
      </c>
      <c r="V43" s="504">
        <f t="shared" si="6"/>
        <v>1156023.3182813195</v>
      </c>
      <c r="W43" s="504">
        <f t="shared" si="7"/>
        <v>1013025.7827045372</v>
      </c>
      <c r="X43" s="502">
        <f t="shared" si="8"/>
        <v>1910003.3727045371</v>
      </c>
      <c r="Y43" s="613">
        <f>X43/('2014-15'!AJ43+'2014-15'!AN43+'2014-15 ExC'!BL43+'2014-15 ExC'!BM43)</f>
        <v>2.1293769142042191E-2</v>
      </c>
      <c r="Z43" s="497">
        <f>E43/('2014-15'!AJ43+'2014-15'!AN43+'2014-15 ExC'!BL43+'2014-15 ExC'!BM43)</f>
        <v>0</v>
      </c>
      <c r="AA43" s="444"/>
      <c r="AB43" s="444"/>
    </row>
    <row r="44" spans="1:28" hidden="1">
      <c r="A44" s="444" t="s">
        <v>152</v>
      </c>
      <c r="B44" s="444"/>
      <c r="C44" s="444">
        <f>'2013-14'!S51+'2013-14'!T51+('2013-14 FTES'!DA51*'2013-14'!N51)</f>
        <v>2438824.2008522884</v>
      </c>
      <c r="D44" s="444">
        <f>'2014-15 ExC'!BM44+'2014-15 ExC'!BL44+('2014-15 ExC'!AF44*'2014-15'!F44)</f>
        <v>2140387.597872321</v>
      </c>
      <c r="E44" s="444">
        <f>'2014-15 Rest'!CD51</f>
        <v>0</v>
      </c>
      <c r="F44" s="444"/>
      <c r="G44" s="497">
        <f>Demographics!B44/Demographics!B$74</f>
        <v>1.7135619872098776E-2</v>
      </c>
      <c r="H44" s="497">
        <f>Demographics!C44/Demographics!C$74</f>
        <v>1.5568508004657563E-2</v>
      </c>
      <c r="I44" s="497">
        <f>Demographics!D44/Demographics!D$74</f>
        <v>9.5791343227210283E-3</v>
      </c>
      <c r="J44" s="497">
        <f t="shared" si="2"/>
        <v>1.4854720517894035E-2</v>
      </c>
      <c r="K44" s="497">
        <f>('2014-15'!AJ44+'2014-15'!AN44+'2014-15 ExC'!BL44+'2014-15 ExC'!BM44)/('2014-15'!AJ$74+'2014-15'!AN$74+'2014-15 ExC'!BL$74+'2014-15 ExC'!BM$74)</f>
        <v>2.4388740789339756E-2</v>
      </c>
      <c r="L44" s="497">
        <f t="shared" si="3"/>
        <v>-9.5340202714457208E-3</v>
      </c>
      <c r="M44" s="497">
        <f t="shared" si="4"/>
        <v>0</v>
      </c>
      <c r="N44" s="444"/>
      <c r="O44" s="444">
        <f>('2014-15'!AJ44+'2014-15'!AN44+'2014-15 ExC'!BL44+'2014-15 ExC'!BM44)*O$75</f>
        <v>1890676.8683999998</v>
      </c>
      <c r="P44" s="444">
        <f t="shared" si="0"/>
        <v>0</v>
      </c>
      <c r="Q44" s="444">
        <f t="shared" si="5"/>
        <v>1890676.8683999998</v>
      </c>
      <c r="R44" s="497">
        <f>Q44/('2014-15'!AJ44+'2014-15'!AN44+'2014-15 ExC'!BL44+'2014-15 ExC'!BM44)</f>
        <v>1.4969999999999999E-2</v>
      </c>
      <c r="S44" s="444"/>
      <c r="T44" s="504">
        <f t="shared" si="1"/>
        <v>2090141.3838811521</v>
      </c>
      <c r="U44" s="504">
        <f>('2014-15'!AJ44+'2014-15'!AN44+'2014-15 ExC'!BL44+'2014-15 ExC'!BM44)*0.01</f>
        <v>1262977.2</v>
      </c>
      <c r="V44" s="504">
        <f t="shared" si="6"/>
        <v>827164.18388115219</v>
      </c>
      <c r="W44" s="504">
        <f t="shared" si="7"/>
        <v>724845.79813419539</v>
      </c>
      <c r="X44" s="502">
        <f t="shared" si="8"/>
        <v>1987822.9981341953</v>
      </c>
      <c r="Y44" s="613">
        <f>X44/('2014-15'!AJ44+'2014-15'!AN44+'2014-15 ExC'!BL44+'2014-15 ExC'!BM44)</f>
        <v>1.5739183558770461E-2</v>
      </c>
      <c r="Z44" s="497">
        <f>E44/('2014-15'!AJ44+'2014-15'!AN44+'2014-15 ExC'!BL44+'2014-15 ExC'!BM44)</f>
        <v>0</v>
      </c>
      <c r="AA44" s="444"/>
      <c r="AB44" s="444"/>
    </row>
    <row r="45" spans="1:28" hidden="1">
      <c r="A45" s="444" t="s">
        <v>153</v>
      </c>
      <c r="B45" s="444"/>
      <c r="C45" s="444">
        <f>'2013-14'!S52+'2013-14'!T52+('2013-14 FTES'!DA52*'2013-14'!N52)</f>
        <v>0</v>
      </c>
      <c r="D45" s="444">
        <f>'2014-15 ExC'!BM45+'2014-15 ExC'!BL45+('2014-15 ExC'!AF45*'2014-15'!F45)</f>
        <v>906732</v>
      </c>
      <c r="E45" s="444">
        <f>'2014-15 Rest'!CD52</f>
        <v>3962878</v>
      </c>
      <c r="F45" s="444"/>
      <c r="G45" s="497">
        <f>Demographics!B45/Demographics!B$74</f>
        <v>5.6072701179171987E-3</v>
      </c>
      <c r="H45" s="497">
        <f>Demographics!C45/Demographics!C$74</f>
        <v>4.5068470543285126E-3</v>
      </c>
      <c r="I45" s="497">
        <f>Demographics!D45/Demographics!D$74</f>
        <v>9.7844178701430567E-3</v>
      </c>
      <c r="J45" s="497">
        <f t="shared" si="2"/>
        <v>6.3764512900764923E-3</v>
      </c>
      <c r="K45" s="497">
        <f>('2014-15'!AJ45+'2014-15'!AN45+'2014-15 ExC'!BL45+'2014-15 ExC'!BM45)/('2014-15'!AJ$74+'2014-15'!AN$74+'2014-15 ExC'!BL$74+'2014-15 ExC'!BM$74)</f>
        <v>3.5489767176195633E-3</v>
      </c>
      <c r="L45" s="497">
        <f t="shared" si="3"/>
        <v>2.827474572456929E-3</v>
      </c>
      <c r="M45" s="497">
        <f t="shared" si="4"/>
        <v>2.827474572456929E-3</v>
      </c>
      <c r="N45" s="444"/>
      <c r="O45" s="444">
        <f>('2014-15'!AJ45+'2014-15'!AN45+'2014-15 ExC'!BL45+'2014-15 ExC'!BM45)*O$75</f>
        <v>275125.65098999999</v>
      </c>
      <c r="P45" s="444">
        <f t="shared" si="0"/>
        <v>1221887.6591069996</v>
      </c>
      <c r="Q45" s="444">
        <f t="shared" si="5"/>
        <v>1497013.3100969996</v>
      </c>
      <c r="R45" s="497">
        <f>Q45/('2014-15'!AJ45+'2014-15'!AN45+'2014-15 ExC'!BL45+'2014-15 ExC'!BM45)</f>
        <v>8.1454743211008818E-2</v>
      </c>
      <c r="S45" s="444"/>
      <c r="T45" s="504">
        <f t="shared" si="1"/>
        <v>0</v>
      </c>
      <c r="U45" s="504">
        <f>('2014-15'!AJ45+'2014-15'!AN45+'2014-15 ExC'!BL45+'2014-15 ExC'!BM45)*0.01</f>
        <v>183784.67</v>
      </c>
      <c r="V45" s="504">
        <f t="shared" si="6"/>
        <v>0</v>
      </c>
      <c r="W45" s="504">
        <f t="shared" si="7"/>
        <v>0</v>
      </c>
      <c r="X45" s="502">
        <f t="shared" si="8"/>
        <v>183784.67</v>
      </c>
      <c r="Y45" s="613">
        <f>X45/('2014-15'!AJ45+'2014-15'!AN45+'2014-15 ExC'!BL45+'2014-15 ExC'!BM45)</f>
        <v>0.01</v>
      </c>
      <c r="Z45" s="497">
        <f>E45/('2014-15'!AJ45+'2014-15'!AN45+'2014-15 ExC'!BL45+'2014-15 ExC'!BM45)</f>
        <v>0.21562614553216</v>
      </c>
      <c r="AA45" s="444"/>
      <c r="AB45" s="444"/>
    </row>
    <row r="46" spans="1:28" hidden="1">
      <c r="A46" s="444" t="s">
        <v>154</v>
      </c>
      <c r="B46" s="444"/>
      <c r="C46" s="444">
        <f>'2013-14'!S53+'2013-14'!T53+('2013-14 FTES'!DA53*'2013-14'!N53)</f>
        <v>1349080.1571716825</v>
      </c>
      <c r="D46" s="444">
        <f>'2014-15 ExC'!BM46+'2014-15 ExC'!BL46+('2014-15 ExC'!AF46*'2014-15'!F46)</f>
        <v>0</v>
      </c>
      <c r="E46" s="444">
        <f>'2014-15 Rest'!CD53</f>
        <v>0</v>
      </c>
      <c r="F46" s="444"/>
      <c r="G46" s="497">
        <f>Demographics!B46/Demographics!B$74</f>
        <v>1.3143771283829809E-2</v>
      </c>
      <c r="H46" s="497">
        <f>Demographics!C46/Demographics!C$74</f>
        <v>9.7784151247105964E-3</v>
      </c>
      <c r="I46" s="497">
        <f>Demographics!D46/Demographics!D$74</f>
        <v>8.0783089834679852E-3</v>
      </c>
      <c r="J46" s="497">
        <f t="shared" si="2"/>
        <v>1.103606666895955E-2</v>
      </c>
      <c r="K46" s="497">
        <f>('2014-15'!AJ46+'2014-15'!AN46+'2014-15 ExC'!BL46+'2014-15 ExC'!BM46)/('2014-15'!AJ$74+'2014-15'!AN$74+'2014-15 ExC'!BL$74+'2014-15 ExC'!BM$74)</f>
        <v>1.1106452370481714E-2</v>
      </c>
      <c r="L46" s="497">
        <f t="shared" si="3"/>
        <v>-7.038570152216421E-5</v>
      </c>
      <c r="M46" s="497">
        <f t="shared" si="4"/>
        <v>0</v>
      </c>
      <c r="N46" s="444"/>
      <c r="O46" s="444">
        <f>('2014-15'!AJ46+'2014-15'!AN46+'2014-15 ExC'!BL46+'2014-15 ExC'!BM46)*O$75</f>
        <v>861000.27747371839</v>
      </c>
      <c r="P46" s="444">
        <f t="shared" si="0"/>
        <v>0</v>
      </c>
      <c r="Q46" s="444">
        <f t="shared" si="5"/>
        <v>861000.27747371839</v>
      </c>
      <c r="R46" s="497">
        <f>Q46/('2014-15'!AJ46+'2014-15'!AN46+'2014-15 ExC'!BL46+'2014-15 ExC'!BM46)</f>
        <v>1.4970000000000001E-2</v>
      </c>
      <c r="S46" s="444"/>
      <c r="T46" s="504">
        <f t="shared" si="1"/>
        <v>767770.17802977981</v>
      </c>
      <c r="U46" s="504">
        <f>('2014-15'!AJ46+'2014-15'!AN46+'2014-15 ExC'!BL46+'2014-15 ExC'!BM46)*0.01</f>
        <v>575150.4859543877</v>
      </c>
      <c r="V46" s="504">
        <f t="shared" si="6"/>
        <v>192619.69207539211</v>
      </c>
      <c r="W46" s="504">
        <f t="shared" si="7"/>
        <v>168793.06086929317</v>
      </c>
      <c r="X46" s="502">
        <f t="shared" si="8"/>
        <v>743943.54682368087</v>
      </c>
      <c r="Y46" s="613">
        <f>X46/('2014-15'!AJ46+'2014-15'!AN46+'2014-15 ExC'!BL46+'2014-15 ExC'!BM46)</f>
        <v>1.293476342264065E-2</v>
      </c>
      <c r="Z46" s="497">
        <f>E46/('2014-15'!AJ46+'2014-15'!AN46+'2014-15 ExC'!BL46+'2014-15 ExC'!BM46)</f>
        <v>0</v>
      </c>
      <c r="AA46" s="444"/>
      <c r="AB46" s="444"/>
    </row>
    <row r="47" spans="1:28" hidden="1">
      <c r="A47" s="444" t="s">
        <v>155</v>
      </c>
      <c r="B47" s="444"/>
      <c r="C47" s="444">
        <f>'2013-14'!S54+'2013-14'!T54+('2013-14 FTES'!DA54*'2013-14'!N54)</f>
        <v>5727943.0498703495</v>
      </c>
      <c r="D47" s="444">
        <f>'2014-15 ExC'!BM47+'2014-15 ExC'!BL47+('2014-15 ExC'!AF47*'2014-15'!F47)</f>
        <v>10418489.740016345</v>
      </c>
      <c r="E47" s="444">
        <f>'2014-15 Rest'!CD54</f>
        <v>0</v>
      </c>
      <c r="F47" s="444"/>
      <c r="G47" s="497">
        <f>Demographics!B47/Demographics!B$74</f>
        <v>2.7395375573358197E-2</v>
      </c>
      <c r="H47" s="497">
        <f>Demographics!C47/Demographics!C$74</f>
        <v>3.2786773835553604E-2</v>
      </c>
      <c r="I47" s="497">
        <f>Demographics!D47/Demographics!D$74</f>
        <v>1.8534007876465943E-2</v>
      </c>
      <c r="J47" s="497">
        <f t="shared" si="2"/>
        <v>2.6527883214683988E-2</v>
      </c>
      <c r="K47" s="497">
        <f>('2014-15'!AJ47+'2014-15'!AN47+'2014-15 ExC'!BL47+'2014-15 ExC'!BM47)/('2014-15'!AJ$74+'2014-15'!AN$74+'2014-15 ExC'!BL$74+'2014-15 ExC'!BM$74)</f>
        <v>2.4221386593020141E-2</v>
      </c>
      <c r="L47" s="497">
        <f t="shared" si="3"/>
        <v>2.306496621663847E-3</v>
      </c>
      <c r="M47" s="497">
        <f t="shared" si="4"/>
        <v>2.306496621663847E-3</v>
      </c>
      <c r="N47" s="444"/>
      <c r="O47" s="444">
        <f>('2014-15'!AJ47+'2014-15'!AN47+'2014-15 ExC'!BL47+'2014-15 ExC'!BM47)*O$75</f>
        <v>1877703.1478399998</v>
      </c>
      <c r="P47" s="444">
        <f t="shared" si="0"/>
        <v>996748.04690961435</v>
      </c>
      <c r="Q47" s="444">
        <f t="shared" si="5"/>
        <v>2874451.1947496142</v>
      </c>
      <c r="R47" s="497">
        <f>Q47/('2014-15'!AJ47+'2014-15'!AN47+'2014-15 ExC'!BL47+'2014-15 ExC'!BM47)</f>
        <v>2.291657999024049E-2</v>
      </c>
      <c r="S47" s="444"/>
      <c r="T47" s="504">
        <f t="shared" si="1"/>
        <v>5473833.7948464807</v>
      </c>
      <c r="U47" s="504">
        <f>('2014-15'!AJ47+'2014-15'!AN47+'2014-15 ExC'!BL47+'2014-15 ExC'!BM47)*0.01</f>
        <v>1254310.72</v>
      </c>
      <c r="V47" s="504">
        <f t="shared" si="6"/>
        <v>4219523.074846481</v>
      </c>
      <c r="W47" s="504">
        <f t="shared" si="7"/>
        <v>3697577.3740370278</v>
      </c>
      <c r="X47" s="502">
        <f t="shared" si="8"/>
        <v>4951888.094037028</v>
      </c>
      <c r="Y47" s="613">
        <f>X47/('2014-15'!AJ47+'2014-15'!AN47+'2014-15 ExC'!BL47+'2014-15 ExC'!BM47)</f>
        <v>3.9478958563289868E-2</v>
      </c>
      <c r="Z47" s="497">
        <f>E47/('2014-15'!AJ47+'2014-15'!AN47+'2014-15 ExC'!BL47+'2014-15 ExC'!BM47)</f>
        <v>0</v>
      </c>
      <c r="AA47" s="444"/>
      <c r="AB47" s="444"/>
    </row>
    <row r="48" spans="1:28" hidden="1">
      <c r="A48" s="444" t="s">
        <v>156</v>
      </c>
      <c r="B48" s="444"/>
      <c r="C48" s="444">
        <f>'2013-14'!S55+'2013-14'!T55+('2013-14 FTES'!DA55*'2013-14'!N55)</f>
        <v>5315204.1263869125</v>
      </c>
      <c r="D48" s="444">
        <f>'2014-15 ExC'!BM48+'2014-15 ExC'!BL48+('2014-15 ExC'!AF48*'2014-15'!F48)</f>
        <v>5381103.2937388513</v>
      </c>
      <c r="E48" s="444">
        <f>'2014-15 Rest'!CD55</f>
        <v>0</v>
      </c>
      <c r="F48" s="444"/>
      <c r="G48" s="497">
        <f>Demographics!B48/Demographics!B$74</f>
        <v>2.0433603264781119E-2</v>
      </c>
      <c r="H48" s="497">
        <f>Demographics!C48/Demographics!C$74</f>
        <v>2.3403488011334423E-2</v>
      </c>
      <c r="I48" s="497">
        <f>Demographics!D48/Demographics!D$74</f>
        <v>2.0541352210754718E-2</v>
      </c>
      <c r="J48" s="497">
        <f t="shared" si="2"/>
        <v>2.1203011687912846E-2</v>
      </c>
      <c r="K48" s="497">
        <f>('2014-15'!AJ48+'2014-15'!AN48+'2014-15 ExC'!BL48+'2014-15 ExC'!BM48)/('2014-15'!AJ$74+'2014-15'!AN$74+'2014-15 ExC'!BL$74+'2014-15 ExC'!BM$74)</f>
        <v>1.276966927227116E-2</v>
      </c>
      <c r="L48" s="497">
        <f t="shared" si="3"/>
        <v>8.4333424156416859E-3</v>
      </c>
      <c r="M48" s="497">
        <f t="shared" si="4"/>
        <v>8.4333424156416859E-3</v>
      </c>
      <c r="N48" s="444"/>
      <c r="O48" s="444">
        <f>('2014-15'!AJ48+'2014-15'!AN48+'2014-15 ExC'!BL48+'2014-15 ExC'!BM48)*O$75</f>
        <v>989937.05819999997</v>
      </c>
      <c r="P48" s="444">
        <f t="shared" si="0"/>
        <v>3644452.5878590047</v>
      </c>
      <c r="Q48" s="444">
        <f t="shared" si="5"/>
        <v>4634389.6460590046</v>
      </c>
      <c r="R48" s="497">
        <f>Q48/('2014-15'!AJ48+'2014-15'!AN48+'2014-15 ExC'!BL48+'2014-15 ExC'!BM48)</f>
        <v>7.0082044536903157E-2</v>
      </c>
      <c r="S48" s="444"/>
      <c r="T48" s="504">
        <f t="shared" si="1"/>
        <v>4991271.6780609433</v>
      </c>
      <c r="U48" s="504">
        <f>('2014-15'!AJ48+'2014-15'!AN48+'2014-15 ExC'!BL48+'2014-15 ExC'!BM48)*0.01</f>
        <v>661280.6</v>
      </c>
      <c r="V48" s="504">
        <f t="shared" si="6"/>
        <v>4329991.0780609436</v>
      </c>
      <c r="W48" s="504">
        <f t="shared" si="7"/>
        <v>3794380.7288227361</v>
      </c>
      <c r="X48" s="502">
        <f t="shared" si="8"/>
        <v>4455661.3288227357</v>
      </c>
      <c r="Y48" s="613">
        <f>X48/('2014-15'!AJ48+'2014-15'!AN48+'2014-15 ExC'!BL48+'2014-15 ExC'!BM48)</f>
        <v>6.7379283904937415E-2</v>
      </c>
      <c r="Z48" s="497">
        <f>E48/('2014-15'!AJ48+'2014-15'!AN48+'2014-15 ExC'!BL48+'2014-15 ExC'!BM48)</f>
        <v>0</v>
      </c>
      <c r="AA48" s="444"/>
      <c r="AB48" s="444"/>
    </row>
    <row r="49" spans="1:28" hidden="1">
      <c r="A49" s="444" t="s">
        <v>157</v>
      </c>
      <c r="B49" s="444"/>
      <c r="C49" s="444">
        <f>'2013-14'!S56+'2013-14'!T56+('2013-14 FTES'!DA56*'2013-14'!N56)</f>
        <v>10659427.189061183</v>
      </c>
      <c r="D49" s="444">
        <f>'2014-15 ExC'!BM49+'2014-15 ExC'!BL49+('2014-15 ExC'!AF49*'2014-15'!F49)</f>
        <v>8866261.723597493</v>
      </c>
      <c r="E49" s="444">
        <f>'2014-15 Rest'!CD56</f>
        <v>0</v>
      </c>
      <c r="F49" s="444"/>
      <c r="G49" s="497">
        <f>Demographics!B49/Demographics!B$74</f>
        <v>2.3472434207465531E-2</v>
      </c>
      <c r="H49" s="497">
        <f>Demographics!C49/Demographics!C$74</f>
        <v>2.4888832818195122E-2</v>
      </c>
      <c r="I49" s="497">
        <f>Demographics!D49/Demographics!D$74</f>
        <v>3.4001377731666498E-2</v>
      </c>
      <c r="J49" s="497">
        <f t="shared" si="2"/>
        <v>2.6458769741198172E-2</v>
      </c>
      <c r="K49" s="497">
        <f>('2014-15'!AJ49+'2014-15'!AN49+'2014-15 ExC'!BL49+'2014-15 ExC'!BM49)/('2014-15'!AJ$74+'2014-15'!AN$74+'2014-15 ExC'!BL$74+'2014-15 ExC'!BM$74)</f>
        <v>3.5233625546895846E-2</v>
      </c>
      <c r="L49" s="497">
        <f t="shared" si="3"/>
        <v>-8.7748558056976733E-3</v>
      </c>
      <c r="M49" s="497">
        <f t="shared" si="4"/>
        <v>0</v>
      </c>
      <c r="N49" s="444"/>
      <c r="O49" s="444">
        <f>('2014-15'!AJ49+'2014-15'!AN49+'2014-15 ExC'!BL49+'2014-15 ExC'!BM49)*O$75</f>
        <v>2731399.7629799997</v>
      </c>
      <c r="P49" s="444">
        <f t="shared" si="0"/>
        <v>0</v>
      </c>
      <c r="Q49" s="444">
        <f t="shared" si="5"/>
        <v>2731399.7629799997</v>
      </c>
      <c r="R49" s="497">
        <f>Q49/('2014-15'!AJ49+'2014-15'!AN49+'2014-15 ExC'!BL49+'2014-15 ExC'!BM49)</f>
        <v>1.4969999999999999E-2</v>
      </c>
      <c r="S49" s="444"/>
      <c r="T49" s="504">
        <f t="shared" si="1"/>
        <v>6247122.1096546687</v>
      </c>
      <c r="U49" s="504">
        <f>('2014-15'!AJ49+'2014-15'!AN49+'2014-15 ExC'!BL49+'2014-15 ExC'!BM49)*0.01</f>
        <v>1824582.34</v>
      </c>
      <c r="V49" s="504">
        <f t="shared" si="6"/>
        <v>4422539.7696546689</v>
      </c>
      <c r="W49" s="504">
        <f t="shared" si="7"/>
        <v>3875481.3513252307</v>
      </c>
      <c r="X49" s="502">
        <f t="shared" si="8"/>
        <v>5700063.6913252305</v>
      </c>
      <c r="Y49" s="613">
        <f>X49/('2014-15'!AJ49+'2014-15'!AN49+'2014-15 ExC'!BL49+'2014-15 ExC'!BM49)</f>
        <v>3.1240375215542373E-2</v>
      </c>
      <c r="Z49" s="497">
        <f>E49/('2014-15'!AJ49+'2014-15'!AN49+'2014-15 ExC'!BL49+'2014-15 ExC'!BM49)</f>
        <v>0</v>
      </c>
      <c r="AA49" s="444"/>
      <c r="AB49" s="444"/>
    </row>
    <row r="50" spans="1:28" hidden="1">
      <c r="A50" s="444" t="s">
        <v>158</v>
      </c>
      <c r="B50" s="444"/>
      <c r="C50" s="444">
        <f>'2013-14'!S57+'2013-14'!T57+('2013-14 FTES'!DA57*'2013-14'!N57)</f>
        <v>0</v>
      </c>
      <c r="D50" s="444">
        <f>'2014-15 ExC'!BM50+'2014-15 ExC'!BL50+('2014-15 ExC'!AF50*'2014-15'!F50)</f>
        <v>0</v>
      </c>
      <c r="E50" s="444">
        <f>'2014-15 Rest'!CD57</f>
        <v>6203562</v>
      </c>
      <c r="F50" s="444"/>
      <c r="G50" s="497">
        <f>Demographics!B50/Demographics!B$74</f>
        <v>1.8131656245627067E-2</v>
      </c>
      <c r="H50" s="497">
        <f>Demographics!C50/Demographics!C$74</f>
        <v>1.9002094203391506E-2</v>
      </c>
      <c r="I50" s="497">
        <f>Demographics!D50/Demographics!D$74</f>
        <v>2.8014896628074378E-2</v>
      </c>
      <c r="J50" s="497">
        <f t="shared" si="2"/>
        <v>2.0820075830680004E-2</v>
      </c>
      <c r="K50" s="497">
        <f>('2014-15'!AJ50+'2014-15'!AN50+'2014-15 ExC'!BL50+'2014-15 ExC'!BM50)/('2014-15'!AJ$74+'2014-15'!AN$74+'2014-15 ExC'!BL$74+'2014-15 ExC'!BM$74)</f>
        <v>1.9333602963694834E-2</v>
      </c>
      <c r="L50" s="497">
        <f t="shared" si="3"/>
        <v>1.4864728669851703E-3</v>
      </c>
      <c r="M50" s="497">
        <f t="shared" si="4"/>
        <v>1.4864728669851703E-3</v>
      </c>
      <c r="N50" s="444"/>
      <c r="O50" s="444">
        <f>('2014-15'!AJ50+'2014-15'!AN50+'2014-15 ExC'!BL50+'2014-15 ExC'!BM50)*O$75</f>
        <v>1498789.7990315666</v>
      </c>
      <c r="P50" s="444">
        <f t="shared" si="0"/>
        <v>642376.36987423257</v>
      </c>
      <c r="Q50" s="444">
        <f t="shared" si="5"/>
        <v>2141166.1689057993</v>
      </c>
      <c r="R50" s="497">
        <f>Q50/('2014-15'!AJ50+'2014-15'!AN50+'2014-15 ExC'!BL50+'2014-15 ExC'!BM50)</f>
        <v>2.1386092679060682E-2</v>
      </c>
      <c r="S50" s="444"/>
      <c r="T50" s="504">
        <f t="shared" si="1"/>
        <v>0</v>
      </c>
      <c r="U50" s="504">
        <f>('2014-15'!AJ50+'2014-15'!AN50+'2014-15 ExC'!BL50+'2014-15 ExC'!BM50)*0.01</f>
        <v>1001195.5905354486</v>
      </c>
      <c r="V50" s="504">
        <f t="shared" si="6"/>
        <v>0</v>
      </c>
      <c r="W50" s="504">
        <f t="shared" si="7"/>
        <v>0</v>
      </c>
      <c r="X50" s="502">
        <f t="shared" si="8"/>
        <v>1001195.5905354486</v>
      </c>
      <c r="Y50" s="613">
        <f>X50/('2014-15'!AJ50+'2014-15'!AN50+'2014-15 ExC'!BL50+'2014-15 ExC'!BM50)</f>
        <v>0.01</v>
      </c>
      <c r="Z50" s="497">
        <f>E50/('2014-15'!AJ50+'2014-15'!AN50+'2014-15 ExC'!BL50+'2014-15 ExC'!BM50)</f>
        <v>6.1961539369967442E-2</v>
      </c>
      <c r="AA50" s="444"/>
      <c r="AB50" s="444"/>
    </row>
    <row r="51" spans="1:28" hidden="1">
      <c r="A51" s="444" t="s">
        <v>159</v>
      </c>
      <c r="B51" s="444"/>
      <c r="C51" s="444">
        <f>'2013-14'!S58+'2013-14'!T58+('2013-14 FTES'!DA58*'2013-14'!N58)</f>
        <v>1030508.8356662994</v>
      </c>
      <c r="D51" s="444">
        <f>'2014-15 ExC'!BM51+'2014-15 ExC'!BL51+('2014-15 ExC'!AF51*'2014-15'!F51)</f>
        <v>1868640.9298614562</v>
      </c>
      <c r="E51" s="444">
        <f>'2014-15 Rest'!CD58</f>
        <v>0</v>
      </c>
      <c r="F51" s="444"/>
      <c r="G51" s="497">
        <f>Demographics!B51/Demographics!B$74</f>
        <v>2.2372481371147605E-2</v>
      </c>
      <c r="H51" s="497">
        <f>Demographics!C51/Demographics!C$74</f>
        <v>2.5280037729560431E-2</v>
      </c>
      <c r="I51" s="497">
        <f>Demographics!D51/Demographics!D$74</f>
        <v>2.0718347150152108E-2</v>
      </c>
      <c r="J51" s="497">
        <f t="shared" si="2"/>
        <v>2.2685836905501938E-2</v>
      </c>
      <c r="K51" s="497">
        <f>('2014-15'!AJ51+'2014-15'!AN51+'2014-15 ExC'!BL51+'2014-15 ExC'!BM51)/('2014-15'!AJ$74+'2014-15'!AN$74+'2014-15 ExC'!BL$74+'2014-15 ExC'!BM$74)</f>
        <v>1.4144959551239766E-2</v>
      </c>
      <c r="L51" s="497">
        <f t="shared" si="3"/>
        <v>8.5408773542621722E-3</v>
      </c>
      <c r="M51" s="497">
        <f t="shared" si="4"/>
        <v>8.5408773542621722E-3</v>
      </c>
      <c r="N51" s="444"/>
      <c r="O51" s="444">
        <f>('2014-15'!AJ51+'2014-15'!AN51+'2014-15 ExC'!BL51+'2014-15 ExC'!BM51)*O$75</f>
        <v>1096553.03892</v>
      </c>
      <c r="P51" s="444">
        <f t="shared" si="0"/>
        <v>3690923.6032672971</v>
      </c>
      <c r="Q51" s="444">
        <f t="shared" si="5"/>
        <v>4787476.6421872973</v>
      </c>
      <c r="R51" s="497">
        <f>Q51/('2014-15'!AJ51+'2014-15'!AN51+'2014-15 ExC'!BL51+'2014-15 ExC'!BM51)</f>
        <v>6.5358010775411729E-2</v>
      </c>
      <c r="S51" s="444"/>
      <c r="T51" s="504">
        <f t="shared" si="1"/>
        <v>3118525.7624755874</v>
      </c>
      <c r="U51" s="504">
        <f>('2014-15'!AJ51+'2014-15'!AN51+'2014-15 ExC'!BL51+'2014-15 ExC'!BM51)*0.01</f>
        <v>732500.36</v>
      </c>
      <c r="V51" s="504">
        <f t="shared" si="6"/>
        <v>2386025.4024755876</v>
      </c>
      <c r="W51" s="504">
        <f t="shared" si="7"/>
        <v>2090879.3210930156</v>
      </c>
      <c r="X51" s="502">
        <f t="shared" si="8"/>
        <v>2823379.6810930157</v>
      </c>
      <c r="Y51" s="613">
        <f>X51/('2014-15'!AJ51+'2014-15'!AN51+'2014-15 ExC'!BL51+'2014-15 ExC'!BM51)</f>
        <v>3.8544413563059758E-2</v>
      </c>
      <c r="Z51" s="497">
        <f>E51/('2014-15'!AJ51+'2014-15'!AN51+'2014-15 ExC'!BL51+'2014-15 ExC'!BM51)</f>
        <v>0</v>
      </c>
      <c r="AA51" s="444"/>
      <c r="AB51" s="444"/>
    </row>
    <row r="52" spans="1:28" hidden="1">
      <c r="A52" s="444" t="s">
        <v>160</v>
      </c>
      <c r="B52" s="444"/>
      <c r="C52" s="444">
        <f>'2013-14'!S59+'2013-14'!T59+('2013-14 FTES'!DA59*'2013-14'!N59)</f>
        <v>0</v>
      </c>
      <c r="D52" s="444">
        <f>'2014-15 ExC'!BM52+'2014-15 ExC'!BL52+('2014-15 ExC'!AF52*'2014-15'!F52)</f>
        <v>0</v>
      </c>
      <c r="E52" s="444">
        <f>'2014-15 Rest'!CD59</f>
        <v>3985354</v>
      </c>
      <c r="F52" s="444"/>
      <c r="G52" s="497">
        <f>Demographics!B52/Demographics!B$74</f>
        <v>2.1480755222594152E-2</v>
      </c>
      <c r="H52" s="497">
        <f>Demographics!C52/Demographics!C$74</f>
        <v>2.1118792583059955E-2</v>
      </c>
      <c r="I52" s="497">
        <f>Demographics!D52/Demographics!D$74</f>
        <v>1.4793795161424737E-2</v>
      </c>
      <c r="J52" s="497">
        <f t="shared" si="2"/>
        <v>1.9718524547418247E-2</v>
      </c>
      <c r="K52" s="497">
        <f>('2014-15'!AJ52+'2014-15'!AN52+'2014-15 ExC'!BL52+'2014-15 ExC'!BM52)/('2014-15'!AJ$74+'2014-15'!AN$74+'2014-15 ExC'!BL$74+'2014-15 ExC'!BM$74)</f>
        <v>1.1081969271949817E-2</v>
      </c>
      <c r="L52" s="497">
        <f t="shared" si="3"/>
        <v>8.6365552754684299E-3</v>
      </c>
      <c r="M52" s="497">
        <f t="shared" si="4"/>
        <v>8.6365552754684299E-3</v>
      </c>
      <c r="N52" s="444"/>
      <c r="O52" s="444">
        <f>('2014-15'!AJ52+'2014-15'!AN52+'2014-15 ExC'!BL52+'2014-15 ExC'!BM52)*O$75</f>
        <v>859102.2857544719</v>
      </c>
      <c r="P52" s="444">
        <f t="shared" si="0"/>
        <v>3732270.6315694302</v>
      </c>
      <c r="Q52" s="444">
        <f t="shared" si="5"/>
        <v>4591372.9173239022</v>
      </c>
      <c r="R52" s="497">
        <f>Q52/('2014-15'!AJ52+'2014-15'!AN52+'2014-15 ExC'!BL52+'2014-15 ExC'!BM52)</f>
        <v>8.0005435571594313E-2</v>
      </c>
      <c r="S52" s="444"/>
      <c r="T52" s="504">
        <f t="shared" si="1"/>
        <v>0</v>
      </c>
      <c r="U52" s="504">
        <f>('2014-15'!AJ52+'2014-15'!AN52+'2014-15 ExC'!BL52+'2014-15 ExC'!BM52)*0.01</f>
        <v>573882.62241447694</v>
      </c>
      <c r="V52" s="504">
        <f t="shared" si="6"/>
        <v>0</v>
      </c>
      <c r="W52" s="504">
        <f t="shared" si="7"/>
        <v>0</v>
      </c>
      <c r="X52" s="502">
        <f t="shared" si="8"/>
        <v>573882.62241447694</v>
      </c>
      <c r="Y52" s="613">
        <f>X52/('2014-15'!AJ52+'2014-15'!AN52+'2014-15 ExC'!BL52+'2014-15 ExC'!BM52)</f>
        <v>0.01</v>
      </c>
      <c r="Z52" s="497">
        <f>E52/('2014-15'!AJ52+'2014-15'!AN52+'2014-15 ExC'!BL52+'2014-15 ExC'!BM52)</f>
        <v>6.9445455295937611E-2</v>
      </c>
      <c r="AA52" s="444"/>
      <c r="AB52" s="444"/>
    </row>
    <row r="53" spans="1:28" hidden="1">
      <c r="A53" s="444" t="s">
        <v>161</v>
      </c>
      <c r="B53" s="444"/>
      <c r="C53" s="444">
        <f>'2013-14'!S60+'2013-14'!T60+('2013-14 FTES'!DA60*'2013-14'!N60)</f>
        <v>1949188</v>
      </c>
      <c r="D53" s="444">
        <f>'2014-15 ExC'!BM53+'2014-15 ExC'!BL53+('2014-15 ExC'!AF53*'2014-15'!F53)</f>
        <v>0</v>
      </c>
      <c r="E53" s="444">
        <f>'2014-15 Rest'!CD60</f>
        <v>1244145</v>
      </c>
      <c r="F53" s="444"/>
      <c r="G53" s="497">
        <f>Demographics!B53/Demographics!B$74</f>
        <v>7.0907222692036375E-3</v>
      </c>
      <c r="H53" s="497">
        <f>Demographics!C53/Demographics!C$74</f>
        <v>5.166683464056708E-3</v>
      </c>
      <c r="I53" s="497">
        <f>Demographics!D53/Demographics!D$74</f>
        <v>8.6651064607357938E-3</v>
      </c>
      <c r="J53" s="497">
        <f t="shared" si="2"/>
        <v>7.0033086157999438E-3</v>
      </c>
      <c r="K53" s="497">
        <f>('2014-15'!AJ53+'2014-15'!AN53+'2014-15 ExC'!BL53+'2014-15 ExC'!BM53)/('2014-15'!AJ$74+'2014-15'!AN$74+'2014-15 ExC'!BL$74+'2014-15 ExC'!BM$74)</f>
        <v>6.3363257174400616E-3</v>
      </c>
      <c r="L53" s="497">
        <f t="shared" si="3"/>
        <v>6.6698289835988214E-4</v>
      </c>
      <c r="M53" s="497">
        <f t="shared" si="4"/>
        <v>6.6698289835988214E-4</v>
      </c>
      <c r="N53" s="444"/>
      <c r="O53" s="444">
        <f>('2014-15'!AJ53+'2014-15'!AN53+'2014-15 ExC'!BL53+'2014-15 ExC'!BM53)*O$75</f>
        <v>491207.99503713433</v>
      </c>
      <c r="P53" s="444">
        <f t="shared" si="0"/>
        <v>288235.36744777311</v>
      </c>
      <c r="Q53" s="444">
        <f t="shared" si="5"/>
        <v>779443.3624849075</v>
      </c>
      <c r="R53" s="497">
        <f>Q53/('2014-15'!AJ53+'2014-15'!AN53+'2014-15 ExC'!BL53+'2014-15 ExC'!BM53)</f>
        <v>2.3754228869008874E-2</v>
      </c>
      <c r="S53" s="444"/>
      <c r="T53" s="504">
        <f t="shared" si="1"/>
        <v>0</v>
      </c>
      <c r="U53" s="504">
        <f>('2014-15'!AJ53+'2014-15'!AN53+'2014-15 ExC'!BL53+'2014-15 ExC'!BM53)*0.01</f>
        <v>328128.25319781853</v>
      </c>
      <c r="V53" s="504">
        <f t="shared" si="6"/>
        <v>0</v>
      </c>
      <c r="W53" s="504">
        <f t="shared" si="7"/>
        <v>0</v>
      </c>
      <c r="X53" s="502">
        <f t="shared" si="8"/>
        <v>328128.25319781853</v>
      </c>
      <c r="Y53" s="613">
        <f>X53/('2014-15'!AJ53+'2014-15'!AN53+'2014-15 ExC'!BL53+'2014-15 ExC'!BM53)</f>
        <v>0.01</v>
      </c>
      <c r="Z53" s="497">
        <f>E53/('2014-15'!AJ53+'2014-15'!AN53+'2014-15 ExC'!BL53+'2014-15 ExC'!BM53)</f>
        <v>3.7916424077323901E-2</v>
      </c>
      <c r="AA53" s="444"/>
      <c r="AB53" s="444"/>
    </row>
    <row r="54" spans="1:28" hidden="1">
      <c r="A54" s="444" t="s">
        <v>162</v>
      </c>
      <c r="B54" s="444"/>
      <c r="C54" s="444">
        <f>'2013-14'!S61+'2013-14'!T61+('2013-14 FTES'!DA61*'2013-14'!N61)</f>
        <v>0</v>
      </c>
      <c r="D54" s="444">
        <f>'2014-15 ExC'!BM54+'2014-15 ExC'!BL54+('2014-15 ExC'!AF54*'2014-15'!F54)</f>
        <v>0</v>
      </c>
      <c r="E54" s="444">
        <f>'2014-15 Rest'!CD61</f>
        <v>6784046</v>
      </c>
      <c r="F54" s="444"/>
      <c r="G54" s="497">
        <f>Demographics!B54/Demographics!B$74</f>
        <v>1.6340046161371309E-2</v>
      </c>
      <c r="H54" s="497">
        <f>Demographics!C54/Demographics!C$74</f>
        <v>1.5523621257934104E-2</v>
      </c>
      <c r="I54" s="497">
        <f>Demographics!D54/Demographics!D$74</f>
        <v>1.2406466011237459E-2</v>
      </c>
      <c r="J54" s="497">
        <f t="shared" si="2"/>
        <v>1.5152544897978546E-2</v>
      </c>
      <c r="K54" s="497">
        <f>('2014-15'!AJ54+'2014-15'!AN54+'2014-15 ExC'!BL54+'2014-15 ExC'!BM54)/('2014-15'!AJ$74+'2014-15'!AN$74+'2014-15 ExC'!BL$74+'2014-15 ExC'!BM$74)</f>
        <v>1.5775901239047162E-2</v>
      </c>
      <c r="L54" s="497">
        <f t="shared" si="3"/>
        <v>-6.2335634106861632E-4</v>
      </c>
      <c r="M54" s="497">
        <f t="shared" si="4"/>
        <v>0</v>
      </c>
      <c r="N54" s="444"/>
      <c r="O54" s="444">
        <f>('2014-15'!AJ54+'2014-15'!AN54+'2014-15 ExC'!BL54+'2014-15 ExC'!BM54)*O$75</f>
        <v>1222987.7634300299</v>
      </c>
      <c r="P54" s="444">
        <f t="shared" si="0"/>
        <v>0</v>
      </c>
      <c r="Q54" s="444">
        <f t="shared" si="5"/>
        <v>1222987.7634300299</v>
      </c>
      <c r="R54" s="497">
        <f>Q54/('2014-15'!AJ54+'2014-15'!AN54+'2014-15 ExC'!BL54+'2014-15 ExC'!BM54)</f>
        <v>1.4970000000000001E-2</v>
      </c>
      <c r="S54" s="444"/>
      <c r="T54" s="504">
        <f t="shared" si="1"/>
        <v>0</v>
      </c>
      <c r="U54" s="504">
        <f>('2014-15'!AJ54+'2014-15'!AN54+'2014-15 ExC'!BL54+'2014-15 ExC'!BM54)*0.01</f>
        <v>816959.09380763513</v>
      </c>
      <c r="V54" s="504">
        <f t="shared" si="6"/>
        <v>0</v>
      </c>
      <c r="W54" s="504">
        <f t="shared" si="7"/>
        <v>0</v>
      </c>
      <c r="X54" s="502">
        <f t="shared" si="8"/>
        <v>816959.09380763513</v>
      </c>
      <c r="Y54" s="613">
        <f>X54/('2014-15'!AJ54+'2014-15'!AN54+'2014-15 ExC'!BL54+'2014-15 ExC'!BM54)</f>
        <v>0.01</v>
      </c>
      <c r="Z54" s="497">
        <f>E54/('2014-15'!AJ54+'2014-15'!AN54+'2014-15 ExC'!BL54+'2014-15 ExC'!BM54)</f>
        <v>8.3040216473768774E-2</v>
      </c>
      <c r="AA54" s="444"/>
      <c r="AB54" s="444"/>
    </row>
    <row r="55" spans="1:28" hidden="1">
      <c r="A55" s="444" t="s">
        <v>163</v>
      </c>
      <c r="B55" s="444"/>
      <c r="C55" s="444">
        <f>'2013-14'!S62+'2013-14'!T62+('2013-14 FTES'!DA62*'2013-14'!N62)</f>
        <v>0</v>
      </c>
      <c r="D55" s="444">
        <f>'2014-15 ExC'!BM55+'2014-15 ExC'!BL55+('2014-15 ExC'!AF55*'2014-15'!F55)</f>
        <v>4373325.8082879698</v>
      </c>
      <c r="E55" s="444">
        <f>'2014-15 Rest'!CD62</f>
        <v>0</v>
      </c>
      <c r="F55" s="444"/>
      <c r="G55" s="497">
        <f>Demographics!B55/Demographics!B$74</f>
        <v>3.9804748307967581E-3</v>
      </c>
      <c r="H55" s="497">
        <f>Demographics!C55/Demographics!C$74</f>
        <v>4.2136243100101963E-3</v>
      </c>
      <c r="I55" s="497">
        <f>Demographics!D55/Demographics!D$74</f>
        <v>5.4807266655300252E-3</v>
      </c>
      <c r="J55" s="497">
        <f t="shared" si="2"/>
        <v>4.4138251592834342E-3</v>
      </c>
      <c r="K55" s="497">
        <f>('2014-15'!AJ55+'2014-15'!AN55+'2014-15 ExC'!BL55+'2014-15 ExC'!BM55)/('2014-15'!AJ$74+'2014-15'!AN$74+'2014-15 ExC'!BL$74+'2014-15 ExC'!BM$74)</f>
        <v>1.2749692157782168E-2</v>
      </c>
      <c r="L55" s="497">
        <f t="shared" si="3"/>
        <v>-8.3358669984987324E-3</v>
      </c>
      <c r="M55" s="497">
        <f t="shared" si="4"/>
        <v>0</v>
      </c>
      <c r="N55" s="444"/>
      <c r="O55" s="444">
        <f>('2014-15'!AJ55+'2014-15'!AN55+'2014-15 ExC'!BL55+'2014-15 ExC'!BM55)*O$75</f>
        <v>988388.3817599999</v>
      </c>
      <c r="P55" s="444">
        <f t="shared" si="0"/>
        <v>0</v>
      </c>
      <c r="Q55" s="444">
        <f t="shared" si="5"/>
        <v>988388.3817599999</v>
      </c>
      <c r="R55" s="497">
        <f>Q55/('2014-15'!AJ55+'2014-15'!AN55+'2014-15 ExC'!BL55+'2014-15 ExC'!BM55)</f>
        <v>1.4969999999999999E-2</v>
      </c>
      <c r="S55" s="444"/>
      <c r="T55" s="504">
        <f t="shared" si="1"/>
        <v>1587525.6429519923</v>
      </c>
      <c r="U55" s="504">
        <f>('2014-15'!AJ55+'2014-15'!AN55+'2014-15 ExC'!BL55+'2014-15 ExC'!BM55)*0.01</f>
        <v>660246.07999999996</v>
      </c>
      <c r="V55" s="504">
        <f t="shared" si="6"/>
        <v>927279.56295199238</v>
      </c>
      <c r="W55" s="504">
        <f t="shared" si="7"/>
        <v>812577.12555653625</v>
      </c>
      <c r="X55" s="502">
        <f t="shared" si="8"/>
        <v>1472823.2055565361</v>
      </c>
      <c r="Y55" s="613">
        <f>X55/('2014-15'!AJ55+'2014-15'!AN55+'2014-15 ExC'!BL55+'2014-15 ExC'!BM55)</f>
        <v>2.2307185914023694E-2</v>
      </c>
      <c r="Z55" s="497">
        <f>E55/('2014-15'!AJ55+'2014-15'!AN55+'2014-15 ExC'!BL55+'2014-15 ExC'!BM55)</f>
        <v>0</v>
      </c>
      <c r="AA55" s="444"/>
      <c r="AB55" s="444"/>
    </row>
    <row r="56" spans="1:28" hidden="1">
      <c r="A56" s="444" t="s">
        <v>164</v>
      </c>
      <c r="B56" s="444"/>
      <c r="C56" s="444">
        <f>'2013-14'!S63+'2013-14'!T63+('2013-14 FTES'!DA63*'2013-14'!N63)</f>
        <v>2867281.2713994896</v>
      </c>
      <c r="D56" s="444">
        <f>'2014-15 ExC'!BM56+'2014-15 ExC'!BL56+('2014-15 ExC'!AF56*'2014-15'!F56)</f>
        <v>3504852.1450532014</v>
      </c>
      <c r="E56" s="444">
        <f>'2014-15 Rest'!CD63</f>
        <v>0</v>
      </c>
      <c r="F56" s="444"/>
      <c r="G56" s="497">
        <f>Demographics!B56/Demographics!B$74</f>
        <v>6.2923555625643531E-3</v>
      </c>
      <c r="H56" s="497">
        <f>Demographics!C56/Demographics!C$74</f>
        <v>6.5184588016208049E-3</v>
      </c>
      <c r="I56" s="497">
        <f>Demographics!D56/Demographics!D$74</f>
        <v>3.3705494182868266E-3</v>
      </c>
      <c r="J56" s="497">
        <f t="shared" si="2"/>
        <v>5.618429836259084E-3</v>
      </c>
      <c r="K56" s="497">
        <f>('2014-15'!AJ56+'2014-15'!AN56+'2014-15 ExC'!BL56+'2014-15 ExC'!BM56)/('2014-15'!AJ$74+'2014-15'!AN$74+'2014-15 ExC'!BL$74+'2014-15 ExC'!BM$74)</f>
        <v>1.3480854316353125E-2</v>
      </c>
      <c r="L56" s="497">
        <f t="shared" si="3"/>
        <v>-7.8624244800940407E-3</v>
      </c>
      <c r="M56" s="497">
        <f t="shared" si="4"/>
        <v>0</v>
      </c>
      <c r="N56" s="444"/>
      <c r="O56" s="444">
        <f>('2014-15'!AJ56+'2014-15'!AN56+'2014-15 ExC'!BL56+'2014-15 ExC'!BM56)*O$75</f>
        <v>1045069.9214999999</v>
      </c>
      <c r="P56" s="444">
        <f t="shared" si="0"/>
        <v>0</v>
      </c>
      <c r="Q56" s="444">
        <f t="shared" si="5"/>
        <v>1045069.9214999999</v>
      </c>
      <c r="R56" s="497">
        <f>Q56/('2014-15'!AJ56+'2014-15'!AN56+'2014-15 ExC'!BL56+'2014-15 ExC'!BM56)</f>
        <v>1.4969999999999999E-2</v>
      </c>
      <c r="S56" s="444"/>
      <c r="T56" s="504">
        <f t="shared" si="1"/>
        <v>2115568.3148631728</v>
      </c>
      <c r="U56" s="504">
        <f>('2014-15'!AJ56+'2014-15'!AN56+'2014-15 ExC'!BL56+'2014-15 ExC'!BM56)*0.01</f>
        <v>698109.5</v>
      </c>
      <c r="V56" s="504">
        <f t="shared" si="6"/>
        <v>1417458.8148631728</v>
      </c>
      <c r="W56" s="504">
        <f t="shared" si="7"/>
        <v>1242122.2847935481</v>
      </c>
      <c r="X56" s="502">
        <f t="shared" si="8"/>
        <v>1940231.7847935481</v>
      </c>
      <c r="Y56" s="613">
        <f>X56/('2014-15'!AJ56+'2014-15'!AN56+'2014-15 ExC'!BL56+'2014-15 ExC'!BM56)</f>
        <v>2.7792656951288415E-2</v>
      </c>
      <c r="Z56" s="497">
        <f>E56/('2014-15'!AJ56+'2014-15'!AN56+'2014-15 ExC'!BL56+'2014-15 ExC'!BM56)</f>
        <v>0</v>
      </c>
      <c r="AA56" s="444"/>
      <c r="AB56" s="444"/>
    </row>
    <row r="57" spans="1:28" hidden="1">
      <c r="A57" s="444" t="s">
        <v>165</v>
      </c>
      <c r="B57" s="444"/>
      <c r="C57" s="444">
        <f>'2013-14'!S64+'2013-14'!T64+('2013-14 FTES'!DA64*'2013-14'!N64)</f>
        <v>3262077.3094777302</v>
      </c>
      <c r="D57" s="444">
        <f>'2014-15 ExC'!BM57+'2014-15 ExC'!BL57+('2014-15 ExC'!AF57*'2014-15'!F57)</f>
        <v>4625394.5698169274</v>
      </c>
      <c r="E57" s="444">
        <f>'2014-15 Rest'!CD64</f>
        <v>0</v>
      </c>
      <c r="F57" s="444"/>
      <c r="G57" s="497">
        <f>Demographics!B57/Demographics!B$74</f>
        <v>1.7199266027151314E-3</v>
      </c>
      <c r="H57" s="497">
        <f>Demographics!C57/Demographics!C$74</f>
        <v>2.6679641341612274E-3</v>
      </c>
      <c r="I57" s="497">
        <f>Demographics!D57/Demographics!D$74</f>
        <v>4.4501038650648691E-3</v>
      </c>
      <c r="J57" s="497">
        <f t="shared" si="2"/>
        <v>2.6394803011640898E-3</v>
      </c>
      <c r="K57" s="497">
        <f>('2014-15'!AJ57+'2014-15'!AN57+'2014-15 ExC'!BL57+'2014-15 ExC'!BM57)/('2014-15'!AJ$74+'2014-15'!AN$74+'2014-15 ExC'!BL$74+'2014-15 ExC'!BM$74)</f>
        <v>1.9930278571608333E-2</v>
      </c>
      <c r="L57" s="497">
        <f t="shared" si="3"/>
        <v>-1.7290798270444243E-2</v>
      </c>
      <c r="M57" s="497">
        <f t="shared" si="4"/>
        <v>0</v>
      </c>
      <c r="N57" s="444"/>
      <c r="O57" s="444">
        <f>('2014-15'!AJ57+'2014-15'!AN57+'2014-15 ExC'!BL57+'2014-15 ExC'!BM57)*O$75</f>
        <v>1545045.6012299999</v>
      </c>
      <c r="P57" s="444">
        <f t="shared" si="0"/>
        <v>0</v>
      </c>
      <c r="Q57" s="444">
        <f t="shared" si="5"/>
        <v>1545045.6012299999</v>
      </c>
      <c r="R57" s="497">
        <f>Q57/('2014-15'!AJ57+'2014-15'!AN57+'2014-15 ExC'!BL57+'2014-15 ExC'!BM57)</f>
        <v>1.4969999999999999E-2</v>
      </c>
      <c r="S57" s="444"/>
      <c r="T57" s="504">
        <f t="shared" si="1"/>
        <v>2744390.7704386646</v>
      </c>
      <c r="U57" s="504">
        <f>('2014-15'!AJ57+'2014-15'!AN57+'2014-15 ExC'!BL57+'2014-15 ExC'!BM57)*0.01</f>
        <v>1032094.59</v>
      </c>
      <c r="V57" s="504">
        <f t="shared" si="6"/>
        <v>1712296.1804386647</v>
      </c>
      <c r="W57" s="504">
        <f t="shared" si="7"/>
        <v>1500488.9183288526</v>
      </c>
      <c r="X57" s="502">
        <f t="shared" si="8"/>
        <v>2532583.5083288527</v>
      </c>
      <c r="Y57" s="613">
        <f>X57/('2014-15'!AJ57+'2014-15'!AN57+'2014-15 ExC'!BL57+'2014-15 ExC'!BM57)</f>
        <v>2.453828876604084E-2</v>
      </c>
      <c r="Z57" s="497">
        <f>E57/('2014-15'!AJ57+'2014-15'!AN57+'2014-15 ExC'!BL57+'2014-15 ExC'!BM57)</f>
        <v>0</v>
      </c>
      <c r="AA57" s="444"/>
      <c r="AB57" s="444"/>
    </row>
    <row r="58" spans="1:28" hidden="1">
      <c r="A58" s="444" t="s">
        <v>166</v>
      </c>
      <c r="B58" s="444"/>
      <c r="C58" s="444">
        <f>'2013-14'!S65+'2013-14'!T65+('2013-14 FTES'!DA65*'2013-14'!N65)</f>
        <v>4265007.0854957011</v>
      </c>
      <c r="D58" s="444">
        <f>'2014-15 ExC'!BM58+'2014-15 ExC'!BL58+('2014-15 ExC'!AF58*'2014-15'!F58)</f>
        <v>1507393.6960663099</v>
      </c>
      <c r="E58" s="444">
        <f>'2014-15 Rest'!CD65</f>
        <v>0</v>
      </c>
      <c r="F58" s="444"/>
      <c r="G58" s="497">
        <f>Demographics!B58/Demographics!B$74</f>
        <v>1.1943468734367276E-2</v>
      </c>
      <c r="H58" s="497">
        <f>Demographics!C58/Demographics!C$74</f>
        <v>1.2435881357811308E-2</v>
      </c>
      <c r="I58" s="497">
        <f>Demographics!D58/Demographics!D$74</f>
        <v>1.1363610299194081E-2</v>
      </c>
      <c r="J58" s="497">
        <f t="shared" si="2"/>
        <v>1.1921607281434985E-2</v>
      </c>
      <c r="K58" s="497">
        <f>('2014-15'!AJ58+'2014-15'!AN58+'2014-15 ExC'!BL58+'2014-15 ExC'!BM58)/('2014-15'!AJ$74+'2014-15'!AN$74+'2014-15 ExC'!BL$74+'2014-15 ExC'!BM$74)</f>
        <v>7.9089925756257989E-3</v>
      </c>
      <c r="L58" s="497">
        <f t="shared" si="3"/>
        <v>4.0126147058091866E-3</v>
      </c>
      <c r="M58" s="497">
        <f t="shared" si="4"/>
        <v>4.0126147058091866E-3</v>
      </c>
      <c r="N58" s="444"/>
      <c r="O58" s="444">
        <f>('2014-15'!AJ58+'2014-15'!AN58+'2014-15 ExC'!BL58+'2014-15 ExC'!BM58)*O$75</f>
        <v>613125.10736999998</v>
      </c>
      <c r="P58" s="444">
        <f t="shared" si="0"/>
        <v>1734043.6718831698</v>
      </c>
      <c r="Q58" s="444">
        <f t="shared" si="5"/>
        <v>2347168.7792531699</v>
      </c>
      <c r="R58" s="497">
        <f>Q58/('2014-15'!AJ58+'2014-15'!AN58+'2014-15 ExC'!BL58+'2014-15 ExC'!BM58)</f>
        <v>5.7308233186112056E-2</v>
      </c>
      <c r="S58" s="444"/>
      <c r="T58" s="504">
        <f t="shared" si="1"/>
        <v>2616684.5850170879</v>
      </c>
      <c r="U58" s="504">
        <f>('2014-15'!AJ58+'2014-15'!AN58+'2014-15 ExC'!BL58+'2014-15 ExC'!BM58)*0.01</f>
        <v>409569.21</v>
      </c>
      <c r="V58" s="504">
        <f t="shared" si="6"/>
        <v>2207115.3750170879</v>
      </c>
      <c r="W58" s="504">
        <f t="shared" si="7"/>
        <v>1934100.0695556935</v>
      </c>
      <c r="X58" s="502">
        <f t="shared" si="8"/>
        <v>2343669.2795556937</v>
      </c>
      <c r="Y58" s="613">
        <f>X58/('2014-15'!AJ58+'2014-15'!AN58+'2014-15 ExC'!BL58+'2014-15 ExC'!BM58)</f>
        <v>5.7222789758919958E-2</v>
      </c>
      <c r="Z58" s="497">
        <f>E58/('2014-15'!AJ58+'2014-15'!AN58+'2014-15 ExC'!BL58+'2014-15 ExC'!BM58)</f>
        <v>0</v>
      </c>
      <c r="AA58" s="444"/>
      <c r="AB58" s="444"/>
    </row>
    <row r="59" spans="1:28" hidden="1">
      <c r="A59" s="444" t="s">
        <v>167</v>
      </c>
      <c r="B59" s="444"/>
      <c r="C59" s="444">
        <f>'2013-14'!S66+'2013-14'!T66+('2013-14 FTES'!DA66*'2013-14'!N66)</f>
        <v>0</v>
      </c>
      <c r="D59" s="444">
        <f>'2014-15 ExC'!BM59+'2014-15 ExC'!BL59+('2014-15 ExC'!AF59*'2014-15'!F59)</f>
        <v>2292171</v>
      </c>
      <c r="E59" s="444">
        <f>'2014-15 Rest'!CD66</f>
        <v>1526018</v>
      </c>
      <c r="F59" s="444"/>
      <c r="G59" s="497">
        <f>Demographics!B59/Demographics!B$74</f>
        <v>8.1973234860413195E-3</v>
      </c>
      <c r="H59" s="497">
        <f>Demographics!C59/Demographics!C$74</f>
        <v>6.1325766905845755E-3</v>
      </c>
      <c r="I59" s="497">
        <f>Demographics!D59/Demographics!D$74</f>
        <v>1.1275303968738794E-2</v>
      </c>
      <c r="J59" s="497">
        <f t="shared" si="2"/>
        <v>8.4506319078515024E-3</v>
      </c>
      <c r="K59" s="497">
        <f>('2014-15'!AJ59+'2014-15'!AN59+'2014-15 ExC'!BL59+'2014-15 ExC'!BM59)/('2014-15'!AJ$74+'2014-15'!AN$74+'2014-15 ExC'!BL$74+'2014-15 ExC'!BM$74)</f>
        <v>6.1532569480701052E-3</v>
      </c>
      <c r="L59" s="497">
        <f t="shared" si="3"/>
        <v>2.2973749597813972E-3</v>
      </c>
      <c r="M59" s="497">
        <f t="shared" si="4"/>
        <v>2.2973749597813972E-3</v>
      </c>
      <c r="N59" s="444"/>
      <c r="O59" s="444">
        <f>('2014-15'!AJ59+'2014-15'!AN59+'2014-15 ExC'!BL59+'2014-15 ExC'!BM59)*O$75</f>
        <v>477016.04102999996</v>
      </c>
      <c r="P59" s="444">
        <f t="shared" si="0"/>
        <v>992806.13839758583</v>
      </c>
      <c r="Q59" s="444">
        <f t="shared" si="5"/>
        <v>1469822.1794275858</v>
      </c>
      <c r="R59" s="497">
        <f>Q59/('2014-15'!AJ59+'2014-15'!AN59+'2014-15 ExC'!BL59+'2014-15 ExC'!BM59)</f>
        <v>4.6126830407045273E-2</v>
      </c>
      <c r="S59" s="444"/>
      <c r="T59" s="504">
        <f t="shared" si="1"/>
        <v>0</v>
      </c>
      <c r="U59" s="504">
        <f>('2014-15'!AJ59+'2014-15'!AN59+'2014-15 ExC'!BL59+'2014-15 ExC'!BM59)*0.01</f>
        <v>318647.99</v>
      </c>
      <c r="V59" s="504">
        <f t="shared" si="6"/>
        <v>0</v>
      </c>
      <c r="W59" s="504">
        <f t="shared" si="7"/>
        <v>0</v>
      </c>
      <c r="X59" s="502">
        <f t="shared" si="8"/>
        <v>318647.99</v>
      </c>
      <c r="Y59" s="613">
        <f>X59/('2014-15'!AJ59+'2014-15'!AN59+'2014-15 ExC'!BL59+'2014-15 ExC'!BM59)</f>
        <v>0.01</v>
      </c>
      <c r="Z59" s="497">
        <f>E59/('2014-15'!AJ59+'2014-15'!AN59+'2014-15 ExC'!BL59+'2014-15 ExC'!BM59)</f>
        <v>4.7890400940548847E-2</v>
      </c>
      <c r="AA59" s="444"/>
      <c r="AB59" s="444"/>
    </row>
    <row r="60" spans="1:28" hidden="1">
      <c r="A60" s="444" t="s">
        <v>168</v>
      </c>
      <c r="B60" s="444"/>
      <c r="C60" s="444">
        <f>'2013-14'!S67+'2013-14'!T67+('2013-14 FTES'!DA67*'2013-14'!N67)</f>
        <v>0</v>
      </c>
      <c r="D60" s="444">
        <f>'2014-15 ExC'!BM60+'2014-15 ExC'!BL60+('2014-15 ExC'!AF60*'2014-15'!F60)</f>
        <v>6810786.3834240437</v>
      </c>
      <c r="E60" s="444">
        <f>'2014-15 Rest'!CD67</f>
        <v>0</v>
      </c>
      <c r="F60" s="444"/>
      <c r="G60" s="497">
        <f>Demographics!B60/Demographics!B$74</f>
        <v>1.2755545417714042E-2</v>
      </c>
      <c r="H60" s="497">
        <f>Demographics!C60/Demographics!C$74</f>
        <v>9.372398753697244E-3</v>
      </c>
      <c r="I60" s="497">
        <f>Demographics!D60/Demographics!D$74</f>
        <v>1.1676696379899185E-2</v>
      </c>
      <c r="J60" s="497">
        <f t="shared" si="2"/>
        <v>1.1640046492256129E-2</v>
      </c>
      <c r="K60" s="497">
        <f>('2014-15'!AJ60+'2014-15'!AN60+'2014-15 ExC'!BL60+'2014-15 ExC'!BM60)/('2014-15'!AJ$74+'2014-15'!AN$74+'2014-15 ExC'!BL$74+'2014-15 ExC'!BM$74)</f>
        <v>1.3158301507007144E-2</v>
      </c>
      <c r="L60" s="497">
        <f t="shared" si="3"/>
        <v>-1.5182550147510143E-3</v>
      </c>
      <c r="M60" s="497">
        <f t="shared" si="4"/>
        <v>0</v>
      </c>
      <c r="N60" s="444"/>
      <c r="O60" s="444">
        <f>('2014-15'!AJ60+'2014-15'!AN60+'2014-15 ExC'!BL60+'2014-15 ExC'!BM60)*O$75</f>
        <v>1020064.8119399999</v>
      </c>
      <c r="P60" s="444">
        <f t="shared" si="0"/>
        <v>0</v>
      </c>
      <c r="Q60" s="444">
        <f t="shared" si="5"/>
        <v>1020064.8119399999</v>
      </c>
      <c r="R60" s="497">
        <f>Q60/('2014-15'!AJ60+'2014-15'!AN60+'2014-15 ExC'!BL60+'2014-15 ExC'!BM60)</f>
        <v>1.4969999999999999E-2</v>
      </c>
      <c r="S60" s="444"/>
      <c r="T60" s="504">
        <f t="shared" si="1"/>
        <v>2212729.0018260106</v>
      </c>
      <c r="U60" s="504">
        <f>('2014-15'!AJ60+'2014-15'!AN60+'2014-15 ExC'!BL60+'2014-15 ExC'!BM60)*0.01</f>
        <v>681406.02</v>
      </c>
      <c r="V60" s="504">
        <f t="shared" si="6"/>
        <v>1531322.9818260106</v>
      </c>
      <c r="W60" s="504">
        <f t="shared" si="7"/>
        <v>1341901.7053600964</v>
      </c>
      <c r="X60" s="502">
        <f t="shared" si="8"/>
        <v>2023307.7253600964</v>
      </c>
      <c r="Y60" s="613">
        <f>X60/('2014-15'!AJ60+'2014-15'!AN60+'2014-15 ExC'!BL60+'2014-15 ExC'!BM60)</f>
        <v>2.9693129587556277E-2</v>
      </c>
      <c r="Z60" s="497">
        <f>E60/('2014-15'!AJ60+'2014-15'!AN60+'2014-15 ExC'!BL60+'2014-15 ExC'!BM60)</f>
        <v>0</v>
      </c>
      <c r="AA60" s="444"/>
      <c r="AB60" s="444"/>
    </row>
    <row r="61" spans="1:28" hidden="1">
      <c r="A61" s="444" t="s">
        <v>169</v>
      </c>
      <c r="B61" s="444"/>
      <c r="C61" s="444">
        <f>'2013-14'!S68+'2013-14'!T68+('2013-14 FTES'!DA68*'2013-14'!N68)</f>
        <v>0</v>
      </c>
      <c r="D61" s="444">
        <f>'2014-15 ExC'!BM61+'2014-15 ExC'!BL61+('2014-15 ExC'!AF61*'2014-15'!F61)</f>
        <v>317950</v>
      </c>
      <c r="E61" s="444">
        <f>'2014-15 Rest'!CD68</f>
        <v>799436</v>
      </c>
      <c r="F61" s="444"/>
      <c r="G61" s="497">
        <f>Demographics!B61/Demographics!B$74</f>
        <v>1.44423743838436E-3</v>
      </c>
      <c r="H61" s="497">
        <f>Demographics!C61/Demographics!C$74</f>
        <v>1.100218377159422E-3</v>
      </c>
      <c r="I61" s="497">
        <f>Demographics!D61/Demographics!D$74</f>
        <v>2.8166278908854868E-3</v>
      </c>
      <c r="J61" s="497">
        <f t="shared" si="2"/>
        <v>1.7013302862034074E-3</v>
      </c>
      <c r="K61" s="497">
        <f>('2014-15'!AJ61+'2014-15'!AN61+'2014-15 ExC'!BL61+'2014-15 ExC'!BM61)/('2014-15'!AJ$74+'2014-15'!AN$74+'2014-15 ExC'!BL$74+'2014-15 ExC'!BM$74)</f>
        <v>2.0159459824700987E-3</v>
      </c>
      <c r="L61" s="497">
        <f t="shared" si="3"/>
        <v>-3.146156962666913E-4</v>
      </c>
      <c r="M61" s="497">
        <f t="shared" si="4"/>
        <v>0</v>
      </c>
      <c r="N61" s="444"/>
      <c r="O61" s="444">
        <f>('2014-15'!AJ61+'2014-15'!AN61+'2014-15 ExC'!BL61+'2014-15 ExC'!BM61)*O$75</f>
        <v>156281.23116</v>
      </c>
      <c r="P61" s="444">
        <f t="shared" si="0"/>
        <v>0</v>
      </c>
      <c r="Q61" s="444">
        <f t="shared" si="5"/>
        <v>156281.23116</v>
      </c>
      <c r="R61" s="497">
        <f>Q61/('2014-15'!AJ61+'2014-15'!AN61+'2014-15 ExC'!BL61+'2014-15 ExC'!BM61)</f>
        <v>1.4969999999999999E-2</v>
      </c>
      <c r="S61" s="444"/>
      <c r="T61" s="504">
        <f t="shared" si="1"/>
        <v>0</v>
      </c>
      <c r="U61" s="504">
        <f>('2014-15'!AJ61+'2014-15'!AN61+'2014-15 ExC'!BL61+'2014-15 ExC'!BM61)*0.01</f>
        <v>104396.28</v>
      </c>
      <c r="V61" s="504">
        <f t="shared" si="6"/>
        <v>0</v>
      </c>
      <c r="W61" s="504">
        <f t="shared" si="7"/>
        <v>0</v>
      </c>
      <c r="X61" s="502">
        <f t="shared" si="8"/>
        <v>104396.28</v>
      </c>
      <c r="Y61" s="613">
        <f>X61/('2014-15'!AJ61+'2014-15'!AN61+'2014-15 ExC'!BL61+'2014-15 ExC'!BM61)</f>
        <v>0.01</v>
      </c>
      <c r="Z61" s="497">
        <f>E61/('2014-15'!AJ61+'2014-15'!AN61+'2014-15 ExC'!BL61+'2014-15 ExC'!BM61)</f>
        <v>7.6577058109733406E-2</v>
      </c>
      <c r="AA61" s="444"/>
      <c r="AB61" s="444"/>
    </row>
    <row r="62" spans="1:28" hidden="1">
      <c r="A62" s="444" t="s">
        <v>170</v>
      </c>
      <c r="B62" s="444"/>
      <c r="C62" s="444">
        <f>'2013-14'!S69+'2013-14'!T69+('2013-14 FTES'!DA69*'2013-14'!N69)</f>
        <v>5624551</v>
      </c>
      <c r="D62" s="444">
        <f>'2014-15 ExC'!BM62+'2014-15 ExC'!BL62+('2014-15 ExC'!AF62*'2014-15'!F62)</f>
        <v>0</v>
      </c>
      <c r="E62" s="444">
        <f>'2014-15 Rest'!CD69</f>
        <v>1506067</v>
      </c>
      <c r="F62" s="444"/>
      <c r="G62" s="497">
        <f>Demographics!B62/Demographics!B$74</f>
        <v>1.1879540669903868E-2</v>
      </c>
      <c r="H62" s="497">
        <f>Demographics!C62/Demographics!C$74</f>
        <v>1.0455259431097408E-2</v>
      </c>
      <c r="I62" s="497">
        <f>Demographics!D62/Demographics!D$74</f>
        <v>8.6329950678429631E-3</v>
      </c>
      <c r="J62" s="497">
        <f t="shared" si="2"/>
        <v>1.0711833959687026E-2</v>
      </c>
      <c r="K62" s="497">
        <f>('2014-15'!AJ62+'2014-15'!AN62+'2014-15 ExC'!BL62+'2014-15 ExC'!BM62)/('2014-15'!AJ$74+'2014-15'!AN$74+'2014-15 ExC'!BL$74+'2014-15 ExC'!BM$74)</f>
        <v>6.3581235801289625E-3</v>
      </c>
      <c r="L62" s="497">
        <f t="shared" si="3"/>
        <v>4.353710379558064E-3</v>
      </c>
      <c r="M62" s="497">
        <f t="shared" si="4"/>
        <v>4.353710379558064E-3</v>
      </c>
      <c r="N62" s="444"/>
      <c r="O62" s="444">
        <f>('2014-15'!AJ62+'2014-15'!AN62+'2014-15 ExC'!BL62+'2014-15 ExC'!BM62)*O$75</f>
        <v>492897.82048250863</v>
      </c>
      <c r="P62" s="444">
        <f t="shared" si="0"/>
        <v>1881447.5065236276</v>
      </c>
      <c r="Q62" s="444">
        <f t="shared" si="5"/>
        <v>2374345.3270061361</v>
      </c>
      <c r="R62" s="497">
        <f>Q62/('2014-15'!AJ62+'2014-15'!AN62+'2014-15 ExC'!BL62+'2014-15 ExC'!BM62)</f>
        <v>7.2112206766276818E-2</v>
      </c>
      <c r="S62" s="444"/>
      <c r="T62" s="504">
        <f t="shared" si="1"/>
        <v>1087243.413503068</v>
      </c>
      <c r="U62" s="504">
        <f>('2014-15'!AJ62+'2014-15'!AN62+'2014-15 ExC'!BL62+'2014-15 ExC'!BM62)*0.01</f>
        <v>329257.06111056026</v>
      </c>
      <c r="V62" s="504">
        <f t="shared" si="6"/>
        <v>757986.35239250772</v>
      </c>
      <c r="W62" s="504">
        <f t="shared" si="7"/>
        <v>664225.11187176406</v>
      </c>
      <c r="X62" s="502">
        <f t="shared" si="8"/>
        <v>993482.17298232438</v>
      </c>
      <c r="Y62" s="613">
        <f>X62/('2014-15'!AJ62+'2014-15'!AN62+'2014-15 ExC'!BL62+'2014-15 ExC'!BM62)</f>
        <v>3.0173450787399393E-2</v>
      </c>
      <c r="Z62" s="497">
        <f>E62/('2014-15'!AJ62+'2014-15'!AN62+'2014-15 ExC'!BL62+'2014-15 ExC'!BM62)</f>
        <v>4.574137286289761E-2</v>
      </c>
      <c r="AA62" s="444"/>
      <c r="AB62" s="444"/>
    </row>
    <row r="63" spans="1:28" hidden="1">
      <c r="A63" s="444" t="s">
        <v>171</v>
      </c>
      <c r="B63" s="444"/>
      <c r="C63" s="444">
        <f>'2013-14'!S70+'2013-14'!T70+('2013-14 FTES'!DA70*'2013-14'!N70)</f>
        <v>5994250.9680462629</v>
      </c>
      <c r="D63" s="444">
        <f>'2014-15 ExC'!BM63+'2014-15 ExC'!BL63+('2014-15 ExC'!AF63*'2014-15'!F63)</f>
        <v>0</v>
      </c>
      <c r="E63" s="444">
        <f>'2014-15 Rest'!CD70</f>
        <v>0</v>
      </c>
      <c r="F63" s="444"/>
      <c r="G63" s="497">
        <f>Demographics!B63/Demographics!B$74</f>
        <v>1.3098708328584304E-2</v>
      </c>
      <c r="H63" s="497">
        <f>Demographics!C63/Demographics!C$74</f>
        <v>1.0133084782799905E-2</v>
      </c>
      <c r="I63" s="497">
        <f>Demographics!D63/Demographics!D$74</f>
        <v>1.3182491339480882E-2</v>
      </c>
      <c r="J63" s="497">
        <f t="shared" si="2"/>
        <v>1.237824819486235E-2</v>
      </c>
      <c r="K63" s="497">
        <f>('2014-15'!AJ63+'2014-15'!AN63+'2014-15 ExC'!BL63+'2014-15 ExC'!BM63)/('2014-15'!AJ$74+'2014-15'!AN$74+'2014-15 ExC'!BL$74+'2014-15 ExC'!BM$74)</f>
        <v>1.5931530416445083E-2</v>
      </c>
      <c r="L63" s="497">
        <f t="shared" si="3"/>
        <v>-3.5532822215827327E-3</v>
      </c>
      <c r="M63" s="497">
        <f t="shared" si="4"/>
        <v>0</v>
      </c>
      <c r="N63" s="444"/>
      <c r="O63" s="444">
        <f>('2014-15'!AJ63+'2014-15'!AN63+'2014-15 ExC'!BL63+'2014-15 ExC'!BM63)*O$75</f>
        <v>1235052.5308690679</v>
      </c>
      <c r="P63" s="444">
        <f t="shared" si="0"/>
        <v>0</v>
      </c>
      <c r="Q63" s="444">
        <f t="shared" si="5"/>
        <v>1235052.5308690679</v>
      </c>
      <c r="R63" s="497">
        <f>Q63/('2014-15'!AJ63+'2014-15'!AN63+'2014-15 ExC'!BL63+'2014-15 ExC'!BM63)</f>
        <v>1.4970000000000001E-2</v>
      </c>
      <c r="S63" s="444"/>
      <c r="T63" s="504">
        <f t="shared" si="1"/>
        <v>2116089.0074460995</v>
      </c>
      <c r="U63" s="504">
        <f>('2014-15'!AJ63+'2014-15'!AN63+'2014-15 ExC'!BL63+'2014-15 ExC'!BM63)*0.01</f>
        <v>825018.39069410018</v>
      </c>
      <c r="V63" s="504">
        <f t="shared" si="6"/>
        <v>1291070.6167519994</v>
      </c>
      <c r="W63" s="504">
        <f t="shared" si="7"/>
        <v>1131368.0281177063</v>
      </c>
      <c r="X63" s="502">
        <f t="shared" si="8"/>
        <v>1956386.4188118065</v>
      </c>
      <c r="Y63" s="613">
        <f>X63/('2014-15'!AJ63+'2014-15'!AN63+'2014-15 ExC'!BL63+'2014-15 ExC'!BM63)</f>
        <v>2.3713246163711208E-2</v>
      </c>
      <c r="Z63" s="497">
        <f>E63/('2014-15'!AJ63+'2014-15'!AN63+'2014-15 ExC'!BL63+'2014-15 ExC'!BM63)</f>
        <v>0</v>
      </c>
      <c r="AA63" s="444"/>
      <c r="AB63" s="444"/>
    </row>
    <row r="64" spans="1:28" hidden="1">
      <c r="A64" s="444" t="s">
        <v>172</v>
      </c>
      <c r="B64" s="444"/>
      <c r="C64" s="444">
        <f>'2013-14'!S71+'2013-14'!T71+('2013-14 FTES'!DA71*'2013-14'!N71)</f>
        <v>0</v>
      </c>
      <c r="D64" s="444">
        <f>'2014-15 ExC'!BM64+'2014-15 ExC'!BL64+('2014-15 ExC'!AF64*'2014-15'!F64)</f>
        <v>14421919.425507184</v>
      </c>
      <c r="E64" s="444">
        <f>'2014-15 Rest'!CD71</f>
        <v>1888676</v>
      </c>
      <c r="F64" s="444"/>
      <c r="G64" s="497">
        <f>Demographics!B64/Demographics!B$74</f>
        <v>1.6784299763814656E-2</v>
      </c>
      <c r="H64" s="497">
        <f>Demographics!C64/Demographics!C$74</f>
        <v>1.8282838276495249E-2</v>
      </c>
      <c r="I64" s="497">
        <f>Demographics!D64/Demographics!D$74</f>
        <v>1.4445157181445425E-2</v>
      </c>
      <c r="J64" s="497">
        <f t="shared" si="2"/>
        <v>1.6574148746392497E-2</v>
      </c>
      <c r="K64" s="497">
        <f>('2014-15'!AJ64+'2014-15'!AN64+'2014-15 ExC'!BL64+'2014-15 ExC'!BM64)/('2014-15'!AJ$74+'2014-15'!AN$74+'2014-15 ExC'!BL$74+'2014-15 ExC'!BM$74)</f>
        <v>2.5042586926659827E-2</v>
      </c>
      <c r="L64" s="497">
        <f t="shared" si="3"/>
        <v>-8.4684381802673306E-3</v>
      </c>
      <c r="M64" s="497">
        <f t="shared" si="4"/>
        <v>0</v>
      </c>
      <c r="N64" s="444"/>
      <c r="O64" s="444">
        <f>('2014-15'!AJ64+'2014-15'!AN64+'2014-15 ExC'!BL64+'2014-15 ExC'!BM64)*O$75</f>
        <v>1941364.6746299998</v>
      </c>
      <c r="P64" s="444">
        <f t="shared" si="0"/>
        <v>0</v>
      </c>
      <c r="Q64" s="444">
        <f t="shared" si="5"/>
        <v>1941364.6746299998</v>
      </c>
      <c r="R64" s="497">
        <f>Q64/('2014-15'!AJ64+'2014-15'!AN64+'2014-15 ExC'!BL64+'2014-15 ExC'!BM64)</f>
        <v>1.4969999999999999E-2</v>
      </c>
      <c r="S64" s="444"/>
      <c r="T64" s="504">
        <f t="shared" si="1"/>
        <v>2687486.1936917957</v>
      </c>
      <c r="U64" s="504">
        <f>('2014-15'!AJ64+'2014-15'!AN64+'2014-15 ExC'!BL64+'2014-15 ExC'!BM64)*0.01</f>
        <v>1296836.79</v>
      </c>
      <c r="V64" s="504">
        <f t="shared" si="6"/>
        <v>1390649.4036917957</v>
      </c>
      <c r="W64" s="504">
        <f t="shared" si="7"/>
        <v>1218629.1386724911</v>
      </c>
      <c r="X64" s="502">
        <f t="shared" si="8"/>
        <v>2515465.9286724911</v>
      </c>
      <c r="Y64" s="613">
        <f>X64/('2014-15'!AJ64+'2014-15'!AN64+'2014-15 ExC'!BL64+'2014-15 ExC'!BM64)</f>
        <v>1.9396935281829036E-2</v>
      </c>
      <c r="Z64" s="497">
        <f>E64/('2014-15'!AJ64+'2014-15'!AN64+'2014-15 ExC'!BL64+'2014-15 ExC'!BM64)</f>
        <v>1.4563713911910225E-2</v>
      </c>
      <c r="AA64" s="444"/>
      <c r="AB64" s="444"/>
    </row>
    <row r="65" spans="1:28" hidden="1">
      <c r="A65" s="444" t="s">
        <v>173</v>
      </c>
      <c r="B65" s="444"/>
      <c r="C65" s="444">
        <f>'2013-14'!S72+'2013-14'!T72+('2013-14 FTES'!DA72*'2013-14'!N72)</f>
        <v>1092914.6302491666</v>
      </c>
      <c r="D65" s="444">
        <f>'2014-15 ExC'!BM65+'2014-15 ExC'!BL65+('2014-15 ExC'!AF65*'2014-15'!F65)</f>
        <v>2090520.5464374044</v>
      </c>
      <c r="E65" s="444">
        <f>'2014-15 Rest'!CD72</f>
        <v>0</v>
      </c>
      <c r="F65" s="444"/>
      <c r="G65" s="497">
        <f>Demographics!B65/Demographics!B$74</f>
        <v>1.3416802100158189E-2</v>
      </c>
      <c r="H65" s="497">
        <f>Demographics!C65/Demographics!C$74</f>
        <v>1.264622228609444E-2</v>
      </c>
      <c r="I65" s="497">
        <f>Demographics!D65/Demographics!D$74</f>
        <v>1.1478293845239906E-2</v>
      </c>
      <c r="J65" s="497">
        <f t="shared" si="2"/>
        <v>1.2739530082912681E-2</v>
      </c>
      <c r="K65" s="497">
        <f>('2014-15'!AJ65+'2014-15'!AN65+'2014-15 ExC'!BL65+'2014-15 ExC'!BM65)/('2014-15'!AJ$74+'2014-15'!AN$74+'2014-15 ExC'!BL$74+'2014-15 ExC'!BM$74)</f>
        <v>1.374143446763924E-2</v>
      </c>
      <c r="L65" s="497">
        <f t="shared" si="3"/>
        <v>-1.0019043847265593E-3</v>
      </c>
      <c r="M65" s="497">
        <f t="shared" si="4"/>
        <v>0</v>
      </c>
      <c r="N65" s="444"/>
      <c r="O65" s="444">
        <f>('2014-15'!AJ65+'2014-15'!AN65+'2014-15 ExC'!BL65+'2014-15 ExC'!BM65)*O$75</f>
        <v>1065270.7538699999</v>
      </c>
      <c r="P65" s="444">
        <f t="shared" si="0"/>
        <v>0</v>
      </c>
      <c r="Q65" s="444">
        <f t="shared" si="5"/>
        <v>1065270.7538699999</v>
      </c>
      <c r="R65" s="497">
        <f>Q65/('2014-15'!AJ65+'2014-15'!AN65+'2014-15 ExC'!BL65+'2014-15 ExC'!BM65)</f>
        <v>1.4969999999999999E-2</v>
      </c>
      <c r="S65" s="444"/>
      <c r="T65" s="504">
        <f t="shared" si="1"/>
        <v>1328494.1711066426</v>
      </c>
      <c r="U65" s="504">
        <f>('2014-15'!AJ65+'2014-15'!AN65+'2014-15 ExC'!BL65+'2014-15 ExC'!BM65)*0.01</f>
        <v>711603.71</v>
      </c>
      <c r="V65" s="504">
        <f t="shared" si="6"/>
        <v>616890.46110664262</v>
      </c>
      <c r="W65" s="504">
        <f t="shared" si="7"/>
        <v>540582.47123821697</v>
      </c>
      <c r="X65" s="502">
        <f t="shared" si="8"/>
        <v>1252186.1812382168</v>
      </c>
      <c r="Y65" s="613">
        <f>X65/('2014-15'!AJ65+'2014-15'!AN65+'2014-15 ExC'!BL65+'2014-15 ExC'!BM65)</f>
        <v>1.7596678651917327E-2</v>
      </c>
      <c r="Z65" s="497">
        <f>E65/('2014-15'!AJ65+'2014-15'!AN65+'2014-15 ExC'!BL65+'2014-15 ExC'!BM65)</f>
        <v>0</v>
      </c>
      <c r="AA65" s="444"/>
      <c r="AB65" s="444"/>
    </row>
    <row r="66" spans="1:28" hidden="1">
      <c r="A66" s="444" t="s">
        <v>174</v>
      </c>
      <c r="B66" s="444"/>
      <c r="C66" s="444">
        <f>'2013-14'!S73+'2013-14'!T73+('2013-14 FTES'!DA73*'2013-14'!N73)</f>
        <v>3380611.7914890633</v>
      </c>
      <c r="D66" s="444">
        <f>'2014-15 ExC'!BM66+'2014-15 ExC'!BL66+('2014-15 ExC'!AF66*'2014-15'!F66)</f>
        <v>8731002.4548548535</v>
      </c>
      <c r="E66" s="444">
        <f>'2014-15 Rest'!CD73</f>
        <v>0</v>
      </c>
      <c r="F66" s="444"/>
      <c r="G66" s="497">
        <f>Demographics!B66/Demographics!B$74</f>
        <v>2.9776108106248471E-2</v>
      </c>
      <c r="H66" s="497">
        <f>Demographics!C66/Demographics!C$74</f>
        <v>3.1134108380328686E-2</v>
      </c>
      <c r="I66" s="497">
        <f>Demographics!D66/Demographics!D$74</f>
        <v>3.2762795434371578E-2</v>
      </c>
      <c r="J66" s="497">
        <f t="shared" si="2"/>
        <v>3.0862280006799303E-2</v>
      </c>
      <c r="K66" s="497">
        <f>('2014-15'!AJ66+'2014-15'!AN66+'2014-15 ExC'!BL66+'2014-15 ExC'!BM66)/('2014-15'!AJ$74+'2014-15'!AN$74+'2014-15 ExC'!BL$74+'2014-15 ExC'!BM$74)</f>
        <v>2.4522320507849818E-2</v>
      </c>
      <c r="L66" s="497">
        <f t="shared" si="3"/>
        <v>6.3399594989494851E-3</v>
      </c>
      <c r="M66" s="497">
        <f t="shared" si="4"/>
        <v>6.3399594989494851E-3</v>
      </c>
      <c r="N66" s="444"/>
      <c r="O66" s="444">
        <f>('2014-15'!AJ66+'2014-15'!AN66+'2014-15 ExC'!BL66+'2014-15 ExC'!BM66)*O$75</f>
        <v>1901032.3060199998</v>
      </c>
      <c r="P66" s="444">
        <f t="shared" ref="P66:P72" si="9">M66/M$74*P$74</f>
        <v>2739801.2157092802</v>
      </c>
      <c r="Q66" s="444">
        <f t="shared" si="5"/>
        <v>4640833.5217292802</v>
      </c>
      <c r="R66" s="497">
        <f>Q66/('2014-15'!AJ66+'2014-15'!AN66+'2014-15 ExC'!BL66+'2014-15 ExC'!BM66)</f>
        <v>3.6545027457074906E-2</v>
      </c>
      <c r="S66" s="444"/>
      <c r="T66" s="504">
        <f t="shared" ref="T66:T72" si="10">IF((C66*C$75)+(D66*D$75)+(Q66*Q$75)-E66&lt;0,0,(C66*C$75)+(D66*D$75)+(Q66*Q$75)-E66)</f>
        <v>5348320.3224506192</v>
      </c>
      <c r="U66" s="504">
        <f>('2014-15'!AJ66+'2014-15'!AN66+'2014-15 ExC'!BL66+'2014-15 ExC'!BM66)*0.01</f>
        <v>1269894.6599999999</v>
      </c>
      <c r="V66" s="504">
        <f t="shared" si="6"/>
        <v>4078425.662450619</v>
      </c>
      <c r="W66" s="504">
        <f t="shared" si="7"/>
        <v>3573933.4004514366</v>
      </c>
      <c r="X66" s="502">
        <f t="shared" si="8"/>
        <v>4843828.0604514368</v>
      </c>
      <c r="Y66" s="613">
        <f>X66/('2014-15'!AJ66+'2014-15'!AN66+'2014-15 ExC'!BL66+'2014-15 ExC'!BM66)</f>
        <v>3.8143542240357452E-2</v>
      </c>
      <c r="Z66" s="497">
        <f>E66/('2014-15'!AJ66+'2014-15'!AN66+'2014-15 ExC'!BL66+'2014-15 ExC'!BM66)</f>
        <v>0</v>
      </c>
      <c r="AA66" s="444"/>
      <c r="AB66" s="444"/>
    </row>
    <row r="67" spans="1:28" hidden="1">
      <c r="A67" s="444" t="s">
        <v>175</v>
      </c>
      <c r="B67" s="444"/>
      <c r="C67" s="444">
        <f>'2013-14'!S74+'2013-14'!T74+('2013-14 FTES'!DA74*'2013-14'!N74)</f>
        <v>2074079.3925749436</v>
      </c>
      <c r="D67" s="444">
        <f>'2014-15 ExC'!BM67+'2014-15 ExC'!BL67+('2014-15 ExC'!AF67*'2014-15'!F67)</f>
        <v>5622389.5277337693</v>
      </c>
      <c r="E67" s="444">
        <f>'2014-15 Rest'!CD74</f>
        <v>0</v>
      </c>
      <c r="F67" s="444"/>
      <c r="G67" s="497">
        <f>Demographics!B67/Demographics!B$74</f>
        <v>2.1605106437687895E-2</v>
      </c>
      <c r="H67" s="497">
        <f>Demographics!C67/Demographics!C$74</f>
        <v>1.8627976745117389E-2</v>
      </c>
      <c r="I67" s="497">
        <f>Demographics!D67/Demographics!D$74</f>
        <v>1.4786914148661987E-2</v>
      </c>
      <c r="J67" s="497">
        <f t="shared" ref="J67:J73" si="11">(G67*G$75)+(H67*H$75)+(I67*I$75)</f>
        <v>1.9156275942288793E-2</v>
      </c>
      <c r="K67" s="497">
        <f>('2014-15'!AJ67+'2014-15'!AN67+'2014-15 ExC'!BL67+'2014-15 ExC'!BM67)/('2014-15'!AJ$74+'2014-15'!AN$74+'2014-15 ExC'!BL$74+'2014-15 ExC'!BM$74)</f>
        <v>2.358599918435576E-2</v>
      </c>
      <c r="L67" s="497">
        <f t="shared" ref="L67:L73" si="12">J67-K67</f>
        <v>-4.4297232420669672E-3</v>
      </c>
      <c r="M67" s="497">
        <f t="shared" ref="M67:M73" si="13">IF(L67&gt;0,L67,0)</f>
        <v>0</v>
      </c>
      <c r="N67" s="444"/>
      <c r="O67" s="444">
        <f>('2014-15'!AJ67+'2014-15'!AN67+'2014-15 ExC'!BL67+'2014-15 ExC'!BM67)*O$75</f>
        <v>1828446.3089399999</v>
      </c>
      <c r="P67" s="444">
        <f t="shared" si="9"/>
        <v>0</v>
      </c>
      <c r="Q67" s="444">
        <f t="shared" ref="Q67:Q73" si="14">O67+P67</f>
        <v>1828446.3089399999</v>
      </c>
      <c r="R67" s="497">
        <f>Q67/('2014-15'!AJ67+'2014-15'!AN67+'2014-15 ExC'!BL67+'2014-15 ExC'!BM67)</f>
        <v>1.4969999999999999E-2</v>
      </c>
      <c r="S67" s="444"/>
      <c r="T67" s="504">
        <f t="shared" si="10"/>
        <v>2838340.3845471782</v>
      </c>
      <c r="U67" s="504">
        <f>('2014-15'!AJ67+'2014-15'!AN67+'2014-15 ExC'!BL67+'2014-15 ExC'!BM67)*0.01</f>
        <v>1221407.02</v>
      </c>
      <c r="V67" s="504">
        <f t="shared" ref="V67:V73" si="15">IF((T67-U67)&lt;0,0,T67-U67)</f>
        <v>1616933.3645471781</v>
      </c>
      <c r="W67" s="504">
        <f t="shared" ref="W67:W73" si="16">V67/V$74*(Q$74-U$74)</f>
        <v>1416922.2724994188</v>
      </c>
      <c r="X67" s="502">
        <f t="shared" ref="X67:X73" si="17">U67+W67</f>
        <v>2638329.2924994188</v>
      </c>
      <c r="Y67" s="613">
        <f>X67/('2014-15'!AJ67+'2014-15'!AN67+'2014-15 ExC'!BL67+'2014-15 ExC'!BM67)</f>
        <v>2.1600737913717073E-2</v>
      </c>
      <c r="Z67" s="497">
        <f>E67/('2014-15'!AJ67+'2014-15'!AN67+'2014-15 ExC'!BL67+'2014-15 ExC'!BM67)</f>
        <v>0</v>
      </c>
      <c r="AA67" s="444"/>
      <c r="AB67" s="444"/>
    </row>
    <row r="68" spans="1:28" hidden="1">
      <c r="A68" s="444" t="s">
        <v>176</v>
      </c>
      <c r="B68" s="444"/>
      <c r="C68" s="444">
        <f>'2013-14'!S75+'2013-14'!T75+('2013-14 FTES'!DA75*'2013-14'!N75)</f>
        <v>1675024.7237397297</v>
      </c>
      <c r="D68" s="444">
        <f>'2014-15 ExC'!BM68+'2014-15 ExC'!BL68+('2014-15 ExC'!AF68*'2014-15'!F68)</f>
        <v>515695.87375061761</v>
      </c>
      <c r="E68" s="444">
        <f>'2014-15 Rest'!CD75</f>
        <v>0</v>
      </c>
      <c r="F68" s="444"/>
      <c r="G68" s="497">
        <f>Demographics!B68/Demographics!B$74</f>
        <v>1.2078663301820882E-2</v>
      </c>
      <c r="H68" s="497">
        <f>Demographics!C68/Demographics!C$74</f>
        <v>1.4852307597088108E-2</v>
      </c>
      <c r="I68" s="497">
        <f>Demographics!D68/Demographics!D$74</f>
        <v>1.1319265994723028E-2</v>
      </c>
      <c r="J68" s="497">
        <f t="shared" si="11"/>
        <v>1.2582225048863225E-2</v>
      </c>
      <c r="K68" s="497">
        <f>('2014-15'!AJ68+'2014-15'!AN68+'2014-15 ExC'!BL68+'2014-15 ExC'!BM68)/('2014-15'!AJ$74+'2014-15'!AN$74+'2014-15 ExC'!BL$74+'2014-15 ExC'!BM$74)</f>
        <v>8.332533780956615E-3</v>
      </c>
      <c r="L68" s="497">
        <f t="shared" si="12"/>
        <v>4.24969126790661E-3</v>
      </c>
      <c r="M68" s="497">
        <f t="shared" si="13"/>
        <v>4.24969126790661E-3</v>
      </c>
      <c r="N68" s="444"/>
      <c r="O68" s="444">
        <f>('2014-15'!AJ68+'2014-15'!AN68+'2014-15 ExC'!BL68+'2014-15 ExC'!BM68)*O$75</f>
        <v>645959.09279999998</v>
      </c>
      <c r="P68" s="444">
        <f t="shared" si="9"/>
        <v>1836495.8489291468</v>
      </c>
      <c r="Q68" s="444">
        <f t="shared" si="14"/>
        <v>2482454.941729147</v>
      </c>
      <c r="R68" s="497">
        <f>Q68/('2014-15'!AJ68+'2014-15'!AN68+'2014-15 ExC'!BL68+'2014-15 ExC'!BM68)</f>
        <v>5.7530501376797605E-2</v>
      </c>
      <c r="S68" s="444"/>
      <c r="T68" s="504">
        <f t="shared" si="10"/>
        <v>1788907.6202371605</v>
      </c>
      <c r="U68" s="504">
        <f>('2014-15'!AJ68+'2014-15'!AN68+'2014-15 ExC'!BL68+'2014-15 ExC'!BM68)*0.01</f>
        <v>431502.4</v>
      </c>
      <c r="V68" s="504">
        <f t="shared" si="15"/>
        <v>1357405.2202371606</v>
      </c>
      <c r="W68" s="504">
        <f t="shared" si="16"/>
        <v>1189497.1874117039</v>
      </c>
      <c r="X68" s="502">
        <f t="shared" si="17"/>
        <v>1620999.587411704</v>
      </c>
      <c r="Y68" s="613">
        <f>X68/('2014-15'!AJ68+'2014-15'!AN68+'2014-15 ExC'!BL68+'2014-15 ExC'!BM68)</f>
        <v>3.7566409535884485E-2</v>
      </c>
      <c r="Z68" s="497">
        <f>E68/('2014-15'!AJ68+'2014-15'!AN68+'2014-15 ExC'!BL68+'2014-15 ExC'!BM68)</f>
        <v>0</v>
      </c>
      <c r="AA68" s="444"/>
      <c r="AB68" s="444"/>
    </row>
    <row r="69" spans="1:28" hidden="1">
      <c r="A69" s="444" t="s">
        <v>177</v>
      </c>
      <c r="B69" s="444"/>
      <c r="C69" s="444">
        <f>'2013-14'!S76+'2013-14'!T76+('2013-14 FTES'!DA76*'2013-14'!N76)</f>
        <v>1871960.0906156695</v>
      </c>
      <c r="D69" s="444">
        <f>'2014-15 ExC'!BM69+'2014-15 ExC'!BL69+('2014-15 ExC'!AF69*'2014-15'!F69)</f>
        <v>904667.0888421539</v>
      </c>
      <c r="E69" s="444">
        <f>'2014-15 Rest'!CD76</f>
        <v>0</v>
      </c>
      <c r="F69" s="444"/>
      <c r="G69" s="497">
        <f>Demographics!B69/Demographics!B$74</f>
        <v>3.7304116726634175E-3</v>
      </c>
      <c r="H69" s="497">
        <f>Demographics!C69/Demographics!C$74</f>
        <v>3.0418089646912995E-3</v>
      </c>
      <c r="I69" s="497">
        <f>Demographics!D69/Demographics!D$74</f>
        <v>3.2390456188209462E-3</v>
      </c>
      <c r="J69" s="497">
        <f t="shared" si="11"/>
        <v>3.4354194822097698E-3</v>
      </c>
      <c r="K69" s="497">
        <f>('2014-15'!AJ69+'2014-15'!AN69+'2014-15 ExC'!BL69+'2014-15 ExC'!BM69)/('2014-15'!AJ$74+'2014-15'!AN$74+'2014-15 ExC'!BL$74+'2014-15 ExC'!BM$74)</f>
        <v>4.4372606234549467E-3</v>
      </c>
      <c r="L69" s="497">
        <f t="shared" si="12"/>
        <v>-1.0018411412451769E-3</v>
      </c>
      <c r="M69" s="497">
        <f t="shared" si="13"/>
        <v>0</v>
      </c>
      <c r="N69" s="444"/>
      <c r="O69" s="444">
        <f>('2014-15'!AJ69+'2014-15'!AN69+'2014-15 ExC'!BL69+'2014-15 ExC'!BM69)*O$75</f>
        <v>343987.66595999995</v>
      </c>
      <c r="P69" s="444">
        <f t="shared" si="9"/>
        <v>0</v>
      </c>
      <c r="Q69" s="444">
        <f t="shared" si="14"/>
        <v>343987.66595999995</v>
      </c>
      <c r="R69" s="497">
        <f>Q69/('2014-15'!AJ69+'2014-15'!AN69+'2014-15 ExC'!BL69+'2014-15 ExC'!BM69)</f>
        <v>1.4969999999999997E-2</v>
      </c>
      <c r="S69" s="444"/>
      <c r="T69" s="504">
        <f t="shared" si="10"/>
        <v>866150.62784445577</v>
      </c>
      <c r="U69" s="504">
        <f>('2014-15'!AJ69+'2014-15'!AN69+'2014-15 ExC'!BL69+'2014-15 ExC'!BM69)*0.01</f>
        <v>229784.68</v>
      </c>
      <c r="V69" s="504">
        <f t="shared" si="15"/>
        <v>636365.94784445572</v>
      </c>
      <c r="W69" s="504">
        <f t="shared" si="16"/>
        <v>557648.88320770627</v>
      </c>
      <c r="X69" s="502">
        <f t="shared" si="17"/>
        <v>787433.5632077062</v>
      </c>
      <c r="Y69" s="613">
        <f>X69/('2014-15'!AJ69+'2014-15'!AN69+'2014-15 ExC'!BL69+'2014-15 ExC'!BM69)</f>
        <v>3.4268322988621619E-2</v>
      </c>
      <c r="Z69" s="497">
        <f>E69/('2014-15'!AJ69+'2014-15'!AN69+'2014-15 ExC'!BL69+'2014-15 ExC'!BM69)</f>
        <v>0</v>
      </c>
      <c r="AA69" s="444"/>
      <c r="AB69" s="444"/>
    </row>
    <row r="70" spans="1:28" hidden="1">
      <c r="A70" s="444" t="s">
        <v>178</v>
      </c>
      <c r="B70" s="444"/>
      <c r="C70" s="444">
        <f>'2013-14'!S77+'2013-14'!T77+('2013-14 FTES'!DA77*'2013-14'!N77)</f>
        <v>57243.060974417684</v>
      </c>
      <c r="D70" s="444">
        <f>'2014-15 ExC'!BM70+'2014-15 ExC'!BL70+('2014-15 ExC'!AF70*'2014-15'!F70)</f>
        <v>45538.147472785371</v>
      </c>
      <c r="E70" s="444">
        <f>'2014-15 Rest'!CD77</f>
        <v>0</v>
      </c>
      <c r="F70" s="444"/>
      <c r="G70" s="497">
        <f>Demographics!B70/Demographics!B$74</f>
        <v>7.5328268666927068E-4</v>
      </c>
      <c r="H70" s="497">
        <f>Demographics!C70/Demographics!C$74</f>
        <v>6.3653452089928141E-4</v>
      </c>
      <c r="I70" s="497">
        <f>Demographics!D70/Demographics!D$74</f>
        <v>8.2457469606948906E-4</v>
      </c>
      <c r="J70" s="497">
        <f t="shared" si="11"/>
        <v>7.4191864757682793E-4</v>
      </c>
      <c r="K70" s="497">
        <f>('2014-15'!AJ70+'2014-15'!AN70+'2014-15 ExC'!BL70+'2014-15 ExC'!BM70)/('2014-15'!AJ$74+'2014-15'!AN$74+'2014-15 ExC'!BL$74+'2014-15 ExC'!BM$74)</f>
        <v>3.0813588744630733E-3</v>
      </c>
      <c r="L70" s="497">
        <f t="shared" si="12"/>
        <v>-2.3394402268862454E-3</v>
      </c>
      <c r="M70" s="497">
        <f t="shared" si="13"/>
        <v>0</v>
      </c>
      <c r="N70" s="444"/>
      <c r="O70" s="444">
        <f>('2014-15'!AJ70+'2014-15'!AN70+'2014-15 ExC'!BL70+'2014-15 ExC'!BM70)*O$75</f>
        <v>238874.73311999999</v>
      </c>
      <c r="P70" s="444">
        <f t="shared" si="9"/>
        <v>0</v>
      </c>
      <c r="Q70" s="444">
        <f t="shared" si="14"/>
        <v>238874.73311999999</v>
      </c>
      <c r="R70" s="497">
        <f>Q70/('2014-15'!AJ70+'2014-15'!AN70+'2014-15 ExC'!BL70+'2014-15 ExC'!BM70)</f>
        <v>1.4969999999999999E-2</v>
      </c>
      <c r="S70" s="444"/>
      <c r="T70" s="504">
        <f t="shared" si="10"/>
        <v>145132.66867180075</v>
      </c>
      <c r="U70" s="504">
        <f>('2014-15'!AJ70+'2014-15'!AN70+'2014-15 ExC'!BL70+'2014-15 ExC'!BM70)*0.01</f>
        <v>159568.95999999999</v>
      </c>
      <c r="V70" s="504">
        <f t="shared" si="15"/>
        <v>0</v>
      </c>
      <c r="W70" s="504">
        <f t="shared" si="16"/>
        <v>0</v>
      </c>
      <c r="X70" s="502">
        <f t="shared" si="17"/>
        <v>159568.95999999999</v>
      </c>
      <c r="Y70" s="613">
        <f>X70/('2014-15'!AJ70+'2014-15'!AN70+'2014-15 ExC'!BL70+'2014-15 ExC'!BM70)</f>
        <v>0.01</v>
      </c>
      <c r="Z70" s="497">
        <f>E70/('2014-15'!AJ70+'2014-15'!AN70+'2014-15 ExC'!BL70+'2014-15 ExC'!BM70)</f>
        <v>0</v>
      </c>
      <c r="AA70" s="444"/>
      <c r="AB70" s="444"/>
    </row>
    <row r="71" spans="1:28" hidden="1">
      <c r="A71" s="444" t="s">
        <v>179</v>
      </c>
      <c r="B71" s="444"/>
      <c r="C71" s="444">
        <f>'2013-14'!S78+'2013-14'!T78+('2013-14 FTES'!DA78*'2013-14'!N78)</f>
        <v>0</v>
      </c>
      <c r="D71" s="444">
        <f>'2014-15 ExC'!BM71+'2014-15 ExC'!BL71+('2014-15 ExC'!AF71*'2014-15'!F71)</f>
        <v>21769</v>
      </c>
      <c r="E71" s="444">
        <f>'2014-15 Rest'!CD78</f>
        <v>8410002</v>
      </c>
      <c r="F71" s="444"/>
      <c r="G71" s="497">
        <f>Demographics!B71/Demographics!B$74</f>
        <v>8.0512066304018002E-3</v>
      </c>
      <c r="H71" s="497">
        <f>Demographics!C71/Demographics!C$74</f>
        <v>8.7992685059690399E-3</v>
      </c>
      <c r="I71" s="497">
        <f>Demographics!D71/Demographics!D$74</f>
        <v>8.5485115222558705E-3</v>
      </c>
      <c r="J71" s="497">
        <f t="shared" si="11"/>
        <v>8.3625483222571281E-3</v>
      </c>
      <c r="K71" s="497">
        <f>('2014-15'!AJ71+'2014-15'!AN71+'2014-15 ExC'!BL71+'2014-15 ExC'!BM71)/('2014-15'!AJ$74+'2014-15'!AN$74+'2014-15 ExC'!BL$74+'2014-15 ExC'!BM$74)</f>
        <v>1.2625646233876716E-2</v>
      </c>
      <c r="L71" s="497">
        <f t="shared" si="12"/>
        <v>-4.2630979116195875E-3</v>
      </c>
      <c r="M71" s="497">
        <f t="shared" si="13"/>
        <v>0</v>
      </c>
      <c r="N71" s="444"/>
      <c r="O71" s="444">
        <f>('2014-15'!AJ71+'2014-15'!AN71+'2014-15 ExC'!BL71+'2014-15 ExC'!BM71)*O$75</f>
        <v>978772.02800999989</v>
      </c>
      <c r="P71" s="444">
        <f t="shared" si="9"/>
        <v>0</v>
      </c>
      <c r="Q71" s="444">
        <f t="shared" si="14"/>
        <v>978772.02800999989</v>
      </c>
      <c r="R71" s="497">
        <f>Q71/('2014-15'!AJ71+'2014-15'!AN71+'2014-15 ExC'!BL71+'2014-15 ExC'!BM71)</f>
        <v>1.4969999999999999E-2</v>
      </c>
      <c r="S71" s="444"/>
      <c r="T71" s="504">
        <f t="shared" si="10"/>
        <v>0</v>
      </c>
      <c r="U71" s="504">
        <f>('2014-15'!AJ71+'2014-15'!AN71+'2014-15 ExC'!BL71+'2014-15 ExC'!BM71)*0.01</f>
        <v>653822.32999999996</v>
      </c>
      <c r="V71" s="504">
        <f t="shared" si="15"/>
        <v>0</v>
      </c>
      <c r="W71" s="504">
        <f t="shared" si="16"/>
        <v>0</v>
      </c>
      <c r="X71" s="502">
        <f t="shared" si="17"/>
        <v>653822.32999999996</v>
      </c>
      <c r="Y71" s="613">
        <f>X71/('2014-15'!AJ71+'2014-15'!AN71+'2014-15 ExC'!BL71+'2014-15 ExC'!BM71)</f>
        <v>0.01</v>
      </c>
      <c r="Z71" s="497">
        <f>E71/('2014-15'!AJ71+'2014-15'!AN71+'2014-15 ExC'!BL71+'2014-15 ExC'!BM71)</f>
        <v>0.12862824675932985</v>
      </c>
      <c r="AA71" s="444"/>
      <c r="AB71" s="444"/>
    </row>
    <row r="72" spans="1:28" hidden="1">
      <c r="A72" s="444" t="s">
        <v>180</v>
      </c>
      <c r="B72" s="444"/>
      <c r="C72" s="444">
        <f>'2013-14'!S79+'2013-14'!T79+('2013-14 FTES'!DA79*'2013-14'!N79)</f>
        <v>1784261.2510653818</v>
      </c>
      <c r="D72" s="444">
        <f>'2014-15 ExC'!BM72+'2014-15 ExC'!BL72+('2014-15 ExC'!AF72*'2014-15'!F72)</f>
        <v>151985.21976744939</v>
      </c>
      <c r="E72" s="444">
        <f>'2014-15 Rest'!CD79</f>
        <v>0</v>
      </c>
      <c r="F72" s="444"/>
      <c r="G72" s="497">
        <f>Demographics!B72/Demographics!B$74</f>
        <v>1.9507908225724794E-2</v>
      </c>
      <c r="H72" s="497">
        <f>Demographics!C72/Demographics!C$74</f>
        <v>2.0844049598595604E-2</v>
      </c>
      <c r="I72" s="497">
        <f>Demographics!D72/Demographics!D$74</f>
        <v>1.983375473165197E-2</v>
      </c>
      <c r="J72" s="497">
        <f t="shared" si="11"/>
        <v>1.992340519542429E-2</v>
      </c>
      <c r="K72" s="497">
        <f>('2014-15'!AJ72+'2014-15'!AN72+'2014-15 ExC'!BL72+'2014-15 ExC'!BM72)/('2014-15'!AJ$74+'2014-15'!AN$74+'2014-15 ExC'!BL$74+'2014-15 ExC'!BM$74)</f>
        <v>1.4776827618455344E-2</v>
      </c>
      <c r="L72" s="497">
        <f t="shared" si="12"/>
        <v>5.146577576968946E-3</v>
      </c>
      <c r="M72" s="497">
        <f t="shared" si="13"/>
        <v>5.146577576968946E-3</v>
      </c>
      <c r="N72" s="444"/>
      <c r="O72" s="444">
        <f>('2014-15'!AJ72+'2014-15'!AN72+'2014-15 ExC'!BL72+'2014-15 ExC'!BM72)*O$75</f>
        <v>1145537.04957</v>
      </c>
      <c r="P72" s="444">
        <f t="shared" si="9"/>
        <v>2224083.529943381</v>
      </c>
      <c r="Q72" s="444">
        <f t="shared" si="14"/>
        <v>3369620.5795133812</v>
      </c>
      <c r="R72" s="497">
        <f>Q72/('2014-15'!AJ72+'2014-15'!AN72+'2014-15 ExC'!BL72+'2014-15 ExC'!BM72)</f>
        <v>4.4034560116803012E-2</v>
      </c>
      <c r="S72" s="444"/>
      <c r="T72" s="504">
        <f t="shared" si="10"/>
        <v>2168871.9074648982</v>
      </c>
      <c r="U72" s="504">
        <f>('2014-15'!AJ72+'2014-15'!AN72+'2014-15 ExC'!BL72+'2014-15 ExC'!BM72)*0.01</f>
        <v>765221.81</v>
      </c>
      <c r="V72" s="504">
        <f t="shared" si="15"/>
        <v>1403650.0974648981</v>
      </c>
      <c r="W72" s="504">
        <f t="shared" si="16"/>
        <v>1230021.6752908521</v>
      </c>
      <c r="X72" s="502">
        <f t="shared" si="17"/>
        <v>1995243.4852908521</v>
      </c>
      <c r="Y72" s="613">
        <f>X72/('2014-15'!AJ72+'2014-15'!AN72+'2014-15 ExC'!BL72+'2014-15 ExC'!BM72)</f>
        <v>2.6074054074476161E-2</v>
      </c>
      <c r="Z72" s="497">
        <f>E72/('2014-15'!AJ72+'2014-15'!AN72+'2014-15 ExC'!BL72+'2014-15 ExC'!BM72)</f>
        <v>0</v>
      </c>
      <c r="AA72" s="444"/>
      <c r="AB72" s="444"/>
    </row>
    <row r="73" spans="1:28">
      <c r="A73" s="444" t="s">
        <v>181</v>
      </c>
      <c r="B73" s="444"/>
      <c r="C73" s="444">
        <f>'2013-14'!S80+'2013-14'!T80+('2013-14 FTES'!DA80*'2013-14'!N80)</f>
        <v>0</v>
      </c>
      <c r="D73" s="444">
        <f>'2014-15 ExC'!BM73+'2014-15 ExC'!BL73+('2014-15 ExC'!AF73*'2014-15'!F73)</f>
        <v>4383741.2291192506</v>
      </c>
      <c r="E73" s="444">
        <f>'2014-15 Rest'!CD80</f>
        <v>0</v>
      </c>
      <c r="F73" s="444"/>
      <c r="G73" s="497">
        <f>Demographics!B73/Demographics!B$74</f>
        <v>9.1875692824864973E-3</v>
      </c>
      <c r="H73" s="497">
        <f>Demographics!C73/Demographics!C$74</f>
        <v>9.4577517188005854E-3</v>
      </c>
      <c r="I73" s="497">
        <f>Demographics!D73/Demographics!D$74</f>
        <v>1.0368157119516311E-2</v>
      </c>
      <c r="J73" s="497">
        <f t="shared" si="11"/>
        <v>9.5502618508224724E-3</v>
      </c>
      <c r="K73" s="497">
        <f>('2014-15'!AJ73+'2014-15'!AN73+'2014-15 ExC'!BL73+'2014-15 ExC'!BM73)/('2014-15'!AJ$74+'2014-15'!AN$74+'2014-15 ExC'!BL$74+'2014-15 ExC'!BM$74)</f>
        <v>6.7814747485418258E-3</v>
      </c>
      <c r="L73" s="497">
        <f t="shared" si="12"/>
        <v>2.7687871022806466E-3</v>
      </c>
      <c r="M73" s="497">
        <f t="shared" si="13"/>
        <v>2.7687871022806466E-3</v>
      </c>
      <c r="N73" s="444"/>
      <c r="O73" s="444">
        <f>('2014-15'!AJ73+'2014-15'!AN73+'2014-15 ExC'!BL73+'2014-15 ExC'!BM73)*O$75</f>
        <v>525717.07377000002</v>
      </c>
      <c r="P73" s="444">
        <f>M73/M$74*P$74</f>
        <v>1196525.9825596141</v>
      </c>
      <c r="Q73" s="444">
        <f t="shared" si="14"/>
        <v>1722243.056329614</v>
      </c>
      <c r="R73" s="497">
        <f>Q73/('2014-15'!AJ73+'2014-15'!AN73+'2014-15 ExC'!BL73+'2014-15 ExC'!BM73)</f>
        <v>4.9041546945332574E-2</v>
      </c>
      <c r="S73" s="444"/>
      <c r="T73" s="504">
        <f>IF((C73*C$75)+(D73*D$75)+(Q73*Q$75)-E73&lt;0,0,(C73*C$75)+(D73*D$75)+(Q73*Q$75)-E73)</f>
        <v>1957056.8354446196</v>
      </c>
      <c r="U73" s="504">
        <f>('2014-15'!AJ73+'2014-15'!AN73+'2014-15 ExC'!BL73+'2014-15 ExC'!BM73)*0.01</f>
        <v>351180.41000000003</v>
      </c>
      <c r="V73" s="504">
        <f t="shared" si="15"/>
        <v>1605876.4254446197</v>
      </c>
      <c r="W73" s="504">
        <f t="shared" si="16"/>
        <v>1407233.0523846047</v>
      </c>
      <c r="X73" s="502">
        <f t="shared" si="17"/>
        <v>1758413.4623846048</v>
      </c>
      <c r="Y73" s="613">
        <f>X73/('2014-15'!AJ73+'2014-15'!AN73+'2014-15 ExC'!BL73+'2014-15 ExC'!BM73)</f>
        <v>5.0071513453287579E-2</v>
      </c>
      <c r="Z73" s="497">
        <f>E73/('2014-15'!AJ73+'2014-15'!AN73+'2014-15 ExC'!BL73+'2014-15 ExC'!BM73)</f>
        <v>0</v>
      </c>
      <c r="AA73" s="444"/>
      <c r="AB73" s="444"/>
    </row>
    <row r="74" spans="1:28">
      <c r="A74" s="445" t="s">
        <v>59</v>
      </c>
      <c r="B74" s="445"/>
      <c r="C74" s="445">
        <f>SUM(C2:C73)</f>
        <v>187802496.1638734</v>
      </c>
      <c r="D74" s="445">
        <f>SUM(D2:D73)</f>
        <v>215762602.71521935</v>
      </c>
      <c r="E74" s="445">
        <f>SUM(E2:E73)</f>
        <v>56998436</v>
      </c>
      <c r="F74" s="445"/>
      <c r="G74" s="498">
        <f t="shared" ref="G74:M74" si="18">SUM(G2:G73)</f>
        <v>1.0000000000000004</v>
      </c>
      <c r="H74" s="498">
        <f t="shared" si="18"/>
        <v>0.99999999999999989</v>
      </c>
      <c r="I74" s="498">
        <f t="shared" si="18"/>
        <v>0.99999999999999978</v>
      </c>
      <c r="J74" s="498">
        <f t="shared" si="18"/>
        <v>1.0000000000000002</v>
      </c>
      <c r="K74" s="498">
        <f t="shared" si="18"/>
        <v>1</v>
      </c>
      <c r="L74" s="498">
        <f t="shared" si="18"/>
        <v>2.0729945537922845E-16</v>
      </c>
      <c r="M74" s="498">
        <f t="shared" si="18"/>
        <v>0.18010780881391603</v>
      </c>
      <c r="N74" s="445"/>
      <c r="O74" s="445">
        <f>SUM(O2:O73)</f>
        <v>77522529.13469021</v>
      </c>
      <c r="P74" s="445">
        <f>O74/O75*P75</f>
        <v>77833240.674308211</v>
      </c>
      <c r="Q74" s="445">
        <f>SUM(Q2:Q73)</f>
        <v>155355769.8089985</v>
      </c>
      <c r="R74" s="498"/>
      <c r="S74" s="445"/>
      <c r="T74" s="505">
        <f>SUM(T2:T73)</f>
        <v>163874579.4358702</v>
      </c>
      <c r="U74" s="505">
        <f>SUM(U2:U73)</f>
        <v>51785256.602999523</v>
      </c>
      <c r="V74" s="505">
        <f t="shared" ref="V74:W74" si="19">SUM(V2:V73)</f>
        <v>118190405.80867329</v>
      </c>
      <c r="W74" s="505">
        <f t="shared" si="19"/>
        <v>103570513.20599897</v>
      </c>
      <c r="X74" s="505">
        <f>O74+P74</f>
        <v>155355769.80899841</v>
      </c>
      <c r="Y74" s="614">
        <f>X74/('2014-15'!AJ74+'2014-15'!AN74+'2014-15 ExC'!BL74+'2014-15 ExC'!BM74)</f>
        <v>2.9999999999999978E-2</v>
      </c>
      <c r="Z74" s="498">
        <f>E74/('2014-15'!AJ74+'2014-15'!AN74+'2014-15 ExC'!BL74+'2014-15 ExC'!BM74)</f>
        <v>1.1006691815194855E-2</v>
      </c>
      <c r="AA74" s="445"/>
      <c r="AB74" s="445"/>
    </row>
    <row r="75" spans="1:28">
      <c r="A75" s="500"/>
      <c r="B75" s="500"/>
      <c r="C75" s="520">
        <v>0.25</v>
      </c>
      <c r="D75" s="520">
        <v>0.25</v>
      </c>
      <c r="E75" s="501"/>
      <c r="F75" s="501"/>
      <c r="G75" s="521">
        <v>0.5</v>
      </c>
      <c r="H75" s="521">
        <v>0.25</v>
      </c>
      <c r="I75" s="521">
        <v>0.25</v>
      </c>
      <c r="J75" s="501"/>
      <c r="K75" s="501"/>
      <c r="L75" s="501"/>
      <c r="M75" s="501"/>
      <c r="N75" s="501"/>
      <c r="O75" s="665">
        <f>O76*0.499</f>
        <v>1.4969999999999999E-2</v>
      </c>
      <c r="P75" s="665">
        <f>O76*0.501</f>
        <v>1.503E-2</v>
      </c>
      <c r="Q75" s="520">
        <v>0.5</v>
      </c>
      <c r="R75" s="501"/>
      <c r="S75" s="501"/>
      <c r="T75" s="506"/>
      <c r="U75" s="506"/>
      <c r="V75" s="506"/>
      <c r="W75" s="506"/>
      <c r="X75" s="506"/>
      <c r="Y75" s="506"/>
      <c r="Z75" s="506"/>
      <c r="AA75" s="500"/>
      <c r="AB75" s="500"/>
    </row>
    <row r="76" spans="1:28">
      <c r="G76" s="616"/>
      <c r="H76" s="616"/>
      <c r="O76" s="617">
        <v>0.03</v>
      </c>
      <c r="P76" s="617"/>
    </row>
    <row r="81" spans="22:24">
      <c r="V81" s="667">
        <f>613037/118190406</f>
        <v>5.1868592447342973E-3</v>
      </c>
      <c r="X81" s="668">
        <f>1472902/93569585</f>
        <v>1.5741247543205411E-2</v>
      </c>
    </row>
    <row r="82" spans="22:24">
      <c r="V82" s="507">
        <f>+Q74-U74</f>
        <v>103570513.20599897</v>
      </c>
    </row>
    <row r="83" spans="22:24">
      <c r="V83" s="507">
        <f>+V81*V82</f>
        <v>537205.67390441138</v>
      </c>
    </row>
  </sheetData>
  <mergeCells count="1">
    <mergeCell ref="O76:P76"/>
  </mergeCells>
  <printOptions headings="1"/>
  <pageMargins left="0.45" right="0.45" top="0.5" bottom="0.5" header="0.3" footer="0.3"/>
  <pageSetup scale="51" orientation="landscape" r:id="rId1"/>
</worksheet>
</file>

<file path=xl/worksheets/sheet2.xml><?xml version="1.0" encoding="utf-8"?>
<worksheet xmlns="http://schemas.openxmlformats.org/spreadsheetml/2006/main" xmlns:r="http://schemas.openxmlformats.org/officeDocument/2006/relationships">
  <dimension ref="A1:H75"/>
  <sheetViews>
    <sheetView zoomScaleNormal="100" workbookViewId="0">
      <pane xSplit="1" ySplit="1" topLeftCell="B26" activePane="bottomRight" state="frozen"/>
      <selection pane="topRight" activeCell="B1" sqref="B1"/>
      <selection pane="bottomLeft" activeCell="A2" sqref="A2"/>
      <selection pane="bottomRight" activeCell="F30" sqref="F30"/>
    </sheetView>
  </sheetViews>
  <sheetFormatPr defaultColWidth="9.140625" defaultRowHeight="12.75"/>
  <cols>
    <col min="1" max="1" width="20.42578125" style="511" bestFit="1" customWidth="1"/>
    <col min="2" max="4" width="10.7109375" style="510" customWidth="1"/>
    <col min="5" max="6" width="9.140625" style="511"/>
    <col min="7" max="7" width="11" style="511" bestFit="1" customWidth="1"/>
    <col min="8" max="8" width="9.7109375" style="511" bestFit="1" customWidth="1"/>
    <col min="9" max="16384" width="9.140625" style="511"/>
  </cols>
  <sheetData>
    <row r="1" spans="1:4" s="514" customFormat="1" ht="38.25">
      <c r="A1" s="512" t="s">
        <v>550</v>
      </c>
      <c r="B1" s="513" t="s">
        <v>720</v>
      </c>
      <c r="C1" s="513" t="s">
        <v>613</v>
      </c>
      <c r="D1" s="515" t="s">
        <v>615</v>
      </c>
    </row>
    <row r="2" spans="1:4">
      <c r="A2" s="508" t="s">
        <v>400</v>
      </c>
      <c r="B2" s="509">
        <v>98108.382133739389</v>
      </c>
      <c r="C2" s="509">
        <v>8197.0783193907409</v>
      </c>
      <c r="D2" s="615">
        <v>13931</v>
      </c>
    </row>
    <row r="3" spans="1:4">
      <c r="A3" s="508" t="s">
        <v>398</v>
      </c>
      <c r="B3" s="509">
        <v>183763.72633737215</v>
      </c>
      <c r="C3" s="509">
        <v>18065.129406833243</v>
      </c>
      <c r="D3" s="615">
        <v>26911</v>
      </c>
    </row>
    <row r="4" spans="1:4">
      <c r="A4" s="508" t="s">
        <v>396</v>
      </c>
      <c r="B4" s="509">
        <v>24716.20695667978</v>
      </c>
      <c r="C4" s="509">
        <v>2004.8244187104274</v>
      </c>
      <c r="D4" s="615">
        <v>5935</v>
      </c>
    </row>
    <row r="5" spans="1:4">
      <c r="A5" s="508" t="s">
        <v>394</v>
      </c>
      <c r="B5" s="509">
        <v>105831.83388330795</v>
      </c>
      <c r="C5" s="509">
        <v>12141.459040529426</v>
      </c>
      <c r="D5" s="615">
        <v>28340</v>
      </c>
    </row>
    <row r="6" spans="1:4">
      <c r="A6" s="508" t="s">
        <v>392</v>
      </c>
      <c r="B6" s="509">
        <v>97642.554025966791</v>
      </c>
      <c r="C6" s="509">
        <v>8225.3073561919118</v>
      </c>
      <c r="D6" s="615">
        <v>18686</v>
      </c>
    </row>
    <row r="7" spans="1:4">
      <c r="A7" s="508" t="s">
        <v>390</v>
      </c>
      <c r="B7" s="509">
        <v>187370.24846445525</v>
      </c>
      <c r="C7" s="509">
        <v>16657.738797951075</v>
      </c>
      <c r="D7" s="615">
        <v>22161</v>
      </c>
    </row>
    <row r="8" spans="1:4">
      <c r="A8" s="508" t="s">
        <v>388</v>
      </c>
      <c r="B8" s="509">
        <v>247765.71638103831</v>
      </c>
      <c r="C8" s="509">
        <v>25951.535964926599</v>
      </c>
      <c r="D8" s="615">
        <v>29640</v>
      </c>
    </row>
    <row r="9" spans="1:4">
      <c r="A9" s="508" t="s">
        <v>386</v>
      </c>
      <c r="B9" s="509">
        <v>352067.99007206934</v>
      </c>
      <c r="C9" s="509">
        <v>44386.564264538945</v>
      </c>
      <c r="D9" s="615">
        <v>36661</v>
      </c>
    </row>
    <row r="10" spans="1:4">
      <c r="A10" s="508" t="s">
        <v>384</v>
      </c>
      <c r="B10" s="509">
        <v>83147.952132790175</v>
      </c>
      <c r="C10" s="509">
        <v>7440.1871016663144</v>
      </c>
      <c r="D10" s="615">
        <v>11959</v>
      </c>
    </row>
    <row r="11" spans="1:4">
      <c r="A11" s="508" t="s">
        <v>382</v>
      </c>
      <c r="B11" s="509">
        <v>243859.37449640394</v>
      </c>
      <c r="C11" s="509">
        <v>25031.959988192593</v>
      </c>
      <c r="D11" s="615">
        <v>36129</v>
      </c>
    </row>
    <row r="12" spans="1:4">
      <c r="A12" s="508" t="s">
        <v>380</v>
      </c>
      <c r="B12" s="509">
        <v>128411.97011332418</v>
      </c>
      <c r="C12" s="509">
        <v>12833.053099741475</v>
      </c>
      <c r="D12" s="615">
        <v>17810</v>
      </c>
    </row>
    <row r="13" spans="1:4">
      <c r="A13" s="508" t="s">
        <v>378</v>
      </c>
      <c r="B13" s="509">
        <v>372765.13499217376</v>
      </c>
      <c r="C13" s="509">
        <v>42132.023161121288</v>
      </c>
      <c r="D13" s="615">
        <v>54719</v>
      </c>
    </row>
    <row r="14" spans="1:4">
      <c r="A14" s="508" t="s">
        <v>607</v>
      </c>
      <c r="B14" s="509">
        <v>27713.120793221911</v>
      </c>
      <c r="C14" s="509">
        <v>2768.0744403030917</v>
      </c>
      <c r="D14" s="615">
        <v>8464</v>
      </c>
    </row>
    <row r="15" spans="1:4">
      <c r="A15" s="508" t="s">
        <v>374</v>
      </c>
      <c r="B15" s="509">
        <v>202438.78850392703</v>
      </c>
      <c r="C15" s="509">
        <v>21294.818817316493</v>
      </c>
      <c r="D15" s="615">
        <v>41969</v>
      </c>
    </row>
    <row r="16" spans="1:4">
      <c r="A16" s="508" t="s">
        <v>372</v>
      </c>
      <c r="B16" s="509">
        <v>218813.10457933467</v>
      </c>
      <c r="C16" s="509">
        <v>20061.566525289803</v>
      </c>
      <c r="D16" s="615">
        <v>40324</v>
      </c>
    </row>
    <row r="17" spans="1:8">
      <c r="A17" s="508" t="s">
        <v>370</v>
      </c>
      <c r="B17" s="509">
        <v>9452.6969111681665</v>
      </c>
      <c r="C17" s="509">
        <v>706.89593052734949</v>
      </c>
      <c r="D17" s="615">
        <v>2686</v>
      </c>
    </row>
    <row r="18" spans="1:8">
      <c r="A18" s="508" t="s">
        <v>368</v>
      </c>
      <c r="B18" s="509">
        <v>75521.029341421337</v>
      </c>
      <c r="C18" s="509">
        <v>10909.926323227719</v>
      </c>
      <c r="D18" s="615">
        <v>18984</v>
      </c>
    </row>
    <row r="19" spans="1:8">
      <c r="A19" s="508" t="s">
        <v>366</v>
      </c>
      <c r="B19" s="509">
        <v>70299.424009289418</v>
      </c>
      <c r="C19" s="509">
        <v>7052.7124967040936</v>
      </c>
      <c r="D19" s="615">
        <v>7976</v>
      </c>
    </row>
    <row r="20" spans="1:8">
      <c r="A20" s="508" t="s">
        <v>364</v>
      </c>
      <c r="B20" s="509">
        <v>79290.637130341056</v>
      </c>
      <c r="C20" s="509">
        <v>8248.9942388375839</v>
      </c>
      <c r="D20" s="615">
        <v>19365</v>
      </c>
    </row>
    <row r="21" spans="1:8">
      <c r="A21" s="508" t="s">
        <v>362</v>
      </c>
      <c r="B21" s="509">
        <v>206918.05265902204</v>
      </c>
      <c r="C21" s="509">
        <v>20266.868115571513</v>
      </c>
      <c r="D21" s="615">
        <v>33728</v>
      </c>
    </row>
    <row r="22" spans="1:8">
      <c r="A22" s="508" t="s">
        <v>360</v>
      </c>
      <c r="B22" s="509">
        <v>128191.12638260596</v>
      </c>
      <c r="C22" s="509">
        <v>10769.187670053851</v>
      </c>
      <c r="D22" s="615">
        <v>15551</v>
      </c>
    </row>
    <row r="23" spans="1:8">
      <c r="A23" s="508" t="s">
        <v>358</v>
      </c>
      <c r="B23" s="509">
        <v>81371.979449894934</v>
      </c>
      <c r="C23" s="509">
        <v>11406.572088175351</v>
      </c>
      <c r="D23" s="615">
        <v>15982</v>
      </c>
    </row>
    <row r="24" spans="1:8">
      <c r="A24" s="508" t="s">
        <v>356</v>
      </c>
      <c r="B24" s="509">
        <v>425006.93194682</v>
      </c>
      <c r="C24" s="509">
        <v>45831.706359642209</v>
      </c>
      <c r="D24" s="615">
        <v>77978</v>
      </c>
    </row>
    <row r="25" spans="1:8">
      <c r="A25" s="508" t="s">
        <v>354</v>
      </c>
      <c r="B25" s="509">
        <v>14960.875317315789</v>
      </c>
      <c r="C25" s="509">
        <v>1163.2260441836586</v>
      </c>
      <c r="D25" s="615">
        <v>3478</v>
      </c>
    </row>
    <row r="26" spans="1:8">
      <c r="A26" s="508" t="s">
        <v>352</v>
      </c>
      <c r="B26" s="509">
        <v>17490.364253148997</v>
      </c>
      <c r="C26" s="509">
        <v>849.93847570799562</v>
      </c>
      <c r="D26" s="615">
        <v>2519</v>
      </c>
    </row>
    <row r="27" spans="1:8">
      <c r="A27" s="622" t="s">
        <v>350</v>
      </c>
      <c r="B27" s="623">
        <v>201065.80362707374</v>
      </c>
      <c r="C27" s="623">
        <v>23113.937465799529</v>
      </c>
      <c r="D27" s="624">
        <v>43961</v>
      </c>
      <c r="E27" s="625">
        <f>+B27/B74</f>
        <v>1.3578635166220468E-2</v>
      </c>
      <c r="F27" s="625">
        <f t="shared" ref="F27:G27" si="0">+C27/C74</f>
        <v>1.4875062676830945E-2</v>
      </c>
      <c r="G27" s="625">
        <f t="shared" si="0"/>
        <v>1.6805344559068524E-2</v>
      </c>
      <c r="H27" s="625">
        <f>(E27*0.5)+(F27*0.25)+(G27*0.25)</f>
        <v>1.4709419392085102E-2</v>
      </c>
    </row>
    <row r="28" spans="1:8">
      <c r="A28" s="508" t="s">
        <v>348</v>
      </c>
      <c r="B28" s="509">
        <v>2197794.3444461185</v>
      </c>
      <c r="C28" s="509">
        <v>224820.30058948323</v>
      </c>
      <c r="D28" s="615">
        <v>480113</v>
      </c>
    </row>
    <row r="29" spans="1:8">
      <c r="A29" s="508" t="s">
        <v>346</v>
      </c>
      <c r="B29" s="509">
        <v>614058.99173408793</v>
      </c>
      <c r="C29" s="509">
        <v>73432.304677261985</v>
      </c>
      <c r="D29" s="615">
        <v>124833</v>
      </c>
    </row>
    <row r="30" spans="1:8">
      <c r="A30" s="508" t="s">
        <v>344</v>
      </c>
      <c r="B30" s="509">
        <v>70084.508137437806</v>
      </c>
      <c r="C30" s="509">
        <v>6816.9165244012756</v>
      </c>
      <c r="D30" s="615">
        <v>14679</v>
      </c>
      <c r="F30" s="625">
        <f>+F32/G32</f>
        <v>1.8068769210269783E-2</v>
      </c>
      <c r="H30" s="664">
        <f>+H27-F30</f>
        <v>-3.3593498181846808E-3</v>
      </c>
    </row>
    <row r="31" spans="1:8">
      <c r="A31" s="508" t="s">
        <v>342</v>
      </c>
      <c r="B31" s="509">
        <v>44633.250541284906</v>
      </c>
      <c r="C31" s="509">
        <v>4729.5871522733323</v>
      </c>
      <c r="D31" s="615">
        <v>11194</v>
      </c>
    </row>
    <row r="32" spans="1:8">
      <c r="A32" s="508" t="s">
        <v>340</v>
      </c>
      <c r="B32" s="509">
        <v>120092.68825876221</v>
      </c>
      <c r="C32" s="509">
        <v>14685.568963955626</v>
      </c>
      <c r="D32" s="615">
        <v>22002</v>
      </c>
      <c r="F32" s="511">
        <f>91928125+1641460</f>
        <v>93569585</v>
      </c>
      <c r="G32" s="511">
        <f>5070364554-71983565+39759671+140385000</f>
        <v>5178525660</v>
      </c>
    </row>
    <row r="33" spans="1:4">
      <c r="A33" s="508" t="s">
        <v>608</v>
      </c>
      <c r="B33" s="509">
        <v>108730.90747286665</v>
      </c>
      <c r="C33" s="509">
        <v>12682.915469307267</v>
      </c>
      <c r="D33" s="615">
        <v>20740</v>
      </c>
    </row>
    <row r="34" spans="1:4">
      <c r="A34" s="508" t="s">
        <v>609</v>
      </c>
      <c r="B34" s="509">
        <v>42366.519153826463</v>
      </c>
      <c r="C34" s="509">
        <v>3374.4502783362882</v>
      </c>
      <c r="D34" s="615">
        <v>9168</v>
      </c>
    </row>
    <row r="35" spans="1:4">
      <c r="A35" s="508" t="s">
        <v>334</v>
      </c>
      <c r="B35" s="509">
        <v>328945.22290545981</v>
      </c>
      <c r="C35" s="509">
        <v>30007.568913080515</v>
      </c>
      <c r="D35" s="615">
        <v>35041</v>
      </c>
    </row>
    <row r="36" spans="1:4">
      <c r="A36" s="508" t="s">
        <v>332</v>
      </c>
      <c r="B36" s="509">
        <v>361187.70481803</v>
      </c>
      <c r="C36" s="509">
        <v>42527.209203097838</v>
      </c>
      <c r="D36" s="615">
        <v>57671</v>
      </c>
    </row>
    <row r="37" spans="1:4">
      <c r="A37" s="508" t="s">
        <v>330</v>
      </c>
      <c r="B37" s="509">
        <v>54930.819142714783</v>
      </c>
      <c r="C37" s="509">
        <v>4103.5608123452585</v>
      </c>
      <c r="D37" s="615">
        <v>8100</v>
      </c>
    </row>
    <row r="38" spans="1:4">
      <c r="A38" s="508" t="s">
        <v>610</v>
      </c>
      <c r="B38" s="509">
        <v>369286.7057416946</v>
      </c>
      <c r="C38" s="509">
        <v>36739.138524138085</v>
      </c>
      <c r="D38" s="615">
        <v>45322</v>
      </c>
    </row>
    <row r="39" spans="1:4">
      <c r="A39" s="508" t="s">
        <v>326</v>
      </c>
      <c r="B39" s="509">
        <v>81109.429485973509</v>
      </c>
      <c r="C39" s="509">
        <v>8026.1660120768429</v>
      </c>
      <c r="D39" s="615">
        <v>7992</v>
      </c>
    </row>
    <row r="40" spans="1:4">
      <c r="A40" s="508" t="s">
        <v>324</v>
      </c>
      <c r="B40" s="509">
        <v>17389.659590122465</v>
      </c>
      <c r="C40" s="509">
        <v>1472.1133945792817</v>
      </c>
      <c r="D40" s="615">
        <v>3796</v>
      </c>
    </row>
    <row r="41" spans="1:4">
      <c r="A41" s="508" t="s">
        <v>322</v>
      </c>
      <c r="B41" s="509">
        <v>275196.2577796721</v>
      </c>
      <c r="C41" s="509">
        <v>25925.183134606028</v>
      </c>
      <c r="D41" s="615">
        <v>39187</v>
      </c>
    </row>
    <row r="42" spans="1:4">
      <c r="A42" s="508" t="s">
        <v>611</v>
      </c>
      <c r="B42" s="509">
        <v>130825.61958520381</v>
      </c>
      <c r="C42" s="509">
        <v>13162.455835107563</v>
      </c>
      <c r="D42" s="615">
        <v>26396</v>
      </c>
    </row>
    <row r="43" spans="1:4">
      <c r="A43" s="508" t="s">
        <v>318</v>
      </c>
      <c r="B43" s="509">
        <v>201559.74287336713</v>
      </c>
      <c r="C43" s="509">
        <v>24829.059055891143</v>
      </c>
      <c r="D43" s="615">
        <v>66765</v>
      </c>
    </row>
    <row r="44" spans="1:4">
      <c r="A44" s="508" t="s">
        <v>316</v>
      </c>
      <c r="B44" s="509">
        <v>253735.8974635886</v>
      </c>
      <c r="C44" s="509">
        <v>24191.462467983252</v>
      </c>
      <c r="D44" s="615">
        <v>25058</v>
      </c>
    </row>
    <row r="45" spans="1:4">
      <c r="A45" s="508" t="s">
        <v>314</v>
      </c>
      <c r="B45" s="509">
        <v>83029.719748108633</v>
      </c>
      <c r="C45" s="509">
        <v>7003.061650551992</v>
      </c>
      <c r="D45" s="615">
        <v>25595</v>
      </c>
    </row>
    <row r="46" spans="1:4">
      <c r="A46" s="508" t="s">
        <v>312</v>
      </c>
      <c r="B46" s="509">
        <v>194626.55145548715</v>
      </c>
      <c r="C46" s="509">
        <v>15194.401571109274</v>
      </c>
      <c r="D46" s="615">
        <v>21132</v>
      </c>
    </row>
    <row r="47" spans="1:4">
      <c r="A47" s="508" t="s">
        <v>310</v>
      </c>
      <c r="B47" s="509">
        <v>405657.35347435263</v>
      </c>
      <c r="C47" s="509">
        <v>50946.43677170376</v>
      </c>
      <c r="D47" s="615">
        <v>48483</v>
      </c>
    </row>
    <row r="48" spans="1:4">
      <c r="A48" s="508" t="s">
        <v>308</v>
      </c>
      <c r="B48" s="509">
        <v>302570.82623817114</v>
      </c>
      <c r="C48" s="509">
        <v>36366.015399594857</v>
      </c>
      <c r="D48" s="615">
        <v>53734</v>
      </c>
    </row>
    <row r="49" spans="1:4">
      <c r="A49" s="508" t="s">
        <v>306</v>
      </c>
      <c r="B49" s="509">
        <v>347568.35199080751</v>
      </c>
      <c r="C49" s="509">
        <v>38674.05051358488</v>
      </c>
      <c r="D49" s="615">
        <v>88944</v>
      </c>
    </row>
    <row r="50" spans="1:4">
      <c r="A50" s="508" t="s">
        <v>304</v>
      </c>
      <c r="B50" s="509">
        <v>268484.71805076144</v>
      </c>
      <c r="C50" s="509">
        <v>29526.814553899756</v>
      </c>
      <c r="D50" s="615">
        <v>73284</v>
      </c>
    </row>
    <row r="51" spans="1:4">
      <c r="A51" s="508" t="s">
        <v>302</v>
      </c>
      <c r="B51" s="509">
        <v>331280.78713036195</v>
      </c>
      <c r="C51" s="509">
        <v>39281.932715768504</v>
      </c>
      <c r="D51" s="615">
        <v>54197</v>
      </c>
    </row>
    <row r="52" spans="1:4">
      <c r="A52" s="508" t="s">
        <v>300</v>
      </c>
      <c r="B52" s="509">
        <v>318076.54145475762</v>
      </c>
      <c r="C52" s="509">
        <v>32815.892055255128</v>
      </c>
      <c r="D52" s="615">
        <v>38699</v>
      </c>
    </row>
    <row r="53" spans="1:4">
      <c r="A53" s="508" t="s">
        <v>298</v>
      </c>
      <c r="B53" s="509">
        <v>104995.95532992383</v>
      </c>
      <c r="C53" s="509">
        <v>8028.3627093415089</v>
      </c>
      <c r="D53" s="615">
        <v>22667</v>
      </c>
    </row>
    <row r="54" spans="1:4">
      <c r="A54" s="508" t="s">
        <v>296</v>
      </c>
      <c r="B54" s="509">
        <v>241955.43016817662</v>
      </c>
      <c r="C54" s="509">
        <v>24121.714226960699</v>
      </c>
      <c r="D54" s="615">
        <v>32454</v>
      </c>
    </row>
    <row r="55" spans="1:4">
      <c r="A55" s="508" t="s">
        <v>294</v>
      </c>
      <c r="B55" s="509">
        <v>58940.928957461605</v>
      </c>
      <c r="C55" s="509">
        <v>6547.4311552075778</v>
      </c>
      <c r="D55" s="615">
        <v>14337</v>
      </c>
    </row>
    <row r="56" spans="1:4">
      <c r="A56" s="508" t="s">
        <v>292</v>
      </c>
      <c r="B56" s="509">
        <v>93174.13071393712</v>
      </c>
      <c r="C56" s="509">
        <v>10128.848018148499</v>
      </c>
      <c r="D56" s="615">
        <v>8817</v>
      </c>
    </row>
    <row r="57" spans="1:4">
      <c r="A57" s="508" t="s">
        <v>290</v>
      </c>
      <c r="B57" s="509">
        <v>25467.833867043733</v>
      </c>
      <c r="C57" s="509">
        <v>4145.6737022056341</v>
      </c>
      <c r="D57" s="615">
        <v>11641</v>
      </c>
    </row>
    <row r="58" spans="1:4">
      <c r="A58" s="508" t="s">
        <v>288</v>
      </c>
      <c r="B58" s="509">
        <v>176853.05701005936</v>
      </c>
      <c r="C58" s="509">
        <v>19323.762882980387</v>
      </c>
      <c r="D58" s="615">
        <v>29726</v>
      </c>
    </row>
    <row r="59" spans="1:4">
      <c r="A59" s="508" t="s">
        <v>286</v>
      </c>
      <c r="B59" s="509">
        <v>121381.96616492129</v>
      </c>
      <c r="C59" s="509">
        <v>9529.2367642373101</v>
      </c>
      <c r="D59" s="615">
        <v>29495</v>
      </c>
    </row>
    <row r="60" spans="1:4">
      <c r="A60" s="508" t="s">
        <v>284</v>
      </c>
      <c r="B60" s="509">
        <v>188877.89227112592</v>
      </c>
      <c r="C60" s="509">
        <v>14563.504262400062</v>
      </c>
      <c r="D60" s="615">
        <v>30545</v>
      </c>
    </row>
    <row r="61" spans="1:4">
      <c r="A61" s="508" t="s">
        <v>612</v>
      </c>
      <c r="B61" s="509">
        <v>21385.563248613678</v>
      </c>
      <c r="C61" s="509">
        <v>1709.5980918450914</v>
      </c>
      <c r="D61" s="615">
        <v>7368</v>
      </c>
    </row>
    <row r="62" spans="1:4">
      <c r="A62" s="508" t="s">
        <v>280</v>
      </c>
      <c r="B62" s="509">
        <v>175906.44142621668</v>
      </c>
      <c r="C62" s="509">
        <v>16246.130717519847</v>
      </c>
      <c r="D62" s="615">
        <v>22583</v>
      </c>
    </row>
    <row r="63" spans="1:4">
      <c r="A63" s="508" t="s">
        <v>278</v>
      </c>
      <c r="B63" s="509">
        <v>193959.28120340846</v>
      </c>
      <c r="C63" s="509">
        <v>15745.512680769436</v>
      </c>
      <c r="D63" s="615">
        <v>34484</v>
      </c>
    </row>
    <row r="64" spans="1:4">
      <c r="A64" s="508" t="s">
        <v>276</v>
      </c>
      <c r="B64" s="509">
        <v>248533.72073243785</v>
      </c>
      <c r="C64" s="509">
        <v>28409.183194800997</v>
      </c>
      <c r="D64" s="615">
        <v>37787</v>
      </c>
    </row>
    <row r="65" spans="1:4">
      <c r="A65" s="508" t="s">
        <v>274</v>
      </c>
      <c r="B65" s="509">
        <v>198669.45855388162</v>
      </c>
      <c r="C65" s="509">
        <v>19650.60567809729</v>
      </c>
      <c r="D65" s="615">
        <v>30026</v>
      </c>
    </row>
    <row r="66" spans="1:4">
      <c r="A66" s="508" t="s">
        <v>272</v>
      </c>
      <c r="B66" s="509">
        <v>440910.07910450449</v>
      </c>
      <c r="C66" s="509">
        <v>48378.406853856439</v>
      </c>
      <c r="D66" s="615">
        <v>85704</v>
      </c>
    </row>
    <row r="67" spans="1:4">
      <c r="A67" s="508" t="s">
        <v>270</v>
      </c>
      <c r="B67" s="509">
        <v>319917.87356868212</v>
      </c>
      <c r="C67" s="509">
        <v>28945.484059818496</v>
      </c>
      <c r="D67" s="615">
        <v>38681</v>
      </c>
    </row>
    <row r="68" spans="1:4">
      <c r="A68" s="508" t="s">
        <v>268</v>
      </c>
      <c r="B68" s="509">
        <v>178854.95219453986</v>
      </c>
      <c r="C68" s="509">
        <v>23078.578993594605</v>
      </c>
      <c r="D68" s="615">
        <v>29610</v>
      </c>
    </row>
    <row r="69" spans="1:4">
      <c r="A69" s="508" t="s">
        <v>266</v>
      </c>
      <c r="B69" s="509">
        <v>55238.115734179533</v>
      </c>
      <c r="C69" s="509">
        <v>4726.580567777607</v>
      </c>
      <c r="D69" s="615">
        <v>8473</v>
      </c>
    </row>
    <row r="70" spans="1:4">
      <c r="A70" s="508" t="s">
        <v>264</v>
      </c>
      <c r="B70" s="509">
        <v>11154.242447746381</v>
      </c>
      <c r="C70" s="509">
        <v>989.09291547423209</v>
      </c>
      <c r="D70" s="615">
        <v>2157</v>
      </c>
    </row>
    <row r="71" spans="1:4">
      <c r="A71" s="508" t="s">
        <v>262</v>
      </c>
      <c r="B71" s="509">
        <v>119218.33906669074</v>
      </c>
      <c r="C71" s="509">
        <v>13672.933446427529</v>
      </c>
      <c r="D71" s="615">
        <v>22362</v>
      </c>
    </row>
    <row r="72" spans="1:4">
      <c r="A72" s="508" t="s">
        <v>260</v>
      </c>
      <c r="B72" s="509">
        <v>288863.58580766898</v>
      </c>
      <c r="C72" s="509">
        <v>32388.976733952491</v>
      </c>
      <c r="D72" s="615">
        <v>51883</v>
      </c>
    </row>
    <row r="73" spans="1:4">
      <c r="A73" s="508" t="s">
        <v>258</v>
      </c>
      <c r="B73" s="509">
        <v>136045.04271225305</v>
      </c>
      <c r="C73" s="509">
        <v>14696.131810987945</v>
      </c>
      <c r="D73" s="615">
        <v>27122</v>
      </c>
    </row>
    <row r="74" spans="1:4">
      <c r="A74" s="516" t="s">
        <v>614</v>
      </c>
      <c r="B74" s="517">
        <f t="shared" ref="B74:D74" si="1">SUM(B2:B73)</f>
        <v>14807512.033850394</v>
      </c>
      <c r="C74" s="517">
        <f t="shared" si="1"/>
        <v>1553871.6016169307</v>
      </c>
      <c r="D74" s="517">
        <f t="shared" si="1"/>
        <v>2615894</v>
      </c>
    </row>
    <row r="75" spans="1:4">
      <c r="A75" s="518"/>
      <c r="B75" s="519"/>
      <c r="C75" s="519"/>
      <c r="D75" s="519"/>
    </row>
  </sheetData>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dimension ref="A1:C103"/>
  <sheetViews>
    <sheetView tabSelected="1" zoomScaleNormal="100" workbookViewId="0">
      <selection activeCell="A106" sqref="A106"/>
    </sheetView>
  </sheetViews>
  <sheetFormatPr defaultRowHeight="12.75"/>
  <cols>
    <col min="1" max="1" width="47.28515625" customWidth="1"/>
    <col min="2" max="2" width="18.140625" customWidth="1"/>
    <col min="3" max="3" width="16.5703125" bestFit="1" customWidth="1"/>
  </cols>
  <sheetData>
    <row r="1" spans="1:3">
      <c r="A1" s="669" t="s">
        <v>730</v>
      </c>
      <c r="B1" s="669"/>
      <c r="C1" s="669"/>
    </row>
    <row r="3" spans="1:3">
      <c r="A3" s="670" t="s">
        <v>731</v>
      </c>
      <c r="B3" s="680">
        <v>1751999</v>
      </c>
    </row>
    <row r="4" spans="1:3">
      <c r="A4" s="233"/>
      <c r="B4" s="211"/>
    </row>
    <row r="5" spans="1:3">
      <c r="A5" s="670" t="s">
        <v>732</v>
      </c>
      <c r="B5" s="680">
        <v>1641460</v>
      </c>
    </row>
    <row r="7" spans="1:3">
      <c r="A7" s="671" t="s">
        <v>733</v>
      </c>
      <c r="B7" s="673"/>
    </row>
    <row r="8" spans="1:3">
      <c r="A8" s="674" t="s">
        <v>734</v>
      </c>
      <c r="B8" s="681">
        <v>201066</v>
      </c>
    </row>
    <row r="9" spans="1:3">
      <c r="A9" s="674" t="s">
        <v>735</v>
      </c>
      <c r="B9" s="681">
        <v>14807512</v>
      </c>
    </row>
    <row r="10" spans="1:3">
      <c r="A10" s="677" t="s">
        <v>736</v>
      </c>
      <c r="B10" s="682">
        <f>+B8/B9</f>
        <v>1.3578648458971365E-2</v>
      </c>
    </row>
    <row r="12" spans="1:3">
      <c r="A12" s="671" t="s">
        <v>737</v>
      </c>
      <c r="B12" s="673"/>
    </row>
    <row r="13" spans="1:3">
      <c r="A13" s="674" t="s">
        <v>734</v>
      </c>
      <c r="B13" s="681">
        <v>23114</v>
      </c>
    </row>
    <row r="14" spans="1:3">
      <c r="A14" s="674" t="s">
        <v>735</v>
      </c>
      <c r="B14" s="681">
        <v>1553872</v>
      </c>
    </row>
    <row r="15" spans="1:3">
      <c r="A15" s="677" t="s">
        <v>736</v>
      </c>
      <c r="B15" s="682">
        <f>+B13/B14</f>
        <v>1.4875099107262374E-2</v>
      </c>
    </row>
    <row r="17" spans="1:3">
      <c r="A17" s="683" t="s">
        <v>738</v>
      </c>
      <c r="B17" s="673"/>
    </row>
    <row r="18" spans="1:3">
      <c r="A18" s="674" t="s">
        <v>734</v>
      </c>
      <c r="B18" s="681">
        <v>43961</v>
      </c>
    </row>
    <row r="19" spans="1:3">
      <c r="A19" s="674" t="s">
        <v>735</v>
      </c>
      <c r="B19" s="681">
        <v>2615894</v>
      </c>
    </row>
    <row r="20" spans="1:3">
      <c r="A20" s="677" t="s">
        <v>736</v>
      </c>
      <c r="B20" s="682">
        <f>+B18/B19</f>
        <v>1.6805344559068524E-2</v>
      </c>
    </row>
    <row r="22" spans="1:3">
      <c r="A22" s="683" t="s">
        <v>739</v>
      </c>
      <c r="B22" s="673"/>
    </row>
    <row r="23" spans="1:3">
      <c r="A23" s="674" t="s">
        <v>742</v>
      </c>
      <c r="B23" s="684">
        <f>+B10*0.5</f>
        <v>6.7893242294856824E-3</v>
      </c>
    </row>
    <row r="24" spans="1:3">
      <c r="A24" s="674" t="s">
        <v>740</v>
      </c>
      <c r="B24" s="684">
        <f>+B15*0.25</f>
        <v>3.7187747768155934E-3</v>
      </c>
    </row>
    <row r="25" spans="1:3">
      <c r="A25" s="674" t="s">
        <v>741</v>
      </c>
      <c r="B25" s="684">
        <f>+B20*0.25</f>
        <v>4.201336139767131E-3</v>
      </c>
    </row>
    <row r="26" spans="1:3">
      <c r="A26" s="677" t="s">
        <v>736</v>
      </c>
      <c r="B26" s="682">
        <f>SUM(B23:B25)</f>
        <v>1.4709435146068407E-2</v>
      </c>
    </row>
    <row r="28" spans="1:3">
      <c r="A28" s="683" t="s">
        <v>743</v>
      </c>
      <c r="B28" s="685" t="s">
        <v>135</v>
      </c>
      <c r="C28" s="686" t="s">
        <v>745</v>
      </c>
    </row>
    <row r="29" spans="1:3">
      <c r="A29" s="674" t="s">
        <v>744</v>
      </c>
      <c r="B29" s="675">
        <v>91928125</v>
      </c>
      <c r="C29" s="681">
        <v>5070364554</v>
      </c>
    </row>
    <row r="30" spans="1:3">
      <c r="A30" s="674" t="s">
        <v>746</v>
      </c>
      <c r="B30" s="675">
        <v>0</v>
      </c>
      <c r="C30" s="681">
        <v>-71983565</v>
      </c>
    </row>
    <row r="31" spans="1:3">
      <c r="A31" s="674" t="s">
        <v>747</v>
      </c>
      <c r="B31" s="675">
        <v>0</v>
      </c>
      <c r="C31" s="681">
        <v>39759671</v>
      </c>
    </row>
    <row r="32" spans="1:3">
      <c r="A32" s="674" t="s">
        <v>748</v>
      </c>
      <c r="B32" s="675">
        <v>1641460</v>
      </c>
      <c r="C32" s="681">
        <v>140385000</v>
      </c>
    </row>
    <row r="33" spans="1:3">
      <c r="A33" s="687" t="s">
        <v>754</v>
      </c>
      <c r="B33" s="675">
        <f>SUM(B29:B32)</f>
        <v>93569585</v>
      </c>
      <c r="C33" s="681">
        <f>SUM(C29:C32)</f>
        <v>5178525660</v>
      </c>
    </row>
    <row r="34" spans="1:3">
      <c r="A34" s="677" t="s">
        <v>736</v>
      </c>
      <c r="B34" s="678">
        <f>+B33/C33</f>
        <v>1.8068769210269783E-2</v>
      </c>
      <c r="C34" s="679"/>
    </row>
    <row r="36" spans="1:3">
      <c r="A36" s="683" t="s">
        <v>749</v>
      </c>
      <c r="B36" s="673"/>
    </row>
    <row r="37" spans="1:3">
      <c r="A37" s="674" t="s">
        <v>750</v>
      </c>
      <c r="B37" s="688">
        <f>B26</f>
        <v>1.4709435146068407E-2</v>
      </c>
    </row>
    <row r="38" spans="1:3">
      <c r="A38" s="674" t="s">
        <v>751</v>
      </c>
      <c r="B38" s="688">
        <f>B34</f>
        <v>1.8068769210269783E-2</v>
      </c>
    </row>
    <row r="39" spans="1:3">
      <c r="A39" s="677" t="s">
        <v>752</v>
      </c>
      <c r="B39" s="689">
        <f>B37-B38</f>
        <v>-3.3593340642013754E-3</v>
      </c>
    </row>
    <row r="41" spans="1:3">
      <c r="A41" s="683" t="s">
        <v>753</v>
      </c>
      <c r="B41" s="673"/>
    </row>
    <row r="42" spans="1:3">
      <c r="A42" s="674" t="s">
        <v>755</v>
      </c>
      <c r="B42" s="690">
        <f>B33</f>
        <v>93569585</v>
      </c>
    </row>
    <row r="43" spans="1:3">
      <c r="A43" s="674" t="s">
        <v>756</v>
      </c>
      <c r="B43" s="691">
        <f>0.03*0.499</f>
        <v>1.4969999999999999E-2</v>
      </c>
    </row>
    <row r="44" spans="1:3">
      <c r="A44" s="677" t="s">
        <v>752</v>
      </c>
      <c r="B44" s="692">
        <f>+B42*B43</f>
        <v>1400736.6874499999</v>
      </c>
    </row>
    <row r="46" spans="1:3" s="19" customFormat="1">
      <c r="A46" s="683" t="s">
        <v>757</v>
      </c>
      <c r="B46" s="693"/>
      <c r="C46" s="694"/>
    </row>
    <row r="47" spans="1:3">
      <c r="A47" s="674" t="s">
        <v>758</v>
      </c>
      <c r="B47" s="71">
        <v>0</v>
      </c>
      <c r="C47" s="676"/>
    </row>
    <row r="48" spans="1:3">
      <c r="A48" s="674" t="s">
        <v>759</v>
      </c>
      <c r="B48" s="71">
        <v>0</v>
      </c>
      <c r="C48" s="676"/>
    </row>
    <row r="49" spans="1:3">
      <c r="A49" s="674" t="s">
        <v>760</v>
      </c>
      <c r="B49" s="71">
        <v>0</v>
      </c>
      <c r="C49" s="676"/>
    </row>
    <row r="50" spans="1:3">
      <c r="A50" s="695"/>
      <c r="B50" s="71"/>
      <c r="C50" s="676"/>
    </row>
    <row r="51" spans="1:3">
      <c r="A51" s="696" t="s">
        <v>761</v>
      </c>
      <c r="B51" s="697"/>
      <c r="C51" s="679"/>
    </row>
    <row r="53" spans="1:3" s="19" customFormat="1">
      <c r="A53" s="683" t="s">
        <v>774</v>
      </c>
      <c r="B53" s="694"/>
    </row>
    <row r="54" spans="1:3">
      <c r="A54" s="674" t="s">
        <v>762</v>
      </c>
      <c r="B54" s="690">
        <f>+B44</f>
        <v>1400736.6874499999</v>
      </c>
    </row>
    <row r="55" spans="1:3">
      <c r="A55" s="674" t="s">
        <v>763</v>
      </c>
      <c r="B55" s="676">
        <f>+B49</f>
        <v>0</v>
      </c>
    </row>
    <row r="56" spans="1:3">
      <c r="A56" s="677" t="s">
        <v>752</v>
      </c>
      <c r="B56" s="698">
        <f>SUM(B54:B55)</f>
        <v>1400736.6874499999</v>
      </c>
    </row>
    <row r="58" spans="1:3">
      <c r="A58" s="683" t="s">
        <v>764</v>
      </c>
      <c r="B58" s="673"/>
    </row>
    <row r="59" spans="1:3">
      <c r="A59" s="674" t="s">
        <v>791</v>
      </c>
      <c r="B59" s="690">
        <f>+B56</f>
        <v>1400736.6874499999</v>
      </c>
    </row>
    <row r="60" spans="1:3">
      <c r="A60" s="674" t="s">
        <v>792</v>
      </c>
      <c r="B60" s="681">
        <v>93569585</v>
      </c>
    </row>
    <row r="61" spans="1:3">
      <c r="A61" s="677" t="s">
        <v>752</v>
      </c>
      <c r="B61" s="682">
        <f>+B59/B60</f>
        <v>1.4969999999999999E-2</v>
      </c>
    </row>
    <row r="62" spans="1:3">
      <c r="A62" s="233"/>
      <c r="B62" s="211"/>
    </row>
    <row r="63" spans="1:3">
      <c r="A63" s="683" t="s">
        <v>777</v>
      </c>
      <c r="B63" s="672"/>
      <c r="C63" s="673"/>
    </row>
    <row r="64" spans="1:3">
      <c r="A64" s="674" t="s">
        <v>765</v>
      </c>
      <c r="B64" s="675">
        <v>1751999</v>
      </c>
      <c r="C64" s="676"/>
    </row>
    <row r="65" spans="1:3">
      <c r="A65" s="674" t="s">
        <v>766</v>
      </c>
      <c r="B65" s="71">
        <v>0.25</v>
      </c>
      <c r="C65" s="676"/>
    </row>
    <row r="66" spans="1:3">
      <c r="A66" s="695"/>
      <c r="B66" s="675"/>
      <c r="C66" s="681">
        <f>+B64*B65</f>
        <v>437999.75</v>
      </c>
    </row>
    <row r="67" spans="1:3">
      <c r="A67" s="674" t="s">
        <v>767</v>
      </c>
      <c r="B67" s="675">
        <v>1641460</v>
      </c>
      <c r="C67" s="676"/>
    </row>
    <row r="68" spans="1:3">
      <c r="A68" s="674" t="s">
        <v>766</v>
      </c>
      <c r="B68" s="699">
        <v>0.25</v>
      </c>
      <c r="C68" s="676"/>
    </row>
    <row r="69" spans="1:3">
      <c r="A69" s="695"/>
      <c r="B69" s="71"/>
      <c r="C69" s="690">
        <f>+B67*B68</f>
        <v>410365</v>
      </c>
    </row>
    <row r="70" spans="1:3">
      <c r="A70" s="674" t="s">
        <v>768</v>
      </c>
      <c r="B70" s="700">
        <f>B56</f>
        <v>1400736.6874499999</v>
      </c>
      <c r="C70" s="676"/>
    </row>
    <row r="71" spans="1:3">
      <c r="A71" s="674" t="s">
        <v>769</v>
      </c>
      <c r="B71" s="701">
        <v>0.5</v>
      </c>
      <c r="C71" s="676"/>
    </row>
    <row r="72" spans="1:3">
      <c r="A72" s="695"/>
      <c r="B72" s="71"/>
      <c r="C72" s="681">
        <f>+B70*B71</f>
        <v>700368.34372499993</v>
      </c>
    </row>
    <row r="73" spans="1:3">
      <c r="A73" s="674" t="s">
        <v>770</v>
      </c>
      <c r="B73" s="71"/>
      <c r="C73" s="676">
        <v>0</v>
      </c>
    </row>
    <row r="74" spans="1:3">
      <c r="A74" s="677" t="s">
        <v>752</v>
      </c>
      <c r="B74" s="697"/>
      <c r="C74" s="698">
        <f>SUM(C66:C73)</f>
        <v>1548733.093725</v>
      </c>
    </row>
    <row r="76" spans="1:3">
      <c r="A76" s="683" t="s">
        <v>771</v>
      </c>
      <c r="B76" s="673"/>
    </row>
    <row r="77" spans="1:3">
      <c r="A77" s="674" t="s">
        <v>772</v>
      </c>
      <c r="B77" s="681">
        <v>93569585</v>
      </c>
    </row>
    <row r="78" spans="1:3">
      <c r="A78" s="674" t="s">
        <v>773</v>
      </c>
      <c r="B78" s="676">
        <v>0.01</v>
      </c>
    </row>
    <row r="79" spans="1:3">
      <c r="A79" s="677" t="s">
        <v>752</v>
      </c>
      <c r="B79" s="692">
        <f>+B77*B78</f>
        <v>935695.85</v>
      </c>
    </row>
    <row r="81" spans="1:3">
      <c r="A81" s="683" t="s">
        <v>775</v>
      </c>
      <c r="B81" s="673"/>
    </row>
    <row r="82" spans="1:3">
      <c r="A82" s="674" t="s">
        <v>776</v>
      </c>
      <c r="B82" s="690">
        <f>+C74</f>
        <v>1548733.093725</v>
      </c>
    </row>
    <row r="83" spans="1:3">
      <c r="A83" s="674" t="s">
        <v>778</v>
      </c>
      <c r="B83" s="690">
        <f>B79*-1</f>
        <v>-935695.85</v>
      </c>
    </row>
    <row r="84" spans="1:3">
      <c r="A84" s="677" t="s">
        <v>752</v>
      </c>
      <c r="B84" s="698">
        <f>SUM(B82:B83)</f>
        <v>613037.24372500007</v>
      </c>
    </row>
    <row r="86" spans="1:3">
      <c r="A86" s="683" t="s">
        <v>779</v>
      </c>
      <c r="B86" s="672"/>
      <c r="C86" s="673"/>
    </row>
    <row r="87" spans="1:3">
      <c r="A87" s="674" t="s">
        <v>780</v>
      </c>
      <c r="B87" s="700">
        <f>+B84</f>
        <v>613037.24372500007</v>
      </c>
      <c r="C87" s="676"/>
    </row>
    <row r="88" spans="1:3">
      <c r="A88" s="674" t="s">
        <v>781</v>
      </c>
      <c r="B88" s="675">
        <v>118190406</v>
      </c>
      <c r="C88" s="676"/>
    </row>
    <row r="89" spans="1:3">
      <c r="A89" s="674" t="s">
        <v>782</v>
      </c>
      <c r="B89" s="71"/>
      <c r="C89" s="702">
        <f>+B87/B88</f>
        <v>5.1868613068729117E-3</v>
      </c>
    </row>
    <row r="90" spans="1:3">
      <c r="A90" s="674" t="s">
        <v>783</v>
      </c>
      <c r="B90" s="675">
        <v>155355770</v>
      </c>
      <c r="C90" s="676"/>
    </row>
    <row r="91" spans="1:3">
      <c r="A91" s="674" t="s">
        <v>784</v>
      </c>
      <c r="B91" s="675">
        <v>-51785257</v>
      </c>
      <c r="C91" s="676"/>
    </row>
    <row r="92" spans="1:3">
      <c r="A92" s="695"/>
      <c r="B92" s="71"/>
      <c r="C92" s="690">
        <f>+B90+B91</f>
        <v>103570513</v>
      </c>
    </row>
    <row r="93" spans="1:3">
      <c r="A93" s="677" t="s">
        <v>752</v>
      </c>
      <c r="B93" s="697"/>
      <c r="C93" s="698">
        <f>+C89*C92</f>
        <v>537205.88641267794</v>
      </c>
    </row>
    <row r="95" spans="1:3">
      <c r="A95" s="683" t="s">
        <v>785</v>
      </c>
      <c r="B95" s="673"/>
    </row>
    <row r="96" spans="1:3">
      <c r="A96" s="674" t="s">
        <v>786</v>
      </c>
      <c r="B96" s="690">
        <f>+B79</f>
        <v>935695.85</v>
      </c>
    </row>
    <row r="97" spans="1:2">
      <c r="A97" s="674" t="s">
        <v>787</v>
      </c>
      <c r="B97" s="690">
        <f>+C93</f>
        <v>537205.88641267794</v>
      </c>
    </row>
    <row r="98" spans="1:2">
      <c r="A98" s="677" t="s">
        <v>752</v>
      </c>
      <c r="B98" s="698">
        <f>SUM(B96:B97)</f>
        <v>1472901.7364126779</v>
      </c>
    </row>
    <row r="100" spans="1:2">
      <c r="A100" s="683" t="s">
        <v>788</v>
      </c>
      <c r="B100" s="673"/>
    </row>
    <row r="101" spans="1:2">
      <c r="A101" s="674" t="s">
        <v>789</v>
      </c>
      <c r="B101" s="690">
        <f>+B98</f>
        <v>1472901.7364126779</v>
      </c>
    </row>
    <row r="102" spans="1:2">
      <c r="A102" s="674" t="s">
        <v>790</v>
      </c>
      <c r="B102" s="681">
        <v>93569585</v>
      </c>
    </row>
    <row r="103" spans="1:2">
      <c r="A103" s="677" t="s">
        <v>752</v>
      </c>
      <c r="B103" s="682">
        <f>+B101/B102</f>
        <v>1.5741244726186165E-2</v>
      </c>
    </row>
  </sheetData>
  <autoFilter ref="A36:A38"/>
  <mergeCells count="1">
    <mergeCell ref="A1:C1"/>
  </mergeCells>
  <pageMargins left="0.7" right="0.7" top="0.75" bottom="0.75" header="0.3" footer="0.3"/>
  <pageSetup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CY974"/>
  <sheetViews>
    <sheetView zoomScaleNormal="100" workbookViewId="0">
      <pane xSplit="1" ySplit="8" topLeftCell="O77" activePane="bottomRight" state="frozen"/>
      <selection activeCell="A4" sqref="A4"/>
      <selection pane="topRight" activeCell="A4" sqref="A4"/>
      <selection pane="bottomLeft" activeCell="A4" sqref="A4"/>
      <selection pane="bottomRight" activeCell="S81" sqref="S81"/>
    </sheetView>
  </sheetViews>
  <sheetFormatPr defaultColWidth="12.7109375" defaultRowHeight="12.75"/>
  <cols>
    <col min="1" max="1" width="20.7109375" bestFit="1" customWidth="1"/>
    <col min="2" max="2" width="17" customWidth="1"/>
    <col min="3" max="4" width="14.7109375" customWidth="1"/>
    <col min="5" max="5" width="12.140625" customWidth="1"/>
    <col min="6" max="6" width="15" customWidth="1"/>
    <col min="7" max="7" width="14.42578125" customWidth="1"/>
    <col min="8" max="9" width="14.7109375" customWidth="1"/>
    <col min="10" max="10" width="15.7109375" customWidth="1"/>
    <col min="11" max="11" width="13.85546875" style="6" customWidth="1"/>
    <col min="12" max="12" width="14.7109375" style="6" customWidth="1"/>
    <col min="13" max="13" width="13.85546875" style="6" customWidth="1"/>
    <col min="14" max="14" width="18.5703125" style="7" bestFit="1" customWidth="1"/>
    <col min="15" max="15" width="14.7109375" customWidth="1"/>
    <col min="16" max="16" width="13.85546875" style="10" customWidth="1"/>
    <col min="17" max="17" width="13.7109375" style="266" customWidth="1"/>
    <col min="18" max="18" width="12.140625" style="152" customWidth="1"/>
    <col min="19" max="19" width="12.140625" style="152" bestFit="1" customWidth="1"/>
    <col min="20" max="20" width="13.85546875" style="6" customWidth="1"/>
    <col min="21" max="21" width="15.28515625" style="6" customWidth="1"/>
    <col min="22" max="23" width="13.85546875" style="6" customWidth="1"/>
    <col min="24" max="24" width="19.140625" style="6" customWidth="1"/>
    <col min="25" max="25" width="2.7109375" style="6" customWidth="1"/>
    <col min="26" max="26" width="13.5703125" style="6" customWidth="1"/>
    <col min="27" max="27" width="10.7109375" style="11" customWidth="1"/>
    <col min="28" max="28" width="11.7109375" style="6" customWidth="1"/>
    <col min="29" max="29" width="11.140625" style="6" customWidth="1"/>
    <col min="30" max="30" width="14.42578125" customWidth="1"/>
    <col min="31" max="31" width="16" customWidth="1"/>
    <col min="32" max="32" width="22.28515625" bestFit="1" customWidth="1"/>
    <col min="33" max="33" width="16.5703125" customWidth="1"/>
    <col min="34" max="34" width="9.42578125" style="46" customWidth="1"/>
    <col min="35" max="35" width="16" customWidth="1"/>
    <col min="36" max="41" width="13.7109375" customWidth="1"/>
    <col min="42" max="42" width="16.28515625" customWidth="1"/>
    <col min="43" max="43" width="13.7109375" customWidth="1"/>
    <col min="44" max="44" width="17.42578125" customWidth="1"/>
    <col min="45" max="45" width="13.7109375" customWidth="1"/>
    <col min="46" max="46" width="12.140625" style="14" customWidth="1"/>
    <col min="47" max="47" width="13.7109375" customWidth="1"/>
    <col min="48" max="48" width="9.5703125" customWidth="1"/>
    <col min="49" max="49" width="10.7109375" bestFit="1" customWidth="1"/>
    <col min="50" max="50" width="22.28515625" style="10" customWidth="1"/>
    <col min="51" max="51" width="13.85546875" style="20" customWidth="1"/>
    <col min="52" max="52" width="3.42578125" style="16" customWidth="1"/>
    <col min="53" max="53" width="12.7109375" customWidth="1"/>
    <col min="54" max="54" width="13.85546875" bestFit="1" customWidth="1"/>
    <col min="55" max="55" width="13.85546875" style="16" bestFit="1" customWidth="1"/>
    <col min="56" max="56" width="15.7109375" customWidth="1"/>
    <col min="57" max="57" width="14.5703125" customWidth="1"/>
    <col min="58" max="60" width="12.7109375" customWidth="1"/>
    <col min="61" max="61" width="14.42578125" customWidth="1"/>
    <col min="62" max="62" width="14" bestFit="1" customWidth="1"/>
    <col min="63" max="63" width="12.7109375" customWidth="1"/>
    <col min="64" max="64" width="9.42578125" customWidth="1"/>
    <col min="65" max="65" width="11.7109375" customWidth="1"/>
    <col min="66" max="66" width="12.7109375" style="19" customWidth="1"/>
    <col min="67" max="68" width="12" customWidth="1"/>
    <col min="69" max="69" width="5.7109375" customWidth="1"/>
    <col min="70" max="70" width="17.7109375" customWidth="1"/>
    <col min="71" max="71" width="14.7109375" customWidth="1"/>
    <col min="72" max="72" width="10" bestFit="1" customWidth="1"/>
    <col min="73" max="74" width="9.85546875" customWidth="1"/>
    <col min="75" max="75" width="13.42578125" customWidth="1"/>
    <col min="76" max="76" width="14.7109375" customWidth="1"/>
    <col min="77" max="87" width="12.7109375" customWidth="1"/>
    <col min="88" max="90" width="14.7109375" customWidth="1"/>
    <col min="91" max="16384" width="12.7109375" style="20"/>
  </cols>
  <sheetData>
    <row r="1" spans="1:103" ht="15.75" thickBot="1">
      <c r="A1" s="1" t="s">
        <v>0</v>
      </c>
      <c r="B1" s="2" t="s">
        <v>1</v>
      </c>
      <c r="C1" s="1"/>
      <c r="D1" s="3"/>
      <c r="E1" s="3"/>
      <c r="F1" s="3"/>
      <c r="G1" s="1"/>
      <c r="H1" s="4" t="s">
        <v>2</v>
      </c>
      <c r="I1" s="4" t="s">
        <v>2</v>
      </c>
      <c r="J1" s="4" t="s">
        <v>3</v>
      </c>
      <c r="K1" s="5"/>
      <c r="L1"/>
      <c r="O1" s="6"/>
      <c r="P1" s="8">
        <v>3413329186</v>
      </c>
      <c r="Q1" s="9"/>
      <c r="R1" s="10"/>
      <c r="S1" s="10"/>
      <c r="W1"/>
      <c r="AD1" s="6"/>
      <c r="AE1" s="6"/>
      <c r="AF1" s="6"/>
      <c r="AG1" s="12"/>
      <c r="AH1" s="13"/>
      <c r="AI1" s="6"/>
      <c r="AY1" s="15"/>
      <c r="BD1" s="17"/>
      <c r="BJ1" s="18"/>
      <c r="BN1"/>
      <c r="CA1" s="19"/>
      <c r="CM1"/>
      <c r="CN1"/>
      <c r="CO1"/>
      <c r="CP1"/>
      <c r="CQ1"/>
      <c r="CR1"/>
      <c r="CS1"/>
      <c r="CT1"/>
      <c r="CU1"/>
      <c r="CV1"/>
      <c r="CW1"/>
      <c r="CX1"/>
      <c r="CY1"/>
    </row>
    <row r="2" spans="1:103" ht="13.5" thickBot="1">
      <c r="A2" s="19"/>
      <c r="C2" s="21" t="s">
        <v>4</v>
      </c>
      <c r="D2" s="3"/>
      <c r="E2" s="3"/>
      <c r="F2" s="3"/>
      <c r="G2" s="22"/>
      <c r="H2" s="23" t="s">
        <v>5</v>
      </c>
      <c r="I2" s="23" t="s">
        <v>5</v>
      </c>
      <c r="J2" s="23" t="s">
        <v>5</v>
      </c>
      <c r="K2" s="24" t="s">
        <v>6</v>
      </c>
      <c r="L2" s="24"/>
      <c r="P2" s="19" t="s">
        <v>7</v>
      </c>
      <c r="Q2" s="25" t="s">
        <v>8</v>
      </c>
      <c r="R2" s="16"/>
      <c r="S2" s="16"/>
      <c r="U2" s="26"/>
      <c r="AA2" s="27"/>
      <c r="AD2" s="6"/>
      <c r="AE2" s="28" t="s">
        <v>5</v>
      </c>
      <c r="AF2" s="29" t="s">
        <v>9</v>
      </c>
      <c r="AG2" s="22"/>
      <c r="AH2" s="13"/>
      <c r="AI2" s="29" t="s">
        <v>10</v>
      </c>
      <c r="AJ2" s="30" t="s">
        <v>11</v>
      </c>
      <c r="AK2" s="29"/>
      <c r="AL2" s="29"/>
      <c r="AM2" s="29"/>
      <c r="AN2" s="29"/>
      <c r="AO2" s="29"/>
      <c r="AP2" s="29"/>
      <c r="AQ2" s="29"/>
      <c r="AR2" s="28" t="s">
        <v>12</v>
      </c>
      <c r="AS2" s="30" t="s">
        <v>11</v>
      </c>
      <c r="AU2" s="31" t="s">
        <v>13</v>
      </c>
      <c r="AY2" s="32"/>
      <c r="BD2" s="17"/>
      <c r="BJ2" s="18"/>
      <c r="BN2"/>
      <c r="CA2" s="19"/>
      <c r="CM2"/>
      <c r="CN2"/>
      <c r="CO2"/>
      <c r="CP2"/>
      <c r="CQ2"/>
      <c r="CR2"/>
      <c r="CS2"/>
      <c r="CT2"/>
      <c r="CU2"/>
      <c r="CV2"/>
      <c r="CW2"/>
      <c r="CX2"/>
      <c r="CY2"/>
    </row>
    <row r="3" spans="1:103">
      <c r="C3" s="33" t="s">
        <v>14</v>
      </c>
      <c r="D3" s="3"/>
      <c r="E3" s="3"/>
      <c r="F3" s="3"/>
      <c r="G3" s="34"/>
      <c r="H3" s="35" t="s">
        <v>15</v>
      </c>
      <c r="I3" s="35" t="s">
        <v>16</v>
      </c>
      <c r="J3" s="35" t="s">
        <v>17</v>
      </c>
      <c r="K3" s="24" t="s">
        <v>18</v>
      </c>
      <c r="L3" s="24"/>
      <c r="N3" s="10">
        <f>(M77-H77-I77-F77)/[1]FTES!D77</f>
        <v>6297.5798271728827</v>
      </c>
      <c r="P3" s="19" t="s">
        <v>19</v>
      </c>
      <c r="Q3" s="36" t="s">
        <v>20</v>
      </c>
      <c r="R3" s="37" t="s">
        <v>21</v>
      </c>
      <c r="S3" s="37"/>
      <c r="U3" s="26"/>
      <c r="AD3" s="6"/>
      <c r="AE3" s="33" t="s">
        <v>22</v>
      </c>
      <c r="AF3" s="33" t="s">
        <v>23</v>
      </c>
      <c r="AG3" s="22"/>
      <c r="AH3" s="13"/>
      <c r="AI3" s="33" t="s">
        <v>24</v>
      </c>
      <c r="AJ3" s="33" t="s">
        <v>25</v>
      </c>
      <c r="AK3" s="33"/>
      <c r="AL3" s="33"/>
      <c r="AM3" s="33"/>
      <c r="AN3" s="33"/>
      <c r="AO3" s="33"/>
      <c r="AP3" s="33"/>
      <c r="AQ3" s="33"/>
      <c r="AR3" s="33" t="s">
        <v>26</v>
      </c>
      <c r="AS3" s="33" t="s">
        <v>27</v>
      </c>
      <c r="AU3" s="38" t="s">
        <v>28</v>
      </c>
      <c r="AY3" s="39"/>
      <c r="BD3" s="17"/>
      <c r="BJ3" s="18"/>
      <c r="BN3"/>
      <c r="CA3" s="19"/>
      <c r="CM3"/>
      <c r="CN3"/>
      <c r="CO3"/>
      <c r="CP3"/>
      <c r="CQ3"/>
      <c r="CR3"/>
      <c r="CS3"/>
      <c r="CT3"/>
      <c r="CU3"/>
      <c r="CV3"/>
      <c r="CW3"/>
      <c r="CX3"/>
      <c r="CY3"/>
    </row>
    <row r="4" spans="1:103" ht="15.75" thickBot="1">
      <c r="C4" s="40">
        <v>1.5699999999999999E-2</v>
      </c>
      <c r="D4" s="3"/>
      <c r="E4" s="3"/>
      <c r="F4" s="3"/>
      <c r="G4" s="41" t="s">
        <v>29</v>
      </c>
      <c r="H4" s="42">
        <v>2241825000</v>
      </c>
      <c r="I4" s="42">
        <v>425627000</v>
      </c>
      <c r="J4" s="42">
        <v>89421000</v>
      </c>
      <c r="K4" s="26">
        <f>J5</f>
        <v>89421000</v>
      </c>
      <c r="L4" s="26"/>
      <c r="O4" s="25">
        <f>P4-Q4</f>
        <v>-79378657</v>
      </c>
      <c r="P4" s="43">
        <f>2254121810+8583000-87994000+44322000+64139000-11000+12156</f>
        <v>2283172966</v>
      </c>
      <c r="Q4" s="44">
        <f>(AG81-AG37-AG40-AG71-AG59-AG61-AG78)-(AI81-AI37-AI40-AI71-AI59-AI61-AI78)-(AJ81-AJ37-AJ40-AJ71-AJ59-AJ61-AJ78)-688710000</f>
        <v>2362551623</v>
      </c>
      <c r="R4" s="37" t="s">
        <v>30</v>
      </c>
      <c r="S4" s="45"/>
      <c r="T4" s="45"/>
      <c r="U4" s="8"/>
      <c r="AB4" s="46"/>
      <c r="AC4" s="25"/>
      <c r="AD4" s="6"/>
      <c r="AE4" s="47">
        <v>2744.9578000000001</v>
      </c>
      <c r="AF4" s="47">
        <f>ROUND(AE4*(1+$C$4),8)</f>
        <v>2788.0536374600001</v>
      </c>
      <c r="AG4" s="48"/>
      <c r="AH4" s="13"/>
      <c r="AI4" s="47">
        <v>3232.0675999999999</v>
      </c>
      <c r="AJ4" s="47">
        <f>ROUND(AI4*(1+$C$4),8)</f>
        <v>3282.8110613200001</v>
      </c>
      <c r="AK4" s="49"/>
      <c r="AL4" s="49"/>
      <c r="AM4" s="49"/>
      <c r="AN4" s="49"/>
      <c r="AO4" s="49"/>
      <c r="AP4" s="49"/>
      <c r="AQ4" s="49"/>
      <c r="AR4" s="47">
        <v>4564.8251</v>
      </c>
      <c r="AS4" s="47">
        <f>ROUND(AR4*(1+$C$4),8)</f>
        <v>4636.4928540700002</v>
      </c>
      <c r="AU4" s="50">
        <v>69532</v>
      </c>
      <c r="AY4" s="32"/>
      <c r="AZ4" s="17"/>
      <c r="BB4" s="11"/>
      <c r="BC4" s="17"/>
      <c r="BD4" s="17"/>
      <c r="BE4" s="51"/>
      <c r="BF4" s="51"/>
      <c r="BG4" s="51"/>
      <c r="BH4" s="51"/>
      <c r="BI4" s="51"/>
      <c r="BJ4" s="18"/>
      <c r="BN4"/>
      <c r="CA4" s="19"/>
      <c r="CM4"/>
      <c r="CN4"/>
      <c r="CO4"/>
      <c r="CP4"/>
      <c r="CQ4"/>
      <c r="CR4"/>
      <c r="CS4"/>
      <c r="CT4"/>
      <c r="CU4"/>
      <c r="CV4"/>
      <c r="CW4"/>
      <c r="CX4"/>
      <c r="CY4"/>
    </row>
    <row r="5" spans="1:103" ht="13.5" thickBot="1">
      <c r="C5" s="52"/>
      <c r="D5" s="3"/>
      <c r="E5" s="3"/>
      <c r="F5" s="3"/>
      <c r="G5" s="53" t="s">
        <v>31</v>
      </c>
      <c r="H5" s="54">
        <f>ROUND((AJ81)-H4,0)</f>
        <v>42388580</v>
      </c>
      <c r="I5" s="54">
        <f>ROUND(AI81-I4,0)</f>
        <v>-19553307</v>
      </c>
      <c r="J5" s="54">
        <f>J4</f>
        <v>89421000</v>
      </c>
      <c r="K5" s="55"/>
      <c r="L5" s="56"/>
      <c r="O5">
        <v>2282752000</v>
      </c>
      <c r="P5" s="57">
        <v>2254121810</v>
      </c>
      <c r="Q5" s="16"/>
      <c r="R5" s="16"/>
      <c r="S5" s="16"/>
      <c r="U5" s="58"/>
      <c r="Z5" s="59"/>
      <c r="AD5" s="6"/>
      <c r="AE5" s="6"/>
      <c r="AF5" s="6"/>
      <c r="AG5" s="22"/>
      <c r="AH5" s="60"/>
      <c r="AI5" s="6"/>
      <c r="AK5" s="61"/>
      <c r="AL5" s="61"/>
      <c r="AM5" s="61"/>
      <c r="AN5" s="61"/>
      <c r="AO5" s="61"/>
      <c r="AP5" s="61"/>
      <c r="AQ5" s="61"/>
      <c r="AR5" s="6"/>
      <c r="AY5" s="62"/>
      <c r="AZ5" s="17"/>
      <c r="BA5" s="618" t="s">
        <v>32</v>
      </c>
      <c r="BB5" s="618"/>
      <c r="BC5" s="63" t="s">
        <v>33</v>
      </c>
      <c r="BD5" s="17"/>
      <c r="BJ5" s="18"/>
      <c r="BN5"/>
      <c r="CA5" s="19"/>
      <c r="CM5"/>
      <c r="CN5"/>
      <c r="CO5"/>
      <c r="CP5"/>
      <c r="CQ5"/>
      <c r="CR5"/>
      <c r="CS5"/>
      <c r="CT5"/>
      <c r="CU5"/>
      <c r="CV5"/>
      <c r="CW5"/>
      <c r="CX5"/>
      <c r="CY5"/>
    </row>
    <row r="6" spans="1:103" ht="40.5" customHeight="1" thickBot="1">
      <c r="B6" s="64" t="s">
        <v>34</v>
      </c>
      <c r="C6" s="65" t="s">
        <v>35</v>
      </c>
      <c r="D6" s="66" t="str">
        <f>+B6</f>
        <v>2012-13 R1 TCR</v>
      </c>
      <c r="E6" s="3"/>
      <c r="G6" s="67" t="s">
        <v>36</v>
      </c>
      <c r="H6" s="68">
        <v>0</v>
      </c>
      <c r="I6" s="68">
        <v>0</v>
      </c>
      <c r="J6" s="68">
        <v>0</v>
      </c>
      <c r="L6" s="12"/>
      <c r="O6" s="20"/>
      <c r="P6" s="10">
        <f>+P5+29050000</f>
        <v>2283171810</v>
      </c>
      <c r="Q6" s="9">
        <f>+P6-P4</f>
        <v>-1156</v>
      </c>
      <c r="R6" s="10">
        <v>419810</v>
      </c>
      <c r="S6" s="10">
        <v>265880</v>
      </c>
      <c r="T6" s="6">
        <f>+R6-S6</f>
        <v>153930</v>
      </c>
      <c r="V6" s="69"/>
      <c r="AC6" s="70" t="s">
        <v>37</v>
      </c>
      <c r="AF6" s="69"/>
      <c r="AI6" s="71"/>
      <c r="AK6" s="61"/>
      <c r="AL6" s="61"/>
      <c r="AM6" s="61"/>
      <c r="AN6" s="61"/>
      <c r="AO6" s="61"/>
      <c r="AP6" s="61"/>
      <c r="AQ6" s="61"/>
      <c r="AY6" s="619"/>
      <c r="AZ6" s="619"/>
      <c r="BB6" s="619"/>
      <c r="BC6" s="619"/>
      <c r="BD6" s="17"/>
      <c r="BN6" s="41"/>
      <c r="BT6" s="71"/>
      <c r="BU6" s="71"/>
      <c r="BV6" s="34"/>
    </row>
    <row r="7" spans="1:103" ht="44.25" customHeight="1" thickBot="1">
      <c r="B7" s="72"/>
      <c r="C7" s="29" t="s">
        <v>38</v>
      </c>
      <c r="D7" s="30" t="s">
        <v>39</v>
      </c>
      <c r="E7" t="s">
        <v>40</v>
      </c>
      <c r="F7" s="73" t="s">
        <v>37</v>
      </c>
      <c r="G7" s="22"/>
      <c r="H7" s="28" t="s">
        <v>38</v>
      </c>
      <c r="I7" s="29"/>
      <c r="J7" s="29" t="s">
        <v>41</v>
      </c>
      <c r="K7" s="74" t="s">
        <v>42</v>
      </c>
      <c r="L7" s="75" t="s">
        <v>43</v>
      </c>
      <c r="M7" s="30" t="s">
        <v>39</v>
      </c>
      <c r="N7" s="76" t="s">
        <v>44</v>
      </c>
      <c r="O7" s="28" t="s">
        <v>4</v>
      </c>
      <c r="P7" s="77" t="s">
        <v>45</v>
      </c>
      <c r="Q7" s="78" t="s">
        <v>46</v>
      </c>
      <c r="R7" s="79" t="s">
        <v>47</v>
      </c>
      <c r="S7" s="79" t="s">
        <v>48</v>
      </c>
      <c r="T7" s="33" t="s">
        <v>49</v>
      </c>
      <c r="U7" s="80" t="s">
        <v>6</v>
      </c>
      <c r="V7" s="74" t="s">
        <v>50</v>
      </c>
      <c r="W7" s="77" t="s">
        <v>41</v>
      </c>
      <c r="X7" s="33" t="s">
        <v>51</v>
      </c>
      <c r="Z7" s="33" t="s">
        <v>52</v>
      </c>
      <c r="AA7" s="81" t="s">
        <v>53</v>
      </c>
      <c r="AB7" s="82" t="s">
        <v>54</v>
      </c>
      <c r="AC7" s="83" t="s">
        <v>55</v>
      </c>
      <c r="AD7" s="84" t="s">
        <v>54</v>
      </c>
      <c r="AE7" s="80" t="s">
        <v>56</v>
      </c>
      <c r="AF7" s="85" t="s">
        <v>57</v>
      </c>
      <c r="AG7" s="77" t="s">
        <v>58</v>
      </c>
      <c r="AH7" s="86"/>
      <c r="AI7" s="87" t="s">
        <v>59</v>
      </c>
      <c r="AJ7" s="75" t="s">
        <v>50</v>
      </c>
      <c r="AK7" s="88" t="s">
        <v>60</v>
      </c>
      <c r="AL7" s="89" t="s">
        <v>61</v>
      </c>
      <c r="AM7" s="89"/>
      <c r="AN7" s="89"/>
      <c r="AO7" s="89"/>
      <c r="AP7" s="89"/>
      <c r="AQ7" s="89" t="s">
        <v>62</v>
      </c>
      <c r="AR7" s="77" t="s">
        <v>63</v>
      </c>
      <c r="AS7" s="79" t="s">
        <v>64</v>
      </c>
      <c r="AU7" s="79" t="s">
        <v>65</v>
      </c>
      <c r="AV7" s="90" t="s">
        <v>66</v>
      </c>
      <c r="AW7" s="90" t="s">
        <v>67</v>
      </c>
      <c r="AX7" s="91" t="s">
        <v>68</v>
      </c>
      <c r="AY7" s="92" t="s">
        <v>69</v>
      </c>
      <c r="BA7" s="87" t="s">
        <v>59</v>
      </c>
      <c r="BB7" s="75" t="s">
        <v>50</v>
      </c>
      <c r="BC7" s="75" t="s">
        <v>50</v>
      </c>
      <c r="BD7" s="93">
        <f>+BD88-BD92</f>
        <v>42590215</v>
      </c>
      <c r="BF7" s="94"/>
      <c r="BG7" s="94"/>
      <c r="BH7" s="94"/>
      <c r="BI7" s="94"/>
      <c r="BJ7" s="94"/>
      <c r="BK7" s="90" t="s">
        <v>66</v>
      </c>
      <c r="BL7" s="90" t="s">
        <v>67</v>
      </c>
      <c r="BN7"/>
      <c r="CA7" s="19"/>
      <c r="CM7"/>
    </row>
    <row r="8" spans="1:103" s="19" customFormat="1" ht="27" customHeight="1" thickBot="1">
      <c r="A8" s="19" t="s">
        <v>70</v>
      </c>
      <c r="B8" s="95"/>
      <c r="C8" s="96" t="s">
        <v>71</v>
      </c>
      <c r="D8" s="97" t="s">
        <v>72</v>
      </c>
      <c r="E8"/>
      <c r="F8" s="98" t="s">
        <v>55</v>
      </c>
      <c r="G8" s="3"/>
      <c r="H8" s="52" t="s">
        <v>73</v>
      </c>
      <c r="I8" s="99" t="s">
        <v>74</v>
      </c>
      <c r="J8" s="33" t="s">
        <v>44</v>
      </c>
      <c r="K8" s="33" t="s">
        <v>75</v>
      </c>
      <c r="L8" s="73" t="s">
        <v>76</v>
      </c>
      <c r="M8" s="52" t="s">
        <v>77</v>
      </c>
      <c r="N8" s="76" t="s">
        <v>78</v>
      </c>
      <c r="O8" s="52" t="s">
        <v>79</v>
      </c>
      <c r="P8" s="100" t="s">
        <v>80</v>
      </c>
      <c r="Q8" s="101" t="s">
        <v>81</v>
      </c>
      <c r="R8" s="102" t="s">
        <v>82</v>
      </c>
      <c r="S8" s="102" t="s">
        <v>83</v>
      </c>
      <c r="T8" s="103" t="s">
        <v>84</v>
      </c>
      <c r="U8" s="52" t="s">
        <v>85</v>
      </c>
      <c r="V8" s="52" t="s">
        <v>86</v>
      </c>
      <c r="W8" s="52" t="s">
        <v>59</v>
      </c>
      <c r="X8" s="103" t="s">
        <v>87</v>
      </c>
      <c r="Z8" s="104" t="s">
        <v>88</v>
      </c>
      <c r="AA8" s="105" t="s">
        <v>89</v>
      </c>
      <c r="AB8" s="106" t="s">
        <v>90</v>
      </c>
      <c r="AC8" s="104" t="s">
        <v>91</v>
      </c>
      <c r="AD8" s="107" t="s">
        <v>92</v>
      </c>
      <c r="AE8" s="108" t="s">
        <v>93</v>
      </c>
      <c r="AF8" s="52" t="s">
        <v>86</v>
      </c>
      <c r="AG8" s="109" t="s">
        <v>94</v>
      </c>
      <c r="AH8" s="110" t="s">
        <v>95</v>
      </c>
      <c r="AI8" s="111" t="s">
        <v>96</v>
      </c>
      <c r="AJ8" s="111" t="s">
        <v>97</v>
      </c>
      <c r="AK8" s="70" t="s">
        <v>98</v>
      </c>
      <c r="AL8" s="70" t="s">
        <v>99</v>
      </c>
      <c r="AM8" s="112" t="s">
        <v>100</v>
      </c>
      <c r="AN8" s="112" t="s">
        <v>101</v>
      </c>
      <c r="AO8" s="112" t="s">
        <v>102</v>
      </c>
      <c r="AP8" s="112" t="s">
        <v>103</v>
      </c>
      <c r="AQ8" s="70" t="s">
        <v>86</v>
      </c>
      <c r="AR8" s="52" t="s">
        <v>99</v>
      </c>
      <c r="AS8" s="104" t="s">
        <v>50</v>
      </c>
      <c r="AT8" s="113" t="s">
        <v>104</v>
      </c>
      <c r="AU8" s="104" t="s">
        <v>105</v>
      </c>
      <c r="AV8" s="114" t="s">
        <v>106</v>
      </c>
      <c r="AW8" s="94" t="s">
        <v>107</v>
      </c>
      <c r="AX8" s="91" t="s">
        <v>108</v>
      </c>
      <c r="AY8" s="115"/>
      <c r="AZ8" s="116"/>
      <c r="BA8" s="111" t="s">
        <v>96</v>
      </c>
      <c r="BB8" s="111" t="s">
        <v>97</v>
      </c>
      <c r="BC8" s="111" t="s">
        <v>97</v>
      </c>
      <c r="BD8" s="117" t="s">
        <v>109</v>
      </c>
      <c r="BF8" s="94"/>
      <c r="BG8" s="94"/>
      <c r="BH8" s="94"/>
      <c r="BI8" s="94"/>
      <c r="BJ8" s="94"/>
      <c r="BK8" s="114" t="s">
        <v>106</v>
      </c>
      <c r="BL8" s="94" t="s">
        <v>107</v>
      </c>
    </row>
    <row r="9" spans="1:103" s="144" customFormat="1">
      <c r="A9" s="16" t="s">
        <v>110</v>
      </c>
      <c r="B9" s="118">
        <v>45909880</v>
      </c>
      <c r="C9" s="119">
        <v>0</v>
      </c>
      <c r="D9" s="120">
        <f>B9+C9</f>
        <v>45909880</v>
      </c>
      <c r="E9" s="10"/>
      <c r="F9" s="121">
        <f>+'[1]Foundation Grant (OLD)'!N9</f>
        <v>5535909</v>
      </c>
      <c r="G9" s="122">
        <f>M9-D9</f>
        <v>0</v>
      </c>
      <c r="H9" s="123">
        <f>ROUND($AE$4*[1]FTES!O9,0)</f>
        <v>1631603</v>
      </c>
      <c r="I9" s="123">
        <f>ROUND($AI$4*[1]FTES!Z9,0)</f>
        <v>1035167</v>
      </c>
      <c r="J9" s="124">
        <f>ROUND($AR$4*[1]FTES!D9,0)</f>
        <v>37707201</v>
      </c>
      <c r="K9" s="125">
        <f>J9+H9+F9+I9</f>
        <v>45909880</v>
      </c>
      <c r="L9" s="125">
        <v>0</v>
      </c>
      <c r="M9" s="125">
        <f t="shared" ref="M9:M72" si="0">SUM(K9:L9)</f>
        <v>45909880</v>
      </c>
      <c r="N9" s="126">
        <f>(M9-H9-I9-F9)/[1]FTES!D9</f>
        <v>4564.8251511694007</v>
      </c>
      <c r="O9" s="125">
        <f>ROUND((M9+'[1]Restoration and Growth'!BM9)*$C$4,0)</f>
        <v>720785</v>
      </c>
      <c r="P9" s="125">
        <f>ROUND(M9+O9+'[1]Restoration and Growth'!BM9,0)</f>
        <v>46630665</v>
      </c>
      <c r="Q9" s="127">
        <f>ROUND(N9*(1+$C$4),6)</f>
        <v>4636.4929060000004</v>
      </c>
      <c r="R9" s="125">
        <f t="shared" ref="R9:R72" si="1">M9-P9</f>
        <v>-720785</v>
      </c>
      <c r="S9" s="128">
        <f>+'[1]13-14 $86M Workload Restore'!AJ7</f>
        <v>952922</v>
      </c>
      <c r="T9" s="129">
        <f>+'[1]13-14 $86M Workload Restore'!AA7</f>
        <v>0</v>
      </c>
      <c r="U9" s="129">
        <f>'[1]Growth Deficit'!X9</f>
        <v>202.18767400000002</v>
      </c>
      <c r="V9" s="125">
        <f>-1* '[1]Growth Deficit'!AR9</f>
        <v>-202.18767400000002</v>
      </c>
      <c r="W9" s="125">
        <f>ROUND(U9+V9,0)</f>
        <v>0</v>
      </c>
      <c r="X9" s="129">
        <f>'[1]Restoration and Growth'!AQ9</f>
        <v>0</v>
      </c>
      <c r="Y9" s="125"/>
      <c r="Z9" s="130">
        <f>[1]FTES!AT9</f>
        <v>0</v>
      </c>
      <c r="AA9" s="131">
        <v>0</v>
      </c>
      <c r="AB9" s="125"/>
      <c r="AC9" s="132">
        <f>+'[1]Foundation Grant'!N9-'[1]Foundation Grant (OLD)'!N9</f>
        <v>0</v>
      </c>
      <c r="AD9" s="125">
        <f t="shared" ref="AD9:AD72" si="2">ROUND(AC9*C$4,0)</f>
        <v>0</v>
      </c>
      <c r="AE9" s="125">
        <f>P9+T9+W9+X9+AA9+Z9+AB9+AC9+AD9+S9</f>
        <v>47583587</v>
      </c>
      <c r="AF9" s="131">
        <f t="shared" ref="AF9:AF36" si="3">ROUND((1-$AF$82)* AE9,0)</f>
        <v>309876</v>
      </c>
      <c r="AG9" s="125">
        <f t="shared" ref="AG9:AG72" si="4">AE9-AF9+AH9</f>
        <v>47273711</v>
      </c>
      <c r="AH9" s="133">
        <v>0</v>
      </c>
      <c r="AI9" s="133">
        <v>2590500</v>
      </c>
      <c r="AJ9" s="125">
        <f t="shared" ref="AJ9:AJ72" si="5">+BC9-BD9</f>
        <v>12365028</v>
      </c>
      <c r="AK9" s="134">
        <f>+'[1]13-14 deferrals, growth, EPA 1'!I9</f>
        <v>7227157</v>
      </c>
      <c r="AL9" s="135">
        <f t="shared" ref="AL9:AL72" si="6">+AK9+AR9</f>
        <v>32318183</v>
      </c>
      <c r="AM9" s="135">
        <f>+'[1]13-14 deferrals, growth, EPA 1'!AA9</f>
        <v>79821</v>
      </c>
      <c r="AN9" s="135">
        <f>+'[1]13-14 deferrals, growth, EPA 1'!AB9</f>
        <v>412191</v>
      </c>
      <c r="AO9" s="135">
        <f>+'[1]13-14 deferrals, growth, EPA 1'!AC9</f>
        <v>596488</v>
      </c>
      <c r="AP9" s="135">
        <f>+AR9-SUM(AM9:AO9)</f>
        <v>24002526</v>
      </c>
      <c r="AQ9" s="135">
        <f t="shared" ref="AQ9:AQ72" si="7">IF((+AE9-AI9-AJ9-AL9)&lt;=0,0,(+AE9-AI9-AJ9-AL9))</f>
        <v>309876</v>
      </c>
      <c r="AR9" s="125">
        <f t="shared" ref="AR9:AR72" si="8">IF(AI9+AJ9+AK9&lt;=AG9,AG9-AI9-AJ9-AK9,0)</f>
        <v>25091026</v>
      </c>
      <c r="AS9" s="136">
        <f t="shared" ref="AS9:AS21" si="9">IF(AI9+AJ9&gt;AG9,AI9+AJ9-AG9,0)</f>
        <v>0</v>
      </c>
      <c r="AT9" s="137">
        <f t="shared" ref="AT9:AT72" si="10">+AG9/AE9</f>
        <v>0.99348775450661175</v>
      </c>
      <c r="AU9" s="138">
        <f t="shared" ref="AU9:AU72" si="11">AE9-X9-AA9-AB9</f>
        <v>47583587</v>
      </c>
      <c r="AV9" s="139">
        <f>'[1]13-14 deferrals, growth, EPA 1'!BX9</f>
        <v>0</v>
      </c>
      <c r="AW9" s="10">
        <f>ROUND(-AV9*$AU$4,0)</f>
        <v>0</v>
      </c>
      <c r="AX9" s="140">
        <v>0</v>
      </c>
      <c r="AY9" s="141">
        <v>0</v>
      </c>
      <c r="AZ9" s="142"/>
      <c r="BA9" s="133">
        <v>2815900</v>
      </c>
      <c r="BB9" s="143">
        <v>12584581</v>
      </c>
      <c r="BC9" s="133">
        <v>12668582</v>
      </c>
      <c r="BD9" s="142">
        <f t="shared" ref="BD9:BD36" si="12">ROUND(+BC9*BD$83,0)</f>
        <v>303554</v>
      </c>
      <c r="BE9" s="142"/>
      <c r="BF9" s="142"/>
      <c r="BG9" s="142"/>
      <c r="BH9" s="142"/>
      <c r="BI9" s="142"/>
      <c r="BJ9" s="142"/>
      <c r="BK9" s="139">
        <v>0</v>
      </c>
      <c r="BL9" s="10">
        <f>ROUND(-BK9*$AR$4,0)</f>
        <v>0</v>
      </c>
      <c r="BM9" s="16"/>
      <c r="BN9" s="16"/>
      <c r="BO9" s="16"/>
      <c r="BP9" s="16"/>
      <c r="BQ9" s="16"/>
      <c r="BR9" s="16"/>
      <c r="BS9" s="16"/>
      <c r="BT9" s="16"/>
      <c r="BU9" s="16"/>
      <c r="BV9" s="16"/>
      <c r="BW9" s="16"/>
      <c r="BX9" s="16"/>
      <c r="BY9" s="16"/>
      <c r="BZ9" s="16"/>
      <c r="CA9" s="116"/>
      <c r="CB9" s="16"/>
      <c r="CC9" s="16"/>
      <c r="CD9" s="16"/>
      <c r="CE9" s="16"/>
      <c r="CF9" s="16"/>
      <c r="CG9" s="16"/>
      <c r="CH9" s="16"/>
      <c r="CI9" s="16"/>
      <c r="CJ9" s="16"/>
      <c r="CK9" s="16"/>
      <c r="CL9" s="16"/>
      <c r="CM9" s="16"/>
    </row>
    <row r="10" spans="1:103" s="144" customFormat="1">
      <c r="A10" s="16" t="s">
        <v>111</v>
      </c>
      <c r="B10" s="118">
        <v>54010563</v>
      </c>
      <c r="C10" s="119">
        <v>0</v>
      </c>
      <c r="D10" s="120">
        <f t="shared" ref="D10:D73" si="13">B10+C10</f>
        <v>54010563</v>
      </c>
      <c r="E10" s="10"/>
      <c r="F10" s="121">
        <f>+'[1]Foundation Grant (OLD)'!N10</f>
        <v>5535909</v>
      </c>
      <c r="G10" s="122">
        <f t="shared" ref="G10:G73" si="14">M10-D10</f>
        <v>0</v>
      </c>
      <c r="H10" s="123">
        <f>ROUND($AE$4*[1]FTES!O10,0)</f>
        <v>0</v>
      </c>
      <c r="I10" s="123">
        <f>ROUND($AI$4*[1]FTES!Z10,0)</f>
        <v>0</v>
      </c>
      <c r="J10" s="124">
        <f>ROUND($AR$4*[1]FTES!D10,0)</f>
        <v>48474654</v>
      </c>
      <c r="K10" s="125">
        <f t="shared" ref="K10:K73" si="15">J10+H10+F10+I10</f>
        <v>54010563</v>
      </c>
      <c r="L10" s="125">
        <v>0</v>
      </c>
      <c r="M10" s="125">
        <f t="shared" si="0"/>
        <v>54010563</v>
      </c>
      <c r="N10" s="126">
        <f>(M10-H10-I10-F10)/[1]FTES!D10</f>
        <v>4564.8250919170332</v>
      </c>
      <c r="O10" s="125">
        <f>ROUND((M10+'[1]Restoration and Growth'!BM10)*$C$4,0)</f>
        <v>847966</v>
      </c>
      <c r="P10" s="125">
        <f>ROUND(M10+O10+'[1]Restoration and Growth'!BM10,0)</f>
        <v>54858529</v>
      </c>
      <c r="Q10" s="127">
        <f t="shared" ref="Q10:Q73" si="16">ROUND(N10*(1+$C$4),6)</f>
        <v>4636.4928460000001</v>
      </c>
      <c r="R10" s="125">
        <f t="shared" si="1"/>
        <v>-847966</v>
      </c>
      <c r="S10" s="128">
        <f>+'[1]13-14 $86M Workload Restore'!AJ8</f>
        <v>1302521</v>
      </c>
      <c r="T10" s="129">
        <f>+'[1]13-14 $86M Workload Restore'!AA8</f>
        <v>0</v>
      </c>
      <c r="U10" s="129">
        <f>'[1]Growth Deficit'!X10</f>
        <v>521.319928</v>
      </c>
      <c r="V10" s="125">
        <f>-1* '[1]Growth Deficit'!AR10</f>
        <v>-521.319928</v>
      </c>
      <c r="W10" s="125">
        <f t="shared" ref="W10:W73" si="17">ROUND(U10+V10,0)</f>
        <v>0</v>
      </c>
      <c r="X10" s="129">
        <f>'[1]Restoration and Growth'!AQ10</f>
        <v>0</v>
      </c>
      <c r="Y10" s="125"/>
      <c r="Z10" s="130">
        <f>[1]FTES!AT10</f>
        <v>0</v>
      </c>
      <c r="AA10" s="131">
        <v>0</v>
      </c>
      <c r="AB10" s="125"/>
      <c r="AC10" s="132">
        <f>+'[1]Foundation Grant'!N10-'[1]Foundation Grant (OLD)'!N10</f>
        <v>0</v>
      </c>
      <c r="AD10" s="125">
        <f t="shared" si="2"/>
        <v>0</v>
      </c>
      <c r="AE10" s="125">
        <f t="shared" ref="AE10:AE73" si="18">P10+T10+W10+X10+AA10+Z10+AB10+AC10+AD10+S10</f>
        <v>56161050</v>
      </c>
      <c r="AF10" s="131">
        <f t="shared" si="3"/>
        <v>365735</v>
      </c>
      <c r="AG10" s="125">
        <f t="shared" si="4"/>
        <v>55795315</v>
      </c>
      <c r="AH10" s="133">
        <v>0</v>
      </c>
      <c r="AI10" s="133">
        <v>2369697</v>
      </c>
      <c r="AJ10" s="125">
        <f t="shared" si="5"/>
        <v>5476384</v>
      </c>
      <c r="AK10" s="134">
        <f>+'[1]13-14 deferrals, growth, EPA 1'!I10</f>
        <v>8640406</v>
      </c>
      <c r="AL10" s="135">
        <f t="shared" si="6"/>
        <v>47949234</v>
      </c>
      <c r="AM10" s="135">
        <f>+'[1]13-14 deferrals, growth, EPA 1'!AA10</f>
        <v>94199</v>
      </c>
      <c r="AN10" s="135">
        <f>+'[1]13-14 deferrals, growth, EPA 1'!AB10</f>
        <v>486435</v>
      </c>
      <c r="AO10" s="135">
        <f>+'[1]13-14 deferrals, growth, EPA 1'!AC10</f>
        <v>703927</v>
      </c>
      <c r="AP10" s="135">
        <f t="shared" ref="AP10:AP73" si="19">+AR10-SUM(AM10:AO10)</f>
        <v>38024267</v>
      </c>
      <c r="AQ10" s="135">
        <f t="shared" si="7"/>
        <v>365735</v>
      </c>
      <c r="AR10" s="125">
        <f t="shared" si="8"/>
        <v>39308828</v>
      </c>
      <c r="AS10" s="136">
        <f t="shared" si="9"/>
        <v>0</v>
      </c>
      <c r="AT10" s="137">
        <f t="shared" si="10"/>
        <v>0.99348774640075288</v>
      </c>
      <c r="AU10" s="138">
        <f t="shared" si="11"/>
        <v>56161050</v>
      </c>
      <c r="AV10" s="139">
        <f>'[1]13-14 deferrals, growth, EPA 1'!BX10</f>
        <v>0</v>
      </c>
      <c r="AW10" s="10">
        <f t="shared" ref="AW10:AW73" si="20">ROUND(-AV10*$AU$4,0)</f>
        <v>0</v>
      </c>
      <c r="AX10" s="140">
        <v>0</v>
      </c>
      <c r="AY10" s="141">
        <v>0</v>
      </c>
      <c r="AZ10" s="142"/>
      <c r="BA10" s="133">
        <v>2284153</v>
      </c>
      <c r="BB10" s="143">
        <v>5087521</v>
      </c>
      <c r="BC10" s="133">
        <v>5610826</v>
      </c>
      <c r="BD10" s="142">
        <f t="shared" si="12"/>
        <v>134442</v>
      </c>
      <c r="BE10" s="142"/>
      <c r="BF10" s="142"/>
      <c r="BG10" s="142"/>
      <c r="BH10" s="142"/>
      <c r="BI10" s="142"/>
      <c r="BJ10" s="142"/>
      <c r="BK10" s="139">
        <v>0</v>
      </c>
      <c r="BL10" s="10">
        <f t="shared" ref="BL10:BL73" si="21">ROUND(-BK10*$AR$4,0)</f>
        <v>0</v>
      </c>
      <c r="BM10" s="16"/>
      <c r="BN10" s="16"/>
      <c r="BO10" s="16"/>
      <c r="BP10" s="16"/>
      <c r="BQ10" s="16"/>
      <c r="BR10" s="16"/>
      <c r="BS10" s="16"/>
      <c r="BT10" s="16"/>
      <c r="BU10" s="16"/>
      <c r="BV10" s="16"/>
      <c r="BW10" s="16"/>
      <c r="BX10" s="16"/>
      <c r="BY10" s="16"/>
      <c r="BZ10" s="16"/>
      <c r="CA10" s="116"/>
      <c r="CB10" s="16"/>
      <c r="CC10" s="16"/>
      <c r="CD10" s="16"/>
      <c r="CE10" s="16"/>
      <c r="CF10" s="16"/>
      <c r="CG10" s="16"/>
      <c r="CH10" s="16"/>
      <c r="CI10" s="16"/>
      <c r="CJ10" s="16"/>
      <c r="CK10" s="16"/>
      <c r="CL10" s="16"/>
      <c r="CM10" s="16"/>
    </row>
    <row r="11" spans="1:103" s="144" customFormat="1">
      <c r="A11" s="16" t="s">
        <v>112</v>
      </c>
      <c r="B11" s="118">
        <v>14697534</v>
      </c>
      <c r="C11" s="119">
        <v>0</v>
      </c>
      <c r="D11" s="120">
        <f t="shared" si="13"/>
        <v>14697534</v>
      </c>
      <c r="E11" s="10"/>
      <c r="F11" s="121">
        <f>+'[1]Foundation Grant (OLD)'!N11</f>
        <v>3875136</v>
      </c>
      <c r="G11" s="122">
        <f t="shared" si="14"/>
        <v>0</v>
      </c>
      <c r="H11" s="123">
        <f>ROUND($AE$4*[1]FTES!O11,0)</f>
        <v>157643</v>
      </c>
      <c r="I11" s="123">
        <f>ROUND($AI$4*[1]FTES!Z11,0)</f>
        <v>0</v>
      </c>
      <c r="J11" s="124">
        <f>ROUND($AR$4*[1]FTES!D11,0)</f>
        <v>10664755</v>
      </c>
      <c r="K11" s="125">
        <f t="shared" si="15"/>
        <v>14697534</v>
      </c>
      <c r="L11" s="125">
        <v>0</v>
      </c>
      <c r="M11" s="125">
        <f t="shared" si="0"/>
        <v>14697534</v>
      </c>
      <c r="N11" s="126">
        <f>(M11-H11-I11-F11)/[1]FTES!D11</f>
        <v>4564.8249885977557</v>
      </c>
      <c r="O11" s="125">
        <f>ROUND((M11+'[1]Restoration and Growth'!BM11)*$C$4,0)</f>
        <v>230751</v>
      </c>
      <c r="P11" s="125">
        <f>ROUND(M11+O11+'[1]Restoration and Growth'!BM11,0)</f>
        <v>14928285</v>
      </c>
      <c r="Q11" s="127">
        <f t="shared" si="16"/>
        <v>4636.492741</v>
      </c>
      <c r="R11" s="125">
        <f t="shared" si="1"/>
        <v>-230751</v>
      </c>
      <c r="S11" s="128">
        <f>+'[1]13-14 $86M Workload Restore'!AJ9</f>
        <v>0</v>
      </c>
      <c r="T11" s="129">
        <f>+'[1]13-14 $86M Workload Restore'!AA9</f>
        <v>0</v>
      </c>
      <c r="U11" s="129">
        <f>'[1]Growth Deficit'!X11</f>
        <v>203.14999399999999</v>
      </c>
      <c r="V11" s="125">
        <f>-1* '[1]Growth Deficit'!AR11</f>
        <v>-203.14999399999999</v>
      </c>
      <c r="W11" s="125">
        <f t="shared" si="17"/>
        <v>0</v>
      </c>
      <c r="X11" s="129">
        <f>'[1]Restoration and Growth'!AQ11</f>
        <v>0</v>
      </c>
      <c r="Y11" s="125"/>
      <c r="Z11" s="130">
        <f>[1]FTES!AT11</f>
        <v>0</v>
      </c>
      <c r="AA11" s="131">
        <v>0</v>
      </c>
      <c r="AB11" s="125"/>
      <c r="AC11" s="132">
        <f>+'[1]Foundation Grant'!N11-'[1]Foundation Grant (OLD)'!N11</f>
        <v>0</v>
      </c>
      <c r="AD11" s="125">
        <f t="shared" si="2"/>
        <v>0</v>
      </c>
      <c r="AE11" s="125">
        <f t="shared" si="18"/>
        <v>14928285</v>
      </c>
      <c r="AF11" s="131">
        <f t="shared" si="3"/>
        <v>97217</v>
      </c>
      <c r="AG11" s="125">
        <f t="shared" si="4"/>
        <v>14831068</v>
      </c>
      <c r="AH11" s="133">
        <v>0</v>
      </c>
      <c r="AI11" s="133">
        <v>515721</v>
      </c>
      <c r="AJ11" s="125">
        <f t="shared" si="5"/>
        <v>3450414</v>
      </c>
      <c r="AK11" s="134">
        <f>+'[1]13-14 deferrals, growth, EPA 1'!I11</f>
        <v>2315064</v>
      </c>
      <c r="AL11" s="135">
        <f t="shared" si="6"/>
        <v>10864933</v>
      </c>
      <c r="AM11" s="135">
        <f>+'[1]13-14 deferrals, growth, EPA 1'!AA11</f>
        <v>25002</v>
      </c>
      <c r="AN11" s="135">
        <f>+'[1]13-14 deferrals, growth, EPA 1'!AB11</f>
        <v>129109</v>
      </c>
      <c r="AO11" s="135">
        <f>+'[1]13-14 deferrals, growth, EPA 1'!AC11</f>
        <v>186836</v>
      </c>
      <c r="AP11" s="135">
        <f t="shared" si="19"/>
        <v>8208922</v>
      </c>
      <c r="AQ11" s="135">
        <f t="shared" si="7"/>
        <v>97217</v>
      </c>
      <c r="AR11" s="125">
        <f t="shared" si="8"/>
        <v>8549869</v>
      </c>
      <c r="AS11" s="136">
        <f t="shared" si="9"/>
        <v>0</v>
      </c>
      <c r="AT11" s="137">
        <f t="shared" si="10"/>
        <v>0.99348773151102088</v>
      </c>
      <c r="AU11" s="138">
        <f t="shared" si="11"/>
        <v>14928285</v>
      </c>
      <c r="AV11" s="139">
        <f>'[1]13-14 deferrals, growth, EPA 1'!BX11</f>
        <v>0</v>
      </c>
      <c r="AW11" s="10">
        <f t="shared" si="20"/>
        <v>0</v>
      </c>
      <c r="AX11" s="140">
        <v>0</v>
      </c>
      <c r="AY11" s="141">
        <v>0</v>
      </c>
      <c r="AZ11" s="142"/>
      <c r="BA11" s="133">
        <v>651040</v>
      </c>
      <c r="BB11" s="143">
        <v>2484556</v>
      </c>
      <c r="BC11" s="133">
        <v>3535119</v>
      </c>
      <c r="BD11" s="142">
        <f t="shared" si="12"/>
        <v>84705</v>
      </c>
      <c r="BE11" s="142"/>
      <c r="BF11" s="142"/>
      <c r="BG11" s="142"/>
      <c r="BH11" s="142"/>
      <c r="BI11" s="142"/>
      <c r="BJ11" s="142"/>
      <c r="BK11" s="139">
        <v>0</v>
      </c>
      <c r="BL11" s="10">
        <f t="shared" si="21"/>
        <v>0</v>
      </c>
      <c r="BM11" s="16"/>
      <c r="BN11" s="16"/>
      <c r="BO11" s="16"/>
      <c r="BP11" s="16"/>
      <c r="BQ11" s="16"/>
      <c r="BR11" s="16"/>
      <c r="BS11" s="16"/>
      <c r="BT11" s="16"/>
      <c r="BU11" s="16"/>
      <c r="BV11" s="16"/>
      <c r="BW11" s="16"/>
      <c r="BX11" s="16"/>
      <c r="BY11" s="16"/>
      <c r="BZ11" s="16"/>
      <c r="CA11" s="116"/>
      <c r="CB11" s="16"/>
      <c r="CC11" s="16"/>
      <c r="CD11" s="16"/>
      <c r="CE11" s="16"/>
      <c r="CF11" s="16"/>
      <c r="CG11" s="16"/>
      <c r="CH11" s="16"/>
      <c r="CI11" s="16"/>
      <c r="CJ11" s="16"/>
      <c r="CK11" s="16"/>
      <c r="CL11" s="16"/>
      <c r="CM11" s="16"/>
    </row>
    <row r="12" spans="1:103" s="144" customFormat="1">
      <c r="A12" s="16" t="s">
        <v>113</v>
      </c>
      <c r="B12" s="118">
        <v>53476616</v>
      </c>
      <c r="C12" s="119">
        <v>0</v>
      </c>
      <c r="D12" s="120">
        <f t="shared" si="13"/>
        <v>53476616</v>
      </c>
      <c r="E12" s="10"/>
      <c r="F12" s="121">
        <f>+'[1]Foundation Grant (OLD)'!N12</f>
        <v>5535909</v>
      </c>
      <c r="G12" s="122">
        <f t="shared" si="14"/>
        <v>0</v>
      </c>
      <c r="H12" s="123">
        <f>ROUND($AE$4*[1]FTES!O12,0)</f>
        <v>2534337</v>
      </c>
      <c r="I12" s="123">
        <f>ROUND($AI$4*[1]FTES!Z12,0)</f>
        <v>81157</v>
      </c>
      <c r="J12" s="124">
        <f>ROUND($AR$4*[1]FTES!D12,0)</f>
        <v>45325213</v>
      </c>
      <c r="K12" s="125">
        <f t="shared" si="15"/>
        <v>53476616</v>
      </c>
      <c r="L12" s="125">
        <v>0</v>
      </c>
      <c r="M12" s="125">
        <f t="shared" si="0"/>
        <v>53476616</v>
      </c>
      <c r="N12" s="126">
        <f>(M12-H12-I12-F12)/[1]FTES!D12</f>
        <v>4564.8250959609868</v>
      </c>
      <c r="O12" s="125">
        <f>ROUND((M12+'[1]Restoration and Growth'!BM12)*$C$4,0)</f>
        <v>839583</v>
      </c>
      <c r="P12" s="125">
        <f>ROUND(M12+O12+'[1]Restoration and Growth'!BM12,0)</f>
        <v>54316199</v>
      </c>
      <c r="Q12" s="127">
        <f t="shared" si="16"/>
        <v>4636.4928499999996</v>
      </c>
      <c r="R12" s="125">
        <f t="shared" si="1"/>
        <v>-839583</v>
      </c>
      <c r="S12" s="128">
        <f>+'[1]13-14 $86M Workload Restore'!AJ10</f>
        <v>1067899</v>
      </c>
      <c r="T12" s="129">
        <f>+'[1]13-14 $86M Workload Restore'!AA10</f>
        <v>0</v>
      </c>
      <c r="U12" s="129">
        <f>'[1]Growth Deficit'!X12</f>
        <v>267.09677699999997</v>
      </c>
      <c r="V12" s="125">
        <f>-1* '[1]Growth Deficit'!AR12</f>
        <v>-267.09677699999997</v>
      </c>
      <c r="W12" s="125">
        <f t="shared" si="17"/>
        <v>0</v>
      </c>
      <c r="X12" s="129">
        <f>'[1]Restoration and Growth'!AQ12</f>
        <v>0</v>
      </c>
      <c r="Y12" s="125"/>
      <c r="Z12" s="130">
        <f>[1]FTES!AT12</f>
        <v>0</v>
      </c>
      <c r="AA12" s="131">
        <v>0</v>
      </c>
      <c r="AB12" s="125"/>
      <c r="AC12" s="132">
        <f>+'[1]Foundation Grant'!N12-'[1]Foundation Grant (OLD)'!N12</f>
        <v>0</v>
      </c>
      <c r="AD12" s="125">
        <f t="shared" si="2"/>
        <v>0</v>
      </c>
      <c r="AE12" s="125">
        <f t="shared" si="18"/>
        <v>55384098</v>
      </c>
      <c r="AF12" s="131">
        <f t="shared" si="3"/>
        <v>360675</v>
      </c>
      <c r="AG12" s="125">
        <f t="shared" si="4"/>
        <v>55023423</v>
      </c>
      <c r="AH12" s="133">
        <v>0</v>
      </c>
      <c r="AI12" s="133">
        <v>3293602</v>
      </c>
      <c r="AJ12" s="125">
        <f t="shared" si="5"/>
        <v>11906112</v>
      </c>
      <c r="AK12" s="134">
        <f>+'[1]13-14 deferrals, growth, EPA 1'!I12</f>
        <v>8367201</v>
      </c>
      <c r="AL12" s="135">
        <f t="shared" si="6"/>
        <v>39823709</v>
      </c>
      <c r="AM12" s="135">
        <f>+'[1]13-14 deferrals, growth, EPA 1'!AA12</f>
        <v>92578</v>
      </c>
      <c r="AN12" s="135">
        <f>+'[1]13-14 deferrals, growth, EPA 1'!AB12</f>
        <v>478068</v>
      </c>
      <c r="AO12" s="135">
        <f>+'[1]13-14 deferrals, growth, EPA 1'!AC12</f>
        <v>691820</v>
      </c>
      <c r="AP12" s="135">
        <f t="shared" si="19"/>
        <v>30194042</v>
      </c>
      <c r="AQ12" s="135">
        <f t="shared" si="7"/>
        <v>360675</v>
      </c>
      <c r="AR12" s="125">
        <f t="shared" si="8"/>
        <v>31456508</v>
      </c>
      <c r="AS12" s="136">
        <f t="shared" si="9"/>
        <v>0</v>
      </c>
      <c r="AT12" s="137">
        <f t="shared" si="10"/>
        <v>0.99348775166474679</v>
      </c>
      <c r="AU12" s="138">
        <f t="shared" si="11"/>
        <v>55384098</v>
      </c>
      <c r="AV12" s="139">
        <f>'[1]13-14 deferrals, growth, EPA 1'!BX12</f>
        <v>0</v>
      </c>
      <c r="AW12" s="10">
        <f t="shared" si="20"/>
        <v>0</v>
      </c>
      <c r="AX12" s="140">
        <v>0</v>
      </c>
      <c r="AY12" s="141">
        <v>0</v>
      </c>
      <c r="AZ12" s="142"/>
      <c r="BA12" s="133">
        <v>3101676</v>
      </c>
      <c r="BB12" s="143">
        <v>13048644</v>
      </c>
      <c r="BC12" s="133">
        <v>12198399</v>
      </c>
      <c r="BD12" s="142">
        <f t="shared" si="12"/>
        <v>292287</v>
      </c>
      <c r="BE12" s="142"/>
      <c r="BF12" s="142"/>
      <c r="BG12" s="142"/>
      <c r="BH12" s="142"/>
      <c r="BI12" s="142"/>
      <c r="BJ12" s="142"/>
      <c r="BK12" s="139">
        <v>0</v>
      </c>
      <c r="BL12" s="10">
        <f t="shared" si="21"/>
        <v>0</v>
      </c>
      <c r="BM12" s="16"/>
      <c r="BN12" s="16"/>
      <c r="BO12" s="16"/>
      <c r="BP12" s="16"/>
      <c r="BQ12" s="16"/>
      <c r="BR12" s="16"/>
      <c r="BS12" s="16"/>
      <c r="BT12" s="16"/>
      <c r="BU12" s="16"/>
      <c r="BV12" s="16"/>
      <c r="BW12" s="16"/>
      <c r="BX12" s="16"/>
      <c r="BY12" s="16"/>
      <c r="BZ12" s="16"/>
      <c r="CA12" s="116"/>
      <c r="CB12" s="16"/>
      <c r="CC12" s="16"/>
      <c r="CD12" s="16"/>
      <c r="CE12" s="16"/>
      <c r="CF12" s="16"/>
      <c r="CG12" s="16"/>
      <c r="CH12" s="16"/>
      <c r="CI12" s="16"/>
      <c r="CJ12" s="16"/>
      <c r="CK12" s="16"/>
      <c r="CL12" s="16"/>
      <c r="CM12" s="16"/>
    </row>
    <row r="13" spans="1:103" s="144" customFormat="1">
      <c r="A13" s="16" t="s">
        <v>114</v>
      </c>
      <c r="B13" s="118">
        <v>54804977</v>
      </c>
      <c r="C13" s="119">
        <v>0</v>
      </c>
      <c r="D13" s="120">
        <f t="shared" si="13"/>
        <v>54804977</v>
      </c>
      <c r="E13" s="10"/>
      <c r="F13" s="121">
        <f>+'[1]Foundation Grant (OLD)'!N13</f>
        <v>5535909</v>
      </c>
      <c r="G13" s="122">
        <f t="shared" si="14"/>
        <v>0</v>
      </c>
      <c r="H13" s="123">
        <f>ROUND($AE$4*[1]FTES!O13,0)</f>
        <v>643775</v>
      </c>
      <c r="I13" s="123">
        <f>ROUND($AI$4*[1]FTES!Z13,0)</f>
        <v>0</v>
      </c>
      <c r="J13" s="124">
        <f>ROUND($AR$4*[1]FTES!D13,0)</f>
        <v>48625293</v>
      </c>
      <c r="K13" s="125">
        <f t="shared" si="15"/>
        <v>54804977</v>
      </c>
      <c r="L13" s="125">
        <v>0</v>
      </c>
      <c r="M13" s="125">
        <f t="shared" si="0"/>
        <v>54804977</v>
      </c>
      <c r="N13" s="126">
        <f>(M13-H13-I13-F13)/[1]FTES!D13</f>
        <v>4564.8251112206226</v>
      </c>
      <c r="O13" s="125">
        <f>ROUND((M13+'[1]Restoration and Growth'!BM13)*$C$4,0)</f>
        <v>806287</v>
      </c>
      <c r="P13" s="125">
        <f>ROUND(M13+O13+'[1]Restoration and Growth'!BM13,0)</f>
        <v>52162121</v>
      </c>
      <c r="Q13" s="127">
        <f t="shared" si="16"/>
        <v>4636.4928650000002</v>
      </c>
      <c r="R13" s="125">
        <f t="shared" si="1"/>
        <v>2642856</v>
      </c>
      <c r="S13" s="128">
        <f>+'[1]13-14 $86M Workload Restore'!AJ11</f>
        <v>0</v>
      </c>
      <c r="T13" s="129">
        <f>+'[1]13-14 $86M Workload Restore'!AA11</f>
        <v>0</v>
      </c>
      <c r="U13" s="129">
        <f>'[1]Growth Deficit'!X13</f>
        <v>0</v>
      </c>
      <c r="V13" s="125">
        <f>-1* '[1]Growth Deficit'!AR13</f>
        <v>0</v>
      </c>
      <c r="W13" s="125">
        <f t="shared" si="17"/>
        <v>0</v>
      </c>
      <c r="X13" s="129">
        <f>'[1]Restoration and Growth'!AQ13</f>
        <v>3503295</v>
      </c>
      <c r="Y13" s="125"/>
      <c r="Z13" s="130">
        <f>[1]FTES!AT13</f>
        <v>0</v>
      </c>
      <c r="AA13" s="131">
        <v>0</v>
      </c>
      <c r="AB13" s="125"/>
      <c r="AC13" s="132">
        <f>+'[1]Foundation Grant'!N13-'[1]Foundation Grant (OLD)'!N13</f>
        <v>0</v>
      </c>
      <c r="AD13" s="125">
        <f t="shared" si="2"/>
        <v>0</v>
      </c>
      <c r="AE13" s="125">
        <f t="shared" si="18"/>
        <v>55665416</v>
      </c>
      <c r="AF13" s="131">
        <f t="shared" si="3"/>
        <v>362507</v>
      </c>
      <c r="AG13" s="125">
        <f t="shared" si="4"/>
        <v>55302909</v>
      </c>
      <c r="AH13" s="133">
        <v>0</v>
      </c>
      <c r="AI13" s="133">
        <v>4661820</v>
      </c>
      <c r="AJ13" s="125">
        <f t="shared" si="5"/>
        <v>19932408</v>
      </c>
      <c r="AK13" s="134">
        <f>+'[1]13-14 deferrals, growth, EPA 1'!I13</f>
        <v>8192614</v>
      </c>
      <c r="AL13" s="135">
        <f t="shared" si="6"/>
        <v>30708681</v>
      </c>
      <c r="AM13" s="135">
        <f>+'[1]13-14 deferrals, growth, EPA 1'!AA13</f>
        <v>93229</v>
      </c>
      <c r="AN13" s="135">
        <f>+'[1]13-14 deferrals, growth, EPA 1'!AB13</f>
        <v>481430</v>
      </c>
      <c r="AO13" s="135">
        <f>+'[1]13-14 deferrals, growth, EPA 1'!AC13</f>
        <v>696684</v>
      </c>
      <c r="AP13" s="135">
        <f t="shared" si="19"/>
        <v>21244724</v>
      </c>
      <c r="AQ13" s="135">
        <f t="shared" si="7"/>
        <v>362507</v>
      </c>
      <c r="AR13" s="125">
        <f t="shared" si="8"/>
        <v>22516067</v>
      </c>
      <c r="AS13" s="136">
        <f t="shared" si="9"/>
        <v>0</v>
      </c>
      <c r="AT13" s="137">
        <f t="shared" si="10"/>
        <v>0.99348775189248562</v>
      </c>
      <c r="AU13" s="138">
        <f t="shared" si="11"/>
        <v>52162121</v>
      </c>
      <c r="AV13" s="139">
        <f>'[1]13-14 deferrals, growth, EPA 1'!BX13</f>
        <v>0</v>
      </c>
      <c r="AW13" s="10">
        <f t="shared" si="20"/>
        <v>0</v>
      </c>
      <c r="AX13" s="140">
        <v>0</v>
      </c>
      <c r="AY13" s="141">
        <v>0</v>
      </c>
      <c r="AZ13" s="142"/>
      <c r="BA13" s="133">
        <v>4815521</v>
      </c>
      <c r="BB13" s="143">
        <v>19331502</v>
      </c>
      <c r="BC13" s="133">
        <v>20421736</v>
      </c>
      <c r="BD13" s="142">
        <f t="shared" si="12"/>
        <v>489328</v>
      </c>
      <c r="BE13" s="142"/>
      <c r="BF13" s="142"/>
      <c r="BG13" s="142"/>
      <c r="BH13" s="142"/>
      <c r="BI13" s="142"/>
      <c r="BJ13" s="142"/>
      <c r="BK13" s="139">
        <v>0</v>
      </c>
      <c r="BL13" s="10">
        <f t="shared" si="21"/>
        <v>0</v>
      </c>
      <c r="BM13" s="16"/>
      <c r="BN13" s="16"/>
      <c r="BO13" s="16"/>
      <c r="BP13" s="16"/>
      <c r="BQ13" s="16"/>
      <c r="BR13" s="16"/>
      <c r="BS13" s="16"/>
      <c r="BT13" s="16"/>
      <c r="BU13" s="16"/>
      <c r="BV13" s="16"/>
      <c r="BW13" s="16"/>
      <c r="BX13" s="16"/>
      <c r="BY13" s="16"/>
      <c r="BZ13" s="16"/>
      <c r="CA13" s="116"/>
      <c r="CB13" s="16"/>
      <c r="CC13" s="16"/>
      <c r="CD13" s="16"/>
      <c r="CE13" s="16"/>
      <c r="CF13" s="16"/>
      <c r="CG13" s="16"/>
      <c r="CH13" s="16"/>
      <c r="CI13" s="16"/>
      <c r="CJ13" s="16"/>
      <c r="CK13" s="16"/>
      <c r="CL13" s="16"/>
      <c r="CM13" s="16"/>
    </row>
    <row r="14" spans="1:103" s="144" customFormat="1">
      <c r="A14" s="16" t="s">
        <v>115</v>
      </c>
      <c r="B14" s="118">
        <v>77062341</v>
      </c>
      <c r="C14" s="119">
        <v>0</v>
      </c>
      <c r="D14" s="120">
        <f t="shared" si="13"/>
        <v>77062341</v>
      </c>
      <c r="E14" s="10"/>
      <c r="F14" s="121">
        <f>+'[1]Foundation Grant (OLD)'!N14</f>
        <v>4428727</v>
      </c>
      <c r="G14" s="122">
        <f t="shared" si="14"/>
        <v>0</v>
      </c>
      <c r="H14" s="123">
        <f>ROUND($AE$4*[1]FTES!O14,0)</f>
        <v>376553</v>
      </c>
      <c r="I14" s="123">
        <f>ROUND($AI$4*[1]FTES!Z14,0)</f>
        <v>677409</v>
      </c>
      <c r="J14" s="124">
        <f>ROUND($AR$4*[1]FTES!D14,0)</f>
        <v>71579652</v>
      </c>
      <c r="K14" s="125">
        <f t="shared" si="15"/>
        <v>77062341</v>
      </c>
      <c r="L14" s="125">
        <v>0</v>
      </c>
      <c r="M14" s="125">
        <f t="shared" si="0"/>
        <v>77062341</v>
      </c>
      <c r="N14" s="126">
        <f>(M14-H14-I14-F14)/[1]FTES!D14</f>
        <v>4564.8250708473652</v>
      </c>
      <c r="O14" s="125">
        <f>ROUND((M14+'[1]Restoration and Growth'!BM14)*$C$4,0)</f>
        <v>1209879</v>
      </c>
      <c r="P14" s="125">
        <f>ROUND(M14+O14+'[1]Restoration and Growth'!BM14,0)</f>
        <v>78272220</v>
      </c>
      <c r="Q14" s="127">
        <f t="shared" si="16"/>
        <v>4636.4928239999999</v>
      </c>
      <c r="R14" s="125">
        <f t="shared" si="1"/>
        <v>-1209879</v>
      </c>
      <c r="S14" s="128">
        <f>+'[1]13-14 $86M Workload Restore'!AJ12</f>
        <v>1740214</v>
      </c>
      <c r="T14" s="129">
        <f>+'[1]13-14 $86M Workload Restore'!AA12</f>
        <v>0</v>
      </c>
      <c r="U14" s="129">
        <f>'[1]Growth Deficit'!X14</f>
        <v>847.55010700000003</v>
      </c>
      <c r="V14" s="125">
        <f>-1* '[1]Growth Deficit'!AR14</f>
        <v>-847.55010700000003</v>
      </c>
      <c r="W14" s="125">
        <f t="shared" si="17"/>
        <v>0</v>
      </c>
      <c r="X14" s="129">
        <f>'[1]Restoration and Growth'!AQ14</f>
        <v>0</v>
      </c>
      <c r="Y14" s="125"/>
      <c r="Z14" s="130">
        <f>[1]FTES!AT14</f>
        <v>0</v>
      </c>
      <c r="AA14" s="131">
        <v>0</v>
      </c>
      <c r="AB14" s="125"/>
      <c r="AC14" s="132">
        <f>+'[1]Foundation Grant'!N14-'[1]Foundation Grant (OLD)'!N14</f>
        <v>0</v>
      </c>
      <c r="AD14" s="125">
        <f t="shared" si="2"/>
        <v>0</v>
      </c>
      <c r="AE14" s="125">
        <f t="shared" si="18"/>
        <v>80012434</v>
      </c>
      <c r="AF14" s="131">
        <f t="shared" si="3"/>
        <v>521061</v>
      </c>
      <c r="AG14" s="125">
        <f t="shared" si="4"/>
        <v>79491373</v>
      </c>
      <c r="AH14" s="133">
        <v>0</v>
      </c>
      <c r="AI14" s="133">
        <v>4142936</v>
      </c>
      <c r="AJ14" s="125">
        <f t="shared" si="5"/>
        <v>11187686</v>
      </c>
      <c r="AK14" s="134">
        <f>+'[1]13-14 deferrals, growth, EPA 1'!I14</f>
        <v>12186778</v>
      </c>
      <c r="AL14" s="135">
        <f t="shared" si="6"/>
        <v>64160751</v>
      </c>
      <c r="AM14" s="135">
        <f>+'[1]13-14 deferrals, growth, EPA 1'!AA14</f>
        <v>134214</v>
      </c>
      <c r="AN14" s="135">
        <f>+'[1]13-14 deferrals, growth, EPA 1'!AB14</f>
        <v>693071</v>
      </c>
      <c r="AO14" s="135">
        <f>+'[1]13-14 deferrals, growth, EPA 1'!AC14</f>
        <v>1002953</v>
      </c>
      <c r="AP14" s="135">
        <f t="shared" si="19"/>
        <v>50143735</v>
      </c>
      <c r="AQ14" s="135">
        <f t="shared" si="7"/>
        <v>521061</v>
      </c>
      <c r="AR14" s="125">
        <f t="shared" si="8"/>
        <v>51973973</v>
      </c>
      <c r="AS14" s="136">
        <f t="shared" si="9"/>
        <v>0</v>
      </c>
      <c r="AT14" s="137">
        <f t="shared" si="10"/>
        <v>0.9934877496665081</v>
      </c>
      <c r="AU14" s="138">
        <f t="shared" si="11"/>
        <v>80012434</v>
      </c>
      <c r="AV14" s="139">
        <f>'[1]13-14 deferrals, growth, EPA 1'!BX14</f>
        <v>0</v>
      </c>
      <c r="AW14" s="10">
        <f t="shared" si="20"/>
        <v>0</v>
      </c>
      <c r="AX14" s="140">
        <v>0</v>
      </c>
      <c r="AY14" s="141">
        <v>0</v>
      </c>
      <c r="AZ14" s="142"/>
      <c r="BA14" s="133">
        <v>3827366</v>
      </c>
      <c r="BB14" s="143">
        <v>11072545</v>
      </c>
      <c r="BC14" s="133">
        <v>11462337</v>
      </c>
      <c r="BD14" s="142">
        <f t="shared" si="12"/>
        <v>274651</v>
      </c>
      <c r="BE14" s="142"/>
      <c r="BF14" s="142"/>
      <c r="BG14" s="142"/>
      <c r="BH14" s="142"/>
      <c r="BI14" s="142"/>
      <c r="BJ14" s="142"/>
      <c r="BK14" s="139">
        <v>0</v>
      </c>
      <c r="BL14" s="10">
        <f t="shared" si="21"/>
        <v>0</v>
      </c>
      <c r="BM14" s="16"/>
      <c r="BN14" s="16"/>
      <c r="BO14" s="16"/>
      <c r="BP14" s="16"/>
      <c r="BQ14" s="16"/>
      <c r="BR14" s="16"/>
      <c r="BS14" s="16"/>
      <c r="BT14" s="16"/>
      <c r="BU14" s="16"/>
      <c r="BV14" s="16"/>
      <c r="BW14" s="16"/>
      <c r="BX14" s="16"/>
      <c r="BY14" s="16"/>
      <c r="BZ14" s="16"/>
      <c r="CA14" s="116"/>
      <c r="CB14" s="16"/>
      <c r="CC14" s="16"/>
      <c r="CD14" s="16"/>
      <c r="CE14" s="16"/>
      <c r="CF14" s="16"/>
      <c r="CG14" s="16"/>
      <c r="CH14" s="16"/>
      <c r="CI14" s="16"/>
      <c r="CJ14" s="16"/>
      <c r="CK14" s="16"/>
      <c r="CL14" s="16"/>
      <c r="CM14" s="16"/>
    </row>
    <row r="15" spans="1:103" s="144" customFormat="1">
      <c r="A15" s="16" t="s">
        <v>116</v>
      </c>
      <c r="B15" s="118">
        <v>80660051</v>
      </c>
      <c r="C15" s="119">
        <v>0</v>
      </c>
      <c r="D15" s="120">
        <f t="shared" si="13"/>
        <v>80660051</v>
      </c>
      <c r="E15" s="10"/>
      <c r="F15" s="121">
        <f>+'[1]Foundation Grant (OLD)'!N15</f>
        <v>7196681</v>
      </c>
      <c r="G15" s="122">
        <f t="shared" si="14"/>
        <v>-1</v>
      </c>
      <c r="H15" s="123">
        <f>ROUND($AE$4*[1]FTES!O15,0)</f>
        <v>346743</v>
      </c>
      <c r="I15" s="123">
        <f>ROUND($AI$4*[1]FTES!Z15,0)</f>
        <v>0</v>
      </c>
      <c r="J15" s="124">
        <f>ROUND($AR$4*[1]FTES!D15,0)</f>
        <v>73116626</v>
      </c>
      <c r="K15" s="125">
        <f t="shared" si="15"/>
        <v>80660050</v>
      </c>
      <c r="L15" s="125">
        <v>0</v>
      </c>
      <c r="M15" s="125">
        <f t="shared" si="0"/>
        <v>80660050</v>
      </c>
      <c r="N15" s="126">
        <f>(M15-H15-I15-F15)/[1]FTES!D15</f>
        <v>4564.8251033736224</v>
      </c>
      <c r="O15" s="125">
        <f>ROUND((M15+'[1]Restoration and Growth'!BM15)*$C$4,0)</f>
        <v>1266363</v>
      </c>
      <c r="P15" s="125">
        <f>ROUND(M15+O15+'[1]Restoration and Growth'!BM15,0)</f>
        <v>81926413</v>
      </c>
      <c r="Q15" s="127">
        <f t="shared" si="16"/>
        <v>4636.4928570000002</v>
      </c>
      <c r="R15" s="125">
        <f t="shared" si="1"/>
        <v>-1266363</v>
      </c>
      <c r="S15" s="128">
        <f>+'[1]13-14 $86M Workload Restore'!AJ13</f>
        <v>1497099</v>
      </c>
      <c r="T15" s="129">
        <f>+'[1]13-14 $86M Workload Restore'!AA13</f>
        <v>0</v>
      </c>
      <c r="U15" s="129">
        <f>'[1]Growth Deficit'!X15</f>
        <v>312.66079099999996</v>
      </c>
      <c r="V15" s="125">
        <f>-1* '[1]Growth Deficit'!AR15</f>
        <v>-312.66079099999996</v>
      </c>
      <c r="W15" s="125">
        <f t="shared" si="17"/>
        <v>0</v>
      </c>
      <c r="X15" s="129">
        <f>'[1]Restoration and Growth'!AQ15</f>
        <v>0</v>
      </c>
      <c r="Y15" s="125"/>
      <c r="Z15" s="130">
        <f>[1]FTES!AT15</f>
        <v>0</v>
      </c>
      <c r="AA15" s="131">
        <v>0</v>
      </c>
      <c r="AB15" s="125"/>
      <c r="AC15" s="132">
        <f>+'[1]Foundation Grant'!N15-'[1]Foundation Grant (OLD)'!N15</f>
        <v>0</v>
      </c>
      <c r="AD15" s="125">
        <f t="shared" si="2"/>
        <v>0</v>
      </c>
      <c r="AE15" s="125">
        <f t="shared" si="18"/>
        <v>83423512</v>
      </c>
      <c r="AF15" s="131">
        <f t="shared" si="3"/>
        <v>543275</v>
      </c>
      <c r="AG15" s="125">
        <f t="shared" si="4"/>
        <v>82880237</v>
      </c>
      <c r="AH15" s="133">
        <v>0</v>
      </c>
      <c r="AI15" s="133">
        <v>8013827</v>
      </c>
      <c r="AJ15" s="125">
        <f t="shared" si="5"/>
        <v>29267582</v>
      </c>
      <c r="AK15" s="134">
        <f>+'[1]13-14 deferrals, growth, EPA 1'!I15</f>
        <v>12112919</v>
      </c>
      <c r="AL15" s="135">
        <f t="shared" si="6"/>
        <v>45598828</v>
      </c>
      <c r="AM15" s="135">
        <f>+'[1]13-14 deferrals, growth, EPA 1'!AA15</f>
        <v>138476</v>
      </c>
      <c r="AN15" s="135">
        <f>+'[1]13-14 deferrals, growth, EPA 1'!AB15</f>
        <v>715081</v>
      </c>
      <c r="AO15" s="135">
        <f>+'[1]13-14 deferrals, growth, EPA 1'!AC15</f>
        <v>1034803</v>
      </c>
      <c r="AP15" s="135">
        <f t="shared" si="19"/>
        <v>31597549</v>
      </c>
      <c r="AQ15" s="135">
        <f t="shared" si="7"/>
        <v>543275</v>
      </c>
      <c r="AR15" s="125">
        <f t="shared" si="8"/>
        <v>33485909</v>
      </c>
      <c r="AS15" s="136">
        <f t="shared" si="9"/>
        <v>0</v>
      </c>
      <c r="AT15" s="137">
        <f t="shared" si="10"/>
        <v>0.99348774719529909</v>
      </c>
      <c r="AU15" s="138">
        <f t="shared" si="11"/>
        <v>83423512</v>
      </c>
      <c r="AV15" s="139">
        <f>'[1]13-14 deferrals, growth, EPA 1'!BX15</f>
        <v>0</v>
      </c>
      <c r="AW15" s="10">
        <f t="shared" si="20"/>
        <v>0</v>
      </c>
      <c r="AX15" s="140">
        <v>0</v>
      </c>
      <c r="AY15" s="141">
        <v>0</v>
      </c>
      <c r="AZ15" s="142"/>
      <c r="BA15" s="133">
        <v>8081777</v>
      </c>
      <c r="BB15" s="143">
        <v>31801402</v>
      </c>
      <c r="BC15" s="145">
        <f>30841377-855295</f>
        <v>29986082</v>
      </c>
      <c r="BD15" s="142">
        <f t="shared" si="12"/>
        <v>718500</v>
      </c>
      <c r="BE15" s="142"/>
      <c r="BF15" s="142"/>
      <c r="BG15" s="142"/>
      <c r="BH15" s="142"/>
      <c r="BI15" s="142"/>
      <c r="BJ15" s="142"/>
      <c r="BK15" s="139">
        <v>0</v>
      </c>
      <c r="BL15" s="10">
        <f t="shared" si="21"/>
        <v>0</v>
      </c>
      <c r="BM15" s="16"/>
      <c r="BN15" s="16"/>
      <c r="BO15" s="16"/>
      <c r="BP15" s="16"/>
      <c r="BQ15" s="16"/>
      <c r="BR15" s="16"/>
      <c r="BS15" s="16"/>
      <c r="BT15" s="16"/>
      <c r="BU15" s="16"/>
      <c r="BV15" s="16"/>
      <c r="BW15" s="16"/>
      <c r="BX15" s="16"/>
      <c r="BY15" s="16"/>
      <c r="BZ15" s="16"/>
      <c r="CA15" s="116"/>
      <c r="CB15" s="16"/>
      <c r="CC15" s="16"/>
      <c r="CD15" s="16"/>
      <c r="CE15" s="16"/>
      <c r="CF15" s="16"/>
      <c r="CG15" s="16"/>
      <c r="CH15" s="16"/>
      <c r="CI15" s="16"/>
      <c r="CJ15" s="16"/>
      <c r="CK15" s="16"/>
      <c r="CL15" s="16"/>
      <c r="CM15" s="16"/>
    </row>
    <row r="16" spans="1:103" s="144" customFormat="1">
      <c r="A16" s="16" t="s">
        <v>117</v>
      </c>
      <c r="B16" s="118">
        <v>67204810</v>
      </c>
      <c r="C16" s="119">
        <v>-5134387</v>
      </c>
      <c r="D16" s="120">
        <f t="shared" si="13"/>
        <v>62070423</v>
      </c>
      <c r="E16" s="10"/>
      <c r="F16" s="121">
        <f>+'[1]Foundation Grant (OLD)'!N16</f>
        <v>6643091</v>
      </c>
      <c r="G16" s="122">
        <f t="shared" si="14"/>
        <v>-1</v>
      </c>
      <c r="H16" s="123">
        <f>ROUND($AE$4*[1]FTES!O16,0)</f>
        <v>860325</v>
      </c>
      <c r="I16" s="123">
        <f>ROUND($AI$4*[1]FTES!Z16,0)</f>
        <v>0</v>
      </c>
      <c r="J16" s="124">
        <f>ROUND($AR$4*[1]FTES!D16,0)</f>
        <v>54567006</v>
      </c>
      <c r="K16" s="125">
        <f t="shared" si="15"/>
        <v>62070422</v>
      </c>
      <c r="L16" s="125">
        <v>0</v>
      </c>
      <c r="M16" s="125">
        <f t="shared" si="0"/>
        <v>62070422</v>
      </c>
      <c r="N16" s="126">
        <f>(M16-H16-I16-F16)/[1]FTES!D16</f>
        <v>4564.8250765446974</v>
      </c>
      <c r="O16" s="125">
        <f>ROUND((M16+'[1]Restoration and Growth'!BM16)*$C$4,0)</f>
        <v>974506</v>
      </c>
      <c r="P16" s="125">
        <f>ROUND(M16+O16+'[1]Restoration and Growth'!BM16,0)</f>
        <v>63044928</v>
      </c>
      <c r="Q16" s="127">
        <f t="shared" si="16"/>
        <v>4636.4928300000001</v>
      </c>
      <c r="R16" s="125">
        <f t="shared" si="1"/>
        <v>-974506</v>
      </c>
      <c r="S16" s="128">
        <f>+'[1]13-14 $86M Workload Restore'!AJ14</f>
        <v>2855980</v>
      </c>
      <c r="T16" s="129">
        <f>+'[1]13-14 $86M Workload Restore'!AA14</f>
        <v>5214997</v>
      </c>
      <c r="U16" s="129">
        <f>'[1]Growth Deficit'!X16</f>
        <v>927.348073</v>
      </c>
      <c r="V16" s="125">
        <f>-1* '[1]Growth Deficit'!AR16</f>
        <v>-927.348073</v>
      </c>
      <c r="W16" s="125">
        <f t="shared" si="17"/>
        <v>0</v>
      </c>
      <c r="X16" s="129">
        <f>'[1]Restoration and Growth'!AQ16</f>
        <v>0</v>
      </c>
      <c r="Y16" s="125"/>
      <c r="Z16" s="130">
        <f>[1]FTES!AT16</f>
        <v>0</v>
      </c>
      <c r="AA16" s="131">
        <v>0</v>
      </c>
      <c r="AB16" s="125"/>
      <c r="AC16" s="132">
        <f>+'[1]Foundation Grant'!N16-'[1]Foundation Grant (OLD)'!N16</f>
        <v>0</v>
      </c>
      <c r="AD16" s="125">
        <f t="shared" si="2"/>
        <v>0</v>
      </c>
      <c r="AE16" s="125">
        <f t="shared" si="18"/>
        <v>71115905</v>
      </c>
      <c r="AF16" s="131">
        <f t="shared" si="3"/>
        <v>463125</v>
      </c>
      <c r="AG16" s="125">
        <f t="shared" si="4"/>
        <v>70652780</v>
      </c>
      <c r="AH16" s="133">
        <v>0</v>
      </c>
      <c r="AI16" s="133">
        <v>4855554</v>
      </c>
      <c r="AJ16" s="125">
        <f t="shared" si="5"/>
        <v>34262282</v>
      </c>
      <c r="AK16" s="134">
        <f>+'[1]13-14 deferrals, growth, EPA 1'!I16</f>
        <v>10643278</v>
      </c>
      <c r="AL16" s="135">
        <f t="shared" si="6"/>
        <v>31534944</v>
      </c>
      <c r="AM16" s="135">
        <f>+'[1]13-14 deferrals, growth, EPA 1'!AA16</f>
        <v>119282</v>
      </c>
      <c r="AN16" s="135">
        <f>+'[1]13-14 deferrals, growth, EPA 1'!AB16</f>
        <v>615963</v>
      </c>
      <c r="AO16" s="135">
        <f>+'[1]13-14 deferrals, growth, EPA 1'!AC16</f>
        <v>891369</v>
      </c>
      <c r="AP16" s="135">
        <f t="shared" si="19"/>
        <v>19265052</v>
      </c>
      <c r="AQ16" s="135">
        <f t="shared" si="7"/>
        <v>463125</v>
      </c>
      <c r="AR16" s="125">
        <f t="shared" si="8"/>
        <v>20891666</v>
      </c>
      <c r="AS16" s="136">
        <f t="shared" si="9"/>
        <v>0</v>
      </c>
      <c r="AT16" s="137">
        <f t="shared" si="10"/>
        <v>0.99348774370515291</v>
      </c>
      <c r="AU16" s="138">
        <f t="shared" si="11"/>
        <v>71115905</v>
      </c>
      <c r="AV16" s="139">
        <f>'[1]13-14 deferrals, growth, EPA 1'!BX16</f>
        <v>0</v>
      </c>
      <c r="AW16" s="10">
        <f t="shared" si="20"/>
        <v>0</v>
      </c>
      <c r="AX16" s="140">
        <v>0</v>
      </c>
      <c r="AY16" s="141">
        <v>0</v>
      </c>
      <c r="AZ16" s="142"/>
      <c r="BA16" s="133">
        <v>4694200</v>
      </c>
      <c r="BB16" s="143">
        <v>18277568</v>
      </c>
      <c r="BC16" s="133">
        <v>35103399</v>
      </c>
      <c r="BD16" s="142">
        <f t="shared" si="12"/>
        <v>841117</v>
      </c>
      <c r="BE16" s="142"/>
      <c r="BF16" s="142"/>
      <c r="BG16" s="142"/>
      <c r="BH16" s="142"/>
      <c r="BI16" s="142"/>
      <c r="BJ16" s="142"/>
      <c r="BK16" s="139">
        <v>0</v>
      </c>
      <c r="BL16" s="10">
        <f t="shared" si="21"/>
        <v>0</v>
      </c>
      <c r="BM16" s="16"/>
      <c r="BN16" s="16"/>
      <c r="BO16" s="16"/>
      <c r="BP16" s="16"/>
      <c r="BQ16" s="16"/>
      <c r="BR16" s="16"/>
      <c r="BS16" s="16"/>
      <c r="BT16" s="16"/>
      <c r="BU16" s="16"/>
      <c r="BV16" s="16"/>
      <c r="BW16" s="16"/>
      <c r="BX16" s="16"/>
      <c r="BY16" s="16"/>
      <c r="BZ16" s="16"/>
      <c r="CA16" s="116"/>
      <c r="CB16" s="16"/>
      <c r="CC16" s="16"/>
      <c r="CD16" s="16"/>
      <c r="CE16" s="16"/>
      <c r="CF16" s="16"/>
      <c r="CG16" s="16"/>
      <c r="CH16" s="16"/>
      <c r="CI16" s="16"/>
      <c r="CJ16" s="16"/>
      <c r="CK16" s="16"/>
      <c r="CL16" s="16"/>
      <c r="CM16" s="16"/>
    </row>
    <row r="17" spans="1:91" s="144" customFormat="1">
      <c r="A17" s="16" t="s">
        <v>118</v>
      </c>
      <c r="B17" s="118">
        <v>52488062</v>
      </c>
      <c r="C17" s="119">
        <v>0</v>
      </c>
      <c r="D17" s="120">
        <f t="shared" si="13"/>
        <v>52488062</v>
      </c>
      <c r="E17" s="10"/>
      <c r="F17" s="121">
        <f>+'[1]Foundation Grant (OLD)'!N17</f>
        <v>4428727</v>
      </c>
      <c r="G17" s="122">
        <f t="shared" si="14"/>
        <v>0</v>
      </c>
      <c r="H17" s="123">
        <f>ROUND($AE$4*[1]FTES!O17,0)</f>
        <v>1012148</v>
      </c>
      <c r="I17" s="123">
        <f>ROUND($AI$4*[1]FTES!Z17,0)</f>
        <v>0</v>
      </c>
      <c r="J17" s="124">
        <f>ROUND($AR$4*[1]FTES!D17,0)</f>
        <v>47047187</v>
      </c>
      <c r="K17" s="125">
        <f t="shared" si="15"/>
        <v>52488062</v>
      </c>
      <c r="L17" s="125">
        <v>0</v>
      </c>
      <c r="M17" s="125">
        <f t="shared" si="0"/>
        <v>52488062</v>
      </c>
      <c r="N17" s="126">
        <f>(M17-H17-I17-F17)/[1]FTES!D17</f>
        <v>4564.825118269152</v>
      </c>
      <c r="O17" s="125">
        <f>ROUND((M17+'[1]Restoration and Growth'!BM17)*$C$4,0)</f>
        <v>824063</v>
      </c>
      <c r="P17" s="125">
        <f>ROUND(M17+O17+'[1]Restoration and Growth'!BM17,0)</f>
        <v>53312125</v>
      </c>
      <c r="Q17" s="127">
        <f t="shared" si="16"/>
        <v>4636.4928730000001</v>
      </c>
      <c r="R17" s="125">
        <f t="shared" si="1"/>
        <v>-824063</v>
      </c>
      <c r="S17" s="128">
        <f>+'[1]13-14 $86M Workload Restore'!AJ15</f>
        <v>1332871</v>
      </c>
      <c r="T17" s="129">
        <f>+'[1]13-14 $86M Workload Restore'!AA15</f>
        <v>0</v>
      </c>
      <c r="U17" s="129">
        <f>'[1]Growth Deficit'!X17</f>
        <v>638.34010699999999</v>
      </c>
      <c r="V17" s="125">
        <f>-1* '[1]Growth Deficit'!AR17</f>
        <v>-638.34010699999999</v>
      </c>
      <c r="W17" s="125">
        <f t="shared" si="17"/>
        <v>0</v>
      </c>
      <c r="X17" s="129">
        <f>'[1]Restoration and Growth'!AQ17</f>
        <v>0</v>
      </c>
      <c r="Y17" s="125"/>
      <c r="Z17" s="130">
        <f>[1]FTES!AT17</f>
        <v>0</v>
      </c>
      <c r="AA17" s="131">
        <v>0</v>
      </c>
      <c r="AB17" s="125"/>
      <c r="AC17" s="132">
        <f>+'[1]Foundation Grant'!N17-'[1]Foundation Grant (OLD)'!N17</f>
        <v>0</v>
      </c>
      <c r="AD17" s="125">
        <f t="shared" si="2"/>
        <v>0</v>
      </c>
      <c r="AE17" s="125">
        <f t="shared" si="18"/>
        <v>54644996</v>
      </c>
      <c r="AF17" s="131">
        <f t="shared" si="3"/>
        <v>355862</v>
      </c>
      <c r="AG17" s="125">
        <f t="shared" si="4"/>
        <v>54289134</v>
      </c>
      <c r="AH17" s="133">
        <v>0</v>
      </c>
      <c r="AI17" s="133">
        <v>4492560</v>
      </c>
      <c r="AJ17" s="125">
        <f t="shared" si="5"/>
        <v>4376702</v>
      </c>
      <c r="AK17" s="134">
        <f>+'[1]13-14 deferrals, growth, EPA 1'!I17</f>
        <v>8055894</v>
      </c>
      <c r="AL17" s="135">
        <f t="shared" si="6"/>
        <v>45419872</v>
      </c>
      <c r="AM17" s="135">
        <f>+'[1]13-14 deferrals, growth, EPA 1'!AA17</f>
        <v>91658</v>
      </c>
      <c r="AN17" s="135">
        <f>+'[1]13-14 deferrals, growth, EPA 1'!AB17</f>
        <v>473317</v>
      </c>
      <c r="AO17" s="135">
        <f>+'[1]13-14 deferrals, growth, EPA 1'!AC17</f>
        <v>684944</v>
      </c>
      <c r="AP17" s="135">
        <f t="shared" si="19"/>
        <v>36114059</v>
      </c>
      <c r="AQ17" s="135">
        <f t="shared" si="7"/>
        <v>355862</v>
      </c>
      <c r="AR17" s="125">
        <f t="shared" si="8"/>
        <v>37363978</v>
      </c>
      <c r="AS17" s="136">
        <f t="shared" si="9"/>
        <v>0</v>
      </c>
      <c r="AT17" s="137">
        <f t="shared" si="10"/>
        <v>0.99348774771618609</v>
      </c>
      <c r="AU17" s="138">
        <f t="shared" si="11"/>
        <v>54644996</v>
      </c>
      <c r="AV17" s="139">
        <f>'[1]13-14 deferrals, growth, EPA 1'!BX17</f>
        <v>0</v>
      </c>
      <c r="AW17" s="10">
        <f t="shared" si="20"/>
        <v>0</v>
      </c>
      <c r="AX17" s="140">
        <v>0</v>
      </c>
      <c r="AY17" s="141">
        <v>0</v>
      </c>
      <c r="AZ17" s="142"/>
      <c r="BA17" s="133">
        <v>4274688</v>
      </c>
      <c r="BB17" s="143">
        <v>4656641</v>
      </c>
      <c r="BC17" s="133">
        <v>4484147</v>
      </c>
      <c r="BD17" s="142">
        <f t="shared" si="12"/>
        <v>107445</v>
      </c>
      <c r="BE17" s="142"/>
      <c r="BF17" s="142"/>
      <c r="BG17" s="142"/>
      <c r="BH17" s="142"/>
      <c r="BI17" s="142"/>
      <c r="BJ17" s="142"/>
      <c r="BK17" s="139">
        <v>0</v>
      </c>
      <c r="BL17" s="10">
        <f t="shared" si="21"/>
        <v>0</v>
      </c>
      <c r="BM17" s="16"/>
      <c r="BN17" s="16"/>
      <c r="BO17" s="16"/>
      <c r="BP17" s="16"/>
      <c r="BQ17" s="16"/>
      <c r="BR17" s="16"/>
      <c r="BS17" s="16"/>
      <c r="BT17" s="16"/>
      <c r="BU17" s="16"/>
      <c r="BV17" s="16"/>
      <c r="BW17" s="16"/>
      <c r="BX17" s="16"/>
      <c r="BY17" s="16"/>
      <c r="BZ17" s="16"/>
      <c r="CA17" s="116"/>
      <c r="CB17" s="16"/>
      <c r="CC17" s="16"/>
      <c r="CD17" s="16"/>
      <c r="CE17" s="16"/>
      <c r="CF17" s="16"/>
      <c r="CG17" s="16"/>
      <c r="CH17" s="16"/>
      <c r="CI17" s="16"/>
      <c r="CJ17" s="16"/>
      <c r="CK17" s="16"/>
      <c r="CL17" s="16"/>
      <c r="CM17" s="16"/>
    </row>
    <row r="18" spans="1:91" s="144" customFormat="1">
      <c r="A18" s="16" t="s">
        <v>119</v>
      </c>
      <c r="B18" s="118">
        <v>158607241</v>
      </c>
      <c r="C18" s="119">
        <v>-10571923</v>
      </c>
      <c r="D18" s="120">
        <f t="shared" si="13"/>
        <v>148035318</v>
      </c>
      <c r="E18" s="10"/>
      <c r="F18" s="121">
        <f>+'[1]Foundation Grant (OLD)'!N18</f>
        <v>11071817</v>
      </c>
      <c r="G18" s="122">
        <f t="shared" si="14"/>
        <v>1</v>
      </c>
      <c r="H18" s="123">
        <f>ROUND($AE$4*[1]FTES!O18,0)</f>
        <v>680283</v>
      </c>
      <c r="I18" s="123">
        <f>ROUND($AI$4*[1]FTES!Z18,0)</f>
        <v>0</v>
      </c>
      <c r="J18" s="124">
        <f>ROUND($AR$4*[1]FTES!D18,0)</f>
        <v>136283219</v>
      </c>
      <c r="K18" s="125">
        <f t="shared" si="15"/>
        <v>148035319</v>
      </c>
      <c r="L18" s="125">
        <v>0</v>
      </c>
      <c r="M18" s="125">
        <f t="shared" si="0"/>
        <v>148035319</v>
      </c>
      <c r="N18" s="126">
        <f>(M18-H18-I18-F18)/[1]FTES!D18</f>
        <v>4564.8251151897766</v>
      </c>
      <c r="O18" s="125">
        <f>ROUND((M18+'[1]Restoration and Growth'!BM18)*$C$4,0)</f>
        <v>2324155</v>
      </c>
      <c r="P18" s="125">
        <f>ROUND(M18+O18+'[1]Restoration and Growth'!BM18,0)</f>
        <v>150359474</v>
      </c>
      <c r="Q18" s="127">
        <f t="shared" si="16"/>
        <v>4636.4928689999997</v>
      </c>
      <c r="R18" s="125">
        <f t="shared" si="1"/>
        <v>-2324155</v>
      </c>
      <c r="S18" s="128">
        <f>+'[1]13-14 $86M Workload Restore'!AJ16</f>
        <v>940812</v>
      </c>
      <c r="T18" s="129">
        <f>+'[1]13-14 $86M Workload Restore'!AA16</f>
        <v>10737902</v>
      </c>
      <c r="U18" s="129">
        <f>'[1]Growth Deficit'!X18</f>
        <v>203.57646800000001</v>
      </c>
      <c r="V18" s="125">
        <f>-1* '[1]Growth Deficit'!AR18</f>
        <v>-203.57646800000001</v>
      </c>
      <c r="W18" s="125">
        <f t="shared" si="17"/>
        <v>0</v>
      </c>
      <c r="X18" s="129">
        <f>'[1]Restoration and Growth'!AQ18</f>
        <v>0</v>
      </c>
      <c r="Y18" s="125"/>
      <c r="Z18" s="130">
        <f>[1]FTES!AT18</f>
        <v>0</v>
      </c>
      <c r="AA18" s="131">
        <v>0</v>
      </c>
      <c r="AB18" s="125"/>
      <c r="AC18" s="132">
        <f>+'[1]Foundation Grant'!N18-'[1]Foundation Grant (OLD)'!N18</f>
        <v>0</v>
      </c>
      <c r="AD18" s="125">
        <f t="shared" si="2"/>
        <v>0</v>
      </c>
      <c r="AE18" s="125">
        <f t="shared" si="18"/>
        <v>162038188</v>
      </c>
      <c r="AF18" s="131">
        <f t="shared" si="3"/>
        <v>1055233</v>
      </c>
      <c r="AG18" s="125">
        <f t="shared" si="4"/>
        <v>160982955</v>
      </c>
      <c r="AH18" s="133">
        <v>0</v>
      </c>
      <c r="AI18" s="133">
        <v>14283409</v>
      </c>
      <c r="AJ18" s="125">
        <f t="shared" si="5"/>
        <v>96471216</v>
      </c>
      <c r="AK18" s="134">
        <f>+'[1]13-14 deferrals, growth, EPA 1'!I18</f>
        <v>23733579</v>
      </c>
      <c r="AL18" s="135">
        <f t="shared" si="6"/>
        <v>50228330</v>
      </c>
      <c r="AM18" s="135">
        <f>+'[1]13-14 deferrals, growth, EPA 1'!AA18</f>
        <v>271424</v>
      </c>
      <c r="AN18" s="135">
        <f>+'[1]13-14 deferrals, growth, EPA 1'!AB18</f>
        <v>1401615</v>
      </c>
      <c r="AO18" s="135">
        <f>+'[1]13-14 deferrals, growth, EPA 1'!AC18</f>
        <v>2028297</v>
      </c>
      <c r="AP18" s="135">
        <f t="shared" si="19"/>
        <v>22793415</v>
      </c>
      <c r="AQ18" s="135">
        <f t="shared" si="7"/>
        <v>1055233</v>
      </c>
      <c r="AR18" s="125">
        <f t="shared" si="8"/>
        <v>26494751</v>
      </c>
      <c r="AS18" s="136">
        <f t="shared" si="9"/>
        <v>0</v>
      </c>
      <c r="AT18" s="137">
        <f t="shared" si="10"/>
        <v>0.99348775117134736</v>
      </c>
      <c r="AU18" s="138">
        <f t="shared" si="11"/>
        <v>162038188</v>
      </c>
      <c r="AV18" s="139">
        <f>'[1]13-14 deferrals, growth, EPA 1'!BX18</f>
        <v>0</v>
      </c>
      <c r="AW18" s="10">
        <f t="shared" si="20"/>
        <v>0</v>
      </c>
      <c r="AX18" s="140">
        <v>0</v>
      </c>
      <c r="AY18" s="141">
        <v>0</v>
      </c>
      <c r="AZ18" s="142"/>
      <c r="BA18" s="133">
        <v>14417996</v>
      </c>
      <c r="BB18" s="143">
        <v>104780062</v>
      </c>
      <c r="BC18" s="133">
        <v>98839523</v>
      </c>
      <c r="BD18" s="142">
        <f t="shared" si="12"/>
        <v>2368307</v>
      </c>
      <c r="BE18" s="142"/>
      <c r="BF18" s="142"/>
      <c r="BG18" s="142"/>
      <c r="BH18" s="142"/>
      <c r="BI18" s="142"/>
      <c r="BJ18" s="142"/>
      <c r="BK18" s="139">
        <v>0</v>
      </c>
      <c r="BL18" s="10">
        <f t="shared" si="21"/>
        <v>0</v>
      </c>
      <c r="BM18" s="16"/>
      <c r="BN18" s="16"/>
      <c r="BO18" s="16"/>
      <c r="BP18" s="16"/>
      <c r="BQ18" s="16"/>
      <c r="BR18" s="16"/>
      <c r="BS18" s="16"/>
      <c r="BT18" s="16"/>
      <c r="BU18" s="16"/>
      <c r="BV18" s="16"/>
      <c r="BW18" s="16"/>
      <c r="BX18" s="16"/>
      <c r="BY18" s="16"/>
      <c r="BZ18" s="16"/>
      <c r="CA18" s="116"/>
      <c r="CB18" s="16"/>
      <c r="CC18" s="16"/>
      <c r="CD18" s="16"/>
      <c r="CE18" s="16"/>
      <c r="CF18" s="16"/>
      <c r="CG18" s="16"/>
      <c r="CH18" s="16"/>
      <c r="CI18" s="16"/>
      <c r="CJ18" s="16"/>
      <c r="CK18" s="16"/>
      <c r="CL18" s="16"/>
      <c r="CM18" s="16"/>
    </row>
    <row r="19" spans="1:91" s="144" customFormat="1">
      <c r="A19" s="16" t="s">
        <v>120</v>
      </c>
      <c r="B19" s="118">
        <v>30678466</v>
      </c>
      <c r="C19" s="119">
        <v>0</v>
      </c>
      <c r="D19" s="120">
        <f t="shared" si="13"/>
        <v>30678466</v>
      </c>
      <c r="E19" s="10"/>
      <c r="F19" s="121">
        <f>+'[1]Foundation Grant (OLD)'!N19</f>
        <v>3321545</v>
      </c>
      <c r="G19" s="122">
        <f t="shared" si="14"/>
        <v>-1</v>
      </c>
      <c r="H19" s="123">
        <f>ROUND($AE$4*[1]FTES!O19,0)</f>
        <v>48311</v>
      </c>
      <c r="I19" s="123">
        <f>ROUND($AI$4*[1]FTES!Z19,0)</f>
        <v>0</v>
      </c>
      <c r="J19" s="124">
        <f>ROUND($AR$4*[1]FTES!D19,0)</f>
        <v>27308609</v>
      </c>
      <c r="K19" s="125">
        <f t="shared" si="15"/>
        <v>30678465</v>
      </c>
      <c r="L19" s="125">
        <v>0</v>
      </c>
      <c r="M19" s="125">
        <f t="shared" si="0"/>
        <v>30678465</v>
      </c>
      <c r="N19" s="126">
        <f>(M19-H19-I19-F19)/[1]FTES!D19</f>
        <v>4564.8250354621559</v>
      </c>
      <c r="O19" s="125">
        <f>ROUND((M19+'[1]Restoration and Growth'!BM19)*$C$4,0)</f>
        <v>481652</v>
      </c>
      <c r="P19" s="125">
        <f>ROUND(M19+O19+'[1]Restoration and Growth'!BM19,0)</f>
        <v>31160117</v>
      </c>
      <c r="Q19" s="127">
        <f t="shared" si="16"/>
        <v>4636.4927889999999</v>
      </c>
      <c r="R19" s="125">
        <f t="shared" si="1"/>
        <v>-481652</v>
      </c>
      <c r="S19" s="128">
        <f>+'[1]13-14 $86M Workload Restore'!AJ17</f>
        <v>268578</v>
      </c>
      <c r="T19" s="129">
        <f>+'[1]13-14 $86M Workload Restore'!AA17</f>
        <v>0</v>
      </c>
      <c r="U19" s="129">
        <f>'[1]Growth Deficit'!X19</f>
        <v>60.000064000000002</v>
      </c>
      <c r="V19" s="125">
        <f>-1* '[1]Growth Deficit'!AR19</f>
        <v>-60.000064000000002</v>
      </c>
      <c r="W19" s="125">
        <f t="shared" si="17"/>
        <v>0</v>
      </c>
      <c r="X19" s="129">
        <f>'[1]Restoration and Growth'!AQ19</f>
        <v>0</v>
      </c>
      <c r="Y19" s="125"/>
      <c r="Z19" s="130">
        <f>[1]FTES!AT19</f>
        <v>0</v>
      </c>
      <c r="AA19" s="131">
        <v>0</v>
      </c>
      <c r="AB19" s="125"/>
      <c r="AC19" s="132">
        <f>+'[1]Foundation Grant'!N19-'[1]Foundation Grant (OLD)'!N19</f>
        <v>0</v>
      </c>
      <c r="AD19" s="125">
        <f t="shared" si="2"/>
        <v>0</v>
      </c>
      <c r="AE19" s="125">
        <f t="shared" si="18"/>
        <v>31428695</v>
      </c>
      <c r="AF19" s="131">
        <f t="shared" si="3"/>
        <v>204672</v>
      </c>
      <c r="AG19" s="125">
        <f t="shared" si="4"/>
        <v>31224023</v>
      </c>
      <c r="AH19" s="133">
        <v>0</v>
      </c>
      <c r="AI19" s="133">
        <v>898400</v>
      </c>
      <c r="AJ19" s="125">
        <f t="shared" si="5"/>
        <v>4306924</v>
      </c>
      <c r="AK19" s="134">
        <f>+'[1]13-14 deferrals, growth, EPA 1'!I19</f>
        <v>4904025</v>
      </c>
      <c r="AL19" s="135">
        <f t="shared" si="6"/>
        <v>26018699</v>
      </c>
      <c r="AM19" s="135">
        <f>+'[1]13-14 deferrals, growth, EPA 1'!AA19</f>
        <v>52618</v>
      </c>
      <c r="AN19" s="135">
        <f>+'[1]13-14 deferrals, growth, EPA 1'!AB19</f>
        <v>271717</v>
      </c>
      <c r="AO19" s="135">
        <f>+'[1]13-14 deferrals, growth, EPA 1'!AC19</f>
        <v>393205</v>
      </c>
      <c r="AP19" s="135">
        <f t="shared" si="19"/>
        <v>20397134</v>
      </c>
      <c r="AQ19" s="135">
        <f t="shared" si="7"/>
        <v>204672</v>
      </c>
      <c r="AR19" s="125">
        <f t="shared" si="8"/>
        <v>21114674</v>
      </c>
      <c r="AS19" s="136">
        <f t="shared" si="9"/>
        <v>0</v>
      </c>
      <c r="AT19" s="137">
        <f t="shared" si="10"/>
        <v>0.9934877346959522</v>
      </c>
      <c r="AU19" s="138">
        <f t="shared" si="11"/>
        <v>31428695</v>
      </c>
      <c r="AV19" s="139">
        <f>'[1]13-14 deferrals, growth, EPA 1'!BX19</f>
        <v>0</v>
      </c>
      <c r="AW19" s="10">
        <f t="shared" si="20"/>
        <v>0</v>
      </c>
      <c r="AX19" s="140">
        <v>325000</v>
      </c>
      <c r="AY19" s="141">
        <v>0</v>
      </c>
      <c r="AZ19" s="142"/>
      <c r="BA19" s="133">
        <v>1542337</v>
      </c>
      <c r="BB19" s="143">
        <v>3994657</v>
      </c>
      <c r="BC19" s="133">
        <v>4412656</v>
      </c>
      <c r="BD19" s="142">
        <f t="shared" si="12"/>
        <v>105732</v>
      </c>
      <c r="BE19" s="142"/>
      <c r="BF19" s="142"/>
      <c r="BG19" s="142"/>
      <c r="BH19" s="142"/>
      <c r="BI19" s="142"/>
      <c r="BJ19" s="142"/>
      <c r="BK19" s="139">
        <v>0</v>
      </c>
      <c r="BL19" s="10">
        <f t="shared" si="21"/>
        <v>0</v>
      </c>
      <c r="BM19" s="16"/>
      <c r="BN19" s="16"/>
      <c r="BO19" s="16"/>
      <c r="BP19" s="16"/>
      <c r="BQ19" s="16"/>
      <c r="BR19" s="16"/>
      <c r="BS19" s="16"/>
      <c r="BT19" s="16"/>
      <c r="BU19" s="16"/>
      <c r="BV19" s="16"/>
      <c r="BW19" s="16"/>
      <c r="BX19" s="16"/>
      <c r="BY19" s="16"/>
      <c r="BZ19" s="16"/>
      <c r="CA19" s="116"/>
      <c r="CB19" s="16"/>
      <c r="CC19" s="16"/>
      <c r="CD19" s="16"/>
      <c r="CE19" s="16"/>
      <c r="CF19" s="16"/>
      <c r="CG19" s="16"/>
      <c r="CH19" s="16"/>
      <c r="CI19" s="16"/>
      <c r="CJ19" s="16"/>
      <c r="CK19" s="16"/>
      <c r="CL19" s="16"/>
      <c r="CM19" s="16"/>
    </row>
    <row r="20" spans="1:91" s="144" customFormat="1">
      <c r="A20" s="16" t="s">
        <v>121</v>
      </c>
      <c r="B20" s="118">
        <v>137859868</v>
      </c>
      <c r="C20" s="146">
        <f>-2785663+1499329-1107182+1107182</f>
        <v>-1286334</v>
      </c>
      <c r="D20" s="120">
        <f t="shared" si="13"/>
        <v>136573534</v>
      </c>
      <c r="E20" s="10"/>
      <c r="F20" s="121">
        <f>+'[1]Foundation Grant (OLD)'!N20</f>
        <v>12732590</v>
      </c>
      <c r="G20" s="122">
        <f t="shared" si="14"/>
        <v>-1</v>
      </c>
      <c r="H20" s="123">
        <f>ROUND($AE$4*[1]FTES!O20,0)</f>
        <v>254375</v>
      </c>
      <c r="I20" s="123">
        <f>ROUND($AI$4*[1]FTES!Z20,0)</f>
        <v>0</v>
      </c>
      <c r="J20" s="124">
        <f>ROUND($AR$4*[1]FTES!D20,0)</f>
        <v>123586568</v>
      </c>
      <c r="K20" s="125">
        <f t="shared" si="15"/>
        <v>136573533</v>
      </c>
      <c r="L20" s="125">
        <v>0</v>
      </c>
      <c r="M20" s="125">
        <f t="shared" si="0"/>
        <v>136573533</v>
      </c>
      <c r="N20" s="126">
        <f>(M20-H20-I20-F20)/[1]FTES!D20</f>
        <v>4564.8250865139444</v>
      </c>
      <c r="O20" s="125">
        <f>ROUND((M20+'[1]Restoration and Growth'!BM20)*$C$4,0)</f>
        <v>2144204</v>
      </c>
      <c r="P20" s="125">
        <f>ROUND(M20+O20+'[1]Restoration and Growth'!BM20,0)</f>
        <v>138717737</v>
      </c>
      <c r="Q20" s="127">
        <f t="shared" si="16"/>
        <v>4636.4928399999999</v>
      </c>
      <c r="R20" s="125">
        <f t="shared" si="1"/>
        <v>-2144204</v>
      </c>
      <c r="S20" s="128">
        <f>+'[1]13-14 $86M Workload Restore'!AJ18</f>
        <v>4660633</v>
      </c>
      <c r="T20" s="129">
        <f>+'[1]13-14 $86M Workload Restore'!AA18</f>
        <v>2829398</v>
      </c>
      <c r="U20" s="129">
        <f>'[1]Growth Deficit'!X20</f>
        <v>2106.514694</v>
      </c>
      <c r="V20" s="125">
        <f>-1* '[1]Growth Deficit'!AR20</f>
        <v>-2106.514694</v>
      </c>
      <c r="W20" s="125">
        <f t="shared" si="17"/>
        <v>0</v>
      </c>
      <c r="X20" s="129">
        <f>'[1]Restoration and Growth'!AQ20</f>
        <v>0</v>
      </c>
      <c r="Y20" s="125"/>
      <c r="Z20" s="130">
        <f>[1]FTES!AT20</f>
        <v>0</v>
      </c>
      <c r="AA20" s="146">
        <f>-1499329</f>
        <v>-1499329</v>
      </c>
      <c r="AB20" s="125"/>
      <c r="AC20" s="132">
        <f>+'[1]Foundation Grant'!N20-'[1]Foundation Grant (OLD)'!N20</f>
        <v>0</v>
      </c>
      <c r="AD20" s="125">
        <f t="shared" si="2"/>
        <v>0</v>
      </c>
      <c r="AE20" s="125">
        <f t="shared" si="18"/>
        <v>144708439</v>
      </c>
      <c r="AF20" s="131">
        <f t="shared" si="3"/>
        <v>942378</v>
      </c>
      <c r="AG20" s="125">
        <f t="shared" si="4"/>
        <v>143766061</v>
      </c>
      <c r="AH20" s="133">
        <v>0</v>
      </c>
      <c r="AI20" s="133">
        <v>16511499</v>
      </c>
      <c r="AJ20" s="125">
        <f t="shared" si="5"/>
        <v>71638857</v>
      </c>
      <c r="AK20" s="134">
        <f>+'[1]13-14 deferrals, growth, EPA 1'!I20</f>
        <v>20592039</v>
      </c>
      <c r="AL20" s="135">
        <f t="shared" si="6"/>
        <v>55615705</v>
      </c>
      <c r="AM20" s="135">
        <f>+'[1]13-14 deferrals, growth, EPA 1'!AA20</f>
        <v>229816</v>
      </c>
      <c r="AN20" s="135">
        <f>+'[1]13-14 deferrals, growth, EPA 1'!AB20</f>
        <v>1186752</v>
      </c>
      <c r="AO20" s="135">
        <f>+'[1]13-14 deferrals, growth, EPA 1'!AC20</f>
        <v>1717366</v>
      </c>
      <c r="AP20" s="135">
        <f t="shared" si="19"/>
        <v>31889732</v>
      </c>
      <c r="AQ20" s="135">
        <f t="shared" si="7"/>
        <v>942378</v>
      </c>
      <c r="AR20" s="125">
        <f t="shared" si="8"/>
        <v>35023666</v>
      </c>
      <c r="AS20" s="136">
        <f t="shared" si="9"/>
        <v>0</v>
      </c>
      <c r="AT20" s="137">
        <f t="shared" si="10"/>
        <v>0.99348774676506602</v>
      </c>
      <c r="AU20" s="138">
        <f t="shared" si="11"/>
        <v>146207768</v>
      </c>
      <c r="AV20" s="139">
        <f>'[1]13-14 deferrals, growth, EPA 1'!BX20</f>
        <v>0</v>
      </c>
      <c r="AW20" s="10">
        <f t="shared" si="20"/>
        <v>0</v>
      </c>
      <c r="AX20" s="140">
        <v>0</v>
      </c>
      <c r="AY20" s="141">
        <v>0</v>
      </c>
      <c r="AZ20" s="142"/>
      <c r="BA20" s="133">
        <v>15410638</v>
      </c>
      <c r="BB20" s="143">
        <v>69560567</v>
      </c>
      <c r="BC20" s="133">
        <v>73397545</v>
      </c>
      <c r="BD20" s="142">
        <f t="shared" si="12"/>
        <v>1758688</v>
      </c>
      <c r="BE20" s="142"/>
      <c r="BF20" s="142"/>
      <c r="BG20" s="142"/>
      <c r="BH20" s="142"/>
      <c r="BI20" s="142"/>
      <c r="BJ20" s="142"/>
      <c r="BK20" s="139">
        <v>0</v>
      </c>
      <c r="BL20" s="10">
        <f t="shared" si="21"/>
        <v>0</v>
      </c>
      <c r="BM20" s="16"/>
      <c r="BN20" s="16"/>
      <c r="BO20" s="16"/>
      <c r="BP20" s="16"/>
      <c r="BQ20" s="16"/>
      <c r="BR20" s="16"/>
      <c r="BS20" s="16"/>
      <c r="BT20" s="16"/>
      <c r="BU20" s="16"/>
      <c r="BV20" s="16"/>
      <c r="BW20" s="16"/>
      <c r="BX20" s="16"/>
      <c r="BY20" s="16"/>
      <c r="BZ20" s="16"/>
      <c r="CA20" s="116"/>
      <c r="CB20" s="16"/>
      <c r="CC20" s="16"/>
      <c r="CD20" s="16"/>
      <c r="CE20" s="16"/>
      <c r="CF20" s="16"/>
      <c r="CG20" s="16"/>
      <c r="CH20" s="16"/>
      <c r="CI20" s="16"/>
      <c r="CJ20" s="16"/>
      <c r="CK20" s="16"/>
      <c r="CL20" s="16"/>
      <c r="CM20" s="16"/>
    </row>
    <row r="21" spans="1:91" s="144" customFormat="1">
      <c r="A21" s="16" t="s">
        <v>122</v>
      </c>
      <c r="B21" s="118">
        <v>10953353</v>
      </c>
      <c r="C21" s="119">
        <v>0</v>
      </c>
      <c r="D21" s="120">
        <f t="shared" si="13"/>
        <v>10953353</v>
      </c>
      <c r="E21" s="10"/>
      <c r="F21" s="121">
        <f>+'[1]Foundation Grant (OLD)'!N21</f>
        <v>3875136</v>
      </c>
      <c r="G21" s="122">
        <f t="shared" si="14"/>
        <v>-1</v>
      </c>
      <c r="H21" s="123">
        <f>ROUND($AE$4*[1]FTES!O21,0)</f>
        <v>182704</v>
      </c>
      <c r="I21" s="123">
        <f>ROUND($AI$4*[1]FTES!Z21,0)</f>
        <v>11409</v>
      </c>
      <c r="J21" s="124">
        <f>ROUND($AR$4*[1]FTES!D21,0)</f>
        <v>6884103</v>
      </c>
      <c r="K21" s="125">
        <f t="shared" si="15"/>
        <v>10953352</v>
      </c>
      <c r="L21" s="125">
        <v>0</v>
      </c>
      <c r="M21" s="125">
        <f t="shared" si="0"/>
        <v>10953352</v>
      </c>
      <c r="N21" s="126">
        <f>(M21-H21-I21-F21)/[1]FTES!D21</f>
        <v>4564.8251578566724</v>
      </c>
      <c r="O21" s="125">
        <f>ROUND((M21+'[1]Restoration and Growth'!BM21)*$C$4,0)</f>
        <v>164753</v>
      </c>
      <c r="P21" s="125">
        <f>ROUND(M21+O21+'[1]Restoration and Growth'!BM21,0)</f>
        <v>10658566</v>
      </c>
      <c r="Q21" s="127">
        <f t="shared" si="16"/>
        <v>4636.492913</v>
      </c>
      <c r="R21" s="125">
        <f t="shared" si="1"/>
        <v>294786</v>
      </c>
      <c r="S21" s="128">
        <f>+'[1]13-14 $86M Workload Restore'!AJ19</f>
        <v>0</v>
      </c>
      <c r="T21" s="129">
        <f>+'[1]13-14 $86M Workload Restore'!AA19</f>
        <v>0</v>
      </c>
      <c r="U21" s="129">
        <f>'[1]Growth Deficit'!X21</f>
        <v>0</v>
      </c>
      <c r="V21" s="125">
        <f>-1* '[1]Growth Deficit'!AR21</f>
        <v>0</v>
      </c>
      <c r="W21" s="125">
        <f t="shared" si="17"/>
        <v>0</v>
      </c>
      <c r="X21" s="129">
        <f>'[1]Restoration and Growth'!AQ21</f>
        <v>466754</v>
      </c>
      <c r="Y21" s="125"/>
      <c r="Z21" s="130">
        <f>[1]FTES!AT21</f>
        <v>0</v>
      </c>
      <c r="AA21" s="131">
        <v>0</v>
      </c>
      <c r="AB21" s="125"/>
      <c r="AC21" s="132">
        <f>+'[1]Foundation Grant'!N21-'[1]Foundation Grant (OLD)'!N21</f>
        <v>0</v>
      </c>
      <c r="AD21" s="125">
        <f t="shared" si="2"/>
        <v>0</v>
      </c>
      <c r="AE21" s="125">
        <f t="shared" si="18"/>
        <v>11125320</v>
      </c>
      <c r="AF21" s="131">
        <f t="shared" si="3"/>
        <v>72451</v>
      </c>
      <c r="AG21" s="125">
        <f t="shared" si="4"/>
        <v>11052869</v>
      </c>
      <c r="AH21" s="133">
        <v>0</v>
      </c>
      <c r="AI21" s="133">
        <v>222057</v>
      </c>
      <c r="AJ21" s="125">
        <f t="shared" si="5"/>
        <v>1216085</v>
      </c>
      <c r="AK21" s="134">
        <f>+'[1]13-14 deferrals, growth, EPA 1'!I21</f>
        <v>1751371</v>
      </c>
      <c r="AL21" s="135">
        <f t="shared" si="6"/>
        <v>9614727</v>
      </c>
      <c r="AM21" s="135">
        <f>+'[1]13-14 deferrals, growth, EPA 1'!AA21</f>
        <v>18633</v>
      </c>
      <c r="AN21" s="135">
        <f>+'[1]13-14 deferrals, growth, EPA 1'!AB21</f>
        <v>96219</v>
      </c>
      <c r="AO21" s="135">
        <f>+'[1]13-14 deferrals, growth, EPA 1'!AC21</f>
        <v>139240</v>
      </c>
      <c r="AP21" s="135">
        <f t="shared" si="19"/>
        <v>7609264</v>
      </c>
      <c r="AQ21" s="135">
        <f t="shared" si="7"/>
        <v>72451</v>
      </c>
      <c r="AR21" s="125">
        <f t="shared" si="8"/>
        <v>7863356</v>
      </c>
      <c r="AS21" s="136">
        <f t="shared" si="9"/>
        <v>0</v>
      </c>
      <c r="AT21" s="137">
        <f t="shared" si="10"/>
        <v>0.99348773788079803</v>
      </c>
      <c r="AU21" s="138">
        <f t="shared" si="11"/>
        <v>10658566</v>
      </c>
      <c r="AV21" s="139">
        <f>'[1]13-14 deferrals, growth, EPA 1'!BX21</f>
        <v>0</v>
      </c>
      <c r="AW21" s="10">
        <f t="shared" si="20"/>
        <v>0</v>
      </c>
      <c r="AX21" s="140">
        <v>0</v>
      </c>
      <c r="AY21" s="141">
        <v>0</v>
      </c>
      <c r="AZ21" s="142"/>
      <c r="BA21" s="133">
        <v>247875</v>
      </c>
      <c r="BB21" s="143">
        <v>1004453</v>
      </c>
      <c r="BC21" s="133">
        <v>1245939</v>
      </c>
      <c r="BD21" s="142">
        <f t="shared" si="12"/>
        <v>29854</v>
      </c>
      <c r="BE21" s="142"/>
      <c r="BF21" s="142"/>
      <c r="BG21" s="142"/>
      <c r="BH21" s="142"/>
      <c r="BI21" s="142"/>
      <c r="BJ21" s="142"/>
      <c r="BK21" s="139">
        <v>0</v>
      </c>
      <c r="BL21" s="10">
        <f t="shared" si="21"/>
        <v>0</v>
      </c>
      <c r="BM21" s="16"/>
      <c r="BN21" s="16"/>
      <c r="BO21" s="16"/>
      <c r="BP21" s="16"/>
      <c r="BQ21" s="16"/>
      <c r="BR21" s="16"/>
      <c r="BS21" s="16"/>
      <c r="BT21" s="16"/>
      <c r="BU21" s="16"/>
      <c r="BV21" s="16"/>
      <c r="BW21" s="16"/>
      <c r="BX21" s="16"/>
      <c r="BY21" s="16"/>
      <c r="BZ21" s="16"/>
      <c r="CA21" s="116"/>
      <c r="CB21" s="16"/>
      <c r="CC21" s="16"/>
      <c r="CD21" s="16"/>
      <c r="CE21" s="16"/>
      <c r="CF21" s="16"/>
      <c r="CG21" s="16"/>
      <c r="CH21" s="16"/>
      <c r="CI21" s="16"/>
      <c r="CJ21" s="16"/>
      <c r="CK21" s="16"/>
      <c r="CL21" s="16"/>
      <c r="CM21" s="16"/>
    </row>
    <row r="22" spans="1:91" s="144" customFormat="1">
      <c r="A22" s="16" t="s">
        <v>123</v>
      </c>
      <c r="B22" s="118">
        <v>35299880</v>
      </c>
      <c r="C22" s="119">
        <v>0</v>
      </c>
      <c r="D22" s="120">
        <f t="shared" si="13"/>
        <v>35299880</v>
      </c>
      <c r="E22" s="10"/>
      <c r="F22" s="121">
        <f>+'[1]Foundation Grant (OLD)'!N22</f>
        <v>3321545</v>
      </c>
      <c r="G22" s="122">
        <f t="shared" si="14"/>
        <v>0</v>
      </c>
      <c r="H22" s="123">
        <f>ROUND($AE$4*[1]FTES!O22,0)</f>
        <v>283829</v>
      </c>
      <c r="I22" s="123">
        <f>ROUND($AI$4*[1]FTES!Z22,0)</f>
        <v>1013318</v>
      </c>
      <c r="J22" s="124">
        <f>ROUND($AR$4*[1]FTES!D22,0)</f>
        <v>30681188</v>
      </c>
      <c r="K22" s="125">
        <f t="shared" si="15"/>
        <v>35299880</v>
      </c>
      <c r="L22" s="125">
        <v>0</v>
      </c>
      <c r="M22" s="125">
        <f t="shared" si="0"/>
        <v>35299880</v>
      </c>
      <c r="N22" s="126">
        <f>(M22-H22-I22-F22)/[1]FTES!D22</f>
        <v>4564.8250480296256</v>
      </c>
      <c r="O22" s="125">
        <f>ROUND((M22+'[1]Restoration and Growth'!BM22)*$C$4,0)</f>
        <v>554208</v>
      </c>
      <c r="P22" s="125">
        <f>ROUND(M22+O22+'[1]Restoration and Growth'!BM22,0)</f>
        <v>35854088</v>
      </c>
      <c r="Q22" s="127">
        <f t="shared" si="16"/>
        <v>4636.4928010000003</v>
      </c>
      <c r="R22" s="125">
        <f t="shared" si="1"/>
        <v>-554208</v>
      </c>
      <c r="S22" s="128">
        <f>+'[1]13-14 $86M Workload Restore'!AJ20</f>
        <v>783951</v>
      </c>
      <c r="T22" s="129">
        <f>+'[1]13-14 $86M Workload Restore'!AA20</f>
        <v>0</v>
      </c>
      <c r="U22" s="129">
        <f>'[1]Growth Deficit'!X22</f>
        <v>184.621185</v>
      </c>
      <c r="V22" s="125">
        <f>-1* '[1]Growth Deficit'!AR22</f>
        <v>-184.621185</v>
      </c>
      <c r="W22" s="125">
        <f t="shared" si="17"/>
        <v>0</v>
      </c>
      <c r="X22" s="129">
        <f>'[1]Restoration and Growth'!AQ22</f>
        <v>0</v>
      </c>
      <c r="Y22" s="125"/>
      <c r="Z22" s="130">
        <f>[1]FTES!AT22</f>
        <v>0</v>
      </c>
      <c r="AA22" s="131">
        <v>0</v>
      </c>
      <c r="AB22" s="125"/>
      <c r="AC22" s="132">
        <f>+'[1]Foundation Grant'!N22-'[1]Foundation Grant (OLD)'!N22</f>
        <v>0</v>
      </c>
      <c r="AD22" s="125">
        <f t="shared" si="2"/>
        <v>0</v>
      </c>
      <c r="AE22" s="125">
        <f t="shared" si="18"/>
        <v>36638039</v>
      </c>
      <c r="AF22" s="131">
        <f t="shared" si="3"/>
        <v>238596</v>
      </c>
      <c r="AG22" s="125">
        <f t="shared" si="4"/>
        <v>36399443</v>
      </c>
      <c r="AH22" s="133">
        <v>0</v>
      </c>
      <c r="AI22" s="133">
        <v>1828095</v>
      </c>
      <c r="AJ22" s="125">
        <f t="shared" si="5"/>
        <v>29358875</v>
      </c>
      <c r="AK22" s="134">
        <f>+'[1]13-14 deferrals, growth, EPA 1'!I22</f>
        <v>3641332</v>
      </c>
      <c r="AL22" s="135">
        <f t="shared" si="6"/>
        <v>5212473</v>
      </c>
      <c r="AM22" s="135">
        <f>+'[1]13-14 deferrals, growth, EPA 1'!AA22</f>
        <v>61456</v>
      </c>
      <c r="AN22" s="135">
        <f>+'[1]13-14 deferrals, growth, EPA 1'!AB22</f>
        <v>317356</v>
      </c>
      <c r="AO22" s="135">
        <f>+'[1]13-14 deferrals, growth, EPA 1'!AC22</f>
        <v>459250</v>
      </c>
      <c r="AP22" s="147">
        <f t="shared" si="19"/>
        <v>733079</v>
      </c>
      <c r="AQ22" s="135">
        <f t="shared" si="7"/>
        <v>238596</v>
      </c>
      <c r="AR22" s="125">
        <f t="shared" si="8"/>
        <v>1571141</v>
      </c>
      <c r="AS22" s="148">
        <f>IF(SUM(AI22:AK22)+AR22&gt;AG22,(SUM(AI22:AK22)+AR22-AG22),0)</f>
        <v>0</v>
      </c>
      <c r="AT22" s="137">
        <f t="shared" si="10"/>
        <v>0.99348775189632832</v>
      </c>
      <c r="AU22" s="138">
        <f t="shared" si="11"/>
        <v>36638039</v>
      </c>
      <c r="AV22" s="139">
        <f>'[1]13-14 deferrals, growth, EPA 1'!BX22</f>
        <v>0</v>
      </c>
      <c r="AW22" s="10">
        <f t="shared" si="20"/>
        <v>0</v>
      </c>
      <c r="AX22" s="140">
        <v>0</v>
      </c>
      <c r="AY22" s="141">
        <v>0</v>
      </c>
      <c r="AZ22" s="142"/>
      <c r="BA22" s="133">
        <v>1986245</v>
      </c>
      <c r="BB22" s="143">
        <v>24289490</v>
      </c>
      <c r="BC22" s="133">
        <v>30079617</v>
      </c>
      <c r="BD22" s="142">
        <f t="shared" si="12"/>
        <v>720742</v>
      </c>
      <c r="BE22" s="142"/>
      <c r="BF22" s="142"/>
      <c r="BG22" s="142"/>
      <c r="BH22" s="142"/>
      <c r="BI22" s="142"/>
      <c r="BJ22" s="142"/>
      <c r="BK22" s="139">
        <v>0</v>
      </c>
      <c r="BL22" s="10">
        <f t="shared" si="21"/>
        <v>0</v>
      </c>
      <c r="BM22" s="16"/>
      <c r="BN22" s="16"/>
      <c r="BO22" s="16"/>
      <c r="BP22" s="16"/>
      <c r="BQ22" s="16"/>
      <c r="BR22" s="16"/>
      <c r="BS22" s="16"/>
      <c r="BT22" s="16"/>
      <c r="BU22" s="16"/>
      <c r="BV22" s="16"/>
      <c r="BW22" s="16"/>
      <c r="BX22" s="16"/>
      <c r="BY22" s="16"/>
      <c r="BZ22" s="16"/>
      <c r="CA22" s="116"/>
      <c r="CB22" s="16"/>
      <c r="CC22" s="16"/>
      <c r="CD22" s="16"/>
      <c r="CE22" s="16"/>
      <c r="CF22" s="16"/>
      <c r="CG22" s="16"/>
      <c r="CH22" s="16"/>
      <c r="CI22" s="16"/>
      <c r="CJ22" s="16"/>
      <c r="CK22" s="16"/>
      <c r="CL22" s="16"/>
      <c r="CM22" s="16"/>
    </row>
    <row r="23" spans="1:91" s="144" customFormat="1">
      <c r="A23" s="16" t="s">
        <v>124</v>
      </c>
      <c r="B23" s="118">
        <v>92835654</v>
      </c>
      <c r="C23" s="146">
        <v>-1107182</v>
      </c>
      <c r="D23" s="120">
        <f t="shared" si="13"/>
        <v>91728472</v>
      </c>
      <c r="E23" s="10"/>
      <c r="F23" s="121">
        <f>+'[1]Foundation Grant (OLD)'!N23</f>
        <v>8857454</v>
      </c>
      <c r="G23" s="122">
        <f t="shared" si="14"/>
        <v>0</v>
      </c>
      <c r="H23" s="123">
        <f>ROUND($AE$4*[1]FTES!O23,0)</f>
        <v>39527</v>
      </c>
      <c r="I23" s="123">
        <f>ROUND($AI$4*[1]FTES!Z23,0)</f>
        <v>0</v>
      </c>
      <c r="J23" s="124">
        <f>ROUND($AR$4*[1]FTES!D23,0)</f>
        <v>82831491</v>
      </c>
      <c r="K23" s="125">
        <f t="shared" si="15"/>
        <v>91728472</v>
      </c>
      <c r="L23" s="125">
        <v>0</v>
      </c>
      <c r="M23" s="125">
        <f t="shared" si="0"/>
        <v>91728472</v>
      </c>
      <c r="N23" s="126">
        <f>(M23-H23-I23-F23)/[1]FTES!D23</f>
        <v>4564.8251195657294</v>
      </c>
      <c r="O23" s="125">
        <f>ROUND((M23+'[1]Restoration and Growth'!BM23)*$C$4,0)</f>
        <v>1440137</v>
      </c>
      <c r="P23" s="125">
        <f>ROUND(M23+O23+'[1]Restoration and Growth'!BM23,0)</f>
        <v>93168609</v>
      </c>
      <c r="Q23" s="127">
        <f t="shared" si="16"/>
        <v>4636.4928739999996</v>
      </c>
      <c r="R23" s="125">
        <f t="shared" si="1"/>
        <v>-1440137</v>
      </c>
      <c r="S23" s="128">
        <f>+'[1]13-14 $86M Workload Restore'!AJ21</f>
        <v>1448884</v>
      </c>
      <c r="T23" s="129">
        <f>+'[1]13-14 $86M Workload Restore'!AA21</f>
        <v>0</v>
      </c>
      <c r="U23" s="129">
        <f>'[1]Growth Deficit'!X23</f>
        <v>309.999932</v>
      </c>
      <c r="V23" s="125">
        <f>-1* '[1]Growth Deficit'!AR23</f>
        <v>-309.999932</v>
      </c>
      <c r="W23" s="125">
        <f t="shared" si="17"/>
        <v>0</v>
      </c>
      <c r="X23" s="129">
        <f>'[1]Restoration and Growth'!AQ23</f>
        <v>0</v>
      </c>
      <c r="Y23" s="125"/>
      <c r="Z23" s="130">
        <f>[1]FTES!AT23</f>
        <v>0</v>
      </c>
      <c r="AA23" s="146">
        <v>1107182</v>
      </c>
      <c r="AB23" s="125"/>
      <c r="AC23" s="132">
        <f>+'[1]Foundation Grant'!N23-'[1]Foundation Grant (OLD)'!N23</f>
        <v>-1107182</v>
      </c>
      <c r="AD23" s="125">
        <f t="shared" si="2"/>
        <v>-17383</v>
      </c>
      <c r="AE23" s="125">
        <f t="shared" si="18"/>
        <v>94600110</v>
      </c>
      <c r="AF23" s="131">
        <f t="shared" si="3"/>
        <v>616060</v>
      </c>
      <c r="AG23" s="125">
        <f t="shared" si="4"/>
        <v>93984050</v>
      </c>
      <c r="AH23" s="133">
        <v>0</v>
      </c>
      <c r="AI23" s="133">
        <v>7382227</v>
      </c>
      <c r="AJ23" s="125">
        <f t="shared" si="5"/>
        <v>25222005</v>
      </c>
      <c r="AK23" s="134">
        <f>+'[1]13-14 deferrals, growth, EPA 1'!I23</f>
        <v>14009648</v>
      </c>
      <c r="AL23" s="135">
        <f t="shared" si="6"/>
        <v>61379818</v>
      </c>
      <c r="AM23" s="135">
        <f>+'[1]13-14 deferrals, growth, EPA 1'!AA23</f>
        <v>158441</v>
      </c>
      <c r="AN23" s="135">
        <f>+'[1]13-14 deferrals, growth, EPA 1'!AB23</f>
        <v>818177</v>
      </c>
      <c r="AO23" s="135">
        <f>+'[1]13-14 deferrals, growth, EPA 1'!AC23</f>
        <v>1183995</v>
      </c>
      <c r="AP23" s="135">
        <f t="shared" si="19"/>
        <v>45209557</v>
      </c>
      <c r="AQ23" s="135">
        <f t="shared" si="7"/>
        <v>616060</v>
      </c>
      <c r="AR23" s="125">
        <f t="shared" si="8"/>
        <v>47370170</v>
      </c>
      <c r="AS23" s="136">
        <f t="shared" ref="AS23:AS36" si="22">IF(AI23+AJ23&gt;AG23,AI23+AJ23-AG23,0)</f>
        <v>0</v>
      </c>
      <c r="AT23" s="137">
        <f t="shared" si="10"/>
        <v>0.99348774541594087</v>
      </c>
      <c r="AU23" s="138">
        <f t="shared" si="11"/>
        <v>93492928</v>
      </c>
      <c r="AV23" s="139">
        <f>'[1]13-14 deferrals, growth, EPA 1'!BX23</f>
        <v>0</v>
      </c>
      <c r="AW23" s="10">
        <f t="shared" si="20"/>
        <v>0</v>
      </c>
      <c r="AX23" s="140">
        <v>0</v>
      </c>
      <c r="AY23" s="141">
        <v>0</v>
      </c>
      <c r="AZ23" s="142"/>
      <c r="BA23" s="133">
        <v>7732692</v>
      </c>
      <c r="BB23" s="143">
        <v>25411465</v>
      </c>
      <c r="BC23" s="133">
        <v>25841189</v>
      </c>
      <c r="BD23" s="142">
        <f t="shared" si="12"/>
        <v>619184</v>
      </c>
      <c r="BE23" s="142"/>
      <c r="BF23" s="142"/>
      <c r="BG23" s="142"/>
      <c r="BH23" s="142"/>
      <c r="BI23" s="142"/>
      <c r="BJ23" s="142"/>
      <c r="BK23" s="139">
        <v>0</v>
      </c>
      <c r="BL23" s="10">
        <f t="shared" si="21"/>
        <v>0</v>
      </c>
      <c r="BM23" s="16"/>
      <c r="BN23" s="16"/>
      <c r="BO23" s="16"/>
      <c r="BP23" s="16"/>
      <c r="BQ23" s="16"/>
      <c r="BR23" s="16"/>
      <c r="BS23" s="16"/>
      <c r="BT23" s="16"/>
      <c r="BU23" s="16"/>
      <c r="BV23" s="16"/>
      <c r="BW23" s="16"/>
      <c r="BX23" s="16"/>
      <c r="BY23" s="16"/>
      <c r="BZ23" s="16"/>
      <c r="CA23" s="116"/>
      <c r="CB23" s="16"/>
      <c r="CC23" s="16"/>
      <c r="CD23" s="16"/>
      <c r="CE23" s="16"/>
      <c r="CF23" s="16"/>
      <c r="CG23" s="16"/>
      <c r="CH23" s="16"/>
      <c r="CI23" s="16"/>
      <c r="CJ23" s="16"/>
      <c r="CK23" s="16"/>
      <c r="CL23" s="16"/>
      <c r="CM23" s="16"/>
    </row>
    <row r="24" spans="1:91" s="144" customFormat="1">
      <c r="A24" s="16" t="s">
        <v>125</v>
      </c>
      <c r="B24" s="118">
        <v>11197390</v>
      </c>
      <c r="C24" s="149">
        <v>-819795</v>
      </c>
      <c r="D24" s="120">
        <f t="shared" si="13"/>
        <v>10377595</v>
      </c>
      <c r="E24" s="10"/>
      <c r="F24" s="121">
        <f>+'[1]Foundation Grant (OLD)'!N24</f>
        <v>3875136</v>
      </c>
      <c r="G24" s="122">
        <f t="shared" si="14"/>
        <v>1</v>
      </c>
      <c r="H24" s="123">
        <f>ROUND($AE$4*[1]FTES!O24,0)</f>
        <v>63409</v>
      </c>
      <c r="I24" s="123">
        <f>ROUND($AI$4*[1]FTES!Z24,0)</f>
        <v>0</v>
      </c>
      <c r="J24" s="124">
        <f>ROUND($AR$4*[1]FTES!D24,0)</f>
        <v>6439051</v>
      </c>
      <c r="K24" s="125">
        <f t="shared" si="15"/>
        <v>10377596</v>
      </c>
      <c r="L24" s="125">
        <v>0</v>
      </c>
      <c r="M24" s="125">
        <f t="shared" si="0"/>
        <v>10377596</v>
      </c>
      <c r="N24" s="126">
        <f>(M24-H24-I24-F24)/[1]FTES!D24</f>
        <v>4564.8251074026293</v>
      </c>
      <c r="O24" s="125">
        <f>ROUND((M24+'[1]Restoration and Growth'!BM24)*$C$4,0)</f>
        <v>162928</v>
      </c>
      <c r="P24" s="125">
        <f>ROUND(M24+O24+'[1]Restoration and Growth'!BM24,0)</f>
        <v>10540524</v>
      </c>
      <c r="Q24" s="127">
        <f t="shared" si="16"/>
        <v>4636.4928620000001</v>
      </c>
      <c r="R24" s="125">
        <f t="shared" si="1"/>
        <v>-162928</v>
      </c>
      <c r="S24" s="128">
        <f>+'[1]13-14 $86M Workload Restore'!AJ22</f>
        <v>0</v>
      </c>
      <c r="T24" s="129">
        <f>+'[1]13-14 $86M Workload Restore'!AA22</f>
        <v>416007</v>
      </c>
      <c r="U24" s="129">
        <f>'[1]Growth Deficit'!X24</f>
        <v>-1.1699999999999998E-4</v>
      </c>
      <c r="V24" s="125">
        <f>-1* '[1]Growth Deficit'!AR24</f>
        <v>1.1699999999999998E-4</v>
      </c>
      <c r="W24" s="125">
        <f t="shared" si="17"/>
        <v>0</v>
      </c>
      <c r="X24" s="129">
        <f>'[1]Restoration and Growth'!AQ24</f>
        <v>0</v>
      </c>
      <c r="Y24" s="125"/>
      <c r="Z24" s="130">
        <f>[1]FTES!AT24</f>
        <v>0</v>
      </c>
      <c r="AA24" s="131">
        <v>0</v>
      </c>
      <c r="AB24" s="125"/>
      <c r="AC24" s="132">
        <f>+'[1]Foundation Grant'!N24-'[1]Foundation Grant (OLD)'!N24</f>
        <v>0</v>
      </c>
      <c r="AD24" s="125">
        <f t="shared" si="2"/>
        <v>0</v>
      </c>
      <c r="AE24" s="125">
        <f t="shared" si="18"/>
        <v>10956531</v>
      </c>
      <c r="AF24" s="131">
        <f t="shared" si="3"/>
        <v>71352</v>
      </c>
      <c r="AG24" s="125">
        <f t="shared" si="4"/>
        <v>10885179</v>
      </c>
      <c r="AH24" s="133">
        <v>0</v>
      </c>
      <c r="AI24" s="133">
        <v>677883</v>
      </c>
      <c r="AJ24" s="125">
        <f t="shared" si="5"/>
        <v>4908668</v>
      </c>
      <c r="AK24" s="134">
        <f>+'[1]13-14 deferrals, growth, EPA 1'!I24</f>
        <v>1651040</v>
      </c>
      <c r="AL24" s="135">
        <f t="shared" si="6"/>
        <v>5298628</v>
      </c>
      <c r="AM24" s="135">
        <f>+'[1]13-14 deferrals, growth, EPA 1'!AA24</f>
        <v>18776</v>
      </c>
      <c r="AN24" s="135">
        <f>+'[1]13-14 deferrals, growth, EPA 1'!AB24</f>
        <v>96956</v>
      </c>
      <c r="AO24" s="135">
        <f>+'[1]13-14 deferrals, growth, EPA 1'!AC24</f>
        <v>140306</v>
      </c>
      <c r="AP24" s="135">
        <f t="shared" si="19"/>
        <v>3391550</v>
      </c>
      <c r="AQ24" s="135">
        <f t="shared" si="7"/>
        <v>71352</v>
      </c>
      <c r="AR24" s="125">
        <f t="shared" si="8"/>
        <v>3647588</v>
      </c>
      <c r="AS24" s="136">
        <f t="shared" si="22"/>
        <v>0</v>
      </c>
      <c r="AT24" s="137">
        <f t="shared" si="10"/>
        <v>0.99348771979014161</v>
      </c>
      <c r="AU24" s="138">
        <f t="shared" si="11"/>
        <v>10956531</v>
      </c>
      <c r="AV24" s="139">
        <f>'[1]13-14 deferrals, growth, EPA 1'!BX24</f>
        <v>0</v>
      </c>
      <c r="AW24" s="10">
        <f t="shared" si="20"/>
        <v>0</v>
      </c>
      <c r="AX24" s="140">
        <v>0</v>
      </c>
      <c r="AY24" s="141">
        <v>0</v>
      </c>
      <c r="AZ24" s="142"/>
      <c r="BA24" s="133">
        <v>745372</v>
      </c>
      <c r="BB24" s="143">
        <v>4702642</v>
      </c>
      <c r="BC24" s="133">
        <v>5029173</v>
      </c>
      <c r="BD24" s="142">
        <f t="shared" si="12"/>
        <v>120505</v>
      </c>
      <c r="BE24" s="142"/>
      <c r="BF24" s="142"/>
      <c r="BG24" s="142"/>
      <c r="BH24" s="142"/>
      <c r="BI24" s="142"/>
      <c r="BJ24" s="142"/>
      <c r="BK24" s="139">
        <v>0</v>
      </c>
      <c r="BL24" s="10">
        <f t="shared" si="21"/>
        <v>0</v>
      </c>
      <c r="BM24" s="16"/>
      <c r="BN24" s="16"/>
      <c r="BO24" s="16"/>
      <c r="BP24" s="16"/>
      <c r="BQ24" s="16"/>
      <c r="BR24" s="16"/>
      <c r="BS24" s="16"/>
      <c r="BT24" s="16"/>
      <c r="BU24" s="16"/>
      <c r="BV24" s="16"/>
      <c r="BW24" s="16"/>
      <c r="BX24" s="16"/>
      <c r="BY24" s="16"/>
      <c r="BZ24" s="16"/>
      <c r="CA24" s="116"/>
      <c r="CB24" s="16"/>
      <c r="CC24" s="16"/>
      <c r="CD24" s="16"/>
      <c r="CE24" s="16"/>
      <c r="CF24" s="16"/>
      <c r="CG24" s="16"/>
      <c r="CH24" s="16"/>
      <c r="CI24" s="16"/>
      <c r="CJ24" s="16"/>
      <c r="CK24" s="16"/>
      <c r="CL24" s="16"/>
      <c r="CM24" s="16"/>
    </row>
    <row r="25" spans="1:91" s="144" customFormat="1">
      <c r="A25" s="16" t="s">
        <v>126</v>
      </c>
      <c r="B25" s="118">
        <v>143481783</v>
      </c>
      <c r="C25" s="149">
        <v>-7621190</v>
      </c>
      <c r="D25" s="120">
        <f t="shared" si="13"/>
        <v>135860593</v>
      </c>
      <c r="E25" s="10"/>
      <c r="F25" s="121">
        <f>+'[1]Foundation Grant (OLD)'!N25</f>
        <v>8857454</v>
      </c>
      <c r="G25" s="122">
        <f t="shared" si="14"/>
        <v>0</v>
      </c>
      <c r="H25" s="150">
        <f>ROUND($AE$4*[1]FTES!O25,0)</f>
        <v>551846</v>
      </c>
      <c r="I25" s="150">
        <f>ROUND($AI$4*[1]FTES!Z25,0)</f>
        <v>58177</v>
      </c>
      <c r="J25" s="124">
        <f>ROUND($AR$4*[1]FTES!D25,0)</f>
        <v>125773028</v>
      </c>
      <c r="K25" s="125">
        <f t="shared" si="15"/>
        <v>135240505</v>
      </c>
      <c r="L25" s="125">
        <f>IF(D25&gt;K25,D25-K25,0)</f>
        <v>620088</v>
      </c>
      <c r="M25" s="125">
        <f t="shared" si="0"/>
        <v>135860593</v>
      </c>
      <c r="N25" s="126">
        <f>(M25-H25-I25-F25)/[1]FTES!D25</f>
        <v>4587.330656034901</v>
      </c>
      <c r="O25" s="125">
        <f>ROUND((M25+'[1]Restoration and Growth'!BM25)*$C$4,0)</f>
        <v>2107098</v>
      </c>
      <c r="P25" s="125">
        <f>ROUND(M25+O25+'[1]Restoration and Growth'!BM25,0)</f>
        <v>136317142</v>
      </c>
      <c r="Q25" s="127">
        <f t="shared" si="16"/>
        <v>4659.3517469999997</v>
      </c>
      <c r="R25" s="125">
        <f t="shared" si="1"/>
        <v>-456549</v>
      </c>
      <c r="S25" s="128">
        <f>+'[1]13-14 $86M Workload Restore'!AJ23</f>
        <v>0</v>
      </c>
      <c r="T25" s="129">
        <f>+'[1]13-14 $86M Workload Restore'!AA23</f>
        <v>0</v>
      </c>
      <c r="U25" s="125">
        <f>'[1]Growth Deficit'!X25</f>
        <v>0</v>
      </c>
      <c r="V25" s="125">
        <f>-1* '[1]Growth Deficit'!AR25</f>
        <v>0</v>
      </c>
      <c r="W25" s="125">
        <f t="shared" si="17"/>
        <v>0</v>
      </c>
      <c r="X25" s="129">
        <f>'[1]Restoration and Growth'!AQ25</f>
        <v>1676463</v>
      </c>
      <c r="Y25" s="125"/>
      <c r="Z25" s="151">
        <f>[1]FTES!AT25</f>
        <v>0</v>
      </c>
      <c r="AA25" s="131">
        <v>0</v>
      </c>
      <c r="AB25" s="125"/>
      <c r="AC25" s="125">
        <f>+'[1]Foundation Grant'!N25-'[1]Foundation Grant (OLD)'!N25</f>
        <v>0</v>
      </c>
      <c r="AD25" s="125">
        <f t="shared" si="2"/>
        <v>0</v>
      </c>
      <c r="AE25" s="125">
        <f t="shared" si="18"/>
        <v>137993605</v>
      </c>
      <c r="AF25" s="131">
        <f t="shared" si="3"/>
        <v>898649</v>
      </c>
      <c r="AG25" s="125">
        <f t="shared" si="4"/>
        <v>137094956</v>
      </c>
      <c r="AH25" s="133">
        <v>0</v>
      </c>
      <c r="AI25" s="133">
        <v>21533298</v>
      </c>
      <c r="AJ25" s="125">
        <f t="shared" si="5"/>
        <v>76691538</v>
      </c>
      <c r="AK25" s="134">
        <f>+'[1]13-14 deferrals, growth, EPA 1'!I25</f>
        <v>18706805</v>
      </c>
      <c r="AL25" s="135">
        <f t="shared" si="6"/>
        <v>38870120</v>
      </c>
      <c r="AM25" s="135">
        <f>+'[1]13-14 deferrals, growth, EPA 1'!AA25</f>
        <v>231114</v>
      </c>
      <c r="AN25" s="135">
        <f>+'[1]13-14 deferrals, growth, EPA 1'!AB25</f>
        <v>1193457</v>
      </c>
      <c r="AO25" s="135">
        <f>+'[1]13-14 deferrals, growth, EPA 1'!AC25</f>
        <v>1727068</v>
      </c>
      <c r="AP25" s="135">
        <f t="shared" si="19"/>
        <v>17011676</v>
      </c>
      <c r="AQ25" s="135">
        <f t="shared" si="7"/>
        <v>898649</v>
      </c>
      <c r="AR25" s="125">
        <f t="shared" si="8"/>
        <v>20163315</v>
      </c>
      <c r="AS25" s="136">
        <f t="shared" si="22"/>
        <v>0</v>
      </c>
      <c r="AT25" s="137">
        <f t="shared" si="10"/>
        <v>0.99348774894314851</v>
      </c>
      <c r="AU25" s="138">
        <f t="shared" si="11"/>
        <v>136317142</v>
      </c>
      <c r="AV25" s="139">
        <f>'[1]13-14 deferrals, growth, EPA 1'!BX25</f>
        <v>0</v>
      </c>
      <c r="AW25" s="10">
        <f t="shared" si="20"/>
        <v>0</v>
      </c>
      <c r="AX25" s="140">
        <v>0</v>
      </c>
      <c r="AY25" s="141">
        <v>0</v>
      </c>
      <c r="AZ25" s="142"/>
      <c r="BA25" s="133">
        <v>21364000</v>
      </c>
      <c r="BB25" s="143">
        <v>78951977</v>
      </c>
      <c r="BC25" s="133">
        <v>78574266</v>
      </c>
      <c r="BD25" s="142">
        <f t="shared" si="12"/>
        <v>1882728</v>
      </c>
      <c r="BE25" s="142"/>
      <c r="BF25" s="142"/>
      <c r="BG25" s="142"/>
      <c r="BH25" s="142"/>
      <c r="BI25" s="142"/>
      <c r="BJ25" s="142"/>
      <c r="BK25" s="139">
        <v>0</v>
      </c>
      <c r="BL25" s="10">
        <f t="shared" si="21"/>
        <v>0</v>
      </c>
      <c r="BM25" s="16"/>
      <c r="BN25" s="16"/>
      <c r="BO25" s="16"/>
      <c r="BP25" s="16"/>
      <c r="BQ25" s="16"/>
      <c r="BR25" s="16"/>
      <c r="BS25" s="16"/>
      <c r="BT25" s="16"/>
      <c r="BU25" s="16"/>
      <c r="BV25" s="16"/>
      <c r="BW25" s="16"/>
      <c r="BX25" s="16"/>
      <c r="BY25" s="16"/>
      <c r="BZ25" s="16"/>
      <c r="CA25" s="116"/>
      <c r="CB25" s="16"/>
      <c r="CC25" s="16"/>
      <c r="CD25" s="16"/>
      <c r="CE25" s="16"/>
      <c r="CF25" s="16"/>
      <c r="CG25" s="16"/>
      <c r="CH25" s="16"/>
      <c r="CI25" s="16"/>
      <c r="CJ25" s="16"/>
      <c r="CK25" s="16"/>
      <c r="CL25" s="16"/>
      <c r="CM25" s="16"/>
    </row>
    <row r="26" spans="1:91" s="144" customFormat="1">
      <c r="A26" s="16" t="s">
        <v>127</v>
      </c>
      <c r="B26" s="118">
        <v>25961627</v>
      </c>
      <c r="C26" s="149">
        <v>0</v>
      </c>
      <c r="D26" s="120">
        <f t="shared" si="13"/>
        <v>25961627</v>
      </c>
      <c r="E26" s="10"/>
      <c r="F26" s="121">
        <f>+'[1]Foundation Grant (OLD)'!N26</f>
        <v>3875136</v>
      </c>
      <c r="G26" s="122">
        <f t="shared" si="14"/>
        <v>0</v>
      </c>
      <c r="H26" s="123">
        <f>ROUND($AE$4*[1]FTES!O26,0)</f>
        <v>1327544</v>
      </c>
      <c r="I26" s="123">
        <f>ROUND($AI$4*[1]FTES!Z26,0)</f>
        <v>239302</v>
      </c>
      <c r="J26" s="124">
        <f>ROUND($AR$4*[1]FTES!D26,0)</f>
        <v>20519645</v>
      </c>
      <c r="K26" s="125">
        <f t="shared" si="15"/>
        <v>25961627</v>
      </c>
      <c r="L26" s="125">
        <v>0</v>
      </c>
      <c r="M26" s="125">
        <f t="shared" si="0"/>
        <v>25961627</v>
      </c>
      <c r="N26" s="126">
        <f>(M26-H26-I26-F26)/[1]FTES!D26</f>
        <v>4564.8251108429331</v>
      </c>
      <c r="O26" s="125">
        <f>ROUND((M26+'[1]Restoration and Growth'!BM26)*$C$4,0)</f>
        <v>407598</v>
      </c>
      <c r="P26" s="125">
        <f>ROUND(M26+O26+'[1]Restoration and Growth'!BM26,0)</f>
        <v>26369225</v>
      </c>
      <c r="Q26" s="127">
        <f t="shared" si="16"/>
        <v>4636.4928650000002</v>
      </c>
      <c r="R26" s="125">
        <f t="shared" si="1"/>
        <v>-407598</v>
      </c>
      <c r="S26" s="128">
        <f>+'[1]13-14 $86M Workload Restore'!AJ24</f>
        <v>525019</v>
      </c>
      <c r="T26" s="129">
        <f>+'[1]13-14 $86M Workload Restore'!AA24</f>
        <v>0</v>
      </c>
      <c r="U26" s="129">
        <f>'[1]Growth Deficit'!X26</f>
        <v>184.32435800000002</v>
      </c>
      <c r="V26" s="125">
        <f>-1* '[1]Growth Deficit'!AR26</f>
        <v>-184.32435800000002</v>
      </c>
      <c r="W26" s="125">
        <f t="shared" si="17"/>
        <v>0</v>
      </c>
      <c r="X26" s="129">
        <f>'[1]Restoration and Growth'!AQ26</f>
        <v>0</v>
      </c>
      <c r="Y26" s="125"/>
      <c r="Z26" s="130">
        <f>[1]FTES!AT26</f>
        <v>0</v>
      </c>
      <c r="AA26" s="131">
        <v>0</v>
      </c>
      <c r="AB26" s="125"/>
      <c r="AC26" s="132">
        <f>+'[1]Foundation Grant'!N26-'[1]Foundation Grant (OLD)'!N26</f>
        <v>0</v>
      </c>
      <c r="AD26" s="125">
        <f t="shared" si="2"/>
        <v>0</v>
      </c>
      <c r="AE26" s="125">
        <f t="shared" si="18"/>
        <v>26894244</v>
      </c>
      <c r="AF26" s="131">
        <f t="shared" si="3"/>
        <v>175142</v>
      </c>
      <c r="AG26" s="125">
        <f t="shared" si="4"/>
        <v>26719102</v>
      </c>
      <c r="AH26" s="133">
        <v>0</v>
      </c>
      <c r="AI26" s="133">
        <v>1686630</v>
      </c>
      <c r="AJ26" s="125">
        <f t="shared" si="5"/>
        <v>14156617</v>
      </c>
      <c r="AK26" s="134">
        <f>+'[1]13-14 deferrals, growth, EPA 1'!I26</f>
        <v>4049053</v>
      </c>
      <c r="AL26" s="135">
        <f t="shared" si="6"/>
        <v>10875855</v>
      </c>
      <c r="AM26" s="135">
        <f>+'[1]13-14 deferrals, growth, EPA 1'!AA26</f>
        <v>45106</v>
      </c>
      <c r="AN26" s="135">
        <f>+'[1]13-14 deferrals, growth, EPA 1'!AB26</f>
        <v>232924</v>
      </c>
      <c r="AO26" s="135">
        <f>+'[1]13-14 deferrals, growth, EPA 1'!AC26</f>
        <v>337068</v>
      </c>
      <c r="AP26" s="135">
        <f t="shared" si="19"/>
        <v>6211704</v>
      </c>
      <c r="AQ26" s="135">
        <f t="shared" si="7"/>
        <v>175142</v>
      </c>
      <c r="AR26" s="125">
        <f t="shared" si="8"/>
        <v>6826802</v>
      </c>
      <c r="AS26" s="136">
        <f t="shared" si="22"/>
        <v>0</v>
      </c>
      <c r="AT26" s="137">
        <f t="shared" si="10"/>
        <v>0.9934877515054894</v>
      </c>
      <c r="AU26" s="138">
        <f t="shared" si="11"/>
        <v>26894244</v>
      </c>
      <c r="AV26" s="139">
        <f>'[1]13-14 deferrals, growth, EPA 1'!BX26</f>
        <v>0</v>
      </c>
      <c r="AW26" s="10">
        <f t="shared" si="20"/>
        <v>0</v>
      </c>
      <c r="AX26" s="140">
        <v>0</v>
      </c>
      <c r="AY26" s="141">
        <v>0</v>
      </c>
      <c r="AZ26" s="142"/>
      <c r="BA26" s="133">
        <v>1764000</v>
      </c>
      <c r="BB26" s="143">
        <v>15398749</v>
      </c>
      <c r="BC26" s="133">
        <v>14504153</v>
      </c>
      <c r="BD26" s="142">
        <f t="shared" si="12"/>
        <v>347536</v>
      </c>
      <c r="BE26" s="142"/>
      <c r="BF26" s="142"/>
      <c r="BG26" s="142"/>
      <c r="BH26" s="142"/>
      <c r="BI26" s="142"/>
      <c r="BJ26" s="142"/>
      <c r="BK26" s="139">
        <v>0</v>
      </c>
      <c r="BL26" s="10">
        <f t="shared" si="21"/>
        <v>0</v>
      </c>
      <c r="BM26" s="16"/>
      <c r="BN26" s="16"/>
      <c r="BO26" s="16"/>
      <c r="BP26" s="16"/>
      <c r="BQ26" s="16"/>
      <c r="BR26" s="16"/>
      <c r="BS26" s="16"/>
      <c r="BT26" s="16"/>
      <c r="BU26" s="16"/>
      <c r="BV26" s="16"/>
      <c r="BW26" s="16"/>
      <c r="BX26" s="16"/>
      <c r="BY26" s="16"/>
      <c r="BZ26" s="16"/>
      <c r="CA26" s="116"/>
      <c r="CB26" s="16"/>
      <c r="CC26" s="16"/>
      <c r="CD26" s="16"/>
      <c r="CE26" s="16"/>
      <c r="CF26" s="16"/>
      <c r="CG26" s="16"/>
      <c r="CH26" s="16"/>
      <c r="CI26" s="16"/>
      <c r="CJ26" s="16"/>
      <c r="CK26" s="16"/>
      <c r="CL26" s="16"/>
      <c r="CM26" s="16"/>
    </row>
    <row r="27" spans="1:91" s="144" customFormat="1">
      <c r="A27" s="16" t="s">
        <v>128</v>
      </c>
      <c r="B27" s="118">
        <v>70070057</v>
      </c>
      <c r="C27" s="149">
        <v>0</v>
      </c>
      <c r="D27" s="120">
        <f t="shared" si="13"/>
        <v>70070057</v>
      </c>
      <c r="E27" s="10"/>
      <c r="F27" s="121">
        <f>+'[1]Foundation Grant (OLD)'!N27</f>
        <v>5535909</v>
      </c>
      <c r="G27" s="122">
        <f t="shared" si="14"/>
        <v>-1</v>
      </c>
      <c r="H27" s="123">
        <f>ROUND($AE$4*[1]FTES!O27,0)</f>
        <v>942289</v>
      </c>
      <c r="I27" s="123">
        <f>ROUND($AI$4*[1]FTES!Z27,0)</f>
        <v>7534208</v>
      </c>
      <c r="J27" s="124">
        <f>ROUND($AR$4*[1]FTES!D27,0)</f>
        <v>56057650</v>
      </c>
      <c r="K27" s="125">
        <f t="shared" si="15"/>
        <v>70070056</v>
      </c>
      <c r="L27" s="125">
        <v>0</v>
      </c>
      <c r="M27" s="125">
        <f t="shared" si="0"/>
        <v>70070056</v>
      </c>
      <c r="N27" s="126">
        <f>(M27-H27-I27-F27)/[1]FTES!D27</f>
        <v>4564.8250841014851</v>
      </c>
      <c r="O27" s="125">
        <f>ROUND((M27+'[1]Restoration and Growth'!BM27)*$C$4,0)</f>
        <v>1100100</v>
      </c>
      <c r="P27" s="125">
        <f>ROUND(M27+O27+'[1]Restoration and Growth'!BM27,0)</f>
        <v>71170156</v>
      </c>
      <c r="Q27" s="127">
        <f t="shared" si="16"/>
        <v>4636.4928380000001</v>
      </c>
      <c r="R27" s="125">
        <f t="shared" si="1"/>
        <v>-1100100</v>
      </c>
      <c r="S27" s="128">
        <f>+'[1]13-14 $86M Workload Restore'!AJ25</f>
        <v>1404728</v>
      </c>
      <c r="T27" s="129">
        <f>+'[1]13-14 $86M Workload Restore'!AA25</f>
        <v>0</v>
      </c>
      <c r="U27" s="129">
        <f>'[1]Growth Deficit'!X27</f>
        <v>245.59993900000001</v>
      </c>
      <c r="V27" s="125">
        <f>-1* '[1]Growth Deficit'!AR27</f>
        <v>-245.59993900000001</v>
      </c>
      <c r="W27" s="125">
        <f t="shared" si="17"/>
        <v>0</v>
      </c>
      <c r="X27" s="129">
        <f>'[1]Restoration and Growth'!AQ27</f>
        <v>0</v>
      </c>
      <c r="Y27" s="125"/>
      <c r="Z27" s="130">
        <f>[1]FTES!AT27</f>
        <v>0</v>
      </c>
      <c r="AA27" s="131">
        <v>0</v>
      </c>
      <c r="AB27" s="125"/>
      <c r="AC27" s="132">
        <f>+'[1]Foundation Grant'!N27-'[1]Foundation Grant (OLD)'!N27</f>
        <v>0</v>
      </c>
      <c r="AD27" s="125">
        <f t="shared" si="2"/>
        <v>0</v>
      </c>
      <c r="AE27" s="125">
        <f t="shared" si="18"/>
        <v>72574884</v>
      </c>
      <c r="AF27" s="131">
        <f t="shared" si="3"/>
        <v>472626</v>
      </c>
      <c r="AG27" s="125">
        <f t="shared" si="4"/>
        <v>72102258</v>
      </c>
      <c r="AH27" s="133">
        <v>0</v>
      </c>
      <c r="AI27" s="133">
        <v>4022625</v>
      </c>
      <c r="AJ27" s="125">
        <f t="shared" si="5"/>
        <v>10482380</v>
      </c>
      <c r="AK27" s="134">
        <f>+'[1]13-14 deferrals, growth, EPA 1'!I27</f>
        <v>11011423</v>
      </c>
      <c r="AL27" s="135">
        <f t="shared" si="6"/>
        <v>57597253</v>
      </c>
      <c r="AM27" s="135">
        <f>+'[1]13-14 deferrals, growth, EPA 1'!AA27</f>
        <v>121022</v>
      </c>
      <c r="AN27" s="135">
        <f>+'[1]13-14 deferrals, growth, EPA 1'!AB27</f>
        <v>624950</v>
      </c>
      <c r="AO27" s="135">
        <f>+'[1]13-14 deferrals, growth, EPA 1'!AC27</f>
        <v>904374</v>
      </c>
      <c r="AP27" s="135">
        <f t="shared" si="19"/>
        <v>44935484</v>
      </c>
      <c r="AQ27" s="135">
        <f t="shared" si="7"/>
        <v>472626</v>
      </c>
      <c r="AR27" s="125">
        <f t="shared" si="8"/>
        <v>46585830</v>
      </c>
      <c r="AS27" s="136">
        <f t="shared" si="22"/>
        <v>0</v>
      </c>
      <c r="AT27" s="137">
        <f t="shared" si="10"/>
        <v>0.99348774708341248</v>
      </c>
      <c r="AU27" s="138">
        <f t="shared" si="11"/>
        <v>72574884</v>
      </c>
      <c r="AV27" s="139">
        <f>'[1]13-14 deferrals, growth, EPA 1'!BX27</f>
        <v>1</v>
      </c>
      <c r="AW27" s="10">
        <f t="shared" si="20"/>
        <v>-69532</v>
      </c>
      <c r="AX27" s="140">
        <v>0</v>
      </c>
      <c r="AY27" s="141">
        <v>0</v>
      </c>
      <c r="AZ27" s="142"/>
      <c r="BA27" s="133">
        <v>4241088</v>
      </c>
      <c r="BB27" s="143">
        <v>8773324</v>
      </c>
      <c r="BC27" s="133">
        <v>10739716</v>
      </c>
      <c r="BD27" s="142">
        <f t="shared" si="12"/>
        <v>257336</v>
      </c>
      <c r="BE27" s="142"/>
      <c r="BF27" s="142"/>
      <c r="BG27" s="142"/>
      <c r="BH27" s="142"/>
      <c r="BI27" s="142"/>
      <c r="BJ27" s="142"/>
      <c r="BK27" s="139">
        <v>0</v>
      </c>
      <c r="BL27" s="10">
        <f t="shared" si="21"/>
        <v>0</v>
      </c>
      <c r="BM27" s="16"/>
      <c r="BN27" s="16"/>
      <c r="BO27" s="16"/>
      <c r="BP27" s="16"/>
      <c r="BQ27" s="16"/>
      <c r="BR27" s="16"/>
      <c r="BS27" s="16"/>
      <c r="BT27" s="16"/>
      <c r="BU27" s="16"/>
      <c r="BV27" s="16"/>
      <c r="BW27" s="16"/>
      <c r="BX27" s="16"/>
      <c r="BY27" s="16"/>
      <c r="BZ27" s="16"/>
      <c r="CA27" s="116"/>
      <c r="CB27" s="16"/>
      <c r="CC27" s="16"/>
      <c r="CD27" s="16"/>
      <c r="CE27" s="16"/>
      <c r="CF27" s="16"/>
      <c r="CG27" s="16"/>
      <c r="CH27" s="16"/>
      <c r="CI27" s="16"/>
      <c r="CJ27" s="16"/>
      <c r="CK27" s="16"/>
      <c r="CL27" s="16"/>
      <c r="CM27" s="16"/>
    </row>
    <row r="28" spans="1:91" s="144" customFormat="1">
      <c r="A28" s="16" t="s">
        <v>129</v>
      </c>
      <c r="B28" s="118">
        <v>84727106</v>
      </c>
      <c r="C28" s="149">
        <v>0</v>
      </c>
      <c r="D28" s="120">
        <f t="shared" si="13"/>
        <v>84727106</v>
      </c>
      <c r="E28" s="10"/>
      <c r="F28" s="121">
        <f>+'[1]Foundation Grant (OLD)'!N28</f>
        <v>7196681</v>
      </c>
      <c r="G28" s="122">
        <f t="shared" si="14"/>
        <v>0</v>
      </c>
      <c r="H28" s="123">
        <f>ROUND($AE$4*[1]FTES!O28,0)</f>
        <v>253003</v>
      </c>
      <c r="I28" s="123">
        <f>ROUND($AI$4*[1]FTES!Z28,0)</f>
        <v>0</v>
      </c>
      <c r="J28" s="124">
        <f>ROUND($AR$4*[1]FTES!D28,0)</f>
        <v>77277422</v>
      </c>
      <c r="K28" s="125">
        <f t="shared" si="15"/>
        <v>84727106</v>
      </c>
      <c r="L28" s="125">
        <v>0</v>
      </c>
      <c r="M28" s="125">
        <f t="shared" si="0"/>
        <v>84727106</v>
      </c>
      <c r="N28" s="126">
        <f>(M28-H28-I28-F28)/[1]FTES!D28</f>
        <v>4564.8251110062938</v>
      </c>
      <c r="O28" s="125">
        <f>ROUND((M28+'[1]Restoration and Growth'!BM28)*$C$4,0)</f>
        <v>1330216</v>
      </c>
      <c r="P28" s="125">
        <f>ROUND(M28+O28+'[1]Restoration and Growth'!BM28,0)</f>
        <v>86057322</v>
      </c>
      <c r="Q28" s="127">
        <f t="shared" si="16"/>
        <v>4636.4928650000002</v>
      </c>
      <c r="R28" s="125">
        <f t="shared" si="1"/>
        <v>-1330216</v>
      </c>
      <c r="S28" s="128">
        <f>+'[1]13-14 $86M Workload Restore'!AJ26</f>
        <v>2066272</v>
      </c>
      <c r="T28" s="129">
        <f>+'[1]13-14 $86M Workload Restore'!AA26</f>
        <v>0</v>
      </c>
      <c r="U28" s="129">
        <f>'[1]Growth Deficit'!X28</f>
        <v>1038.8300380000001</v>
      </c>
      <c r="V28" s="125">
        <f>-1* '[1]Growth Deficit'!AR28</f>
        <v>-1038.8300380000001</v>
      </c>
      <c r="W28" s="125">
        <f t="shared" si="17"/>
        <v>0</v>
      </c>
      <c r="X28" s="129">
        <f>'[1]Restoration and Growth'!AQ28</f>
        <v>0</v>
      </c>
      <c r="Y28" s="125"/>
      <c r="Z28" s="130">
        <f>[1]FTES!AT28</f>
        <v>0</v>
      </c>
      <c r="AA28" s="131">
        <v>0</v>
      </c>
      <c r="AB28" s="125"/>
      <c r="AC28" s="132">
        <f>+'[1]Foundation Grant'!N28-'[1]Foundation Grant (OLD)'!N28</f>
        <v>0</v>
      </c>
      <c r="AD28" s="125">
        <f t="shared" si="2"/>
        <v>0</v>
      </c>
      <c r="AE28" s="125">
        <f t="shared" si="18"/>
        <v>88123594</v>
      </c>
      <c r="AF28" s="131">
        <f t="shared" si="3"/>
        <v>573883</v>
      </c>
      <c r="AG28" s="125">
        <f t="shared" si="4"/>
        <v>87549711</v>
      </c>
      <c r="AH28" s="133">
        <v>0</v>
      </c>
      <c r="AI28" s="133">
        <v>7400776</v>
      </c>
      <c r="AJ28" s="125">
        <f t="shared" si="5"/>
        <v>29788551</v>
      </c>
      <c r="AK28" s="134">
        <f>+'[1]13-14 deferrals, growth, EPA 1'!I28</f>
        <v>12966358</v>
      </c>
      <c r="AL28" s="135">
        <f t="shared" si="6"/>
        <v>50360384</v>
      </c>
      <c r="AM28" s="135">
        <f>+'[1]13-14 deferrals, growth, EPA 1'!AA28</f>
        <v>147813</v>
      </c>
      <c r="AN28" s="135">
        <f>+'[1]13-14 deferrals, growth, EPA 1'!AB28</f>
        <v>763297</v>
      </c>
      <c r="AO28" s="135">
        <f>+'[1]13-14 deferrals, growth, EPA 1'!AC28</f>
        <v>1104578</v>
      </c>
      <c r="AP28" s="135">
        <f t="shared" si="19"/>
        <v>35378338</v>
      </c>
      <c r="AQ28" s="135">
        <f t="shared" si="7"/>
        <v>573883</v>
      </c>
      <c r="AR28" s="125">
        <f t="shared" si="8"/>
        <v>37394026</v>
      </c>
      <c r="AS28" s="136">
        <f t="shared" si="22"/>
        <v>0</v>
      </c>
      <c r="AT28" s="137">
        <f t="shared" si="10"/>
        <v>0.99348774858183841</v>
      </c>
      <c r="AU28" s="138">
        <f t="shared" si="11"/>
        <v>88123594</v>
      </c>
      <c r="AV28" s="139">
        <f>'[1]13-14 deferrals, growth, EPA 1'!BX28</f>
        <v>0</v>
      </c>
      <c r="AW28" s="10">
        <f t="shared" si="20"/>
        <v>0</v>
      </c>
      <c r="AX28" s="140">
        <v>0</v>
      </c>
      <c r="AY28" s="141">
        <v>0</v>
      </c>
      <c r="AZ28" s="142"/>
      <c r="BA28" s="133">
        <v>7167494</v>
      </c>
      <c r="BB28" s="143">
        <v>30192905</v>
      </c>
      <c r="BC28" s="133">
        <v>30519841</v>
      </c>
      <c r="BD28" s="142">
        <f t="shared" si="12"/>
        <v>731290</v>
      </c>
      <c r="BE28" s="142"/>
      <c r="BF28" s="142"/>
      <c r="BG28" s="142"/>
      <c r="BH28" s="142"/>
      <c r="BI28" s="142"/>
      <c r="BJ28" s="142"/>
      <c r="BK28" s="139">
        <v>0</v>
      </c>
      <c r="BL28" s="10">
        <f t="shared" si="21"/>
        <v>0</v>
      </c>
      <c r="BM28" s="16"/>
      <c r="BN28" s="16"/>
      <c r="BO28" s="16"/>
      <c r="BP28" s="16"/>
      <c r="BQ28" s="16"/>
      <c r="BR28" s="16"/>
      <c r="BS28" s="16"/>
      <c r="BT28" s="16"/>
      <c r="BU28" s="16"/>
      <c r="BV28" s="16"/>
      <c r="BW28" s="16"/>
      <c r="BX28" s="16"/>
      <c r="BY28" s="16"/>
      <c r="BZ28" s="16"/>
      <c r="CA28" s="116"/>
      <c r="CB28" s="16"/>
      <c r="CC28" s="16"/>
      <c r="CD28" s="16"/>
      <c r="CE28" s="16"/>
      <c r="CF28" s="16"/>
      <c r="CG28" s="16"/>
      <c r="CH28" s="16"/>
      <c r="CI28" s="16"/>
      <c r="CJ28" s="16"/>
      <c r="CK28" s="16"/>
      <c r="CL28" s="16"/>
      <c r="CM28" s="16"/>
    </row>
    <row r="29" spans="1:91" s="144" customFormat="1">
      <c r="A29" s="16" t="s">
        <v>130</v>
      </c>
      <c r="B29" s="118">
        <v>33547163</v>
      </c>
      <c r="C29" s="149">
        <v>0</v>
      </c>
      <c r="D29" s="120">
        <f t="shared" si="13"/>
        <v>33547163</v>
      </c>
      <c r="E29" s="10"/>
      <c r="F29" s="121">
        <f>+'[1]Foundation Grant (OLD)'!N29</f>
        <v>3598340</v>
      </c>
      <c r="G29" s="122">
        <f t="shared" si="14"/>
        <v>0</v>
      </c>
      <c r="H29" s="123">
        <f>ROUND($AE$4*[1]FTES!O29,0)</f>
        <v>29673</v>
      </c>
      <c r="I29" s="123">
        <f>ROUND($AI$4*[1]FTES!Z29,0)</f>
        <v>0</v>
      </c>
      <c r="J29" s="124">
        <f>ROUND($AR$4*[1]FTES!D29,0)</f>
        <v>29919150</v>
      </c>
      <c r="K29" s="125">
        <f t="shared" si="15"/>
        <v>33547163</v>
      </c>
      <c r="L29" s="125">
        <v>0</v>
      </c>
      <c r="M29" s="125">
        <f t="shared" si="0"/>
        <v>33547163</v>
      </c>
      <c r="N29" s="126">
        <f>(M29-H29-I29-F29)/[1]FTES!D29</f>
        <v>4564.8251731171895</v>
      </c>
      <c r="O29" s="125">
        <f>ROUND((M29+'[1]Restoration and Growth'!BM29)*$C$4,0)</f>
        <v>526690</v>
      </c>
      <c r="P29" s="125">
        <f>ROUND(M29+O29+'[1]Restoration and Growth'!BM29,0)</f>
        <v>34073853</v>
      </c>
      <c r="Q29" s="127">
        <f t="shared" si="16"/>
        <v>4636.4929279999997</v>
      </c>
      <c r="R29" s="125">
        <f t="shared" si="1"/>
        <v>-526690</v>
      </c>
      <c r="S29" s="128">
        <f>+'[1]13-14 $86M Workload Restore'!AJ27</f>
        <v>711729</v>
      </c>
      <c r="T29" s="129">
        <f>+'[1]13-14 $86M Workload Restore'!AA27</f>
        <v>0</v>
      </c>
      <c r="U29" s="129">
        <f>'[1]Growth Deficit'!X29</f>
        <v>288.50832099999997</v>
      </c>
      <c r="V29" s="125">
        <f>-1* '[1]Growth Deficit'!AR29</f>
        <v>-288.50832099999997</v>
      </c>
      <c r="W29" s="125">
        <f t="shared" si="17"/>
        <v>0</v>
      </c>
      <c r="X29" s="129">
        <f>'[1]Restoration and Growth'!AQ29</f>
        <v>0</v>
      </c>
      <c r="Y29" s="125"/>
      <c r="Z29" s="130">
        <f>[1]FTES!AT29</f>
        <v>0</v>
      </c>
      <c r="AA29" s="131">
        <v>0</v>
      </c>
      <c r="AB29" s="125"/>
      <c r="AC29" s="132">
        <f>+'[1]Foundation Grant'!N29-'[1]Foundation Grant (OLD)'!N29</f>
        <v>0</v>
      </c>
      <c r="AD29" s="125">
        <f t="shared" si="2"/>
        <v>0</v>
      </c>
      <c r="AE29" s="125">
        <f t="shared" si="18"/>
        <v>34785582</v>
      </c>
      <c r="AF29" s="131">
        <f t="shared" si="3"/>
        <v>226532</v>
      </c>
      <c r="AG29" s="125">
        <f t="shared" si="4"/>
        <v>34559050</v>
      </c>
      <c r="AH29" s="133">
        <v>0</v>
      </c>
      <c r="AI29" s="133">
        <v>1744458</v>
      </c>
      <c r="AJ29" s="125">
        <f t="shared" si="5"/>
        <v>20898026</v>
      </c>
      <c r="AK29" s="134">
        <f>+'[1]13-14 deferrals, growth, EPA 1'!I29</f>
        <v>5307335</v>
      </c>
      <c r="AL29" s="135">
        <f t="shared" si="6"/>
        <v>11916566</v>
      </c>
      <c r="AM29" s="135">
        <f>+'[1]13-14 deferrals, growth, EPA 1'!AA29</f>
        <v>58345</v>
      </c>
      <c r="AN29" s="135">
        <f>+'[1]13-14 deferrals, growth, EPA 1'!AB29</f>
        <v>301290</v>
      </c>
      <c r="AO29" s="135">
        <f>+'[1]13-14 deferrals, growth, EPA 1'!AC29</f>
        <v>436000</v>
      </c>
      <c r="AP29" s="135">
        <f t="shared" si="19"/>
        <v>5813596</v>
      </c>
      <c r="AQ29" s="135">
        <f t="shared" si="7"/>
        <v>226532</v>
      </c>
      <c r="AR29" s="125">
        <f t="shared" si="8"/>
        <v>6609231</v>
      </c>
      <c r="AS29" s="136">
        <f t="shared" si="22"/>
        <v>0</v>
      </c>
      <c r="AT29" s="137">
        <f t="shared" si="10"/>
        <v>0.99348776168241193</v>
      </c>
      <c r="AU29" s="138">
        <f t="shared" si="11"/>
        <v>34785582</v>
      </c>
      <c r="AV29" s="139">
        <f>'[1]13-14 deferrals, growth, EPA 1'!BX29</f>
        <v>2</v>
      </c>
      <c r="AW29" s="10">
        <f t="shared" si="20"/>
        <v>-139064</v>
      </c>
      <c r="AX29" s="140">
        <v>0</v>
      </c>
      <c r="AY29" s="141">
        <v>0</v>
      </c>
      <c r="AZ29" s="142"/>
      <c r="BA29" s="133">
        <v>1686026</v>
      </c>
      <c r="BB29" s="143">
        <v>17296467</v>
      </c>
      <c r="BC29" s="133">
        <v>21411059</v>
      </c>
      <c r="BD29" s="142">
        <f t="shared" si="12"/>
        <v>513033</v>
      </c>
      <c r="BE29" s="142"/>
      <c r="BF29" s="142"/>
      <c r="BG29" s="142"/>
      <c r="BH29" s="142"/>
      <c r="BI29" s="142"/>
      <c r="BJ29" s="142"/>
      <c r="BK29" s="139">
        <v>0</v>
      </c>
      <c r="BL29" s="10">
        <f t="shared" si="21"/>
        <v>0</v>
      </c>
      <c r="BM29" s="16"/>
      <c r="BN29" s="16"/>
      <c r="BO29" s="16"/>
      <c r="BP29" s="16"/>
      <c r="BQ29" s="16"/>
      <c r="BR29" s="16"/>
      <c r="BS29" s="16"/>
      <c r="BT29" s="16"/>
      <c r="BU29" s="16"/>
      <c r="BV29" s="16"/>
      <c r="BW29" s="16"/>
      <c r="BX29" s="16"/>
      <c r="BY29" s="16"/>
      <c r="BZ29" s="16"/>
      <c r="CA29" s="116"/>
      <c r="CB29" s="16"/>
      <c r="CC29" s="16"/>
      <c r="CD29" s="16"/>
      <c r="CE29" s="16"/>
      <c r="CF29" s="16"/>
      <c r="CG29" s="16"/>
      <c r="CH29" s="16"/>
      <c r="CI29" s="16"/>
      <c r="CJ29" s="16"/>
      <c r="CK29" s="16"/>
      <c r="CL29" s="16"/>
      <c r="CM29" s="16"/>
    </row>
    <row r="30" spans="1:91" s="144" customFormat="1">
      <c r="A30" s="16" t="s">
        <v>131</v>
      </c>
      <c r="B30" s="118">
        <v>31157895</v>
      </c>
      <c r="C30" s="149">
        <v>-292208</v>
      </c>
      <c r="D30" s="120">
        <f t="shared" si="13"/>
        <v>30865687</v>
      </c>
      <c r="E30" s="10"/>
      <c r="F30" s="121">
        <f>+'[1]Foundation Grant (OLD)'!N30</f>
        <v>3321545</v>
      </c>
      <c r="G30" s="122">
        <f t="shared" si="14"/>
        <v>0</v>
      </c>
      <c r="H30" s="123">
        <f>ROUND($AE$4*[1]FTES!O30,0)</f>
        <v>109771</v>
      </c>
      <c r="I30" s="123">
        <f>ROUND($AI$4*[1]FTES!Z30,0)</f>
        <v>30996</v>
      </c>
      <c r="J30" s="124">
        <f>ROUND($AR$4*[1]FTES!D30,0)</f>
        <v>27403375</v>
      </c>
      <c r="K30" s="125">
        <f t="shared" si="15"/>
        <v>30865687</v>
      </c>
      <c r="L30" s="125">
        <v>0</v>
      </c>
      <c r="M30" s="125">
        <f t="shared" si="0"/>
        <v>30865687</v>
      </c>
      <c r="N30" s="126">
        <f>(M30-H30-I30-F30)/[1]FTES!D30</f>
        <v>4564.8250254865761</v>
      </c>
      <c r="O30" s="125">
        <f>ROUND((M30+'[1]Restoration and Growth'!BM30)*$C$4,0)</f>
        <v>484591</v>
      </c>
      <c r="P30" s="125">
        <f>ROUND(M30+O30+'[1]Restoration and Growth'!BM30,0)</f>
        <v>31350278</v>
      </c>
      <c r="Q30" s="127">
        <f t="shared" si="16"/>
        <v>4636.4927779999998</v>
      </c>
      <c r="R30" s="125">
        <f t="shared" si="1"/>
        <v>-484591</v>
      </c>
      <c r="S30" s="128">
        <f>+'[1]13-14 $86M Workload Restore'!AJ28</f>
        <v>332117</v>
      </c>
      <c r="T30" s="129">
        <f>+'[1]13-14 $86M Workload Restore'!AA28</f>
        <v>2329982</v>
      </c>
      <c r="U30" s="129">
        <f>'[1]Growth Deficit'!X30</f>
        <v>67.108868999999999</v>
      </c>
      <c r="V30" s="125">
        <f>-1* '[1]Growth Deficit'!AR30</f>
        <v>-67.108868999999999</v>
      </c>
      <c r="W30" s="125">
        <f t="shared" si="17"/>
        <v>0</v>
      </c>
      <c r="X30" s="129">
        <f>'[1]Restoration and Growth'!AQ30</f>
        <v>0</v>
      </c>
      <c r="Y30" s="125"/>
      <c r="Z30" s="130">
        <f>[1]FTES!AT30</f>
        <v>0</v>
      </c>
      <c r="AA30" s="131">
        <v>0</v>
      </c>
      <c r="AB30" s="125"/>
      <c r="AC30" s="132">
        <f>+'[1]Foundation Grant'!N30-'[1]Foundation Grant (OLD)'!N30</f>
        <v>0</v>
      </c>
      <c r="AD30" s="125">
        <f t="shared" si="2"/>
        <v>0</v>
      </c>
      <c r="AE30" s="125">
        <f t="shared" si="18"/>
        <v>34012377</v>
      </c>
      <c r="AF30" s="131">
        <f t="shared" si="3"/>
        <v>221497</v>
      </c>
      <c r="AG30" s="125">
        <f t="shared" si="4"/>
        <v>33790880</v>
      </c>
      <c r="AH30" s="133">
        <v>0</v>
      </c>
      <c r="AI30" s="133">
        <v>1144764</v>
      </c>
      <c r="AJ30" s="125">
        <f t="shared" si="5"/>
        <v>5182904</v>
      </c>
      <c r="AK30" s="134">
        <f>+'[1]13-14 deferrals, growth, EPA 1'!I30</f>
        <v>5279464</v>
      </c>
      <c r="AL30" s="135">
        <f t="shared" si="6"/>
        <v>27463212</v>
      </c>
      <c r="AM30" s="135">
        <f>+'[1]13-14 deferrals, growth, EPA 1'!AA30</f>
        <v>56964</v>
      </c>
      <c r="AN30" s="135">
        <f>+'[1]13-14 deferrals, growth, EPA 1'!AB30</f>
        <v>294159</v>
      </c>
      <c r="AO30" s="135">
        <f>+'[1]13-14 deferrals, growth, EPA 1'!AC30</f>
        <v>425681</v>
      </c>
      <c r="AP30" s="135">
        <f t="shared" si="19"/>
        <v>21406944</v>
      </c>
      <c r="AQ30" s="135">
        <f t="shared" si="7"/>
        <v>221497</v>
      </c>
      <c r="AR30" s="125">
        <f t="shared" si="8"/>
        <v>22183748</v>
      </c>
      <c r="AS30" s="136">
        <f t="shared" si="22"/>
        <v>0</v>
      </c>
      <c r="AT30" s="137">
        <f t="shared" si="10"/>
        <v>0.99348775300238501</v>
      </c>
      <c r="AU30" s="138">
        <f t="shared" si="11"/>
        <v>34012377</v>
      </c>
      <c r="AV30" s="139">
        <f>'[1]13-14 deferrals, growth, EPA 1'!BX30</f>
        <v>0</v>
      </c>
      <c r="AW30" s="10">
        <f t="shared" si="20"/>
        <v>0</v>
      </c>
      <c r="AX30" s="140">
        <v>0</v>
      </c>
      <c r="AY30" s="141">
        <v>0</v>
      </c>
      <c r="AZ30" s="142"/>
      <c r="BA30" s="133">
        <v>1204825</v>
      </c>
      <c r="BB30" s="143">
        <v>4433151</v>
      </c>
      <c r="BC30" s="133">
        <v>5310141</v>
      </c>
      <c r="BD30" s="142">
        <f t="shared" si="12"/>
        <v>127237</v>
      </c>
      <c r="BE30" s="142"/>
      <c r="BF30" s="142"/>
      <c r="BG30" s="142"/>
      <c r="BH30" s="142"/>
      <c r="BI30" s="142"/>
      <c r="BJ30" s="142"/>
      <c r="BK30" s="139">
        <v>0</v>
      </c>
      <c r="BL30" s="10">
        <f t="shared" si="21"/>
        <v>0</v>
      </c>
      <c r="BM30" s="16"/>
      <c r="BN30" s="16"/>
      <c r="BO30" s="16"/>
      <c r="BP30" s="16"/>
      <c r="BQ30" s="16"/>
      <c r="BR30" s="16"/>
      <c r="BS30" s="16"/>
      <c r="BT30" s="16"/>
      <c r="BU30" s="16"/>
      <c r="BV30" s="16"/>
      <c r="BW30" s="16"/>
      <c r="BX30" s="16"/>
      <c r="BY30" s="16"/>
      <c r="BZ30" s="16"/>
      <c r="CA30" s="116"/>
      <c r="CB30" s="16"/>
      <c r="CC30" s="16"/>
      <c r="CD30" s="16"/>
      <c r="CE30" s="16"/>
      <c r="CF30" s="16"/>
      <c r="CG30" s="16"/>
      <c r="CH30" s="16"/>
      <c r="CI30" s="16"/>
      <c r="CJ30" s="16"/>
      <c r="CK30" s="16"/>
      <c r="CL30" s="16"/>
      <c r="CM30" s="16"/>
    </row>
    <row r="31" spans="1:91" s="144" customFormat="1">
      <c r="A31" s="16" t="s">
        <v>132</v>
      </c>
      <c r="B31" s="118">
        <v>98519316</v>
      </c>
      <c r="C31" s="149">
        <v>0</v>
      </c>
      <c r="D31" s="120">
        <f t="shared" si="13"/>
        <v>98519316</v>
      </c>
      <c r="E31" s="10"/>
      <c r="F31" s="121">
        <f>+'[1]Foundation Grant (OLD)'!N31</f>
        <v>14116567</v>
      </c>
      <c r="G31" s="122">
        <f t="shared" si="14"/>
        <v>0</v>
      </c>
      <c r="H31" s="123">
        <f>ROUND($AE$4*[1]FTES!O31,0)</f>
        <v>122315</v>
      </c>
      <c r="I31" s="123">
        <f>ROUND($AI$4*[1]FTES!Z31,0)</f>
        <v>0</v>
      </c>
      <c r="J31" s="124">
        <f>ROUND($AR$4*[1]FTES!D31,0)</f>
        <v>84280434</v>
      </c>
      <c r="K31" s="125">
        <f t="shared" si="15"/>
        <v>98519316</v>
      </c>
      <c r="L31" s="125">
        <v>0</v>
      </c>
      <c r="M31" s="125">
        <f t="shared" si="0"/>
        <v>98519316</v>
      </c>
      <c r="N31" s="126">
        <f>(M31-H31-I31-F31)/[1]FTES!D31</f>
        <v>4564.8250892858687</v>
      </c>
      <c r="O31" s="125">
        <f>ROUND((M31+'[1]Restoration and Growth'!BM31)*$C$4,0)</f>
        <v>1546753</v>
      </c>
      <c r="P31" s="125">
        <f>ROUND(M31+O31+'[1]Restoration and Growth'!BM31,0)</f>
        <v>100066069</v>
      </c>
      <c r="Q31" s="127">
        <f t="shared" si="16"/>
        <v>4636.492843</v>
      </c>
      <c r="R31" s="125">
        <f t="shared" si="1"/>
        <v>-1546753</v>
      </c>
      <c r="S31" s="128">
        <f>+'[1]13-14 $86M Workload Restore'!AJ29</f>
        <v>2006513</v>
      </c>
      <c r="T31" s="129">
        <f>+'[1]13-14 $86M Workload Restore'!AA29</f>
        <v>0</v>
      </c>
      <c r="U31" s="129">
        <f>'[1]Growth Deficit'!X31</f>
        <v>622.815021</v>
      </c>
      <c r="V31" s="125">
        <f>-1* '[1]Growth Deficit'!AR31</f>
        <v>-622.815021</v>
      </c>
      <c r="W31" s="125">
        <f t="shared" si="17"/>
        <v>0</v>
      </c>
      <c r="X31" s="129">
        <f>'[1]Restoration and Growth'!AQ31</f>
        <v>0</v>
      </c>
      <c r="Y31" s="125"/>
      <c r="Z31" s="130">
        <f>[1]FTES!AT31</f>
        <v>0</v>
      </c>
      <c r="AA31" s="131">
        <v>0</v>
      </c>
      <c r="AB31" s="125"/>
      <c r="AC31" s="132">
        <f>+'[1]Foundation Grant'!N31-'[1]Foundation Grant (OLD)'!N31</f>
        <v>0</v>
      </c>
      <c r="AD31" s="125">
        <f t="shared" si="2"/>
        <v>0</v>
      </c>
      <c r="AE31" s="125">
        <f t="shared" si="18"/>
        <v>102072582</v>
      </c>
      <c r="AF31" s="131">
        <f t="shared" si="3"/>
        <v>664722</v>
      </c>
      <c r="AG31" s="125">
        <f t="shared" si="4"/>
        <v>101407860</v>
      </c>
      <c r="AH31" s="133">
        <v>0</v>
      </c>
      <c r="AI31" s="133">
        <v>5938025</v>
      </c>
      <c r="AJ31" s="125">
        <f t="shared" si="5"/>
        <v>47337243</v>
      </c>
      <c r="AK31" s="134">
        <f>+'[1]13-14 deferrals, growth, EPA 1'!I31</f>
        <v>15441917</v>
      </c>
      <c r="AL31" s="135">
        <f t="shared" si="6"/>
        <v>48132592</v>
      </c>
      <c r="AM31" s="135">
        <f>+'[1]13-14 deferrals, growth, EPA 1'!AA31</f>
        <v>169464</v>
      </c>
      <c r="AN31" s="135">
        <f>+'[1]13-14 deferrals, growth, EPA 1'!AB31</f>
        <v>875102</v>
      </c>
      <c r="AO31" s="135">
        <f>+'[1]13-14 deferrals, growth, EPA 1'!AC31</f>
        <v>1266373</v>
      </c>
      <c r="AP31" s="135">
        <f t="shared" si="19"/>
        <v>30379736</v>
      </c>
      <c r="AQ31" s="135">
        <f t="shared" si="7"/>
        <v>664722</v>
      </c>
      <c r="AR31" s="125">
        <f t="shared" si="8"/>
        <v>32690675</v>
      </c>
      <c r="AS31" s="136">
        <f t="shared" si="22"/>
        <v>0</v>
      </c>
      <c r="AT31" s="137">
        <f t="shared" si="10"/>
        <v>0.99348775168634418</v>
      </c>
      <c r="AU31" s="138">
        <f t="shared" si="11"/>
        <v>102072582</v>
      </c>
      <c r="AV31" s="139">
        <f>'[1]13-14 deferrals, growth, EPA 1'!BX31</f>
        <v>0</v>
      </c>
      <c r="AW31" s="10">
        <f t="shared" si="20"/>
        <v>0</v>
      </c>
      <c r="AX31" s="140">
        <v>0</v>
      </c>
      <c r="AY31" s="141">
        <v>0</v>
      </c>
      <c r="AZ31" s="142"/>
      <c r="BA31" s="133">
        <v>6078937</v>
      </c>
      <c r="BB31" s="143">
        <v>46659015</v>
      </c>
      <c r="BC31" s="133">
        <v>48499342</v>
      </c>
      <c r="BD31" s="142">
        <f t="shared" si="12"/>
        <v>1162099</v>
      </c>
      <c r="BE31" s="142"/>
      <c r="BF31" s="142"/>
      <c r="BG31" s="142"/>
      <c r="BH31" s="142"/>
      <c r="BI31" s="142"/>
      <c r="BJ31" s="142"/>
      <c r="BK31" s="139">
        <v>0</v>
      </c>
      <c r="BL31" s="10">
        <f t="shared" si="21"/>
        <v>0</v>
      </c>
      <c r="BM31" s="16"/>
      <c r="BN31" s="16"/>
      <c r="BO31" s="16"/>
      <c r="BP31" s="16"/>
      <c r="BQ31" s="16"/>
      <c r="BR31" s="16"/>
      <c r="BS31" s="16"/>
      <c r="BT31" s="16"/>
      <c r="BU31" s="16"/>
      <c r="BV31" s="16"/>
      <c r="BW31" s="16"/>
      <c r="BX31" s="16"/>
      <c r="BY31" s="16"/>
      <c r="BZ31" s="16"/>
      <c r="CA31" s="116"/>
      <c r="CB31" s="16"/>
      <c r="CC31" s="16"/>
      <c r="CD31" s="16"/>
      <c r="CE31" s="16"/>
      <c r="CF31" s="16"/>
      <c r="CG31" s="16"/>
      <c r="CH31" s="16"/>
      <c r="CI31" s="16"/>
      <c r="CJ31" s="16"/>
      <c r="CK31" s="16"/>
      <c r="CL31" s="16"/>
      <c r="CM31" s="16"/>
    </row>
    <row r="32" spans="1:91" s="144" customFormat="1">
      <c r="A32" s="16" t="s">
        <v>133</v>
      </c>
      <c r="B32" s="118">
        <v>12559832</v>
      </c>
      <c r="C32" s="149">
        <v>-1928032</v>
      </c>
      <c r="D32" s="120">
        <f t="shared" si="13"/>
        <v>10631800</v>
      </c>
      <c r="E32" s="10"/>
      <c r="F32" s="121">
        <f>+'[1]Foundation Grant (OLD)'!N32</f>
        <v>3875136</v>
      </c>
      <c r="G32" s="122">
        <f t="shared" si="14"/>
        <v>0</v>
      </c>
      <c r="H32" s="123">
        <f>ROUND($AE$4*[1]FTES!O32,0)</f>
        <v>136260</v>
      </c>
      <c r="I32" s="123">
        <f>ROUND($AI$4*[1]FTES!Z32,0)</f>
        <v>101325</v>
      </c>
      <c r="J32" s="124">
        <f>ROUND($AR$4*[1]FTES!D32,0)</f>
        <v>6315755</v>
      </c>
      <c r="K32" s="125">
        <f t="shared" si="15"/>
        <v>10428476</v>
      </c>
      <c r="L32" s="125">
        <f>IF(D32&gt;K32,D32-K32,0)</f>
        <v>203324</v>
      </c>
      <c r="M32" s="125">
        <f t="shared" si="0"/>
        <v>10631800</v>
      </c>
      <c r="N32" s="126">
        <f>(M32-H32-I32-F32)/[1]FTES!D32</f>
        <v>4711.7811169655315</v>
      </c>
      <c r="O32" s="125">
        <f>ROUND((M32+'[1]Restoration and Growth'!BM32)*$C$4,0)</f>
        <v>166919</v>
      </c>
      <c r="P32" s="125">
        <f>ROUND(M32+O32+'[1]Restoration and Growth'!BM32,0)</f>
        <v>10798719</v>
      </c>
      <c r="Q32" s="127">
        <f t="shared" si="16"/>
        <v>4785.7560810000004</v>
      </c>
      <c r="R32" s="125">
        <f t="shared" si="1"/>
        <v>-166919</v>
      </c>
      <c r="S32" s="128">
        <f>+'[1]13-14 $86M Workload Restore'!AJ30</f>
        <v>0</v>
      </c>
      <c r="T32" s="129">
        <f>+'[1]13-14 $86M Workload Restore'!AA30</f>
        <v>921911</v>
      </c>
      <c r="U32" s="129">
        <f>'[1]Growth Deficit'!X32</f>
        <v>1.16E-4</v>
      </c>
      <c r="V32" s="125">
        <f>-1* '[1]Growth Deficit'!AR32</f>
        <v>-1.16E-4</v>
      </c>
      <c r="W32" s="125">
        <f t="shared" si="17"/>
        <v>0</v>
      </c>
      <c r="X32" s="129">
        <f>'[1]Restoration and Growth'!AQ32</f>
        <v>0</v>
      </c>
      <c r="Y32" s="125"/>
      <c r="Z32" s="130">
        <f>[1]FTES!AT32</f>
        <v>0</v>
      </c>
      <c r="AA32" s="131">
        <v>0</v>
      </c>
      <c r="AB32" s="125"/>
      <c r="AC32" s="132">
        <f>+'[1]Foundation Grant'!N32-'[1]Foundation Grant (OLD)'!N32</f>
        <v>0</v>
      </c>
      <c r="AD32" s="125">
        <f t="shared" si="2"/>
        <v>0</v>
      </c>
      <c r="AE32" s="125">
        <f t="shared" si="18"/>
        <v>11720630</v>
      </c>
      <c r="AF32" s="131">
        <f t="shared" si="3"/>
        <v>76328</v>
      </c>
      <c r="AG32" s="125">
        <f t="shared" si="4"/>
        <v>11644302</v>
      </c>
      <c r="AH32" s="133">
        <v>0</v>
      </c>
      <c r="AI32" s="133">
        <v>761642</v>
      </c>
      <c r="AJ32" s="125">
        <f t="shared" si="5"/>
        <v>3406438</v>
      </c>
      <c r="AK32" s="134">
        <f>+'[1]13-14 deferrals, growth, EPA 1'!I32</f>
        <v>1760322</v>
      </c>
      <c r="AL32" s="135">
        <f t="shared" si="6"/>
        <v>7476222</v>
      </c>
      <c r="AM32" s="135">
        <f>+'[1]13-14 deferrals, growth, EPA 1'!AA32</f>
        <v>19860</v>
      </c>
      <c r="AN32" s="135">
        <f>+'[1]13-14 deferrals, growth, EPA 1'!AB32</f>
        <v>102553</v>
      </c>
      <c r="AO32" s="135">
        <f>+'[1]13-14 deferrals, growth, EPA 1'!AC32</f>
        <v>148407</v>
      </c>
      <c r="AP32" s="135">
        <f t="shared" si="19"/>
        <v>5445080</v>
      </c>
      <c r="AQ32" s="135">
        <f t="shared" si="7"/>
        <v>76328</v>
      </c>
      <c r="AR32" s="125">
        <f t="shared" si="8"/>
        <v>5715900</v>
      </c>
      <c r="AS32" s="136">
        <f t="shared" si="22"/>
        <v>0</v>
      </c>
      <c r="AT32" s="137">
        <f t="shared" si="10"/>
        <v>0.99348772207637304</v>
      </c>
      <c r="AU32" s="138">
        <f t="shared" si="11"/>
        <v>11720630</v>
      </c>
      <c r="AV32" s="139">
        <f>'[1]13-14 deferrals, growth, EPA 1'!BX32</f>
        <v>0</v>
      </c>
      <c r="AW32" s="10">
        <f t="shared" si="20"/>
        <v>0</v>
      </c>
      <c r="AX32" s="140">
        <v>0</v>
      </c>
      <c r="AY32" s="141">
        <v>0</v>
      </c>
      <c r="AZ32" s="142"/>
      <c r="BA32" s="133">
        <v>744285</v>
      </c>
      <c r="BB32" s="143">
        <v>3371259</v>
      </c>
      <c r="BC32" s="133">
        <v>3490064</v>
      </c>
      <c r="BD32" s="142">
        <f t="shared" si="12"/>
        <v>83626</v>
      </c>
      <c r="BE32" s="142"/>
      <c r="BF32" s="142"/>
      <c r="BG32" s="142"/>
      <c r="BH32" s="142"/>
      <c r="BI32" s="142"/>
      <c r="BJ32" s="142"/>
      <c r="BK32" s="139">
        <v>0</v>
      </c>
      <c r="BL32" s="10">
        <f t="shared" si="21"/>
        <v>0</v>
      </c>
      <c r="BM32" s="16"/>
      <c r="BN32" s="16"/>
      <c r="BO32" s="16"/>
      <c r="BP32" s="16"/>
      <c r="BQ32" s="16"/>
      <c r="BR32" s="16"/>
      <c r="BS32" s="16"/>
      <c r="BT32" s="16"/>
      <c r="BU32" s="16"/>
      <c r="BV32" s="16"/>
      <c r="BW32" s="16"/>
      <c r="BX32" s="16"/>
      <c r="BY32" s="16"/>
      <c r="BZ32" s="16"/>
      <c r="CA32" s="116"/>
      <c r="CB32" s="16"/>
      <c r="CC32" s="16"/>
      <c r="CD32" s="16"/>
      <c r="CE32" s="16"/>
      <c r="CF32" s="16"/>
      <c r="CG32" s="16"/>
      <c r="CH32" s="16"/>
      <c r="CI32" s="16"/>
      <c r="CJ32" s="16"/>
      <c r="CK32" s="16"/>
      <c r="CL32" s="16"/>
      <c r="CM32" s="16"/>
    </row>
    <row r="33" spans="1:91" s="144" customFormat="1">
      <c r="A33" s="16" t="s">
        <v>134</v>
      </c>
      <c r="B33" s="118">
        <v>12289850</v>
      </c>
      <c r="C33" s="146">
        <f>-1451971+57307</f>
        <v>-1394664</v>
      </c>
      <c r="D33" s="120">
        <f t="shared" si="13"/>
        <v>10895186</v>
      </c>
      <c r="E33" s="10"/>
      <c r="F33" s="121">
        <f>+'[1]Foundation Grant (OLD)'!N33</f>
        <v>3875136</v>
      </c>
      <c r="G33" s="122">
        <f t="shared" si="14"/>
        <v>0</v>
      </c>
      <c r="H33" s="123">
        <f>ROUND($AE$4*[1]FTES!O33,0)</f>
        <v>48970</v>
      </c>
      <c r="I33" s="123">
        <f>ROUND($AI$4*[1]FTES!Z33,0)</f>
        <v>0</v>
      </c>
      <c r="J33" s="124">
        <f>ROUND($AR$4*[1]FTES!D33,0)</f>
        <v>6829070</v>
      </c>
      <c r="K33" s="125">
        <f t="shared" si="15"/>
        <v>10753176</v>
      </c>
      <c r="L33" s="125">
        <f>IF(D33&gt;K33,D33-K33,0)</f>
        <v>142010</v>
      </c>
      <c r="M33" s="125">
        <f t="shared" si="0"/>
        <v>10895186</v>
      </c>
      <c r="N33" s="126">
        <f>(M33-H33-I33-F33)/[1]FTES!D33</f>
        <v>4659.7505380944103</v>
      </c>
      <c r="O33" s="125">
        <f>ROUND((M33+'[1]Restoration and Growth'!BM33)*$C$4,0)</f>
        <v>162440</v>
      </c>
      <c r="P33" s="125">
        <f>ROUND(M33+O33+'[1]Restoration and Growth'!BM33,0)</f>
        <v>10508923</v>
      </c>
      <c r="Q33" s="127">
        <f t="shared" si="16"/>
        <v>4732.9086219999999</v>
      </c>
      <c r="R33" s="125">
        <f t="shared" si="1"/>
        <v>386263</v>
      </c>
      <c r="S33" s="128">
        <f>+'[1]13-14 $86M Workload Restore'!AJ31</f>
        <v>0</v>
      </c>
      <c r="T33" s="129">
        <f>+'[1]13-14 $86M Workload Restore'!AA31</f>
        <v>0</v>
      </c>
      <c r="U33" s="129">
        <f>'[1]Growth Deficit'!X33</f>
        <v>0</v>
      </c>
      <c r="V33" s="125">
        <f>-1* '[1]Growth Deficit'!AR33</f>
        <v>0</v>
      </c>
      <c r="W33" s="125">
        <f t="shared" si="17"/>
        <v>0</v>
      </c>
      <c r="X33" s="129">
        <f>'[1]Restoration and Growth'!AQ33</f>
        <v>557318</v>
      </c>
      <c r="Y33" s="125"/>
      <c r="Z33" s="130">
        <f>[1]FTES!AT33</f>
        <v>0</v>
      </c>
      <c r="AA33" s="146">
        <v>-162047</v>
      </c>
      <c r="AB33" s="125"/>
      <c r="AC33" s="132">
        <f>+'[1]Foundation Grant'!N33-'[1]Foundation Grant (OLD)'!N33</f>
        <v>0</v>
      </c>
      <c r="AD33" s="125">
        <f t="shared" si="2"/>
        <v>0</v>
      </c>
      <c r="AE33" s="125">
        <f t="shared" si="18"/>
        <v>10904194</v>
      </c>
      <c r="AF33" s="131">
        <f t="shared" si="3"/>
        <v>71011</v>
      </c>
      <c r="AG33" s="125">
        <f t="shared" si="4"/>
        <v>10833183</v>
      </c>
      <c r="AH33" s="133">
        <v>0</v>
      </c>
      <c r="AI33" s="133">
        <v>429981</v>
      </c>
      <c r="AJ33" s="125">
        <f t="shared" si="5"/>
        <v>1327995</v>
      </c>
      <c r="AK33" s="134">
        <f>+'[1]13-14 deferrals, growth, EPA 1'!I33</f>
        <v>1682453</v>
      </c>
      <c r="AL33" s="135">
        <f t="shared" si="6"/>
        <v>9075207</v>
      </c>
      <c r="AM33" s="135">
        <f>+'[1]13-14 deferrals, growth, EPA 1'!AA33</f>
        <v>18954</v>
      </c>
      <c r="AN33" s="135">
        <f>+'[1]13-14 deferrals, growth, EPA 1'!AB33</f>
        <v>97875</v>
      </c>
      <c r="AO33" s="135">
        <f>+'[1]13-14 deferrals, growth, EPA 1'!AC33</f>
        <v>141636</v>
      </c>
      <c r="AP33" s="135">
        <f t="shared" si="19"/>
        <v>7134289</v>
      </c>
      <c r="AQ33" s="135">
        <f t="shared" si="7"/>
        <v>71011</v>
      </c>
      <c r="AR33" s="125">
        <f t="shared" si="8"/>
        <v>7392754</v>
      </c>
      <c r="AS33" s="136">
        <f t="shared" si="22"/>
        <v>0</v>
      </c>
      <c r="AT33" s="137">
        <f t="shared" si="10"/>
        <v>0.99348773508615129</v>
      </c>
      <c r="AU33" s="138">
        <f t="shared" si="11"/>
        <v>10508923</v>
      </c>
      <c r="AV33" s="139">
        <f>'[1]13-14 deferrals, growth, EPA 1'!BX33</f>
        <v>0</v>
      </c>
      <c r="AW33" s="10">
        <f t="shared" si="20"/>
        <v>0</v>
      </c>
      <c r="AX33" s="140">
        <v>0</v>
      </c>
      <c r="AY33" s="141">
        <v>0</v>
      </c>
      <c r="AZ33" s="142"/>
      <c r="BA33" s="133">
        <v>420950</v>
      </c>
      <c r="BB33" s="143">
        <v>1521368</v>
      </c>
      <c r="BC33" s="133">
        <v>1360596</v>
      </c>
      <c r="BD33" s="142">
        <f t="shared" si="12"/>
        <v>32601</v>
      </c>
      <c r="BE33" s="142"/>
      <c r="BF33" s="142"/>
      <c r="BG33" s="142"/>
      <c r="BH33" s="142"/>
      <c r="BI33" s="142"/>
      <c r="BJ33" s="142"/>
      <c r="BK33" s="139">
        <v>0</v>
      </c>
      <c r="BL33" s="10">
        <f t="shared" si="21"/>
        <v>0</v>
      </c>
      <c r="BM33" s="16"/>
      <c r="BN33" s="16"/>
      <c r="BO33" s="16"/>
      <c r="BP33" s="16"/>
      <c r="BQ33" s="16"/>
      <c r="BR33" s="16"/>
      <c r="BS33" s="16"/>
      <c r="BT33" s="16"/>
      <c r="BU33" s="16"/>
      <c r="BV33" s="16"/>
      <c r="BW33" s="16"/>
      <c r="BX33" s="16"/>
      <c r="BY33" s="16"/>
      <c r="BZ33" s="16"/>
      <c r="CA33" s="116"/>
      <c r="CB33" s="16"/>
      <c r="CC33" s="16"/>
      <c r="CD33" s="16"/>
      <c r="CE33" s="16"/>
      <c r="CF33" s="16"/>
      <c r="CG33" s="16"/>
      <c r="CH33" s="16"/>
      <c r="CI33" s="16"/>
      <c r="CJ33" s="16"/>
      <c r="CK33" s="16"/>
      <c r="CL33" s="16"/>
      <c r="CM33" s="16"/>
    </row>
    <row r="34" spans="1:91" s="144" customFormat="1">
      <c r="A34" s="16" t="s">
        <v>135</v>
      </c>
      <c r="B34" s="118">
        <v>95425336</v>
      </c>
      <c r="C34" s="149">
        <v>0</v>
      </c>
      <c r="D34" s="120">
        <f t="shared" si="13"/>
        <v>95425336</v>
      </c>
      <c r="E34" s="10"/>
      <c r="F34" s="121">
        <f>+'[1]Foundation Grant (OLD)'!N34</f>
        <v>6643091</v>
      </c>
      <c r="G34" s="122">
        <f t="shared" si="14"/>
        <v>1</v>
      </c>
      <c r="H34" s="123">
        <f>ROUND($AE$4*[1]FTES!O34,0)</f>
        <v>388604</v>
      </c>
      <c r="I34" s="123">
        <f>ROUND($AI$4*[1]FTES!Z34,0)</f>
        <v>172463</v>
      </c>
      <c r="J34" s="124">
        <f>ROUND($AR$4*[1]FTES!D34,0)</f>
        <v>88221179</v>
      </c>
      <c r="K34" s="125">
        <f t="shared" si="15"/>
        <v>95425337</v>
      </c>
      <c r="L34" s="125">
        <v>0</v>
      </c>
      <c r="M34" s="125">
        <f t="shared" si="0"/>
        <v>95425337</v>
      </c>
      <c r="N34" s="126">
        <f>(M34-H34-I34-F34)/[1]FTES!D34</f>
        <v>4564.8251065378527</v>
      </c>
      <c r="O34" s="125">
        <f>ROUND((M34+'[1]Restoration and Growth'!BM34)*$C$4,0)</f>
        <v>1498178</v>
      </c>
      <c r="P34" s="125">
        <f>ROUND(M34+O34+'[1]Restoration and Growth'!BM34,0)</f>
        <v>96923515</v>
      </c>
      <c r="Q34" s="127">
        <f t="shared" si="16"/>
        <v>4636.4928609999997</v>
      </c>
      <c r="R34" s="125">
        <f t="shared" si="1"/>
        <v>-1498178</v>
      </c>
      <c r="S34" s="128">
        <f>+'[1]13-14 $86M Workload Restore'!AJ32</f>
        <v>1751999</v>
      </c>
      <c r="T34" s="129">
        <f>+'[1]13-14 $86M Workload Restore'!AA32</f>
        <v>0</v>
      </c>
      <c r="U34" s="129">
        <f>'[1]Growth Deficit'!X34</f>
        <v>344.90010000000001</v>
      </c>
      <c r="V34" s="125">
        <f>-1* '[1]Growth Deficit'!AR34</f>
        <v>-344.90010000000001</v>
      </c>
      <c r="W34" s="125">
        <f t="shared" si="17"/>
        <v>0</v>
      </c>
      <c r="X34" s="129">
        <f>'[1]Restoration and Growth'!AQ34</f>
        <v>0</v>
      </c>
      <c r="Y34" s="125"/>
      <c r="Z34" s="130">
        <f>[1]FTES!AT34</f>
        <v>0</v>
      </c>
      <c r="AA34" s="131">
        <v>0</v>
      </c>
      <c r="AB34" s="125"/>
      <c r="AC34" s="132">
        <f>+'[1]Foundation Grant'!N34-'[1]Foundation Grant (OLD)'!N34</f>
        <v>0</v>
      </c>
      <c r="AD34" s="125">
        <f t="shared" si="2"/>
        <v>0</v>
      </c>
      <c r="AE34" s="125">
        <f t="shared" si="18"/>
        <v>98675514</v>
      </c>
      <c r="AF34" s="131">
        <f t="shared" si="3"/>
        <v>642600</v>
      </c>
      <c r="AG34" s="125">
        <f t="shared" si="4"/>
        <v>98032914</v>
      </c>
      <c r="AH34" s="133">
        <v>0</v>
      </c>
      <c r="AI34" s="133">
        <v>4413720</v>
      </c>
      <c r="AJ34" s="125">
        <f t="shared" si="5"/>
        <v>14720988</v>
      </c>
      <c r="AK34" s="134">
        <f>+'[1]13-14 deferrals, growth, EPA 1'!I34</f>
        <v>15141099</v>
      </c>
      <c r="AL34" s="135">
        <f t="shared" si="6"/>
        <v>78898206</v>
      </c>
      <c r="AM34" s="135">
        <f>+'[1]13-14 deferrals, growth, EPA 1'!AA34</f>
        <v>165270</v>
      </c>
      <c r="AN34" s="135">
        <f>+'[1]13-14 deferrals, growth, EPA 1'!AB34</f>
        <v>853441</v>
      </c>
      <c r="AO34" s="135">
        <f>+'[1]13-14 deferrals, growth, EPA 1'!AC34</f>
        <v>1235026</v>
      </c>
      <c r="AP34" s="135">
        <f t="shared" si="19"/>
        <v>61503370</v>
      </c>
      <c r="AQ34" s="135">
        <f t="shared" si="7"/>
        <v>642600</v>
      </c>
      <c r="AR34" s="125">
        <f t="shared" si="8"/>
        <v>63757107</v>
      </c>
      <c r="AS34" s="136">
        <f t="shared" si="22"/>
        <v>0</v>
      </c>
      <c r="AT34" s="137">
        <f t="shared" si="10"/>
        <v>0.99348774610892832</v>
      </c>
      <c r="AU34" s="138">
        <f t="shared" si="11"/>
        <v>98675514</v>
      </c>
      <c r="AV34" s="139">
        <f>'[1]13-14 deferrals, growth, EPA 1'!BX34</f>
        <v>16.930000000000007</v>
      </c>
      <c r="AW34" s="10">
        <f t="shared" si="20"/>
        <v>-1177177</v>
      </c>
      <c r="AX34" s="140">
        <v>0</v>
      </c>
      <c r="AY34" s="141">
        <v>0</v>
      </c>
      <c r="AZ34" s="142"/>
      <c r="BA34" s="133">
        <v>4555379</v>
      </c>
      <c r="BB34" s="143">
        <v>15477145</v>
      </c>
      <c r="BC34" s="133">
        <v>15082379</v>
      </c>
      <c r="BD34" s="142">
        <f t="shared" si="12"/>
        <v>361391</v>
      </c>
      <c r="BE34" s="142"/>
      <c r="BF34" s="142"/>
      <c r="BG34" s="142"/>
      <c r="BH34" s="142"/>
      <c r="BI34" s="142"/>
      <c r="BJ34" s="142"/>
      <c r="BK34" s="139">
        <v>0</v>
      </c>
      <c r="BL34" s="10">
        <f t="shared" si="21"/>
        <v>0</v>
      </c>
      <c r="BM34" s="16"/>
      <c r="BN34" s="16"/>
      <c r="BO34" s="16"/>
      <c r="BP34" s="16"/>
      <c r="BQ34" s="16"/>
      <c r="BR34" s="16"/>
      <c r="BS34" s="16"/>
      <c r="BT34" s="16"/>
      <c r="BU34" s="16"/>
      <c r="BV34" s="16"/>
      <c r="BW34" s="16"/>
      <c r="BX34" s="16"/>
      <c r="BY34" s="16"/>
      <c r="BZ34" s="16"/>
      <c r="CA34" s="116"/>
      <c r="CB34" s="16"/>
      <c r="CC34" s="16"/>
      <c r="CD34" s="16"/>
      <c r="CE34" s="16"/>
      <c r="CF34" s="16"/>
      <c r="CG34" s="16"/>
      <c r="CH34" s="16"/>
      <c r="CI34" s="16"/>
      <c r="CJ34" s="16"/>
      <c r="CK34" s="16"/>
      <c r="CL34" s="16"/>
      <c r="CM34" s="16"/>
    </row>
    <row r="35" spans="1:91" s="144" customFormat="1">
      <c r="A35" s="16" t="s">
        <v>136</v>
      </c>
      <c r="B35" s="118">
        <v>469463315</v>
      </c>
      <c r="C35" s="149">
        <v>0</v>
      </c>
      <c r="D35" s="120">
        <f t="shared" si="13"/>
        <v>469463315</v>
      </c>
      <c r="E35" s="10"/>
      <c r="F35" s="121">
        <f>+'[1]Foundation Grant (OLD)'!N35</f>
        <v>33215451</v>
      </c>
      <c r="G35" s="122">
        <f t="shared" si="14"/>
        <v>1</v>
      </c>
      <c r="H35" s="123">
        <f>ROUND($AE$4*[1]FTES!O35,0)</f>
        <v>5076168</v>
      </c>
      <c r="I35" s="123">
        <f>ROUND($AI$4*[1]FTES!Z35,0)</f>
        <v>8744230</v>
      </c>
      <c r="J35" s="124">
        <f>ROUND($AR$4*[1]FTES!D35,0)</f>
        <v>422427467</v>
      </c>
      <c r="K35" s="125">
        <f t="shared" si="15"/>
        <v>469463316</v>
      </c>
      <c r="L35" s="125">
        <v>0</v>
      </c>
      <c r="M35" s="125">
        <f t="shared" si="0"/>
        <v>469463316</v>
      </c>
      <c r="N35" s="126">
        <f>(M35-H35-I35-F35)/[1]FTES!D35</f>
        <v>4564.8250949034064</v>
      </c>
      <c r="O35" s="125">
        <f>ROUND((M35+'[1]Restoration and Growth'!BM35)*$C$4,0)</f>
        <v>7370574</v>
      </c>
      <c r="P35" s="125">
        <f>ROUND(M35+O35+'[1]Restoration and Growth'!BM35,0)</f>
        <v>476833890</v>
      </c>
      <c r="Q35" s="127">
        <f t="shared" si="16"/>
        <v>4636.4928490000002</v>
      </c>
      <c r="R35" s="125">
        <f t="shared" si="1"/>
        <v>-7370574</v>
      </c>
      <c r="S35" s="128">
        <f>+'[1]13-14 $86M Workload Restore'!AJ33</f>
        <v>10380678</v>
      </c>
      <c r="T35" s="129">
        <f>+'[1]13-14 $86M Workload Restore'!AA33</f>
        <v>0</v>
      </c>
      <c r="U35" s="129">
        <f>'[1]Growth Deficit'!X35</f>
        <v>4084.7370510000001</v>
      </c>
      <c r="V35" s="125">
        <f>-1* '[1]Growth Deficit'!AR35</f>
        <v>-4084.7370510000001</v>
      </c>
      <c r="W35" s="125">
        <f t="shared" si="17"/>
        <v>0</v>
      </c>
      <c r="X35" s="129">
        <f>'[1]Restoration and Growth'!AQ35</f>
        <v>0</v>
      </c>
      <c r="Y35" s="125"/>
      <c r="Z35" s="130">
        <f>[1]FTES!AT35</f>
        <v>0</v>
      </c>
      <c r="AA35" s="131">
        <v>0</v>
      </c>
      <c r="AB35" s="125"/>
      <c r="AC35" s="132">
        <f>+'[1]Foundation Grant'!N35-'[1]Foundation Grant (OLD)'!N35</f>
        <v>0</v>
      </c>
      <c r="AD35" s="125">
        <f t="shared" si="2"/>
        <v>0</v>
      </c>
      <c r="AE35" s="125">
        <f t="shared" si="18"/>
        <v>487214568</v>
      </c>
      <c r="AF35" s="131">
        <f t="shared" si="3"/>
        <v>3172863</v>
      </c>
      <c r="AG35" s="125">
        <f t="shared" si="4"/>
        <v>484041705</v>
      </c>
      <c r="AH35" s="133">
        <v>0</v>
      </c>
      <c r="AI35" s="133">
        <v>22015327</v>
      </c>
      <c r="AJ35" s="125">
        <f t="shared" si="5"/>
        <v>165578705</v>
      </c>
      <c r="AK35" s="134">
        <f>+'[1]13-14 deferrals, growth, EPA 1'!I35</f>
        <v>74724100</v>
      </c>
      <c r="AL35" s="135">
        <f t="shared" si="6"/>
        <v>296447673</v>
      </c>
      <c r="AM35" s="135">
        <f>+'[1]13-14 deferrals, growth, EPA 1'!AA35</f>
        <v>817243</v>
      </c>
      <c r="AN35" s="135">
        <f>+'[1]13-14 deferrals, growth, EPA 1'!AB35</f>
        <v>4220183</v>
      </c>
      <c r="AO35" s="135">
        <f>+'[1]13-14 deferrals, growth, EPA 1'!AC35</f>
        <v>6107088</v>
      </c>
      <c r="AP35" s="135">
        <f t="shared" si="19"/>
        <v>210579059</v>
      </c>
      <c r="AQ35" s="135">
        <f t="shared" si="7"/>
        <v>3172863</v>
      </c>
      <c r="AR35" s="125">
        <f t="shared" si="8"/>
        <v>221723573</v>
      </c>
      <c r="AS35" s="136">
        <f t="shared" si="22"/>
        <v>0</v>
      </c>
      <c r="AT35" s="137">
        <f t="shared" si="10"/>
        <v>0.99348775014461388</v>
      </c>
      <c r="AU35" s="138">
        <f t="shared" si="11"/>
        <v>487214568</v>
      </c>
      <c r="AV35" s="139">
        <f>'[1]13-14 deferrals, growth, EPA 1'!BX35</f>
        <v>0</v>
      </c>
      <c r="AW35" s="10">
        <f t="shared" si="20"/>
        <v>0</v>
      </c>
      <c r="AX35" s="140">
        <v>0</v>
      </c>
      <c r="AY35" s="141">
        <v>0</v>
      </c>
      <c r="AZ35" s="142"/>
      <c r="BA35" s="133">
        <v>22638000</v>
      </c>
      <c r="BB35" s="143">
        <v>158576159</v>
      </c>
      <c r="BC35" s="133">
        <v>169643556</v>
      </c>
      <c r="BD35" s="142">
        <f t="shared" si="12"/>
        <v>4064851</v>
      </c>
      <c r="BE35" s="142"/>
      <c r="BF35" s="142"/>
      <c r="BG35" s="142"/>
      <c r="BH35" s="142"/>
      <c r="BI35" s="142"/>
      <c r="BJ35" s="142"/>
      <c r="BK35" s="139">
        <v>0</v>
      </c>
      <c r="BL35" s="10">
        <f t="shared" si="21"/>
        <v>0</v>
      </c>
      <c r="BM35" s="16"/>
      <c r="BN35" s="16"/>
      <c r="BO35" s="16"/>
      <c r="BP35" s="16"/>
      <c r="BQ35" s="16"/>
      <c r="BR35" s="16"/>
      <c r="BS35" s="16"/>
      <c r="BT35" s="16"/>
      <c r="BU35" s="16"/>
      <c r="BV35" s="16"/>
      <c r="BW35" s="16"/>
      <c r="BX35" s="16"/>
      <c r="BY35" s="16"/>
      <c r="BZ35" s="16"/>
      <c r="CA35" s="116"/>
      <c r="CB35" s="16"/>
      <c r="CC35" s="16"/>
      <c r="CD35" s="16"/>
      <c r="CE35" s="16"/>
      <c r="CF35" s="16"/>
      <c r="CG35" s="16"/>
      <c r="CH35" s="16"/>
      <c r="CI35" s="16"/>
      <c r="CJ35" s="16"/>
      <c r="CK35" s="16"/>
      <c r="CL35" s="16"/>
      <c r="CM35" s="16"/>
    </row>
    <row r="36" spans="1:91" s="144" customFormat="1">
      <c r="A36" s="16" t="s">
        <v>137</v>
      </c>
      <c r="B36" s="118">
        <v>241951695</v>
      </c>
      <c r="C36" s="149">
        <v>0</v>
      </c>
      <c r="D36" s="120">
        <f t="shared" si="13"/>
        <v>241951695</v>
      </c>
      <c r="E36" s="10"/>
      <c r="F36" s="121">
        <f>+'[1]Foundation Grant (OLD)'!N36</f>
        <v>18822090</v>
      </c>
      <c r="G36" s="122">
        <f t="shared" si="14"/>
        <v>0</v>
      </c>
      <c r="H36" s="123">
        <f>ROUND($AE$4*[1]FTES!O36,0)</f>
        <v>78039</v>
      </c>
      <c r="I36" s="123">
        <f>ROUND($AI$4*[1]FTES!Z36,0)</f>
        <v>0</v>
      </c>
      <c r="J36" s="124">
        <f>ROUND($AR$4*[1]FTES!D36,0)</f>
        <v>223051566</v>
      </c>
      <c r="K36" s="125">
        <f t="shared" si="15"/>
        <v>241951695</v>
      </c>
      <c r="L36" s="125">
        <v>0</v>
      </c>
      <c r="M36" s="125">
        <f t="shared" si="0"/>
        <v>241951695</v>
      </c>
      <c r="N36" s="126">
        <f>(M36-H36-I36-F36)/[1]FTES!D36</f>
        <v>4564.8250976398031</v>
      </c>
      <c r="O36" s="125">
        <f>ROUND((M36+'[1]Restoration and Growth'!BM36)*$C$4,0)</f>
        <v>3798642</v>
      </c>
      <c r="P36" s="125">
        <f>ROUND(M36+O36+'[1]Restoration and Growth'!BM36,0)</f>
        <v>245750337</v>
      </c>
      <c r="Q36" s="127">
        <f t="shared" si="16"/>
        <v>4636.4928520000003</v>
      </c>
      <c r="R36" s="125">
        <f t="shared" si="1"/>
        <v>-3798642</v>
      </c>
      <c r="S36" s="128">
        <f>+'[1]13-14 $86M Workload Restore'!AJ34</f>
        <v>5309002</v>
      </c>
      <c r="T36" s="129">
        <f>+'[1]13-14 $86M Workload Restore'!AA34</f>
        <v>0</v>
      </c>
      <c r="U36" s="129">
        <f>'[1]Growth Deficit'!X36</f>
        <v>1317.4666870000001</v>
      </c>
      <c r="V36" s="125">
        <f>-1* '[1]Growth Deficit'!AR36</f>
        <v>-1317.4666870000001</v>
      </c>
      <c r="W36" s="125">
        <f t="shared" si="17"/>
        <v>0</v>
      </c>
      <c r="X36" s="129">
        <f>'[1]Restoration and Growth'!AQ36</f>
        <v>0</v>
      </c>
      <c r="Y36" s="125"/>
      <c r="Z36" s="130">
        <f>[1]FTES!AT36</f>
        <v>0</v>
      </c>
      <c r="AA36" s="131">
        <v>0</v>
      </c>
      <c r="AB36" s="125"/>
      <c r="AC36" s="132">
        <f>+'[1]Foundation Grant'!N36-'[1]Foundation Grant (OLD)'!N36</f>
        <v>0</v>
      </c>
      <c r="AD36" s="125">
        <f t="shared" si="2"/>
        <v>0</v>
      </c>
      <c r="AE36" s="125">
        <f t="shared" si="18"/>
        <v>251059339</v>
      </c>
      <c r="AF36" s="131">
        <f t="shared" si="3"/>
        <v>1634961</v>
      </c>
      <c r="AG36" s="125">
        <f t="shared" si="4"/>
        <v>249424378</v>
      </c>
      <c r="AH36" s="133">
        <v>0</v>
      </c>
      <c r="AI36" s="133">
        <v>14894477</v>
      </c>
      <c r="AJ36" s="125">
        <f t="shared" si="5"/>
        <v>52916034</v>
      </c>
      <c r="AK36" s="134">
        <f>+'[1]13-14 deferrals, growth, EPA 1'!I36</f>
        <v>37934728</v>
      </c>
      <c r="AL36" s="135">
        <f t="shared" si="6"/>
        <v>181613867</v>
      </c>
      <c r="AM36" s="135">
        <f>+'[1]13-14 deferrals, growth, EPA 1'!AA36</f>
        <v>421116</v>
      </c>
      <c r="AN36" s="135">
        <f>+'[1]13-14 deferrals, growth, EPA 1'!AB36</f>
        <v>2174615</v>
      </c>
      <c r="AO36" s="135">
        <f>+'[1]13-14 deferrals, growth, EPA 1'!AC36</f>
        <v>3146917</v>
      </c>
      <c r="AP36" s="135">
        <f t="shared" si="19"/>
        <v>137936491</v>
      </c>
      <c r="AQ36" s="135">
        <f t="shared" si="7"/>
        <v>1634961</v>
      </c>
      <c r="AR36" s="125">
        <f t="shared" si="8"/>
        <v>143679139</v>
      </c>
      <c r="AS36" s="136">
        <f t="shared" si="22"/>
        <v>0</v>
      </c>
      <c r="AT36" s="137">
        <f t="shared" si="10"/>
        <v>0.99348775071856621</v>
      </c>
      <c r="AU36" s="138">
        <f t="shared" si="11"/>
        <v>251059339</v>
      </c>
      <c r="AV36" s="139">
        <f>'[1]13-14 deferrals, growth, EPA 1'!BX36</f>
        <v>0</v>
      </c>
      <c r="AW36" s="10">
        <f t="shared" si="20"/>
        <v>0</v>
      </c>
      <c r="AX36" s="140">
        <v>0</v>
      </c>
      <c r="AY36" s="141">
        <v>0</v>
      </c>
      <c r="AZ36" s="142"/>
      <c r="BA36" s="133">
        <v>15904604</v>
      </c>
      <c r="BB36" s="143">
        <v>49000721</v>
      </c>
      <c r="BC36" s="133">
        <v>54215089</v>
      </c>
      <c r="BD36" s="142">
        <f t="shared" si="12"/>
        <v>1299055</v>
      </c>
      <c r="BE36" s="142"/>
      <c r="BF36" s="142"/>
      <c r="BG36" s="142"/>
      <c r="BH36" s="142"/>
      <c r="BI36" s="142"/>
      <c r="BJ36" s="142"/>
      <c r="BK36" s="139">
        <v>0</v>
      </c>
      <c r="BL36" s="10">
        <f t="shared" si="21"/>
        <v>0</v>
      </c>
      <c r="BM36" s="16"/>
      <c r="BN36" s="16"/>
      <c r="BO36" s="16"/>
      <c r="BP36" s="16"/>
      <c r="BQ36" s="16"/>
      <c r="BR36" s="16"/>
      <c r="BS36" s="16"/>
      <c r="BT36" s="16"/>
      <c r="BU36" s="16"/>
      <c r="BV36" s="16"/>
      <c r="BW36" s="16"/>
      <c r="BX36" s="16"/>
      <c r="BY36" s="16"/>
      <c r="BZ36" s="16"/>
      <c r="CA36" s="116"/>
      <c r="CB36" s="16"/>
      <c r="CC36" s="16"/>
      <c r="CD36" s="16"/>
      <c r="CE36" s="16"/>
      <c r="CF36" s="16"/>
      <c r="CG36" s="16"/>
      <c r="CH36" s="16"/>
      <c r="CI36" s="16"/>
      <c r="CJ36" s="16"/>
      <c r="CK36" s="16"/>
      <c r="CL36" s="16"/>
      <c r="CM36" s="16"/>
    </row>
    <row r="37" spans="1:91" s="32" customFormat="1">
      <c r="A37" s="51" t="s">
        <v>138</v>
      </c>
      <c r="B37" s="152">
        <v>28288038</v>
      </c>
      <c r="C37" s="146">
        <f>-1523043+1107182-1107182</f>
        <v>-1523043</v>
      </c>
      <c r="D37" s="153">
        <f t="shared" si="13"/>
        <v>26764995</v>
      </c>
      <c r="E37" s="152"/>
      <c r="F37" s="154">
        <f>+'[1]Foundation Grant (OLD)'!N37</f>
        <v>3321545</v>
      </c>
      <c r="G37" s="155">
        <f t="shared" si="14"/>
        <v>0</v>
      </c>
      <c r="H37" s="156">
        <f>ROUND($AE$4*[1]FTES!O37,0)</f>
        <v>573230</v>
      </c>
      <c r="I37" s="156">
        <f>ROUND($AI$4*[1]FTES!Z37,0)</f>
        <v>0</v>
      </c>
      <c r="J37" s="157">
        <f>ROUND($AR$4*[1]FTES!D37,0)</f>
        <v>20369665</v>
      </c>
      <c r="K37" s="157">
        <f t="shared" si="15"/>
        <v>24264440</v>
      </c>
      <c r="L37" s="157">
        <f>IF(D37&gt;K37,D37-K37,0)</f>
        <v>2500555</v>
      </c>
      <c r="M37" s="157">
        <f t="shared" si="0"/>
        <v>26764995</v>
      </c>
      <c r="N37" s="126">
        <f>(M37-H37-I37-F37)/[1]FTES!D37</f>
        <v>5125.1974874000243</v>
      </c>
      <c r="O37" s="125">
        <f>ROUND((M37+'[1]Restoration and Growth'!BM37)*$C$4,0)</f>
        <v>397670</v>
      </c>
      <c r="P37" s="125">
        <f>ROUND(M37+O37+'[1]Restoration and Growth'!BM37,0)</f>
        <v>25726952</v>
      </c>
      <c r="Q37" s="158">
        <f t="shared" si="16"/>
        <v>5205.6630880000002</v>
      </c>
      <c r="R37" s="157">
        <f t="shared" si="1"/>
        <v>1038043</v>
      </c>
      <c r="S37" s="157">
        <f>+'[1]13-14 $86M Workload Restore'!AJ35</f>
        <v>0</v>
      </c>
      <c r="T37" s="157">
        <f>+'[1]13-14 $86M Workload Restore'!AA35</f>
        <v>0</v>
      </c>
      <c r="U37" s="157">
        <f>'[1]Growth Deficit'!X37</f>
        <v>0</v>
      </c>
      <c r="V37" s="157">
        <f>-1* '[1]Growth Deficit'!AR37</f>
        <v>0</v>
      </c>
      <c r="W37" s="157">
        <f t="shared" si="17"/>
        <v>0</v>
      </c>
      <c r="X37" s="129">
        <f>'[1]Restoration and Growth'!AQ37</f>
        <v>1458254</v>
      </c>
      <c r="Y37" s="157"/>
      <c r="Z37" s="159">
        <f>[1]FTES!AT37</f>
        <v>0</v>
      </c>
      <c r="AA37" s="160">
        <v>0</v>
      </c>
      <c r="AB37" s="157"/>
      <c r="AC37" s="157">
        <f>+'[1]Foundation Grant'!N37-'[1]Foundation Grant (OLD)'!N37</f>
        <v>0</v>
      </c>
      <c r="AD37" s="157">
        <f t="shared" si="2"/>
        <v>0</v>
      </c>
      <c r="AE37" s="157">
        <f t="shared" si="18"/>
        <v>27185206</v>
      </c>
      <c r="AF37" s="160">
        <v>0</v>
      </c>
      <c r="AG37" s="157">
        <f t="shared" si="4"/>
        <v>27185206</v>
      </c>
      <c r="AH37" s="161">
        <v>0</v>
      </c>
      <c r="AI37" s="161">
        <v>2088313</v>
      </c>
      <c r="AJ37" s="125">
        <f t="shared" si="5"/>
        <v>42495225</v>
      </c>
      <c r="AK37" s="134">
        <f>+'[1]13-14 deferrals, growth, EPA 1'!I37</f>
        <v>436604</v>
      </c>
      <c r="AL37" s="162">
        <f t="shared" si="6"/>
        <v>436604</v>
      </c>
      <c r="AM37" s="162">
        <f>+'[1]13-14 deferrals, growth, EPA 1'!AA37</f>
        <v>0</v>
      </c>
      <c r="AN37" s="162">
        <f>+'[1]13-14 deferrals, growth, EPA 1'!AB37</f>
        <v>0</v>
      </c>
      <c r="AO37" s="162">
        <f>+'[1]13-14 deferrals, growth, EPA 1'!AC37</f>
        <v>0</v>
      </c>
      <c r="AP37" s="162">
        <f t="shared" si="19"/>
        <v>0</v>
      </c>
      <c r="AQ37" s="162">
        <f t="shared" si="7"/>
        <v>0</v>
      </c>
      <c r="AR37" s="157">
        <f t="shared" si="8"/>
        <v>0</v>
      </c>
      <c r="AS37" s="148">
        <f>IF(SUM(AI37:AK37)+AR37&gt;AG37,(SUM(AI37:AK37)+AR37-AG37),0)</f>
        <v>17834936</v>
      </c>
      <c r="AT37" s="137">
        <f t="shared" si="10"/>
        <v>1</v>
      </c>
      <c r="AU37" s="154">
        <f t="shared" si="11"/>
        <v>25726952</v>
      </c>
      <c r="AV37" s="139">
        <f>'[1]13-14 deferrals, growth, EPA 1'!BX37</f>
        <v>0</v>
      </c>
      <c r="AW37" s="152">
        <f t="shared" si="20"/>
        <v>0</v>
      </c>
      <c r="AX37" s="152">
        <v>0</v>
      </c>
      <c r="AY37" s="141">
        <v>0</v>
      </c>
      <c r="AZ37" s="163"/>
      <c r="BA37" s="161">
        <v>2335531</v>
      </c>
      <c r="BB37" s="162">
        <v>40387809</v>
      </c>
      <c r="BC37" s="161">
        <v>42495225</v>
      </c>
      <c r="BD37" s="164"/>
      <c r="BE37" s="39"/>
      <c r="BF37" s="39"/>
      <c r="BG37" s="39"/>
      <c r="BH37" s="39"/>
      <c r="BI37" s="39"/>
      <c r="BJ37" s="39"/>
      <c r="BK37" s="165">
        <v>0</v>
      </c>
      <c r="BL37" s="152">
        <f t="shared" si="21"/>
        <v>0</v>
      </c>
      <c r="BM37" s="51"/>
      <c r="BN37" s="51"/>
      <c r="BO37" s="51"/>
      <c r="BP37" s="51"/>
      <c r="BQ37" s="51"/>
      <c r="BR37" s="51"/>
      <c r="BS37" s="51"/>
      <c r="BT37" s="51"/>
      <c r="BU37" s="51"/>
      <c r="BV37" s="51"/>
      <c r="BW37" s="51"/>
      <c r="BX37" s="51"/>
      <c r="BY37" s="51"/>
      <c r="BZ37" s="51"/>
      <c r="CA37" s="166"/>
      <c r="CB37" s="51"/>
      <c r="CC37" s="51"/>
      <c r="CD37" s="51"/>
      <c r="CE37" s="51"/>
      <c r="CF37" s="51"/>
      <c r="CG37" s="51"/>
      <c r="CH37" s="51"/>
      <c r="CI37" s="51"/>
      <c r="CJ37" s="51"/>
      <c r="CK37" s="51"/>
      <c r="CL37" s="51"/>
      <c r="CM37" s="51"/>
    </row>
    <row r="38" spans="1:91" s="144" customFormat="1">
      <c r="A38" s="16" t="s">
        <v>139</v>
      </c>
      <c r="B38" s="118">
        <v>18202757</v>
      </c>
      <c r="C38" s="149">
        <v>0</v>
      </c>
      <c r="D38" s="120">
        <f t="shared" si="13"/>
        <v>18202757</v>
      </c>
      <c r="E38" s="10"/>
      <c r="F38" s="121">
        <f>+'[1]Foundation Grant (OLD)'!N38</f>
        <v>4428726</v>
      </c>
      <c r="G38" s="122">
        <f t="shared" si="14"/>
        <v>0</v>
      </c>
      <c r="H38" s="123">
        <f>ROUND($AE$4*[1]FTES!O38,0)</f>
        <v>84435</v>
      </c>
      <c r="I38" s="123">
        <f>ROUND($AI$4*[1]FTES!Z38,0)</f>
        <v>150873</v>
      </c>
      <c r="J38" s="124">
        <f>ROUND($AR$4*[1]FTES!D38,0)</f>
        <v>13538723</v>
      </c>
      <c r="K38" s="125">
        <f t="shared" si="15"/>
        <v>18202757</v>
      </c>
      <c r="L38" s="125">
        <v>0</v>
      </c>
      <c r="M38" s="125">
        <f t="shared" si="0"/>
        <v>18202757</v>
      </c>
      <c r="N38" s="126">
        <f>(M38-H38-I38-F38)/[1]FTES!D38</f>
        <v>4564.825059316865</v>
      </c>
      <c r="O38" s="125">
        <f>ROUND((M38+'[1]Restoration and Growth'!BM38)*$C$4,0)</f>
        <v>235372</v>
      </c>
      <c r="P38" s="125">
        <f>ROUND(M38+O38+'[1]Restoration and Growth'!BM38,0)</f>
        <v>15227193</v>
      </c>
      <c r="Q38" s="127">
        <f t="shared" si="16"/>
        <v>4636.4928129999998</v>
      </c>
      <c r="R38" s="125">
        <f t="shared" si="1"/>
        <v>2975564</v>
      </c>
      <c r="S38" s="128">
        <f>+'[1]13-14 $86M Workload Restore'!AJ36</f>
        <v>0</v>
      </c>
      <c r="T38" s="129">
        <f>+'[1]13-14 $86M Workload Restore'!AA36</f>
        <v>0</v>
      </c>
      <c r="U38" s="129">
        <f>'[1]Growth Deficit'!X38</f>
        <v>0</v>
      </c>
      <c r="V38" s="125">
        <f>-1* '[1]Growth Deficit'!AR38</f>
        <v>0</v>
      </c>
      <c r="W38" s="125">
        <f t="shared" si="17"/>
        <v>0</v>
      </c>
      <c r="X38" s="129">
        <f>'[1]Restoration and Growth'!AQ38</f>
        <v>3261348</v>
      </c>
      <c r="Y38" s="125"/>
      <c r="Z38" s="130">
        <f>[1]FTES!AT38</f>
        <v>0</v>
      </c>
      <c r="AA38" s="131">
        <v>0</v>
      </c>
      <c r="AB38" s="125"/>
      <c r="AC38" s="132">
        <f>+'[1]Foundation Grant'!N38-'[1]Foundation Grant (OLD)'!N38</f>
        <v>0</v>
      </c>
      <c r="AD38" s="125">
        <f t="shared" si="2"/>
        <v>0</v>
      </c>
      <c r="AE38" s="125">
        <f t="shared" si="18"/>
        <v>18488541</v>
      </c>
      <c r="AF38" s="131">
        <f>ROUND((1-$AF$82)* AE38,0)</f>
        <v>120402</v>
      </c>
      <c r="AG38" s="125">
        <f t="shared" si="4"/>
        <v>18368139</v>
      </c>
      <c r="AH38" s="133">
        <v>0</v>
      </c>
      <c r="AI38" s="133">
        <v>699033</v>
      </c>
      <c r="AJ38" s="125">
        <f t="shared" si="5"/>
        <v>5736559</v>
      </c>
      <c r="AK38" s="134">
        <f>+'[1]13-14 deferrals, growth, EPA 1'!I38</f>
        <v>2857496</v>
      </c>
      <c r="AL38" s="135">
        <f t="shared" si="6"/>
        <v>11932547</v>
      </c>
      <c r="AM38" s="135">
        <f>+'[1]13-14 deferrals, growth, EPA 1'!AA38</f>
        <v>30965</v>
      </c>
      <c r="AN38" s="135">
        <f>+'[1]13-14 deferrals, growth, EPA 1'!AB38</f>
        <v>159901</v>
      </c>
      <c r="AO38" s="135">
        <f>+'[1]13-14 deferrals, growth, EPA 1'!AC38</f>
        <v>231395</v>
      </c>
      <c r="AP38" s="135">
        <f t="shared" si="19"/>
        <v>8652790</v>
      </c>
      <c r="AQ38" s="135">
        <f t="shared" si="7"/>
        <v>120402</v>
      </c>
      <c r="AR38" s="125">
        <f t="shared" si="8"/>
        <v>9075051</v>
      </c>
      <c r="AS38" s="136">
        <f>IF(AI38+AJ38&gt;AG38,AI38+AJ38-AG38,0)</f>
        <v>0</v>
      </c>
      <c r="AT38" s="137">
        <f t="shared" si="10"/>
        <v>0.99348775006097023</v>
      </c>
      <c r="AU38" s="138">
        <f t="shared" si="11"/>
        <v>15227193</v>
      </c>
      <c r="AV38" s="139">
        <f>'[1]13-14 deferrals, growth, EPA 1'!BX38</f>
        <v>0</v>
      </c>
      <c r="AW38" s="10">
        <f t="shared" si="20"/>
        <v>0</v>
      </c>
      <c r="AX38" s="140">
        <v>0</v>
      </c>
      <c r="AY38" s="141">
        <v>0</v>
      </c>
      <c r="AZ38" s="142"/>
      <c r="BA38" s="133">
        <v>701680</v>
      </c>
      <c r="BB38" s="143">
        <v>6162678</v>
      </c>
      <c r="BC38" s="133">
        <v>5877388</v>
      </c>
      <c r="BD38" s="142">
        <f>ROUND(+BC38*BD$83,0)</f>
        <v>140829</v>
      </c>
      <c r="BE38" s="142"/>
      <c r="BF38" s="142"/>
      <c r="BG38" s="142"/>
      <c r="BH38" s="142"/>
      <c r="BI38" s="142"/>
      <c r="BJ38" s="142"/>
      <c r="BK38" s="139">
        <v>0</v>
      </c>
      <c r="BL38" s="10">
        <f t="shared" si="21"/>
        <v>0</v>
      </c>
      <c r="BM38" s="16"/>
      <c r="BN38" s="16"/>
      <c r="BO38" s="16"/>
      <c r="BP38" s="16"/>
      <c r="BQ38" s="16"/>
      <c r="BR38" s="16"/>
      <c r="BS38" s="16"/>
      <c r="BT38" s="16"/>
      <c r="BU38" s="16"/>
      <c r="BV38" s="16"/>
      <c r="BW38" s="16"/>
      <c r="BX38" s="16"/>
      <c r="BY38" s="16"/>
      <c r="BZ38" s="16"/>
      <c r="CA38" s="116"/>
      <c r="CB38" s="16"/>
      <c r="CC38" s="16"/>
      <c r="CD38" s="16"/>
      <c r="CE38" s="16"/>
      <c r="CF38" s="16"/>
      <c r="CG38" s="16"/>
      <c r="CH38" s="16"/>
      <c r="CI38" s="16"/>
      <c r="CJ38" s="16"/>
      <c r="CK38" s="16"/>
      <c r="CL38" s="16"/>
      <c r="CM38" s="16"/>
    </row>
    <row r="39" spans="1:91" s="144" customFormat="1">
      <c r="A39" s="16" t="s">
        <v>140</v>
      </c>
      <c r="B39" s="118">
        <v>46277782</v>
      </c>
      <c r="C39" s="149">
        <v>0</v>
      </c>
      <c r="D39" s="120">
        <f t="shared" si="13"/>
        <v>46277782</v>
      </c>
      <c r="E39" s="10"/>
      <c r="F39" s="121">
        <f>+'[1]Foundation Grant (OLD)'!N39</f>
        <v>5535909</v>
      </c>
      <c r="G39" s="122">
        <f t="shared" si="14"/>
        <v>0</v>
      </c>
      <c r="H39" s="123">
        <f>ROUND($AE$4*[1]FTES!O39,0)</f>
        <v>888241</v>
      </c>
      <c r="I39" s="123">
        <f>ROUND($AI$4*[1]FTES!Z39,0)</f>
        <v>2069525</v>
      </c>
      <c r="J39" s="124">
        <f>ROUND($AR$4*[1]FTES!D39,0)</f>
        <v>37784107</v>
      </c>
      <c r="K39" s="125">
        <f t="shared" si="15"/>
        <v>46277782</v>
      </c>
      <c r="L39" s="125">
        <v>0</v>
      </c>
      <c r="M39" s="125">
        <f t="shared" si="0"/>
        <v>46277782</v>
      </c>
      <c r="N39" s="126">
        <f>(M39-H39-I39-F39)/[1]FTES!D39</f>
        <v>4564.8251250934172</v>
      </c>
      <c r="O39" s="125">
        <f>ROUND((M39+'[1]Restoration and Growth'!BM39)*$C$4,0)</f>
        <v>726561</v>
      </c>
      <c r="P39" s="125">
        <f>ROUND(M39+O39+'[1]Restoration and Growth'!BM39,0)</f>
        <v>47004343</v>
      </c>
      <c r="Q39" s="127">
        <f t="shared" si="16"/>
        <v>4636.4928799999998</v>
      </c>
      <c r="R39" s="125">
        <f t="shared" si="1"/>
        <v>-726561</v>
      </c>
      <c r="S39" s="128">
        <f>+'[1]13-14 $86M Workload Restore'!AJ37</f>
        <v>757469</v>
      </c>
      <c r="T39" s="129">
        <f>+'[1]13-14 $86M Workload Restore'!AA37</f>
        <v>0</v>
      </c>
      <c r="U39" s="129">
        <f>'[1]Growth Deficit'!X39</f>
        <v>158.310103</v>
      </c>
      <c r="V39" s="125">
        <f>-1* '[1]Growth Deficit'!AR39</f>
        <v>-158.310103</v>
      </c>
      <c r="W39" s="125">
        <f t="shared" si="17"/>
        <v>0</v>
      </c>
      <c r="X39" s="129">
        <f>'[1]Restoration and Growth'!AQ39</f>
        <v>0</v>
      </c>
      <c r="Y39" s="125"/>
      <c r="Z39" s="130">
        <f>[1]FTES!AT39</f>
        <v>0</v>
      </c>
      <c r="AA39" s="131">
        <v>0</v>
      </c>
      <c r="AB39" s="125"/>
      <c r="AC39" s="132">
        <f>+'[1]Foundation Grant'!N39-'[1]Foundation Grant (OLD)'!N39</f>
        <v>0</v>
      </c>
      <c r="AD39" s="125">
        <f t="shared" si="2"/>
        <v>0</v>
      </c>
      <c r="AE39" s="125">
        <f t="shared" si="18"/>
        <v>47761812</v>
      </c>
      <c r="AF39" s="131">
        <f>ROUND((1-$AF$82)* AE39,0)</f>
        <v>311037</v>
      </c>
      <c r="AG39" s="125">
        <f t="shared" si="4"/>
        <v>47450775</v>
      </c>
      <c r="AH39" s="133">
        <v>0</v>
      </c>
      <c r="AI39" s="133">
        <v>1918699</v>
      </c>
      <c r="AJ39" s="125">
        <f t="shared" si="5"/>
        <v>8346006</v>
      </c>
      <c r="AK39" s="134">
        <f>+'[1]13-14 deferrals, growth, EPA 1'!I39</f>
        <v>7363695</v>
      </c>
      <c r="AL39" s="135">
        <f t="shared" si="6"/>
        <v>37186070</v>
      </c>
      <c r="AM39" s="135">
        <f>+'[1]13-14 deferrals, growth, EPA 1'!AA39</f>
        <v>80775</v>
      </c>
      <c r="AN39" s="135">
        <f>+'[1]13-14 deferrals, growth, EPA 1'!AB39</f>
        <v>417118</v>
      </c>
      <c r="AO39" s="135">
        <f>+'[1]13-14 deferrals, growth, EPA 1'!AC39</f>
        <v>603618</v>
      </c>
      <c r="AP39" s="135">
        <f t="shared" si="19"/>
        <v>28720864</v>
      </c>
      <c r="AQ39" s="135">
        <f t="shared" si="7"/>
        <v>311037</v>
      </c>
      <c r="AR39" s="125">
        <f t="shared" si="8"/>
        <v>29822375</v>
      </c>
      <c r="AS39" s="136">
        <f>IF(AI39+AJ39&gt;AG39,AI39+AJ39-AG39,0)</f>
        <v>0</v>
      </c>
      <c r="AT39" s="137">
        <f t="shared" si="10"/>
        <v>0.99348774707291254</v>
      </c>
      <c r="AU39" s="138">
        <f t="shared" si="11"/>
        <v>47761812</v>
      </c>
      <c r="AV39" s="139">
        <f>'[1]13-14 deferrals, growth, EPA 1'!BX39</f>
        <v>0</v>
      </c>
      <c r="AW39" s="10">
        <f t="shared" si="20"/>
        <v>0</v>
      </c>
      <c r="AX39" s="140">
        <v>0</v>
      </c>
      <c r="AY39" s="141">
        <v>0</v>
      </c>
      <c r="AZ39" s="142"/>
      <c r="BA39" s="133">
        <v>2136918</v>
      </c>
      <c r="BB39" s="143">
        <v>7762187</v>
      </c>
      <c r="BC39" s="133">
        <v>8550895</v>
      </c>
      <c r="BD39" s="142">
        <f>ROUND(+BC39*BD$83,0)</f>
        <v>204889</v>
      </c>
      <c r="BE39" s="142"/>
      <c r="BF39" s="142"/>
      <c r="BG39" s="142"/>
      <c r="BH39" s="142"/>
      <c r="BI39" s="142"/>
      <c r="BJ39" s="142"/>
      <c r="BK39" s="139">
        <v>0</v>
      </c>
      <c r="BL39" s="10">
        <f t="shared" si="21"/>
        <v>0</v>
      </c>
      <c r="BM39" s="16"/>
      <c r="BN39" s="16"/>
      <c r="BO39" s="16"/>
      <c r="BP39" s="16"/>
      <c r="BQ39" s="16"/>
      <c r="BR39" s="16"/>
      <c r="BS39" s="16"/>
      <c r="BT39" s="16"/>
      <c r="BU39" s="16"/>
      <c r="BV39" s="16"/>
      <c r="BW39" s="16"/>
      <c r="BX39" s="16"/>
      <c r="BY39" s="16"/>
      <c r="BZ39" s="16"/>
      <c r="CA39" s="116"/>
      <c r="CB39" s="16"/>
      <c r="CC39" s="16"/>
      <c r="CD39" s="16"/>
      <c r="CE39" s="16"/>
      <c r="CF39" s="16"/>
      <c r="CG39" s="16"/>
      <c r="CH39" s="16"/>
      <c r="CI39" s="16"/>
      <c r="CJ39" s="16"/>
      <c r="CK39" s="16"/>
      <c r="CL39" s="16"/>
      <c r="CM39" s="16"/>
    </row>
    <row r="40" spans="1:91" s="32" customFormat="1">
      <c r="A40" s="51" t="s">
        <v>141</v>
      </c>
      <c r="B40" s="152">
        <v>52883402</v>
      </c>
      <c r="C40" s="146">
        <f>1107182-1107182</f>
        <v>0</v>
      </c>
      <c r="D40" s="153">
        <f t="shared" si="13"/>
        <v>52883402</v>
      </c>
      <c r="E40" s="152"/>
      <c r="F40" s="154">
        <f>+'[1]Foundation Grant (OLD)'!N40</f>
        <v>5535909</v>
      </c>
      <c r="G40" s="155">
        <f t="shared" si="14"/>
        <v>0</v>
      </c>
      <c r="H40" s="156">
        <f>ROUND($AE$4*[1]FTES!O40,0)</f>
        <v>2033575</v>
      </c>
      <c r="I40" s="156">
        <f>ROUND($AI$4*[1]FTES!Z40,0)</f>
        <v>0</v>
      </c>
      <c r="J40" s="157">
        <f>ROUND($AR$4*[1]FTES!D40,0)</f>
        <v>45224117</v>
      </c>
      <c r="K40" s="157">
        <f t="shared" si="15"/>
        <v>52793601</v>
      </c>
      <c r="L40" s="157">
        <f>IF(D40&gt;K40,D40-K40,0)</f>
        <v>89801</v>
      </c>
      <c r="M40" s="157">
        <f t="shared" si="0"/>
        <v>52883402</v>
      </c>
      <c r="N40" s="126">
        <f>(M40-H40-I40-F40)/[1]FTES!D40</f>
        <v>4573.8893782591849</v>
      </c>
      <c r="O40" s="125">
        <f>ROUND((M40+'[1]Restoration and Growth'!BM40)*$C$4,0)</f>
        <v>830269</v>
      </c>
      <c r="P40" s="125">
        <f>ROUND(M40+O40+'[1]Restoration and Growth'!BM40,0)</f>
        <v>53713671</v>
      </c>
      <c r="Q40" s="158">
        <f t="shared" si="16"/>
        <v>4645.6994409999998</v>
      </c>
      <c r="R40" s="157">
        <f t="shared" si="1"/>
        <v>-830269</v>
      </c>
      <c r="S40" s="157">
        <f>+'[1]13-14 $86M Workload Restore'!AJ38</f>
        <v>0</v>
      </c>
      <c r="T40" s="157">
        <f>+'[1]13-14 $86M Workload Restore'!AA38</f>
        <v>0</v>
      </c>
      <c r="U40" s="157">
        <f>'[1]Growth Deficit'!X40</f>
        <v>300.44343700000002</v>
      </c>
      <c r="V40" s="157">
        <f>-1* '[1]Growth Deficit'!AR40</f>
        <v>-300.44343700000002</v>
      </c>
      <c r="W40" s="157">
        <f t="shared" si="17"/>
        <v>0</v>
      </c>
      <c r="X40" s="129">
        <f>'[1]Restoration and Growth'!AQ40</f>
        <v>0</v>
      </c>
      <c r="Y40" s="157"/>
      <c r="Z40" s="159">
        <f>[1]FTES!AT40</f>
        <v>0</v>
      </c>
      <c r="AA40" s="160">
        <v>0</v>
      </c>
      <c r="AB40" s="157"/>
      <c r="AC40" s="157">
        <f>+'[1]Foundation Grant'!N40-'[1]Foundation Grant (OLD)'!N40</f>
        <v>0</v>
      </c>
      <c r="AD40" s="157">
        <f t="shared" si="2"/>
        <v>0</v>
      </c>
      <c r="AE40" s="157">
        <f t="shared" si="18"/>
        <v>53713671</v>
      </c>
      <c r="AF40" s="160">
        <v>0</v>
      </c>
      <c r="AG40" s="157">
        <f t="shared" si="4"/>
        <v>53713671</v>
      </c>
      <c r="AH40" s="161">
        <v>0</v>
      </c>
      <c r="AI40" s="161">
        <v>6509146</v>
      </c>
      <c r="AJ40" s="125">
        <f t="shared" si="5"/>
        <v>78829768</v>
      </c>
      <c r="AK40" s="134">
        <f>+'[1]13-14 deferrals, growth, EPA 1'!I40</f>
        <v>1094837</v>
      </c>
      <c r="AL40" s="162">
        <f t="shared" si="6"/>
        <v>1094837</v>
      </c>
      <c r="AM40" s="162">
        <f>+'[1]13-14 deferrals, growth, EPA 1'!AA40</f>
        <v>0</v>
      </c>
      <c r="AN40" s="162">
        <f>+'[1]13-14 deferrals, growth, EPA 1'!AB40</f>
        <v>0</v>
      </c>
      <c r="AO40" s="162">
        <f>+'[1]13-14 deferrals, growth, EPA 1'!AC40</f>
        <v>0</v>
      </c>
      <c r="AP40" s="162">
        <f t="shared" si="19"/>
        <v>0</v>
      </c>
      <c r="AQ40" s="162">
        <f t="shared" si="7"/>
        <v>0</v>
      </c>
      <c r="AR40" s="157">
        <f t="shared" si="8"/>
        <v>0</v>
      </c>
      <c r="AS40" s="148">
        <f>IF(SUM(AI40:AK40)+AR40&gt;AG40,(SUM(AI40:AK40)+AR40-AG40),0)</f>
        <v>32720080</v>
      </c>
      <c r="AT40" s="137">
        <f t="shared" si="10"/>
        <v>1</v>
      </c>
      <c r="AU40" s="154">
        <f t="shared" si="11"/>
        <v>53713671</v>
      </c>
      <c r="AV40" s="139">
        <f>'[1]13-14 deferrals, growth, EPA 1'!BX40</f>
        <v>0</v>
      </c>
      <c r="AW40" s="152">
        <f t="shared" si="20"/>
        <v>0</v>
      </c>
      <c r="AX40" s="152">
        <v>0</v>
      </c>
      <c r="AY40" s="141">
        <v>0</v>
      </c>
      <c r="AZ40" s="163"/>
      <c r="BA40" s="161">
        <v>8805410</v>
      </c>
      <c r="BB40" s="162">
        <v>76555018</v>
      </c>
      <c r="BC40" s="161">
        <v>78829768</v>
      </c>
      <c r="BD40" s="164"/>
      <c r="BE40" s="39"/>
      <c r="BF40" s="39"/>
      <c r="BG40" s="39"/>
      <c r="BH40" s="39"/>
      <c r="BI40" s="39"/>
      <c r="BJ40" s="39"/>
      <c r="BK40" s="165">
        <v>0</v>
      </c>
      <c r="BL40" s="152">
        <f t="shared" si="21"/>
        <v>0</v>
      </c>
      <c r="BM40" s="51"/>
      <c r="BN40" s="51"/>
      <c r="BO40" s="51"/>
      <c r="BP40" s="51"/>
      <c r="BQ40" s="51"/>
      <c r="BR40" s="51"/>
      <c r="BS40" s="51"/>
      <c r="BT40" s="51"/>
      <c r="BU40" s="51"/>
      <c r="BV40" s="51"/>
      <c r="BW40" s="51"/>
      <c r="BX40" s="51"/>
      <c r="BY40" s="51"/>
      <c r="BZ40" s="51"/>
      <c r="CA40" s="166"/>
      <c r="CB40" s="51"/>
      <c r="CC40" s="51"/>
      <c r="CD40" s="51"/>
      <c r="CE40" s="51"/>
      <c r="CF40" s="51"/>
      <c r="CG40" s="51"/>
      <c r="CH40" s="51"/>
      <c r="CI40" s="51"/>
      <c r="CJ40" s="51"/>
      <c r="CK40" s="51"/>
      <c r="CL40" s="51"/>
      <c r="CM40" s="51"/>
    </row>
    <row r="41" spans="1:91" s="144" customFormat="1">
      <c r="A41" s="16" t="s">
        <v>142</v>
      </c>
      <c r="B41" s="118">
        <v>33769809</v>
      </c>
      <c r="C41" s="149">
        <v>0</v>
      </c>
      <c r="D41" s="120">
        <f t="shared" si="13"/>
        <v>33769809</v>
      </c>
      <c r="E41" s="10"/>
      <c r="F41" s="121">
        <f>+'[1]Foundation Grant (OLD)'!N41</f>
        <v>3598340</v>
      </c>
      <c r="G41" s="122">
        <f t="shared" si="14"/>
        <v>-1</v>
      </c>
      <c r="H41" s="123">
        <f>ROUND($AE$4*[1]FTES!O41,0)</f>
        <v>1788532</v>
      </c>
      <c r="I41" s="123">
        <f>ROUND($AI$4*[1]FTES!Z41,0)</f>
        <v>143148</v>
      </c>
      <c r="J41" s="124">
        <f>ROUND($AR$4*[1]FTES!D41,0)</f>
        <v>28239788</v>
      </c>
      <c r="K41" s="125">
        <f t="shared" si="15"/>
        <v>33769808</v>
      </c>
      <c r="L41" s="125">
        <v>0</v>
      </c>
      <c r="M41" s="125">
        <f t="shared" si="0"/>
        <v>33769808</v>
      </c>
      <c r="N41" s="126">
        <f>(M41-H41-I41-F41)/[1]FTES!D41</f>
        <v>4564.8250433613139</v>
      </c>
      <c r="O41" s="125">
        <f>ROUND((M41+'[1]Restoration and Growth'!BM41)*$C$4,0)</f>
        <v>510834</v>
      </c>
      <c r="P41" s="125">
        <f>ROUND(M41+O41+'[1]Restoration and Growth'!BM41,0)</f>
        <v>33048041</v>
      </c>
      <c r="Q41" s="127">
        <f t="shared" si="16"/>
        <v>4636.4927969999999</v>
      </c>
      <c r="R41" s="125">
        <f t="shared" si="1"/>
        <v>721767</v>
      </c>
      <c r="S41" s="128">
        <f>+'[1]13-14 $86M Workload Restore'!AJ39</f>
        <v>0</v>
      </c>
      <c r="T41" s="129">
        <f>+'[1]13-14 $86M Workload Restore'!AA39</f>
        <v>0</v>
      </c>
      <c r="U41" s="129">
        <f>'[1]Growth Deficit'!X41</f>
        <v>0</v>
      </c>
      <c r="V41" s="125">
        <f>-1* '[1]Growth Deficit'!AR41</f>
        <v>0</v>
      </c>
      <c r="W41" s="125">
        <f t="shared" si="17"/>
        <v>0</v>
      </c>
      <c r="X41" s="129">
        <f>'[1]Restoration and Growth'!AQ41</f>
        <v>1251953</v>
      </c>
      <c r="Y41" s="125"/>
      <c r="Z41" s="130">
        <f>[1]FTES!AT41</f>
        <v>0</v>
      </c>
      <c r="AA41" s="131">
        <v>0</v>
      </c>
      <c r="AB41" s="125"/>
      <c r="AC41" s="132">
        <f>+'[1]Foundation Grant'!N41-'[1]Foundation Grant (OLD)'!N41</f>
        <v>0</v>
      </c>
      <c r="AD41" s="125">
        <f t="shared" si="2"/>
        <v>0</v>
      </c>
      <c r="AE41" s="125">
        <f t="shared" si="18"/>
        <v>34299994</v>
      </c>
      <c r="AF41" s="131">
        <f t="shared" ref="AF41:AF58" si="23">ROUND((1-$AF$82)* AE41,0)</f>
        <v>223370</v>
      </c>
      <c r="AG41" s="125">
        <f t="shared" si="4"/>
        <v>34076624</v>
      </c>
      <c r="AH41" s="133">
        <v>0</v>
      </c>
      <c r="AI41" s="133">
        <v>2891433</v>
      </c>
      <c r="AJ41" s="125">
        <f t="shared" si="5"/>
        <v>15373926</v>
      </c>
      <c r="AK41" s="134">
        <f>+'[1]13-14 deferrals, growth, EPA 1'!I41</f>
        <v>5045099</v>
      </c>
      <c r="AL41" s="135">
        <f t="shared" si="6"/>
        <v>15811265</v>
      </c>
      <c r="AM41" s="135">
        <f>+'[1]13-14 deferrals, growth, EPA 1'!AA41</f>
        <v>57446</v>
      </c>
      <c r="AN41" s="135">
        <f>+'[1]13-14 deferrals, growth, EPA 1'!AB41</f>
        <v>296648</v>
      </c>
      <c r="AO41" s="135">
        <f>+'[1]13-14 deferrals, growth, EPA 1'!AC41</f>
        <v>429284</v>
      </c>
      <c r="AP41" s="135">
        <f t="shared" si="19"/>
        <v>9982788</v>
      </c>
      <c r="AQ41" s="135">
        <f t="shared" si="7"/>
        <v>223370</v>
      </c>
      <c r="AR41" s="125">
        <f t="shared" si="8"/>
        <v>10766166</v>
      </c>
      <c r="AS41" s="136">
        <f t="shared" ref="AS41:AS58" si="24">IF(AI41+AJ41&gt;AG41,AI41+AJ41-AG41,0)</f>
        <v>0</v>
      </c>
      <c r="AT41" s="137">
        <f t="shared" si="10"/>
        <v>0.99348775396287237</v>
      </c>
      <c r="AU41" s="138">
        <f t="shared" si="11"/>
        <v>33048041</v>
      </c>
      <c r="AV41" s="139">
        <f>'[1]13-14 deferrals, growth, EPA 1'!BX41</f>
        <v>0</v>
      </c>
      <c r="AW41" s="10">
        <f t="shared" si="20"/>
        <v>0</v>
      </c>
      <c r="AX41" s="140">
        <v>0</v>
      </c>
      <c r="AY41" s="141">
        <v>0</v>
      </c>
      <c r="AZ41" s="142"/>
      <c r="BA41" s="133">
        <v>2350459</v>
      </c>
      <c r="BB41" s="143">
        <v>13690273</v>
      </c>
      <c r="BC41" s="133">
        <v>15751346</v>
      </c>
      <c r="BD41" s="142">
        <f t="shared" ref="BD41:BD58" si="25">ROUND(+BC41*BD$83,0)</f>
        <v>377420</v>
      </c>
      <c r="BE41" s="142"/>
      <c r="BF41" s="142"/>
      <c r="BG41" s="142"/>
      <c r="BH41" s="142"/>
      <c r="BI41" s="142"/>
      <c r="BJ41" s="142"/>
      <c r="BK41" s="139">
        <v>0</v>
      </c>
      <c r="BL41" s="10">
        <f t="shared" si="21"/>
        <v>0</v>
      </c>
      <c r="BM41" s="16"/>
      <c r="BN41" s="16"/>
      <c r="BO41" s="16"/>
      <c r="BP41" s="16"/>
      <c r="BQ41" s="16"/>
      <c r="BR41" s="16"/>
      <c r="BS41" s="16"/>
      <c r="BT41" s="16"/>
      <c r="BU41" s="16"/>
      <c r="BV41" s="16"/>
      <c r="BW41" s="16"/>
      <c r="BX41" s="16"/>
      <c r="BY41" s="16"/>
      <c r="BZ41" s="16"/>
      <c r="CA41" s="116"/>
      <c r="CB41" s="16"/>
      <c r="CC41" s="16"/>
      <c r="CD41" s="16"/>
      <c r="CE41" s="16"/>
      <c r="CF41" s="16"/>
      <c r="CG41" s="16"/>
      <c r="CH41" s="16"/>
      <c r="CI41" s="16"/>
      <c r="CJ41" s="16"/>
      <c r="CK41" s="16"/>
      <c r="CL41" s="16"/>
      <c r="CM41" s="16"/>
    </row>
    <row r="42" spans="1:91" s="144" customFormat="1">
      <c r="A42" s="16" t="s">
        <v>143</v>
      </c>
      <c r="B42" s="118">
        <v>126119725</v>
      </c>
      <c r="C42" s="149">
        <v>0</v>
      </c>
      <c r="D42" s="120">
        <f t="shared" si="13"/>
        <v>126119725</v>
      </c>
      <c r="E42" s="10"/>
      <c r="F42" s="121">
        <f>+'[1]Foundation Grant (OLD)'!N42</f>
        <v>5535909</v>
      </c>
      <c r="G42" s="122">
        <f t="shared" si="14"/>
        <v>0</v>
      </c>
      <c r="H42" s="123">
        <f>ROUND($AE$4*[1]FTES!O42,0)</f>
        <v>5309764</v>
      </c>
      <c r="I42" s="123">
        <f>ROUND($AI$4*[1]FTES!Z42,0)</f>
        <v>11561300</v>
      </c>
      <c r="J42" s="124">
        <f>ROUND($AR$4*[1]FTES!D42,0)</f>
        <v>103712752</v>
      </c>
      <c r="K42" s="125">
        <f t="shared" si="15"/>
        <v>126119725</v>
      </c>
      <c r="L42" s="125">
        <v>0</v>
      </c>
      <c r="M42" s="125">
        <f t="shared" si="0"/>
        <v>126119725</v>
      </c>
      <c r="N42" s="126">
        <f>(M42-H42-I42-F42)/[1]FTES!D42</f>
        <v>4564.8251077347131</v>
      </c>
      <c r="O42" s="125">
        <f>ROUND((M42+'[1]Restoration and Growth'!BM42)*$C$4,0)</f>
        <v>1980080</v>
      </c>
      <c r="P42" s="125">
        <f>ROUND(M42+O42+'[1]Restoration and Growth'!BM42,0)</f>
        <v>128099805</v>
      </c>
      <c r="Q42" s="127">
        <f t="shared" si="16"/>
        <v>4636.4928620000001</v>
      </c>
      <c r="R42" s="125">
        <f t="shared" si="1"/>
        <v>-1980080</v>
      </c>
      <c r="S42" s="128">
        <f>+'[1]13-14 $86M Workload Restore'!AJ40</f>
        <v>2870228</v>
      </c>
      <c r="T42" s="129">
        <f>+'[1]13-14 $86M Workload Restore'!AA40</f>
        <v>0</v>
      </c>
      <c r="U42" s="129">
        <f>'[1]Growth Deficit'!X42</f>
        <v>1331.566309</v>
      </c>
      <c r="V42" s="125">
        <f>-1* '[1]Growth Deficit'!AR42</f>
        <v>-1331.566309</v>
      </c>
      <c r="W42" s="125">
        <f t="shared" si="17"/>
        <v>0</v>
      </c>
      <c r="X42" s="129">
        <f>'[1]Restoration and Growth'!AQ42</f>
        <v>0</v>
      </c>
      <c r="Y42" s="125"/>
      <c r="Z42" s="130">
        <f>[1]FTES!AT42</f>
        <v>0</v>
      </c>
      <c r="AA42" s="131">
        <v>0</v>
      </c>
      <c r="AB42" s="125"/>
      <c r="AC42" s="132">
        <f>+'[1]Foundation Grant'!N42-'[1]Foundation Grant (OLD)'!N42</f>
        <v>0</v>
      </c>
      <c r="AD42" s="125">
        <f t="shared" si="2"/>
        <v>0</v>
      </c>
      <c r="AE42" s="125">
        <f t="shared" si="18"/>
        <v>130970033</v>
      </c>
      <c r="AF42" s="131">
        <f t="shared" si="23"/>
        <v>852910</v>
      </c>
      <c r="AG42" s="125">
        <f t="shared" si="4"/>
        <v>130117123</v>
      </c>
      <c r="AH42" s="133">
        <v>0</v>
      </c>
      <c r="AI42" s="133">
        <v>7766022</v>
      </c>
      <c r="AJ42" s="125">
        <f t="shared" si="5"/>
        <v>20250254</v>
      </c>
      <c r="AK42" s="134">
        <f>+'[1]13-14 deferrals, growth, EPA 1'!I42</f>
        <v>19790034</v>
      </c>
      <c r="AL42" s="135">
        <f t="shared" si="6"/>
        <v>102100847</v>
      </c>
      <c r="AM42" s="135">
        <f>+'[1]13-14 deferrals, growth, EPA 1'!AA42</f>
        <v>219696</v>
      </c>
      <c r="AN42" s="135">
        <f>+'[1]13-14 deferrals, growth, EPA 1'!AB42</f>
        <v>1134493</v>
      </c>
      <c r="AO42" s="135">
        <f>+'[1]13-14 deferrals, growth, EPA 1'!AC42</f>
        <v>1641742</v>
      </c>
      <c r="AP42" s="135">
        <f t="shared" si="19"/>
        <v>79314882</v>
      </c>
      <c r="AQ42" s="135">
        <f t="shared" si="7"/>
        <v>852910</v>
      </c>
      <c r="AR42" s="125">
        <f t="shared" si="8"/>
        <v>82310813</v>
      </c>
      <c r="AS42" s="136">
        <f t="shared" si="24"/>
        <v>0</v>
      </c>
      <c r="AT42" s="137">
        <f t="shared" si="10"/>
        <v>0.9934877469260468</v>
      </c>
      <c r="AU42" s="138">
        <f t="shared" si="11"/>
        <v>130970033</v>
      </c>
      <c r="AV42" s="139">
        <f>'[1]13-14 deferrals, growth, EPA 1'!BX42</f>
        <v>0</v>
      </c>
      <c r="AW42" s="10">
        <f t="shared" si="20"/>
        <v>0</v>
      </c>
      <c r="AX42" s="140">
        <v>0</v>
      </c>
      <c r="AY42" s="141">
        <v>0</v>
      </c>
      <c r="AZ42" s="142"/>
      <c r="BA42" s="133">
        <v>8300839</v>
      </c>
      <c r="BB42" s="143">
        <v>18816591</v>
      </c>
      <c r="BC42" s="133">
        <v>20747385</v>
      </c>
      <c r="BD42" s="142">
        <f t="shared" si="25"/>
        <v>497131</v>
      </c>
      <c r="BE42" s="142"/>
      <c r="BF42" s="142"/>
      <c r="BG42" s="142"/>
      <c r="BH42" s="142"/>
      <c r="BI42" s="142"/>
      <c r="BJ42" s="142"/>
      <c r="BK42" s="139">
        <v>0</v>
      </c>
      <c r="BL42" s="10">
        <f t="shared" si="21"/>
        <v>0</v>
      </c>
      <c r="BM42" s="16"/>
      <c r="BN42" s="16"/>
      <c r="BO42" s="16"/>
      <c r="BP42" s="16"/>
      <c r="BQ42" s="16"/>
      <c r="BR42" s="16"/>
      <c r="BS42" s="16"/>
      <c r="BT42" s="16"/>
      <c r="BU42" s="16"/>
      <c r="BV42" s="16"/>
      <c r="BW42" s="16"/>
      <c r="BX42" s="16"/>
      <c r="BY42" s="16"/>
      <c r="BZ42" s="16"/>
      <c r="CA42" s="116"/>
      <c r="CB42" s="16"/>
      <c r="CC42" s="16"/>
      <c r="CD42" s="16"/>
      <c r="CE42" s="16"/>
      <c r="CF42" s="16"/>
      <c r="CG42" s="16"/>
      <c r="CH42" s="16"/>
      <c r="CI42" s="16"/>
      <c r="CJ42" s="16"/>
      <c r="CK42" s="16"/>
      <c r="CL42" s="16"/>
      <c r="CM42" s="16"/>
    </row>
    <row r="43" spans="1:91" s="144" customFormat="1">
      <c r="A43" s="16" t="s">
        <v>144</v>
      </c>
      <c r="B43" s="118">
        <v>49796425</v>
      </c>
      <c r="C43" s="149">
        <v>0</v>
      </c>
      <c r="D43" s="120">
        <f t="shared" si="13"/>
        <v>49796425</v>
      </c>
      <c r="E43" s="10"/>
      <c r="F43" s="121">
        <f>+'[1]Foundation Grant (OLD)'!N43</f>
        <v>5535909</v>
      </c>
      <c r="G43" s="122">
        <f t="shared" si="14"/>
        <v>-1</v>
      </c>
      <c r="H43" s="123">
        <f>ROUND($AE$4*[1]FTES!O43,0)</f>
        <v>1042288</v>
      </c>
      <c r="I43" s="123">
        <f>ROUND($AI$4*[1]FTES!Z43,0)</f>
        <v>559923</v>
      </c>
      <c r="J43" s="124">
        <f>ROUND($AR$4*[1]FTES!D43,0)</f>
        <v>42658304</v>
      </c>
      <c r="K43" s="125">
        <f t="shared" si="15"/>
        <v>49796424</v>
      </c>
      <c r="L43" s="125">
        <v>0</v>
      </c>
      <c r="M43" s="125">
        <f t="shared" si="0"/>
        <v>49796424</v>
      </c>
      <c r="N43" s="126">
        <f>(M43-H43-I43-F43)/[1]FTES!D43</f>
        <v>4564.8251421861687</v>
      </c>
      <c r="O43" s="125">
        <f>ROUND((M43+'[1]Restoration and Growth'!BM43)*$C$4,0)</f>
        <v>781804</v>
      </c>
      <c r="P43" s="125">
        <f>ROUND(M43+O43+'[1]Restoration and Growth'!BM43,0)</f>
        <v>50578228</v>
      </c>
      <c r="Q43" s="127">
        <f t="shared" si="16"/>
        <v>4636.4928970000001</v>
      </c>
      <c r="R43" s="125">
        <f t="shared" si="1"/>
        <v>-781804</v>
      </c>
      <c r="S43" s="128">
        <f>+'[1]13-14 $86M Workload Restore'!AJ41</f>
        <v>1052666</v>
      </c>
      <c r="T43" s="129">
        <f>+'[1]13-14 $86M Workload Restore'!AA41</f>
        <v>0</v>
      </c>
      <c r="U43" s="129">
        <f>'[1]Growth Deficit'!X43</f>
        <v>707.29714200000001</v>
      </c>
      <c r="V43" s="125">
        <f>-1* '[1]Growth Deficit'!AR43</f>
        <v>-707.29714200000001</v>
      </c>
      <c r="W43" s="125">
        <f t="shared" si="17"/>
        <v>0</v>
      </c>
      <c r="X43" s="129">
        <f>'[1]Restoration and Growth'!AQ43</f>
        <v>0</v>
      </c>
      <c r="Y43" s="125"/>
      <c r="Z43" s="130">
        <f>[1]FTES!AT43</f>
        <v>0</v>
      </c>
      <c r="AA43" s="131">
        <v>0</v>
      </c>
      <c r="AB43" s="125"/>
      <c r="AC43" s="132">
        <f>+'[1]Foundation Grant'!N43-'[1]Foundation Grant (OLD)'!N43</f>
        <v>0</v>
      </c>
      <c r="AD43" s="125">
        <f t="shared" si="2"/>
        <v>0</v>
      </c>
      <c r="AE43" s="125">
        <f t="shared" si="18"/>
        <v>51630894</v>
      </c>
      <c r="AF43" s="131">
        <f t="shared" si="23"/>
        <v>336233</v>
      </c>
      <c r="AG43" s="125">
        <f t="shared" si="4"/>
        <v>51294661</v>
      </c>
      <c r="AH43" s="133">
        <v>0</v>
      </c>
      <c r="AI43" s="133">
        <v>2762728</v>
      </c>
      <c r="AJ43" s="125">
        <f t="shared" si="5"/>
        <v>19781806</v>
      </c>
      <c r="AK43" s="134">
        <f>+'[1]13-14 deferrals, growth, EPA 1'!I43</f>
        <v>7849604</v>
      </c>
      <c r="AL43" s="135">
        <f t="shared" si="6"/>
        <v>28750127</v>
      </c>
      <c r="AM43" s="135">
        <f>+'[1]13-14 deferrals, growth, EPA 1'!AA43</f>
        <v>86599</v>
      </c>
      <c r="AN43" s="135">
        <f>+'[1]13-14 deferrals, growth, EPA 1'!AB43</f>
        <v>447190</v>
      </c>
      <c r="AO43" s="135">
        <f>+'[1]13-14 deferrals, growth, EPA 1'!AC43</f>
        <v>647135</v>
      </c>
      <c r="AP43" s="135">
        <f t="shared" si="19"/>
        <v>19719599</v>
      </c>
      <c r="AQ43" s="135">
        <f t="shared" si="7"/>
        <v>336233</v>
      </c>
      <c r="AR43" s="125">
        <f t="shared" si="8"/>
        <v>20900523</v>
      </c>
      <c r="AS43" s="136">
        <f t="shared" si="24"/>
        <v>0</v>
      </c>
      <c r="AT43" s="137">
        <f t="shared" si="10"/>
        <v>0.99348775560616864</v>
      </c>
      <c r="AU43" s="138">
        <f t="shared" si="11"/>
        <v>51630894</v>
      </c>
      <c r="AV43" s="139">
        <f>'[1]13-14 deferrals, growth, EPA 1'!BX43</f>
        <v>0</v>
      </c>
      <c r="AW43" s="10">
        <f t="shared" si="20"/>
        <v>0</v>
      </c>
      <c r="AX43" s="140">
        <v>0</v>
      </c>
      <c r="AY43" s="141">
        <v>0</v>
      </c>
      <c r="AZ43" s="142"/>
      <c r="BA43" s="133">
        <v>2945135</v>
      </c>
      <c r="BB43" s="143">
        <v>18077147</v>
      </c>
      <c r="BC43" s="133">
        <v>20267437</v>
      </c>
      <c r="BD43" s="142">
        <f t="shared" si="25"/>
        <v>485631</v>
      </c>
      <c r="BE43" s="142"/>
      <c r="BF43" s="142"/>
      <c r="BG43" s="142"/>
      <c r="BH43" s="142"/>
      <c r="BI43" s="142"/>
      <c r="BJ43" s="142"/>
      <c r="BK43" s="139">
        <v>0</v>
      </c>
      <c r="BL43" s="10">
        <f t="shared" si="21"/>
        <v>0</v>
      </c>
      <c r="BM43" s="16"/>
      <c r="BN43" s="16"/>
      <c r="BO43" s="16"/>
      <c r="BP43" s="16"/>
      <c r="BQ43" s="16"/>
      <c r="BR43" s="16"/>
      <c r="BS43" s="16"/>
      <c r="BT43" s="16"/>
      <c r="BU43" s="16"/>
      <c r="BV43" s="16"/>
      <c r="BW43" s="16"/>
      <c r="BX43" s="16"/>
      <c r="BY43" s="16"/>
      <c r="BZ43" s="16"/>
      <c r="CA43" s="116"/>
      <c r="CB43" s="16"/>
      <c r="CC43" s="16"/>
      <c r="CD43" s="16"/>
      <c r="CE43" s="16"/>
      <c r="CF43" s="16"/>
      <c r="CG43" s="16"/>
      <c r="CH43" s="16"/>
      <c r="CI43" s="16"/>
      <c r="CJ43" s="16"/>
      <c r="CK43" s="16"/>
      <c r="CL43" s="16"/>
      <c r="CM43" s="16"/>
    </row>
    <row r="44" spans="1:91" s="144" customFormat="1">
      <c r="A44" s="16" t="s">
        <v>145</v>
      </c>
      <c r="B44" s="118">
        <v>28373133</v>
      </c>
      <c r="C44" s="149">
        <v>0</v>
      </c>
      <c r="D44" s="120">
        <f t="shared" si="13"/>
        <v>28373133</v>
      </c>
      <c r="E44" s="10"/>
      <c r="F44" s="121">
        <f>+'[1]Foundation Grant (OLD)'!N44</f>
        <v>4151931</v>
      </c>
      <c r="G44" s="122">
        <f t="shared" si="14"/>
        <v>0</v>
      </c>
      <c r="H44" s="123">
        <f>ROUND($AE$4*[1]FTES!O44,0)</f>
        <v>737982</v>
      </c>
      <c r="I44" s="123">
        <f>ROUND($AI$4*[1]FTES!Z44,0)</f>
        <v>67356</v>
      </c>
      <c r="J44" s="124">
        <f>ROUND($AR$4*[1]FTES!D44,0)</f>
        <v>23415864</v>
      </c>
      <c r="K44" s="125">
        <f t="shared" si="15"/>
        <v>28373133</v>
      </c>
      <c r="L44" s="125">
        <v>0</v>
      </c>
      <c r="M44" s="125">
        <f t="shared" si="0"/>
        <v>28373133</v>
      </c>
      <c r="N44" s="126">
        <f>(M44-H44-I44-F44)/[1]FTES!D44</f>
        <v>4564.8251210865837</v>
      </c>
      <c r="O44" s="125">
        <f>ROUND((M44+'[1]Restoration and Growth'!BM44)*$C$4,0)</f>
        <v>443845</v>
      </c>
      <c r="P44" s="125">
        <f>ROUND(M44+O44+'[1]Restoration and Growth'!BM44,0)</f>
        <v>28714231</v>
      </c>
      <c r="Q44" s="127">
        <f t="shared" si="16"/>
        <v>4636.4928749999999</v>
      </c>
      <c r="R44" s="125">
        <f t="shared" si="1"/>
        <v>-341098</v>
      </c>
      <c r="S44" s="128">
        <f>+'[1]13-14 $86M Workload Restore'!AJ42</f>
        <v>0</v>
      </c>
      <c r="T44" s="129">
        <f>+'[1]13-14 $86M Workload Restore'!AA42</f>
        <v>0</v>
      </c>
      <c r="U44" s="129">
        <f>'[1]Growth Deficit'!X44</f>
        <v>0</v>
      </c>
      <c r="V44" s="125">
        <f>-1* '[1]Growth Deficit'!AR44</f>
        <v>0</v>
      </c>
      <c r="W44" s="125">
        <f t="shared" si="17"/>
        <v>0</v>
      </c>
      <c r="X44" s="129">
        <f>'[1]Restoration and Growth'!AQ44</f>
        <v>104360</v>
      </c>
      <c r="Y44" s="125"/>
      <c r="Z44" s="130">
        <f>[1]FTES!AT44</f>
        <v>0</v>
      </c>
      <c r="AA44" s="131">
        <v>0</v>
      </c>
      <c r="AB44" s="125"/>
      <c r="AC44" s="132">
        <f>+'[1]Foundation Grant'!N44-'[1]Foundation Grant (OLD)'!N44</f>
        <v>-276795</v>
      </c>
      <c r="AD44" s="125">
        <f t="shared" si="2"/>
        <v>-4346</v>
      </c>
      <c r="AE44" s="125">
        <f t="shared" si="18"/>
        <v>28537450</v>
      </c>
      <c r="AF44" s="131">
        <f t="shared" si="23"/>
        <v>185843</v>
      </c>
      <c r="AG44" s="125">
        <f t="shared" si="4"/>
        <v>28351607</v>
      </c>
      <c r="AH44" s="133">
        <v>0</v>
      </c>
      <c r="AI44" s="133">
        <v>2190369</v>
      </c>
      <c r="AJ44" s="125">
        <f t="shared" si="5"/>
        <v>19190260</v>
      </c>
      <c r="AK44" s="134">
        <f>+'[1]13-14 deferrals, growth, EPA 1'!I44</f>
        <v>4232084</v>
      </c>
      <c r="AL44" s="135">
        <f t="shared" si="6"/>
        <v>6970978</v>
      </c>
      <c r="AM44" s="135">
        <f>+'[1]13-14 deferrals, growth, EPA 1'!AA44</f>
        <v>49047</v>
      </c>
      <c r="AN44" s="135">
        <f>+'[1]13-14 deferrals, growth, EPA 1'!AB44</f>
        <v>253277</v>
      </c>
      <c r="AO44" s="135">
        <f>+'[1]13-14 deferrals, growth, EPA 1'!AC44</f>
        <v>366520</v>
      </c>
      <c r="AP44" s="135">
        <f t="shared" si="19"/>
        <v>2070050</v>
      </c>
      <c r="AQ44" s="135">
        <f t="shared" si="7"/>
        <v>185843</v>
      </c>
      <c r="AR44" s="125">
        <f t="shared" si="8"/>
        <v>2738894</v>
      </c>
      <c r="AS44" s="136">
        <f t="shared" si="24"/>
        <v>0</v>
      </c>
      <c r="AT44" s="137">
        <f t="shared" si="10"/>
        <v>0.99348775030705261</v>
      </c>
      <c r="AU44" s="138">
        <f t="shared" si="11"/>
        <v>28433090</v>
      </c>
      <c r="AV44" s="139">
        <f>'[1]13-14 deferrals, growth, EPA 1'!BX44</f>
        <v>1</v>
      </c>
      <c r="AW44" s="10">
        <f t="shared" si="20"/>
        <v>-69532</v>
      </c>
      <c r="AX44" s="140">
        <v>0</v>
      </c>
      <c r="AY44" s="141">
        <v>0</v>
      </c>
      <c r="AZ44" s="142"/>
      <c r="BA44" s="133">
        <v>2038400</v>
      </c>
      <c r="BB44" s="143">
        <v>18008988</v>
      </c>
      <c r="BC44" s="133">
        <v>19661369</v>
      </c>
      <c r="BD44" s="142">
        <f t="shared" si="25"/>
        <v>471109</v>
      </c>
      <c r="BE44" s="142"/>
      <c r="BF44" s="142"/>
      <c r="BG44" s="142"/>
      <c r="BH44" s="142"/>
      <c r="BI44" s="142"/>
      <c r="BJ44" s="142"/>
      <c r="BK44" s="139">
        <v>0</v>
      </c>
      <c r="BL44" s="10">
        <f t="shared" si="21"/>
        <v>0</v>
      </c>
      <c r="BM44" s="16"/>
      <c r="BN44" s="16"/>
      <c r="BO44" s="16"/>
      <c r="BP44" s="16"/>
      <c r="BQ44" s="16"/>
      <c r="BR44" s="16"/>
      <c r="BS44" s="16"/>
      <c r="BT44" s="16"/>
      <c r="BU44" s="16"/>
      <c r="BV44" s="16"/>
      <c r="BW44" s="16"/>
      <c r="BX44" s="16"/>
      <c r="BY44" s="16"/>
      <c r="BZ44" s="16"/>
      <c r="CA44" s="116"/>
      <c r="CB44" s="16"/>
      <c r="CC44" s="16"/>
      <c r="CD44" s="16"/>
      <c r="CE44" s="16"/>
      <c r="CF44" s="16"/>
      <c r="CG44" s="16"/>
      <c r="CH44" s="16"/>
      <c r="CI44" s="16"/>
      <c r="CJ44" s="16"/>
      <c r="CK44" s="16"/>
      <c r="CL44" s="16"/>
      <c r="CM44" s="16"/>
    </row>
    <row r="45" spans="1:91" s="144" customFormat="1">
      <c r="A45" s="16" t="s">
        <v>146</v>
      </c>
      <c r="B45" s="118">
        <v>147717449</v>
      </c>
      <c r="C45" s="149">
        <v>0</v>
      </c>
      <c r="D45" s="120">
        <f t="shared" si="13"/>
        <v>147717449</v>
      </c>
      <c r="E45" s="10"/>
      <c r="F45" s="121">
        <f>+'[1]Foundation Grant (OLD)'!N45</f>
        <v>8857454</v>
      </c>
      <c r="G45" s="122">
        <f t="shared" si="14"/>
        <v>0</v>
      </c>
      <c r="H45" s="123">
        <f>ROUND($AE$4*[1]FTES!O45,0)</f>
        <v>7156078</v>
      </c>
      <c r="I45" s="123">
        <f>ROUND($AI$4*[1]FTES!Z45,0)</f>
        <v>10161330</v>
      </c>
      <c r="J45" s="124">
        <f>ROUND($AR$4*[1]FTES!D45,0)</f>
        <v>121542587</v>
      </c>
      <c r="K45" s="125">
        <f t="shared" si="15"/>
        <v>147717449</v>
      </c>
      <c r="L45" s="125">
        <v>0</v>
      </c>
      <c r="M45" s="125">
        <f t="shared" si="0"/>
        <v>147717449</v>
      </c>
      <c r="N45" s="126">
        <f>(M45-H45-I45-F45)/[1]FTES!D45</f>
        <v>4564.8250829755889</v>
      </c>
      <c r="O45" s="125">
        <f>ROUND((M45+'[1]Restoration and Growth'!BM45)*$C$4,0)</f>
        <v>2319164</v>
      </c>
      <c r="P45" s="125">
        <f>ROUND(M45+O45+'[1]Restoration and Growth'!BM45,0)</f>
        <v>150036613</v>
      </c>
      <c r="Q45" s="127">
        <f t="shared" si="16"/>
        <v>4636.4928369999998</v>
      </c>
      <c r="R45" s="125">
        <f t="shared" si="1"/>
        <v>-2319164</v>
      </c>
      <c r="S45" s="128">
        <f>+'[1]13-14 $86M Workload Restore'!AJ43</f>
        <v>3304645</v>
      </c>
      <c r="T45" s="129">
        <f>+'[1]13-14 $86M Workload Restore'!AA43</f>
        <v>0</v>
      </c>
      <c r="U45" s="129">
        <f>'[1]Growth Deficit'!X45</f>
        <v>3074.3076289999999</v>
      </c>
      <c r="V45" s="125">
        <f>-1* '[1]Growth Deficit'!AR45</f>
        <v>-3074.3076289999999</v>
      </c>
      <c r="W45" s="125">
        <f t="shared" si="17"/>
        <v>0</v>
      </c>
      <c r="X45" s="129">
        <f>'[1]Restoration and Growth'!AQ45</f>
        <v>0</v>
      </c>
      <c r="Y45" s="125"/>
      <c r="Z45" s="130">
        <f>[1]FTES!AT45</f>
        <v>0</v>
      </c>
      <c r="AA45" s="131">
        <v>0</v>
      </c>
      <c r="AB45" s="125"/>
      <c r="AC45" s="132">
        <f>+'[1]Foundation Grant'!N45-'[1]Foundation Grant (OLD)'!N45</f>
        <v>0</v>
      </c>
      <c r="AD45" s="125">
        <f t="shared" si="2"/>
        <v>0</v>
      </c>
      <c r="AE45" s="125">
        <f t="shared" si="18"/>
        <v>153341258</v>
      </c>
      <c r="AF45" s="131">
        <f t="shared" si="23"/>
        <v>998597</v>
      </c>
      <c r="AG45" s="125">
        <f t="shared" si="4"/>
        <v>152342661</v>
      </c>
      <c r="AH45" s="133">
        <v>0</v>
      </c>
      <c r="AI45" s="133">
        <v>11982055</v>
      </c>
      <c r="AJ45" s="125">
        <f t="shared" si="5"/>
        <v>62225347</v>
      </c>
      <c r="AK45" s="134">
        <f>+'[1]13-14 deferrals, growth, EPA 1'!I45</f>
        <v>22706269</v>
      </c>
      <c r="AL45" s="135">
        <f t="shared" si="6"/>
        <v>78135259</v>
      </c>
      <c r="AM45" s="135">
        <f>+'[1]13-14 deferrals, growth, EPA 1'!AA45</f>
        <v>257216</v>
      </c>
      <c r="AN45" s="135">
        <f>+'[1]13-14 deferrals, growth, EPA 1'!AB45</f>
        <v>1328244</v>
      </c>
      <c r="AO45" s="135">
        <f>+'[1]13-14 deferrals, growth, EPA 1'!AC45</f>
        <v>1922120</v>
      </c>
      <c r="AP45" s="135">
        <f t="shared" si="19"/>
        <v>51921410</v>
      </c>
      <c r="AQ45" s="135">
        <f t="shared" si="7"/>
        <v>998597</v>
      </c>
      <c r="AR45" s="125">
        <f t="shared" si="8"/>
        <v>55428990</v>
      </c>
      <c r="AS45" s="136">
        <f t="shared" si="24"/>
        <v>0</v>
      </c>
      <c r="AT45" s="137">
        <f t="shared" si="10"/>
        <v>0.99348774743976598</v>
      </c>
      <c r="AU45" s="138">
        <f t="shared" si="11"/>
        <v>153341258</v>
      </c>
      <c r="AV45" s="139">
        <f>'[1]13-14 deferrals, growth, EPA 1'!BX45</f>
        <v>0</v>
      </c>
      <c r="AW45" s="10">
        <f t="shared" si="20"/>
        <v>0</v>
      </c>
      <c r="AX45" s="140">
        <v>0</v>
      </c>
      <c r="AY45" s="141">
        <v>0</v>
      </c>
      <c r="AZ45" s="142"/>
      <c r="BA45" s="133">
        <v>11550240</v>
      </c>
      <c r="BB45" s="143">
        <v>68075540</v>
      </c>
      <c r="BC45" s="133">
        <v>63752939</v>
      </c>
      <c r="BD45" s="142">
        <f t="shared" si="25"/>
        <v>1527592</v>
      </c>
      <c r="BE45" s="142"/>
      <c r="BF45" s="142"/>
      <c r="BG45" s="142"/>
      <c r="BH45" s="142"/>
      <c r="BI45" s="142"/>
      <c r="BJ45" s="142"/>
      <c r="BK45" s="139">
        <v>0</v>
      </c>
      <c r="BL45" s="10">
        <f t="shared" si="21"/>
        <v>0</v>
      </c>
      <c r="BM45" s="16"/>
      <c r="BN45" s="16"/>
      <c r="BO45" s="16"/>
      <c r="BP45" s="16"/>
      <c r="BQ45" s="16"/>
      <c r="BR45" s="16"/>
      <c r="BS45" s="16"/>
      <c r="BT45" s="16"/>
      <c r="BU45" s="16"/>
      <c r="BV45" s="16"/>
      <c r="BW45" s="16"/>
      <c r="BX45" s="16"/>
      <c r="BY45" s="16"/>
      <c r="BZ45" s="16"/>
      <c r="CA45" s="116"/>
      <c r="CB45" s="16"/>
      <c r="CC45" s="16"/>
      <c r="CD45" s="16"/>
      <c r="CE45" s="16"/>
      <c r="CF45" s="16"/>
      <c r="CG45" s="16"/>
      <c r="CH45" s="16"/>
      <c r="CI45" s="16"/>
      <c r="CJ45" s="16"/>
      <c r="CK45" s="16"/>
      <c r="CL45" s="16"/>
      <c r="CM45" s="16"/>
    </row>
    <row r="46" spans="1:91" s="144" customFormat="1">
      <c r="A46" s="16" t="s">
        <v>147</v>
      </c>
      <c r="B46" s="118">
        <v>38870528</v>
      </c>
      <c r="C46" s="146">
        <v>1003837</v>
      </c>
      <c r="D46" s="120">
        <f t="shared" si="13"/>
        <v>39874365</v>
      </c>
      <c r="E46" s="10"/>
      <c r="F46" s="121">
        <f>+'[1]Foundation Grant (OLD)'!N46</f>
        <v>4428727</v>
      </c>
      <c r="G46" s="167">
        <f t="shared" si="14"/>
        <v>0</v>
      </c>
      <c r="H46" s="123">
        <f>ROUND($AE$4*[1]FTES!O46,0)</f>
        <v>0</v>
      </c>
      <c r="I46" s="123">
        <f>ROUND($AI$4*[1]FTES!Z46,0)</f>
        <v>0</v>
      </c>
      <c r="J46" s="124">
        <f>ROUND($AR$4*[1]FTES!D46,0)</f>
        <v>35445638</v>
      </c>
      <c r="K46" s="125">
        <f t="shared" si="15"/>
        <v>39874365</v>
      </c>
      <c r="L46" s="125">
        <v>0</v>
      </c>
      <c r="M46" s="125">
        <f t="shared" si="0"/>
        <v>39874365</v>
      </c>
      <c r="N46" s="126">
        <f>(M46-H46-I46-F46)/[1]FTES!D46</f>
        <v>4564.8250761101881</v>
      </c>
      <c r="O46" s="125">
        <f>ROUND((M46+'[1]Restoration and Growth'!BM46)*$C$4,0)</f>
        <v>626028</v>
      </c>
      <c r="P46" s="125">
        <f>ROUND(M46+O46+'[1]Restoration and Growth'!BM46,0)</f>
        <v>40500393</v>
      </c>
      <c r="Q46" s="127">
        <f t="shared" si="16"/>
        <v>4636.4928300000001</v>
      </c>
      <c r="R46" s="125">
        <f t="shared" si="1"/>
        <v>-626028</v>
      </c>
      <c r="S46" s="128">
        <f>+'[1]13-14 $86M Workload Restore'!AJ44</f>
        <v>568473</v>
      </c>
      <c r="T46" s="129">
        <f>+'[1]13-14 $86M Workload Restore'!AA44</f>
        <v>0</v>
      </c>
      <c r="U46" s="129">
        <f>'[1]Growth Deficit'!X46</f>
        <v>123.290104</v>
      </c>
      <c r="V46" s="125">
        <f>-1* '[1]Growth Deficit'!AR46</f>
        <v>-123.290104</v>
      </c>
      <c r="W46" s="125">
        <f t="shared" si="17"/>
        <v>0</v>
      </c>
      <c r="X46" s="129">
        <f>'[1]Restoration and Growth'!AQ46</f>
        <v>0</v>
      </c>
      <c r="Y46" s="125"/>
      <c r="Z46" s="130">
        <f>[1]FTES!AT46</f>
        <v>0</v>
      </c>
      <c r="AA46" s="131">
        <v>0</v>
      </c>
      <c r="AB46" s="125"/>
      <c r="AC46" s="132">
        <f>+'[1]Foundation Grant'!N46-'[1]Foundation Grant (OLD)'!N46</f>
        <v>0</v>
      </c>
      <c r="AD46" s="125">
        <f t="shared" si="2"/>
        <v>0</v>
      </c>
      <c r="AE46" s="125">
        <f t="shared" si="18"/>
        <v>41068866</v>
      </c>
      <c r="AF46" s="131">
        <f t="shared" si="23"/>
        <v>267451</v>
      </c>
      <c r="AG46" s="125">
        <f t="shared" si="4"/>
        <v>40801415</v>
      </c>
      <c r="AH46" s="133">
        <v>0</v>
      </c>
      <c r="AI46" s="133">
        <v>4246242</v>
      </c>
      <c r="AJ46" s="125">
        <f t="shared" si="5"/>
        <v>15374280</v>
      </c>
      <c r="AK46" s="134">
        <f>+'[1]13-14 deferrals, growth, EPA 1'!I46</f>
        <v>5914751</v>
      </c>
      <c r="AL46" s="135">
        <f t="shared" si="6"/>
        <v>21180893</v>
      </c>
      <c r="AM46" s="135">
        <f>+'[1]13-14 deferrals, growth, EPA 1'!AA46</f>
        <v>68791</v>
      </c>
      <c r="AN46" s="135">
        <f>+'[1]13-14 deferrals, growth, EPA 1'!AB46</f>
        <v>355230</v>
      </c>
      <c r="AO46" s="135">
        <f>+'[1]13-14 deferrals, growth, EPA 1'!AC46</f>
        <v>514058</v>
      </c>
      <c r="AP46" s="135">
        <f t="shared" si="19"/>
        <v>14328063</v>
      </c>
      <c r="AQ46" s="135">
        <f t="shared" si="7"/>
        <v>267451</v>
      </c>
      <c r="AR46" s="125">
        <f t="shared" si="8"/>
        <v>15266142</v>
      </c>
      <c r="AS46" s="136">
        <f t="shared" si="24"/>
        <v>0</v>
      </c>
      <c r="AT46" s="137">
        <f t="shared" si="10"/>
        <v>0.99348774324569855</v>
      </c>
      <c r="AU46" s="138">
        <f t="shared" si="11"/>
        <v>41068866</v>
      </c>
      <c r="AV46" s="139">
        <f>'[1]13-14 deferrals, growth, EPA 1'!BX46</f>
        <v>0</v>
      </c>
      <c r="AW46" s="10">
        <f t="shared" si="20"/>
        <v>0</v>
      </c>
      <c r="AX46" s="140">
        <v>0</v>
      </c>
      <c r="AY46" s="141">
        <v>0</v>
      </c>
      <c r="AZ46" s="142"/>
      <c r="BA46" s="133">
        <v>4522824</v>
      </c>
      <c r="BB46" s="143">
        <v>17916867</v>
      </c>
      <c r="BC46" s="133">
        <v>15751709</v>
      </c>
      <c r="BD46" s="142">
        <f t="shared" si="25"/>
        <v>377429</v>
      </c>
      <c r="BE46" s="142"/>
      <c r="BF46" s="142"/>
      <c r="BG46" s="142"/>
      <c r="BH46" s="142"/>
      <c r="BI46" s="142"/>
      <c r="BJ46" s="142"/>
      <c r="BK46" s="139">
        <v>0</v>
      </c>
      <c r="BL46" s="10">
        <f t="shared" si="21"/>
        <v>0</v>
      </c>
      <c r="BM46" s="16"/>
      <c r="BN46" s="16"/>
      <c r="BO46" s="16"/>
      <c r="BP46" s="16"/>
      <c r="BQ46" s="16"/>
      <c r="BR46" s="16"/>
      <c r="BS46" s="16"/>
      <c r="BT46" s="16"/>
      <c r="BU46" s="16"/>
      <c r="BV46" s="16"/>
      <c r="BW46" s="16"/>
      <c r="BX46" s="16"/>
      <c r="BY46" s="16"/>
      <c r="BZ46" s="16"/>
      <c r="CA46" s="116"/>
      <c r="CB46" s="16"/>
      <c r="CC46" s="16"/>
      <c r="CD46" s="16"/>
      <c r="CE46" s="16"/>
      <c r="CF46" s="16"/>
      <c r="CG46" s="16"/>
      <c r="CH46" s="16"/>
      <c r="CI46" s="16"/>
      <c r="CJ46" s="16"/>
      <c r="CK46" s="16"/>
      <c r="CL46" s="16"/>
      <c r="CM46" s="16"/>
    </row>
    <row r="47" spans="1:91" s="144" customFormat="1">
      <c r="A47" s="16" t="s">
        <v>148</v>
      </c>
      <c r="B47" s="118">
        <v>11112048</v>
      </c>
      <c r="C47" s="146">
        <v>0</v>
      </c>
      <c r="D47" s="120">
        <f t="shared" si="13"/>
        <v>11112048</v>
      </c>
      <c r="E47" s="10"/>
      <c r="F47" s="121">
        <f>+'[1]Foundation Grant (OLD)'!N47</f>
        <v>3875136</v>
      </c>
      <c r="G47" s="122">
        <f t="shared" si="14"/>
        <v>0</v>
      </c>
      <c r="H47" s="123">
        <f>ROUND($AE$4*[1]FTES!O47,0)</f>
        <v>87757</v>
      </c>
      <c r="I47" s="123">
        <f>ROUND($AI$4*[1]FTES!Z47,0)</f>
        <v>0</v>
      </c>
      <c r="J47" s="124">
        <f>ROUND($AR$4*[1]FTES!D47,0)</f>
        <v>7149155</v>
      </c>
      <c r="K47" s="125">
        <f t="shared" si="15"/>
        <v>11112048</v>
      </c>
      <c r="L47" s="125">
        <v>0</v>
      </c>
      <c r="M47" s="125">
        <f t="shared" si="0"/>
        <v>11112048</v>
      </c>
      <c r="N47" s="126">
        <f>(M47-H47-I47-F47)/[1]FTES!D47</f>
        <v>4564.824983717931</v>
      </c>
      <c r="O47" s="125">
        <f>ROUND((M47+'[1]Restoration and Growth'!BM47)*$C$4,0)</f>
        <v>160171</v>
      </c>
      <c r="P47" s="125">
        <f>ROUND(M47+O47+'[1]Restoration and Growth'!BM47,0)</f>
        <v>10362177</v>
      </c>
      <c r="Q47" s="127">
        <f t="shared" si="16"/>
        <v>4636.4927360000001</v>
      </c>
      <c r="R47" s="125">
        <f t="shared" si="1"/>
        <v>749871</v>
      </c>
      <c r="S47" s="128">
        <f>+'[1]13-14 $86M Workload Restore'!AJ45</f>
        <v>0</v>
      </c>
      <c r="T47" s="129">
        <f>+'[1]13-14 $86M Workload Restore'!AA45</f>
        <v>0</v>
      </c>
      <c r="U47" s="129">
        <f>'[1]Growth Deficit'!X47</f>
        <v>0</v>
      </c>
      <c r="V47" s="125">
        <f>-1* '[1]Growth Deficit'!AR47</f>
        <v>0</v>
      </c>
      <c r="W47" s="125">
        <f t="shared" si="17"/>
        <v>0</v>
      </c>
      <c r="X47" s="129">
        <f>'[1]Restoration and Growth'!AQ47</f>
        <v>924330</v>
      </c>
      <c r="Y47" s="125"/>
      <c r="Z47" s="130">
        <f>[1]FTES!AT47</f>
        <v>0</v>
      </c>
      <c r="AA47" s="131">
        <v>0</v>
      </c>
      <c r="AB47" s="125"/>
      <c r="AC47" s="132">
        <f>+'[1]Foundation Grant'!N47-'[1]Foundation Grant (OLD)'!N47</f>
        <v>138398</v>
      </c>
      <c r="AD47" s="125">
        <f t="shared" si="2"/>
        <v>2173</v>
      </c>
      <c r="AE47" s="125">
        <f t="shared" si="18"/>
        <v>11427078</v>
      </c>
      <c r="AF47" s="131">
        <f t="shared" si="23"/>
        <v>74416</v>
      </c>
      <c r="AG47" s="125">
        <f t="shared" si="4"/>
        <v>11352662</v>
      </c>
      <c r="AH47" s="133">
        <v>0</v>
      </c>
      <c r="AI47" s="133">
        <v>470768</v>
      </c>
      <c r="AJ47" s="125">
        <f t="shared" si="5"/>
        <v>1189500</v>
      </c>
      <c r="AK47" s="134">
        <f>+'[1]13-14 deferrals, growth, EPA 1'!I47</f>
        <v>1759892</v>
      </c>
      <c r="AL47" s="135">
        <f t="shared" si="6"/>
        <v>9692394</v>
      </c>
      <c r="AM47" s="135">
        <f>+'[1]13-14 deferrals, growth, EPA 1'!AA47</f>
        <v>18903</v>
      </c>
      <c r="AN47" s="135">
        <f>+'[1]13-14 deferrals, growth, EPA 1'!AB47</f>
        <v>97613</v>
      </c>
      <c r="AO47" s="135">
        <f>+'[1]13-14 deferrals, growth, EPA 1'!AC47</f>
        <v>141257</v>
      </c>
      <c r="AP47" s="135">
        <f t="shared" si="19"/>
        <v>7674729</v>
      </c>
      <c r="AQ47" s="135">
        <f t="shared" si="7"/>
        <v>74416</v>
      </c>
      <c r="AR47" s="125">
        <f t="shared" si="8"/>
        <v>7932502</v>
      </c>
      <c r="AS47" s="136">
        <f t="shared" si="24"/>
        <v>0</v>
      </c>
      <c r="AT47" s="137">
        <f t="shared" si="10"/>
        <v>0.99348774901160208</v>
      </c>
      <c r="AU47" s="138">
        <f t="shared" si="11"/>
        <v>10502748</v>
      </c>
      <c r="AV47" s="139">
        <f>'[1]13-14 deferrals, growth, EPA 1'!BX47</f>
        <v>0</v>
      </c>
      <c r="AW47" s="10">
        <f t="shared" si="20"/>
        <v>0</v>
      </c>
      <c r="AX47" s="140">
        <v>0</v>
      </c>
      <c r="AY47" s="141">
        <v>0</v>
      </c>
      <c r="AZ47" s="142"/>
      <c r="BA47" s="133">
        <v>185551</v>
      </c>
      <c r="BB47" s="143">
        <v>1762122</v>
      </c>
      <c r="BC47" s="133">
        <v>1218701</v>
      </c>
      <c r="BD47" s="142">
        <f t="shared" si="25"/>
        <v>29201</v>
      </c>
      <c r="BE47" s="142"/>
      <c r="BF47" s="142"/>
      <c r="BG47" s="142"/>
      <c r="BH47" s="142"/>
      <c r="BI47" s="142"/>
      <c r="BJ47" s="142"/>
      <c r="BK47" s="139">
        <v>0</v>
      </c>
      <c r="BL47" s="10">
        <f t="shared" si="21"/>
        <v>0</v>
      </c>
      <c r="BM47" s="16"/>
      <c r="BN47" s="16"/>
      <c r="BO47" s="16"/>
      <c r="BP47" s="16"/>
      <c r="BQ47" s="16"/>
      <c r="BR47" s="16"/>
      <c r="BS47" s="16"/>
      <c r="BT47" s="16"/>
      <c r="BU47" s="16"/>
      <c r="BV47" s="16"/>
      <c r="BW47" s="16"/>
      <c r="BX47" s="16"/>
      <c r="BY47" s="16"/>
      <c r="BZ47" s="16"/>
      <c r="CA47" s="116"/>
      <c r="CB47" s="16"/>
      <c r="CC47" s="16"/>
      <c r="CD47" s="16"/>
      <c r="CE47" s="16"/>
      <c r="CF47" s="16"/>
      <c r="CG47" s="16"/>
      <c r="CH47" s="16"/>
      <c r="CI47" s="16"/>
      <c r="CJ47" s="16"/>
      <c r="CK47" s="16"/>
      <c r="CL47" s="16"/>
      <c r="CM47" s="16"/>
    </row>
    <row r="48" spans="1:91" s="144" customFormat="1">
      <c r="A48" s="16" t="s">
        <v>149</v>
      </c>
      <c r="B48" s="118">
        <v>89920152</v>
      </c>
      <c r="C48" s="149">
        <v>0</v>
      </c>
      <c r="D48" s="120">
        <f t="shared" si="13"/>
        <v>89920152</v>
      </c>
      <c r="E48" s="10"/>
      <c r="F48" s="121">
        <f>+'[1]Foundation Grant (OLD)'!N48</f>
        <v>6643091</v>
      </c>
      <c r="G48" s="122">
        <f t="shared" si="14"/>
        <v>1</v>
      </c>
      <c r="H48" s="123">
        <f>ROUND($AE$4*[1]FTES!O48,0)</f>
        <v>906385</v>
      </c>
      <c r="I48" s="123">
        <f>ROUND($AI$4*[1]FTES!Z48,0)</f>
        <v>1726377</v>
      </c>
      <c r="J48" s="124">
        <f>ROUND($AR$4*[1]FTES!D48,0)</f>
        <v>80644300</v>
      </c>
      <c r="K48" s="125">
        <f t="shared" si="15"/>
        <v>89920153</v>
      </c>
      <c r="L48" s="125">
        <v>0</v>
      </c>
      <c r="M48" s="125">
        <f t="shared" si="0"/>
        <v>89920153</v>
      </c>
      <c r="N48" s="126">
        <f>(M48-H48-I48-F48)/[1]FTES!D48</f>
        <v>4564.8250979539753</v>
      </c>
      <c r="O48" s="125">
        <f>ROUND((M48+'[1]Restoration and Growth'!BM48)*$C$4,0)</f>
        <v>1411746</v>
      </c>
      <c r="P48" s="125">
        <f>ROUND(M48+O48+'[1]Restoration and Growth'!BM48,0)</f>
        <v>91331899</v>
      </c>
      <c r="Q48" s="127">
        <f t="shared" si="16"/>
        <v>4636.4928520000003</v>
      </c>
      <c r="R48" s="125">
        <f t="shared" si="1"/>
        <v>-1411746</v>
      </c>
      <c r="S48" s="128">
        <f>+'[1]13-14 $86M Workload Restore'!AJ46</f>
        <v>1261591</v>
      </c>
      <c r="T48" s="129">
        <f>+'[1]13-14 $86M Workload Restore'!AA46</f>
        <v>0</v>
      </c>
      <c r="U48" s="129">
        <f>'[1]Growth Deficit'!X48</f>
        <v>275.08</v>
      </c>
      <c r="V48" s="125">
        <f>-1* '[1]Growth Deficit'!AR48</f>
        <v>-275.08</v>
      </c>
      <c r="W48" s="125">
        <f t="shared" si="17"/>
        <v>0</v>
      </c>
      <c r="X48" s="129">
        <f>'[1]Restoration and Growth'!AQ48</f>
        <v>0</v>
      </c>
      <c r="Y48" s="125"/>
      <c r="Z48" s="130">
        <f>[1]FTES!AT48</f>
        <v>0</v>
      </c>
      <c r="AA48" s="131">
        <v>0</v>
      </c>
      <c r="AB48" s="125"/>
      <c r="AC48" s="132">
        <f>+'[1]Foundation Grant'!N48-'[1]Foundation Grant (OLD)'!N48</f>
        <v>0</v>
      </c>
      <c r="AD48" s="125">
        <f t="shared" si="2"/>
        <v>0</v>
      </c>
      <c r="AE48" s="125">
        <f t="shared" si="18"/>
        <v>92593490</v>
      </c>
      <c r="AF48" s="131">
        <f t="shared" si="23"/>
        <v>602992</v>
      </c>
      <c r="AG48" s="125">
        <f t="shared" si="4"/>
        <v>91990498</v>
      </c>
      <c r="AH48" s="133">
        <v>0</v>
      </c>
      <c r="AI48" s="133">
        <v>9225363</v>
      </c>
      <c r="AJ48" s="125">
        <f t="shared" si="5"/>
        <v>53592622</v>
      </c>
      <c r="AK48" s="134">
        <f>+'[1]13-14 deferrals, growth, EPA 1'!I48</f>
        <v>13391269</v>
      </c>
      <c r="AL48" s="135">
        <f t="shared" si="6"/>
        <v>29172513</v>
      </c>
      <c r="AM48" s="135">
        <f>+'[1]13-14 deferrals, growth, EPA 1'!AA48</f>
        <v>155788</v>
      </c>
      <c r="AN48" s="135">
        <f>+'[1]13-14 deferrals, growth, EPA 1'!AB48</f>
        <v>804477</v>
      </c>
      <c r="AO48" s="135">
        <f>+'[1]13-14 deferrals, growth, EPA 1'!AC48</f>
        <v>1164171</v>
      </c>
      <c r="AP48" s="135">
        <f t="shared" si="19"/>
        <v>13656808</v>
      </c>
      <c r="AQ48" s="135">
        <f t="shared" si="7"/>
        <v>602992</v>
      </c>
      <c r="AR48" s="125">
        <f t="shared" si="8"/>
        <v>15781244</v>
      </c>
      <c r="AS48" s="136">
        <f t="shared" si="24"/>
        <v>0</v>
      </c>
      <c r="AT48" s="137">
        <f t="shared" si="10"/>
        <v>0.99348774951673169</v>
      </c>
      <c r="AU48" s="138">
        <f t="shared" si="11"/>
        <v>92593490</v>
      </c>
      <c r="AV48" s="139">
        <f>'[1]13-14 deferrals, growth, EPA 1'!BX48</f>
        <v>0</v>
      </c>
      <c r="AW48" s="10">
        <f t="shared" si="20"/>
        <v>0</v>
      </c>
      <c r="AX48" s="140">
        <v>0</v>
      </c>
      <c r="AY48" s="141">
        <v>0</v>
      </c>
      <c r="AZ48" s="142"/>
      <c r="BA48" s="133">
        <v>9436831</v>
      </c>
      <c r="BB48" s="143">
        <v>54980944</v>
      </c>
      <c r="BC48" s="133">
        <v>54908287</v>
      </c>
      <c r="BD48" s="142">
        <f t="shared" si="25"/>
        <v>1315665</v>
      </c>
      <c r="BE48" s="142"/>
      <c r="BF48" s="142"/>
      <c r="BG48" s="142"/>
      <c r="BH48" s="142"/>
      <c r="BI48" s="142"/>
      <c r="BJ48" s="142"/>
      <c r="BK48" s="139">
        <v>0</v>
      </c>
      <c r="BL48" s="10">
        <f t="shared" si="21"/>
        <v>0</v>
      </c>
      <c r="BM48" s="16"/>
      <c r="BN48" s="16"/>
      <c r="BO48" s="16"/>
      <c r="BP48" s="16"/>
      <c r="BQ48" s="16"/>
      <c r="BR48" s="16"/>
      <c r="BS48" s="16"/>
      <c r="BT48" s="16"/>
      <c r="BU48" s="16"/>
      <c r="BV48" s="16"/>
      <c r="BW48" s="16"/>
      <c r="BX48" s="16"/>
      <c r="BY48" s="16"/>
      <c r="BZ48" s="16"/>
      <c r="CA48" s="116"/>
      <c r="CB48" s="16"/>
      <c r="CC48" s="16"/>
      <c r="CD48" s="16"/>
      <c r="CE48" s="16"/>
      <c r="CF48" s="16"/>
      <c r="CG48" s="16"/>
      <c r="CH48" s="16"/>
      <c r="CI48" s="16"/>
      <c r="CJ48" s="16"/>
      <c r="CK48" s="16"/>
      <c r="CL48" s="16"/>
      <c r="CM48" s="16"/>
    </row>
    <row r="49" spans="1:91" s="144" customFormat="1">
      <c r="A49" s="16" t="s">
        <v>150</v>
      </c>
      <c r="B49" s="118">
        <v>100531059</v>
      </c>
      <c r="C49" s="149">
        <v>0</v>
      </c>
      <c r="D49" s="120">
        <f t="shared" si="13"/>
        <v>100531059</v>
      </c>
      <c r="E49" s="10"/>
      <c r="F49" s="121">
        <f>+'[1]Foundation Grant (OLD)'!N49</f>
        <v>6643091</v>
      </c>
      <c r="G49" s="122">
        <f t="shared" si="14"/>
        <v>0</v>
      </c>
      <c r="H49" s="123">
        <f>ROUND($AE$4*[1]FTES!O49,0)</f>
        <v>2684514</v>
      </c>
      <c r="I49" s="123">
        <f>ROUND($AI$4*[1]FTES!Z49,0)</f>
        <v>1227216</v>
      </c>
      <c r="J49" s="124">
        <f>ROUND($AR$4*[1]FTES!D49,0)</f>
        <v>89976238</v>
      </c>
      <c r="K49" s="125">
        <f t="shared" si="15"/>
        <v>100531059</v>
      </c>
      <c r="L49" s="125">
        <v>0</v>
      </c>
      <c r="M49" s="125">
        <f t="shared" si="0"/>
        <v>100531059</v>
      </c>
      <c r="N49" s="126">
        <f>(M49-H49-I49-F49)/[1]FTES!D49</f>
        <v>4564.8250967571375</v>
      </c>
      <c r="O49" s="125">
        <f>ROUND((M49+'[1]Restoration and Growth'!BM49)*$C$4,0)</f>
        <v>1578338</v>
      </c>
      <c r="P49" s="125">
        <f>ROUND(M49+O49+'[1]Restoration and Growth'!BM49,0)</f>
        <v>102109397</v>
      </c>
      <c r="Q49" s="127">
        <f t="shared" si="16"/>
        <v>4636.492851</v>
      </c>
      <c r="R49" s="125">
        <f t="shared" si="1"/>
        <v>-1578338</v>
      </c>
      <c r="S49" s="128">
        <f>+'[1]13-14 $86M Workload Restore'!AJ47</f>
        <v>930839</v>
      </c>
      <c r="T49" s="129">
        <f>+'[1]13-14 $86M Workload Restore'!AA47</f>
        <v>0</v>
      </c>
      <c r="U49" s="129">
        <f>'[1]Growth Deficit'!X49</f>
        <v>-145.59447499999999</v>
      </c>
      <c r="V49" s="125">
        <f>-1* '[1]Growth Deficit'!AR49</f>
        <v>145.59447499999999</v>
      </c>
      <c r="W49" s="125">
        <f t="shared" si="17"/>
        <v>0</v>
      </c>
      <c r="X49" s="129">
        <f>'[1]Restoration and Growth'!AQ49</f>
        <v>0</v>
      </c>
      <c r="Y49" s="125"/>
      <c r="Z49" s="130">
        <f>[1]FTES!AT49</f>
        <v>0</v>
      </c>
      <c r="AA49" s="131">
        <v>0</v>
      </c>
      <c r="AB49" s="125"/>
      <c r="AC49" s="132">
        <f>+'[1]Foundation Grant'!N49-'[1]Foundation Grant (OLD)'!N49</f>
        <v>0</v>
      </c>
      <c r="AD49" s="125">
        <f t="shared" si="2"/>
        <v>0</v>
      </c>
      <c r="AE49" s="125">
        <f t="shared" si="18"/>
        <v>103040236</v>
      </c>
      <c r="AF49" s="131">
        <f t="shared" si="23"/>
        <v>671024</v>
      </c>
      <c r="AG49" s="125">
        <f t="shared" si="4"/>
        <v>102369212</v>
      </c>
      <c r="AH49" s="133">
        <v>0</v>
      </c>
      <c r="AI49" s="133">
        <v>8231445</v>
      </c>
      <c r="AJ49" s="125">
        <f t="shared" si="5"/>
        <v>20837952</v>
      </c>
      <c r="AK49" s="134">
        <f>+'[1]13-14 deferrals, growth, EPA 1'!I49</f>
        <v>15228962</v>
      </c>
      <c r="AL49" s="135">
        <f t="shared" si="6"/>
        <v>73299815</v>
      </c>
      <c r="AM49" s="135">
        <f>+'[1]13-14 deferrals, growth, EPA 1'!AA49</f>
        <v>173671</v>
      </c>
      <c r="AN49" s="135">
        <f>+'[1]13-14 deferrals, growth, EPA 1'!AB49</f>
        <v>896823</v>
      </c>
      <c r="AO49" s="135">
        <f>+'[1]13-14 deferrals, growth, EPA 1'!AC49</f>
        <v>1297806</v>
      </c>
      <c r="AP49" s="135">
        <f t="shared" si="19"/>
        <v>55702553</v>
      </c>
      <c r="AQ49" s="135">
        <f t="shared" si="7"/>
        <v>671024</v>
      </c>
      <c r="AR49" s="125">
        <f t="shared" si="8"/>
        <v>58070853</v>
      </c>
      <c r="AS49" s="136">
        <f t="shared" si="24"/>
        <v>0</v>
      </c>
      <c r="AT49" s="137">
        <f t="shared" si="10"/>
        <v>0.99348774783473903</v>
      </c>
      <c r="AU49" s="138">
        <f t="shared" si="11"/>
        <v>103040236</v>
      </c>
      <c r="AV49" s="139">
        <f>'[1]13-14 deferrals, growth, EPA 1'!BX49</f>
        <v>0</v>
      </c>
      <c r="AW49" s="10">
        <f t="shared" si="20"/>
        <v>0</v>
      </c>
      <c r="AX49" s="140">
        <v>0</v>
      </c>
      <c r="AY49" s="141">
        <v>0</v>
      </c>
      <c r="AZ49" s="142"/>
      <c r="BA49" s="133">
        <v>8029708</v>
      </c>
      <c r="BB49" s="143">
        <v>20578133</v>
      </c>
      <c r="BC49" s="133">
        <v>21349510</v>
      </c>
      <c r="BD49" s="142">
        <f t="shared" si="25"/>
        <v>511558</v>
      </c>
      <c r="BE49" s="142"/>
      <c r="BF49" s="142"/>
      <c r="BG49" s="142"/>
      <c r="BH49" s="142"/>
      <c r="BI49" s="142"/>
      <c r="BJ49" s="142"/>
      <c r="BK49" s="139">
        <v>0</v>
      </c>
      <c r="BL49" s="10">
        <f t="shared" si="21"/>
        <v>0</v>
      </c>
      <c r="BM49" s="16"/>
      <c r="BN49" s="16"/>
      <c r="BO49" s="16"/>
      <c r="BP49" s="16"/>
      <c r="BQ49" s="16"/>
      <c r="BR49" s="16"/>
      <c r="BS49" s="16"/>
      <c r="BT49" s="16"/>
      <c r="BU49" s="16"/>
      <c r="BV49" s="16"/>
      <c r="BW49" s="16"/>
      <c r="BX49" s="16"/>
      <c r="BY49" s="16"/>
      <c r="BZ49" s="16"/>
      <c r="CA49" s="116"/>
      <c r="CB49" s="16"/>
      <c r="CC49" s="16"/>
      <c r="CD49" s="16"/>
      <c r="CE49" s="16"/>
      <c r="CF49" s="16"/>
      <c r="CG49" s="16"/>
      <c r="CH49" s="16"/>
      <c r="CI49" s="16"/>
      <c r="CJ49" s="16"/>
      <c r="CK49" s="16"/>
      <c r="CL49" s="16"/>
      <c r="CM49" s="16"/>
    </row>
    <row r="50" spans="1:91" s="144" customFormat="1">
      <c r="A50" s="16" t="s">
        <v>151</v>
      </c>
      <c r="B50" s="118">
        <v>96156422</v>
      </c>
      <c r="C50" s="149">
        <v>0</v>
      </c>
      <c r="D50" s="120">
        <f t="shared" si="13"/>
        <v>96156422</v>
      </c>
      <c r="E50" s="10"/>
      <c r="F50" s="121">
        <f>+'[1]Foundation Grant (OLD)'!N50</f>
        <v>13286180</v>
      </c>
      <c r="G50" s="122">
        <f t="shared" si="14"/>
        <v>1</v>
      </c>
      <c r="H50" s="123">
        <f>ROUND($AE$4*[1]FTES!O50,0)</f>
        <v>251109</v>
      </c>
      <c r="I50" s="123">
        <f>ROUND($AI$4*[1]FTES!Z50,0)</f>
        <v>0</v>
      </c>
      <c r="J50" s="124">
        <f>ROUND($AR$4*[1]FTES!D50,0)</f>
        <v>82619134</v>
      </c>
      <c r="K50" s="125">
        <f t="shared" si="15"/>
        <v>96156423</v>
      </c>
      <c r="L50" s="125">
        <v>0</v>
      </c>
      <c r="M50" s="125">
        <f t="shared" si="0"/>
        <v>96156423</v>
      </c>
      <c r="N50" s="126">
        <f>(M50-H50-I50-F50)/[1]FTES!D50</f>
        <v>4564.8250833606371</v>
      </c>
      <c r="O50" s="125">
        <f>ROUND((M50+'[1]Restoration and Growth'!BM50)*$C$4,0)</f>
        <v>1509656</v>
      </c>
      <c r="P50" s="125">
        <f>ROUND(M50+O50+'[1]Restoration and Growth'!BM50,0)</f>
        <v>97666079</v>
      </c>
      <c r="Q50" s="127">
        <f t="shared" si="16"/>
        <v>4636.4928369999998</v>
      </c>
      <c r="R50" s="125">
        <f t="shared" si="1"/>
        <v>-1509656</v>
      </c>
      <c r="S50" s="128">
        <f>+'[1]13-14 $86M Workload Restore'!AJ48</f>
        <v>2186788</v>
      </c>
      <c r="T50" s="129">
        <f>+'[1]13-14 $86M Workload Restore'!AA48</f>
        <v>0</v>
      </c>
      <c r="U50" s="129">
        <f>'[1]Growth Deficit'!X50</f>
        <v>451.49008099999998</v>
      </c>
      <c r="V50" s="125">
        <f>-1* '[1]Growth Deficit'!AR50</f>
        <v>-451.49008099999998</v>
      </c>
      <c r="W50" s="125">
        <f t="shared" si="17"/>
        <v>0</v>
      </c>
      <c r="X50" s="129">
        <f>'[1]Restoration and Growth'!AQ50</f>
        <v>0</v>
      </c>
      <c r="Y50" s="125"/>
      <c r="Z50" s="130">
        <f>[1]FTES!AT50</f>
        <v>0</v>
      </c>
      <c r="AA50" s="131">
        <v>0</v>
      </c>
      <c r="AB50" s="125"/>
      <c r="AC50" s="132">
        <f>+'[1]Foundation Grant'!N50-'[1]Foundation Grant (OLD)'!N50</f>
        <v>0</v>
      </c>
      <c r="AD50" s="125">
        <f t="shared" si="2"/>
        <v>0</v>
      </c>
      <c r="AE50" s="125">
        <f t="shared" si="18"/>
        <v>99852867</v>
      </c>
      <c r="AF50" s="131">
        <f t="shared" si="23"/>
        <v>650267</v>
      </c>
      <c r="AG50" s="125">
        <f t="shared" si="4"/>
        <v>99202600</v>
      </c>
      <c r="AH50" s="133">
        <v>0</v>
      </c>
      <c r="AI50" s="133">
        <v>6153884</v>
      </c>
      <c r="AJ50" s="125">
        <f t="shared" si="5"/>
        <v>25416531</v>
      </c>
      <c r="AK50" s="134">
        <f>+'[1]13-14 deferrals, growth, EPA 1'!I50</f>
        <v>15050695</v>
      </c>
      <c r="AL50" s="135">
        <f t="shared" si="6"/>
        <v>67632185</v>
      </c>
      <c r="AM50" s="135">
        <f>+'[1]13-14 deferrals, growth, EPA 1'!AA50</f>
        <v>163573</v>
      </c>
      <c r="AN50" s="135">
        <f>+'[1]13-14 deferrals, growth, EPA 1'!AB50</f>
        <v>844679</v>
      </c>
      <c r="AO50" s="135">
        <f>+'[1]13-14 deferrals, growth, EPA 1'!AC50</f>
        <v>1222346</v>
      </c>
      <c r="AP50" s="135">
        <f t="shared" si="19"/>
        <v>50350892</v>
      </c>
      <c r="AQ50" s="135">
        <f t="shared" si="7"/>
        <v>650267</v>
      </c>
      <c r="AR50" s="125">
        <f t="shared" si="8"/>
        <v>52581490</v>
      </c>
      <c r="AS50" s="136">
        <f t="shared" si="24"/>
        <v>0</v>
      </c>
      <c r="AT50" s="137">
        <f t="shared" si="10"/>
        <v>0.99348774832874853</v>
      </c>
      <c r="AU50" s="138">
        <f t="shared" si="11"/>
        <v>99852867</v>
      </c>
      <c r="AV50" s="139">
        <f>'[1]13-14 deferrals, growth, EPA 1'!BX50</f>
        <v>0</v>
      </c>
      <c r="AW50" s="10">
        <f t="shared" si="20"/>
        <v>0</v>
      </c>
      <c r="AX50" s="140">
        <v>0</v>
      </c>
      <c r="AY50" s="141">
        <v>0</v>
      </c>
      <c r="AZ50" s="142"/>
      <c r="BA50" s="133">
        <v>6741909</v>
      </c>
      <c r="BB50" s="143">
        <v>25599970</v>
      </c>
      <c r="BC50" s="133">
        <v>26040491</v>
      </c>
      <c r="BD50" s="142">
        <f t="shared" si="25"/>
        <v>623960</v>
      </c>
      <c r="BE50" s="142"/>
      <c r="BF50" s="142"/>
      <c r="BG50" s="142"/>
      <c r="BH50" s="142"/>
      <c r="BI50" s="142"/>
      <c r="BJ50" s="142"/>
      <c r="BK50" s="139">
        <v>0</v>
      </c>
      <c r="BL50" s="10">
        <f t="shared" si="21"/>
        <v>0</v>
      </c>
      <c r="BM50" s="16"/>
      <c r="BN50" s="16"/>
      <c r="BO50" s="16"/>
      <c r="BP50" s="16"/>
      <c r="BQ50" s="16"/>
      <c r="BR50" s="16"/>
      <c r="BS50" s="16"/>
      <c r="BT50" s="16"/>
      <c r="BU50" s="16"/>
      <c r="BV50" s="16"/>
      <c r="BW50" s="16"/>
      <c r="BX50" s="16"/>
      <c r="BY50" s="16"/>
      <c r="BZ50" s="16"/>
      <c r="CA50" s="116"/>
      <c r="CB50" s="16"/>
      <c r="CC50" s="16"/>
      <c r="CD50" s="16"/>
      <c r="CE50" s="16"/>
      <c r="CF50" s="16"/>
      <c r="CG50" s="16"/>
      <c r="CH50" s="16"/>
      <c r="CI50" s="16"/>
      <c r="CJ50" s="16"/>
      <c r="CK50" s="16"/>
      <c r="CL50" s="16"/>
      <c r="CM50" s="16"/>
    </row>
    <row r="51" spans="1:91" s="144" customFormat="1">
      <c r="A51" s="16" t="s">
        <v>152</v>
      </c>
      <c r="B51" s="118">
        <v>129801702</v>
      </c>
      <c r="C51" s="149">
        <v>0</v>
      </c>
      <c r="D51" s="120">
        <f t="shared" si="13"/>
        <v>129801702</v>
      </c>
      <c r="E51" s="10"/>
      <c r="F51" s="121">
        <f>+'[1]Foundation Grant (OLD)'!N51</f>
        <v>9964636</v>
      </c>
      <c r="G51" s="122">
        <f t="shared" si="14"/>
        <v>1</v>
      </c>
      <c r="H51" s="123">
        <f>ROUND($AE$4*[1]FTES!O51,0)</f>
        <v>1272947</v>
      </c>
      <c r="I51" s="123">
        <f>ROUND($AI$4*[1]FTES!Z51,0)</f>
        <v>19349290</v>
      </c>
      <c r="J51" s="124">
        <f>ROUND($AR$4*[1]FTES!D51,0)</f>
        <v>99214830</v>
      </c>
      <c r="K51" s="125">
        <f t="shared" si="15"/>
        <v>129801703</v>
      </c>
      <c r="L51" s="125">
        <v>0</v>
      </c>
      <c r="M51" s="125">
        <f t="shared" si="0"/>
        <v>129801703</v>
      </c>
      <c r="N51" s="126">
        <f>(M51-H51-I51-F51)/[1]FTES!D51</f>
        <v>4564.8250818696324</v>
      </c>
      <c r="O51" s="125">
        <f>ROUND((M51+'[1]Restoration and Growth'!BM51)*$C$4,0)</f>
        <v>2037887</v>
      </c>
      <c r="P51" s="125">
        <f>ROUND(M51+O51+'[1]Restoration and Growth'!BM51,0)</f>
        <v>131839590</v>
      </c>
      <c r="Q51" s="127">
        <f t="shared" si="16"/>
        <v>4636.4928360000004</v>
      </c>
      <c r="R51" s="125">
        <f t="shared" si="1"/>
        <v>-2037887</v>
      </c>
      <c r="S51" s="128">
        <f>+'[1]13-14 $86M Workload Restore'!AJ49</f>
        <v>2438824</v>
      </c>
      <c r="T51" s="129">
        <f>+'[1]13-14 $86M Workload Restore'!AA49</f>
        <v>0</v>
      </c>
      <c r="U51" s="129">
        <f>'[1]Growth Deficit'!X51</f>
        <v>480.70995999999997</v>
      </c>
      <c r="V51" s="125">
        <f>-1* '[1]Growth Deficit'!AR51</f>
        <v>-480.70995999999997</v>
      </c>
      <c r="W51" s="125">
        <f t="shared" si="17"/>
        <v>0</v>
      </c>
      <c r="X51" s="129">
        <f>'[1]Restoration and Growth'!AQ51</f>
        <v>0</v>
      </c>
      <c r="Y51" s="125"/>
      <c r="Z51" s="130">
        <f>[1]FTES!AT51</f>
        <v>0</v>
      </c>
      <c r="AA51" s="131">
        <v>0</v>
      </c>
      <c r="AB51" s="125"/>
      <c r="AC51" s="132">
        <f>+'[1]Foundation Grant'!N51-'[1]Foundation Grant (OLD)'!N51</f>
        <v>0</v>
      </c>
      <c r="AD51" s="125">
        <f t="shared" si="2"/>
        <v>0</v>
      </c>
      <c r="AE51" s="125">
        <f t="shared" si="18"/>
        <v>134278414</v>
      </c>
      <c r="AF51" s="131">
        <f t="shared" si="23"/>
        <v>874455</v>
      </c>
      <c r="AG51" s="125">
        <f t="shared" si="4"/>
        <v>133403959</v>
      </c>
      <c r="AH51" s="133">
        <v>0</v>
      </c>
      <c r="AI51" s="133">
        <v>8033382</v>
      </c>
      <c r="AJ51" s="125">
        <f t="shared" si="5"/>
        <v>45551513</v>
      </c>
      <c r="AK51" s="134">
        <f>+'[1]13-14 deferrals, growth, EPA 1'!I51</f>
        <v>20278507</v>
      </c>
      <c r="AL51" s="135">
        <f t="shared" si="6"/>
        <v>79819064</v>
      </c>
      <c r="AM51" s="135">
        <f>+'[1]13-14 deferrals, growth, EPA 1'!AA51</f>
        <v>226542</v>
      </c>
      <c r="AN51" s="135">
        <f>+'[1]13-14 deferrals, growth, EPA 1'!AB51</f>
        <v>1169846</v>
      </c>
      <c r="AO51" s="135">
        <f>+'[1]13-14 deferrals, growth, EPA 1'!AC51</f>
        <v>1692901</v>
      </c>
      <c r="AP51" s="135">
        <f t="shared" si="19"/>
        <v>56451268</v>
      </c>
      <c r="AQ51" s="135">
        <f t="shared" si="7"/>
        <v>874455</v>
      </c>
      <c r="AR51" s="125">
        <f t="shared" si="8"/>
        <v>59540557</v>
      </c>
      <c r="AS51" s="136">
        <f t="shared" si="24"/>
        <v>0</v>
      </c>
      <c r="AT51" s="137">
        <f t="shared" si="10"/>
        <v>0.99348774703281795</v>
      </c>
      <c r="AU51" s="138">
        <f t="shared" si="11"/>
        <v>134278414</v>
      </c>
      <c r="AV51" s="139">
        <f>'[1]13-14 deferrals, growth, EPA 1'!BX51</f>
        <v>11</v>
      </c>
      <c r="AW51" s="10">
        <f t="shared" si="20"/>
        <v>-764852</v>
      </c>
      <c r="AX51" s="140">
        <v>0</v>
      </c>
      <c r="AY51" s="141">
        <v>0</v>
      </c>
      <c r="AZ51" s="142"/>
      <c r="BA51" s="133">
        <v>8402186</v>
      </c>
      <c r="BB51" s="143">
        <v>47493673</v>
      </c>
      <c r="BC51" s="133">
        <v>46669774</v>
      </c>
      <c r="BD51" s="142">
        <f t="shared" si="25"/>
        <v>1118261</v>
      </c>
      <c r="BE51" s="142"/>
      <c r="BF51" s="142"/>
      <c r="BG51" s="142"/>
      <c r="BH51" s="142"/>
      <c r="BI51" s="142"/>
      <c r="BJ51" s="142"/>
      <c r="BK51" s="139">
        <v>0</v>
      </c>
      <c r="BL51" s="10">
        <f t="shared" si="21"/>
        <v>0</v>
      </c>
      <c r="BM51" s="16"/>
      <c r="BN51" s="16"/>
      <c r="BO51" s="16"/>
      <c r="BP51" s="16"/>
      <c r="BQ51" s="16"/>
      <c r="BR51" s="16"/>
      <c r="BS51" s="16"/>
      <c r="BT51" s="16"/>
      <c r="BU51" s="16"/>
      <c r="BV51" s="16"/>
      <c r="BW51" s="16"/>
      <c r="BX51" s="16"/>
      <c r="BY51" s="16"/>
      <c r="BZ51" s="16"/>
      <c r="CA51" s="116"/>
      <c r="CB51" s="16"/>
      <c r="CC51" s="16"/>
      <c r="CD51" s="16"/>
      <c r="CE51" s="16"/>
      <c r="CF51" s="16"/>
      <c r="CG51" s="16"/>
      <c r="CH51" s="16"/>
      <c r="CI51" s="16"/>
      <c r="CJ51" s="16"/>
      <c r="CK51" s="16"/>
      <c r="CL51" s="16"/>
      <c r="CM51" s="16"/>
    </row>
    <row r="52" spans="1:91" s="144" customFormat="1">
      <c r="A52" s="16" t="s">
        <v>153</v>
      </c>
      <c r="B52" s="118">
        <v>25403548</v>
      </c>
      <c r="C52" s="149">
        <v>-692660</v>
      </c>
      <c r="D52" s="120">
        <f t="shared" si="13"/>
        <v>24710888</v>
      </c>
      <c r="E52" s="10"/>
      <c r="F52" s="121">
        <f>+'[1]Foundation Grant (OLD)'!N52</f>
        <v>4705522</v>
      </c>
      <c r="G52" s="122">
        <f t="shared" si="14"/>
        <v>1</v>
      </c>
      <c r="H52" s="123">
        <f>ROUND($AE$4*[1]FTES!O52,0)</f>
        <v>1071</v>
      </c>
      <c r="I52" s="123">
        <f>ROUND($AI$4*[1]FTES!Z52,0)</f>
        <v>0</v>
      </c>
      <c r="J52" s="124">
        <f>ROUND($AR$4*[1]FTES!D52,0)</f>
        <v>20004296</v>
      </c>
      <c r="K52" s="125">
        <f t="shared" si="15"/>
        <v>24710889</v>
      </c>
      <c r="L52" s="125">
        <v>0</v>
      </c>
      <c r="M52" s="125">
        <f t="shared" si="0"/>
        <v>24710889</v>
      </c>
      <c r="N52" s="126">
        <f>(M52-H52-I52-F52)/[1]FTES!D52</f>
        <v>4564.8250792397548</v>
      </c>
      <c r="O52" s="125">
        <f>ROUND((M52+'[1]Restoration and Growth'!BM52)*$C$4,0)</f>
        <v>343943</v>
      </c>
      <c r="P52" s="125">
        <f>ROUND(M52+O52+'[1]Restoration and Growth'!BM52,0)</f>
        <v>22251134</v>
      </c>
      <c r="Q52" s="127">
        <f t="shared" si="16"/>
        <v>4636.4928330000002</v>
      </c>
      <c r="R52" s="125">
        <f t="shared" si="1"/>
        <v>2459755</v>
      </c>
      <c r="S52" s="128">
        <f>+'[1]13-14 $86M Workload Restore'!AJ50</f>
        <v>0</v>
      </c>
      <c r="T52" s="129">
        <f>+'[1]13-14 $86M Workload Restore'!AA50</f>
        <v>0</v>
      </c>
      <c r="U52" s="129">
        <f>'[1]Growth Deficit'!X52</f>
        <v>0</v>
      </c>
      <c r="V52" s="125">
        <f>-1* '[1]Growth Deficit'!AR52</f>
        <v>0</v>
      </c>
      <c r="W52" s="125">
        <f t="shared" si="17"/>
        <v>0</v>
      </c>
      <c r="X52" s="129">
        <f>'[1]Restoration and Growth'!AQ52</f>
        <v>2847716</v>
      </c>
      <c r="Y52" s="125"/>
      <c r="Z52" s="130">
        <f>[1]FTES!AT52</f>
        <v>0</v>
      </c>
      <c r="AA52" s="131">
        <v>0</v>
      </c>
      <c r="AB52" s="125"/>
      <c r="AC52" s="132">
        <f>+'[1]Foundation Grant'!N52-'[1]Foundation Grant (OLD)'!N52</f>
        <v>0</v>
      </c>
      <c r="AD52" s="125">
        <f t="shared" si="2"/>
        <v>0</v>
      </c>
      <c r="AE52" s="125">
        <f t="shared" si="18"/>
        <v>25098850</v>
      </c>
      <c r="AF52" s="131">
        <f t="shared" si="23"/>
        <v>163450</v>
      </c>
      <c r="AG52" s="125">
        <f t="shared" si="4"/>
        <v>24935400</v>
      </c>
      <c r="AH52" s="133">
        <v>0</v>
      </c>
      <c r="AI52" s="133">
        <v>1212947</v>
      </c>
      <c r="AJ52" s="125">
        <f t="shared" si="5"/>
        <v>8636991</v>
      </c>
      <c r="AK52" s="134">
        <f>+'[1]13-14 deferrals, growth, EPA 1'!I52</f>
        <v>3836748</v>
      </c>
      <c r="AL52" s="135">
        <f t="shared" si="6"/>
        <v>15085462</v>
      </c>
      <c r="AM52" s="135">
        <f>+'[1]13-14 deferrals, growth, EPA 1'!AA52</f>
        <v>42036</v>
      </c>
      <c r="AN52" s="135">
        <f>+'[1]13-14 deferrals, growth, EPA 1'!AB52</f>
        <v>217071</v>
      </c>
      <c r="AO52" s="135">
        <f>+'[1]13-14 deferrals, growth, EPA 1'!AC52</f>
        <v>314126</v>
      </c>
      <c r="AP52" s="135">
        <f t="shared" si="19"/>
        <v>10675481</v>
      </c>
      <c r="AQ52" s="135">
        <f t="shared" si="7"/>
        <v>163450</v>
      </c>
      <c r="AR52" s="125">
        <f t="shared" si="8"/>
        <v>11248714</v>
      </c>
      <c r="AS52" s="136">
        <f t="shared" si="24"/>
        <v>0</v>
      </c>
      <c r="AT52" s="137">
        <f t="shared" si="10"/>
        <v>0.99348774943871931</v>
      </c>
      <c r="AU52" s="138">
        <f t="shared" si="11"/>
        <v>22251134</v>
      </c>
      <c r="AV52" s="139">
        <f>'[1]13-14 deferrals, growth, EPA 1'!BX52</f>
        <v>0</v>
      </c>
      <c r="AW52" s="10">
        <f t="shared" si="20"/>
        <v>0</v>
      </c>
      <c r="AX52" s="140">
        <v>0</v>
      </c>
      <c r="AY52" s="141">
        <v>0</v>
      </c>
      <c r="AZ52" s="142"/>
      <c r="BA52" s="133">
        <v>1245720</v>
      </c>
      <c r="BB52" s="143">
        <v>9108656</v>
      </c>
      <c r="BC52" s="133">
        <v>8849024</v>
      </c>
      <c r="BD52" s="142">
        <f t="shared" si="25"/>
        <v>212033</v>
      </c>
      <c r="BE52" s="142"/>
      <c r="BF52" s="142"/>
      <c r="BG52" s="142"/>
      <c r="BH52" s="142"/>
      <c r="BI52" s="142"/>
      <c r="BJ52" s="142"/>
      <c r="BK52" s="139">
        <v>0</v>
      </c>
      <c r="BL52" s="10">
        <f t="shared" si="21"/>
        <v>0</v>
      </c>
      <c r="BM52" s="16"/>
      <c r="BN52" s="16"/>
      <c r="BO52" s="16"/>
      <c r="BP52" s="16"/>
      <c r="BQ52" s="16"/>
      <c r="BR52" s="16"/>
      <c r="BS52" s="16"/>
      <c r="BT52" s="16"/>
      <c r="BU52" s="16"/>
      <c r="BV52" s="16"/>
      <c r="BW52" s="16"/>
      <c r="BX52" s="16"/>
      <c r="BY52" s="16"/>
      <c r="BZ52" s="16"/>
      <c r="CA52" s="116"/>
      <c r="CB52" s="16"/>
      <c r="CC52" s="16"/>
      <c r="CD52" s="16"/>
      <c r="CE52" s="16"/>
      <c r="CF52" s="16"/>
      <c r="CG52" s="16"/>
      <c r="CH52" s="16"/>
      <c r="CI52" s="16"/>
      <c r="CJ52" s="16"/>
      <c r="CK52" s="16"/>
      <c r="CL52" s="16"/>
      <c r="CM52" s="16"/>
    </row>
    <row r="53" spans="1:91" s="144" customFormat="1">
      <c r="A53" s="16" t="s">
        <v>154</v>
      </c>
      <c r="B53" s="118">
        <v>60129839</v>
      </c>
      <c r="C53" s="149">
        <v>0</v>
      </c>
      <c r="D53" s="120">
        <f t="shared" si="13"/>
        <v>60129839</v>
      </c>
      <c r="E53" s="10"/>
      <c r="F53" s="121">
        <f>+'[1]Foundation Grant (OLD)'!N53</f>
        <v>4428727</v>
      </c>
      <c r="G53" s="122">
        <f t="shared" si="14"/>
        <v>0</v>
      </c>
      <c r="H53" s="123">
        <f>ROUND($AE$4*[1]FTES!O53,0)</f>
        <v>1007098</v>
      </c>
      <c r="I53" s="123">
        <f>ROUND($AI$4*[1]FTES!Z53,0)</f>
        <v>252392</v>
      </c>
      <c r="J53" s="124">
        <f>ROUND($AR$4*[1]FTES!D53,0)</f>
        <v>54441622</v>
      </c>
      <c r="K53" s="125">
        <f t="shared" si="15"/>
        <v>60129839</v>
      </c>
      <c r="L53" s="125">
        <v>0</v>
      </c>
      <c r="M53" s="125">
        <f t="shared" si="0"/>
        <v>60129839</v>
      </c>
      <c r="N53" s="126">
        <f>(M53-H53-I53-F53)/[1]FTES!D53</f>
        <v>4564.825108658767</v>
      </c>
      <c r="O53" s="125">
        <f>ROUND((M53+'[1]Restoration and Growth'!BM53)*$C$4,0)</f>
        <v>944038</v>
      </c>
      <c r="P53" s="125">
        <f>ROUND(M53+O53+'[1]Restoration and Growth'!BM53,0)</f>
        <v>61073877</v>
      </c>
      <c r="Q53" s="127">
        <f t="shared" si="16"/>
        <v>4636.4928630000004</v>
      </c>
      <c r="R53" s="125">
        <f t="shared" si="1"/>
        <v>-944038</v>
      </c>
      <c r="S53" s="128">
        <f>+'[1]13-14 $86M Workload Restore'!AJ51</f>
        <v>1325382</v>
      </c>
      <c r="T53" s="129">
        <f>+'[1]13-14 $86M Workload Restore'!AA51</f>
        <v>0</v>
      </c>
      <c r="U53" s="129">
        <f>'[1]Growth Deficit'!X53</f>
        <v>348.97751099999999</v>
      </c>
      <c r="V53" s="125">
        <f>-1* '[1]Growth Deficit'!AR53</f>
        <v>-348.97751099999999</v>
      </c>
      <c r="W53" s="125">
        <f t="shared" si="17"/>
        <v>0</v>
      </c>
      <c r="X53" s="129">
        <f>'[1]Restoration and Growth'!AQ53</f>
        <v>0</v>
      </c>
      <c r="Y53" s="125"/>
      <c r="Z53" s="130">
        <f>[1]FTES!AT53</f>
        <v>0</v>
      </c>
      <c r="AA53" s="131">
        <v>0</v>
      </c>
      <c r="AB53" s="125"/>
      <c r="AC53" s="132">
        <f>+'[1]Foundation Grant'!N53-'[1]Foundation Grant (OLD)'!N53</f>
        <v>0</v>
      </c>
      <c r="AD53" s="125">
        <f t="shared" si="2"/>
        <v>0</v>
      </c>
      <c r="AE53" s="125">
        <f t="shared" si="18"/>
        <v>62399259</v>
      </c>
      <c r="AF53" s="131">
        <f t="shared" si="23"/>
        <v>406360</v>
      </c>
      <c r="AG53" s="125">
        <f t="shared" si="4"/>
        <v>61992899</v>
      </c>
      <c r="AH53" s="133">
        <v>0</v>
      </c>
      <c r="AI53" s="133">
        <v>3137077</v>
      </c>
      <c r="AJ53" s="125">
        <f t="shared" si="5"/>
        <v>5876084</v>
      </c>
      <c r="AK53" s="134">
        <f>+'[1]13-14 deferrals, growth, EPA 1'!I53</f>
        <v>9519175</v>
      </c>
      <c r="AL53" s="135">
        <f t="shared" si="6"/>
        <v>52979738</v>
      </c>
      <c r="AM53" s="135">
        <f>+'[1]13-14 deferrals, growth, EPA 1'!AA53</f>
        <v>104167</v>
      </c>
      <c r="AN53" s="135">
        <f>+'[1]13-14 deferrals, growth, EPA 1'!AB53</f>
        <v>537913</v>
      </c>
      <c r="AO53" s="135">
        <f>+'[1]13-14 deferrals, growth, EPA 1'!AC53</f>
        <v>778421</v>
      </c>
      <c r="AP53" s="135">
        <f t="shared" si="19"/>
        <v>42040062</v>
      </c>
      <c r="AQ53" s="135">
        <f t="shared" si="7"/>
        <v>406360</v>
      </c>
      <c r="AR53" s="125">
        <f t="shared" si="8"/>
        <v>43460563</v>
      </c>
      <c r="AS53" s="136">
        <f t="shared" si="24"/>
        <v>0</v>
      </c>
      <c r="AT53" s="137">
        <f t="shared" si="10"/>
        <v>0.99348774317977073</v>
      </c>
      <c r="AU53" s="138">
        <f t="shared" si="11"/>
        <v>62399259</v>
      </c>
      <c r="AV53" s="139">
        <f>'[1]13-14 deferrals, growth, EPA 1'!BX53</f>
        <v>0</v>
      </c>
      <c r="AW53" s="10">
        <f t="shared" si="20"/>
        <v>0</v>
      </c>
      <c r="AX53" s="140">
        <v>0</v>
      </c>
      <c r="AY53" s="141">
        <v>0</v>
      </c>
      <c r="AZ53" s="142"/>
      <c r="BA53" s="133">
        <v>3087000</v>
      </c>
      <c r="BB53" s="143">
        <v>5268868</v>
      </c>
      <c r="BC53" s="133">
        <v>6020338</v>
      </c>
      <c r="BD53" s="142">
        <f t="shared" si="25"/>
        <v>144254</v>
      </c>
      <c r="BE53" s="142"/>
      <c r="BF53" s="142"/>
      <c r="BG53" s="142"/>
      <c r="BH53" s="142"/>
      <c r="BI53" s="142"/>
      <c r="BJ53" s="142"/>
      <c r="BK53" s="139">
        <v>0</v>
      </c>
      <c r="BL53" s="10">
        <f t="shared" si="21"/>
        <v>0</v>
      </c>
      <c r="BM53" s="16"/>
      <c r="BN53" s="16"/>
      <c r="BO53" s="16"/>
      <c r="BP53" s="16"/>
      <c r="BQ53" s="16"/>
      <c r="BR53" s="16"/>
      <c r="BS53" s="16"/>
      <c r="BT53" s="16"/>
      <c r="BU53" s="16"/>
      <c r="BV53" s="16"/>
      <c r="BW53" s="16"/>
      <c r="BX53" s="16"/>
      <c r="BY53" s="16"/>
      <c r="BZ53" s="16"/>
      <c r="CA53" s="116"/>
      <c r="CB53" s="16"/>
      <c r="CC53" s="16"/>
      <c r="CD53" s="16"/>
      <c r="CE53" s="16"/>
      <c r="CF53" s="16"/>
      <c r="CG53" s="16"/>
      <c r="CH53" s="16"/>
      <c r="CI53" s="16"/>
      <c r="CJ53" s="16"/>
      <c r="CK53" s="16"/>
      <c r="CL53" s="16"/>
      <c r="CM53" s="16"/>
    </row>
    <row r="54" spans="1:91" s="144" customFormat="1">
      <c r="A54" s="16" t="s">
        <v>155</v>
      </c>
      <c r="B54" s="118">
        <v>125059165</v>
      </c>
      <c r="C54" s="149">
        <v>0</v>
      </c>
      <c r="D54" s="120">
        <f t="shared" si="13"/>
        <v>125059165</v>
      </c>
      <c r="E54" s="10"/>
      <c r="F54" s="121">
        <f>+'[1]Foundation Grant (OLD)'!N54</f>
        <v>10518226</v>
      </c>
      <c r="G54" s="122">
        <f t="shared" si="14"/>
        <v>0</v>
      </c>
      <c r="H54" s="123">
        <f>ROUND($AE$4*[1]FTES!O54,0)</f>
        <v>182073</v>
      </c>
      <c r="I54" s="123">
        <f>ROUND($AI$4*[1]FTES!Z54,0)</f>
        <v>0</v>
      </c>
      <c r="J54" s="124">
        <f>ROUND($AR$4*[1]FTES!D54,0)</f>
        <v>114358866</v>
      </c>
      <c r="K54" s="125">
        <f t="shared" si="15"/>
        <v>125059165</v>
      </c>
      <c r="L54" s="125">
        <v>0</v>
      </c>
      <c r="M54" s="125">
        <f t="shared" si="0"/>
        <v>125059165</v>
      </c>
      <c r="N54" s="126">
        <f>(M54-H54-I54-F54)/[1]FTES!D54</f>
        <v>4564.8251098225837</v>
      </c>
      <c r="O54" s="125">
        <f>ROUND((M54+'[1]Restoration and Growth'!BM54)*$C$4,0)</f>
        <v>1963429</v>
      </c>
      <c r="P54" s="125">
        <f>ROUND(M54+O54+'[1]Restoration and Growth'!BM54,0)</f>
        <v>127022594</v>
      </c>
      <c r="Q54" s="127">
        <f t="shared" si="16"/>
        <v>4636.4928639999998</v>
      </c>
      <c r="R54" s="125">
        <f t="shared" si="1"/>
        <v>-1963429</v>
      </c>
      <c r="S54" s="128">
        <f>+'[1]13-14 $86M Workload Restore'!AJ52</f>
        <v>3025914</v>
      </c>
      <c r="T54" s="129">
        <f>+'[1]13-14 $86M Workload Restore'!AA52</f>
        <v>0</v>
      </c>
      <c r="U54" s="129">
        <f>'[1]Growth Deficit'!X54</f>
        <v>1281.7499929999999</v>
      </c>
      <c r="V54" s="125">
        <f>-1* '[1]Growth Deficit'!AR54</f>
        <v>-1281.7499929999999</v>
      </c>
      <c r="W54" s="125">
        <f t="shared" si="17"/>
        <v>0</v>
      </c>
      <c r="X54" s="129">
        <f>'[1]Restoration and Growth'!AQ54</f>
        <v>0</v>
      </c>
      <c r="Y54" s="125"/>
      <c r="Z54" s="130">
        <f>[1]FTES!AT54</f>
        <v>0</v>
      </c>
      <c r="AA54" s="131">
        <v>0</v>
      </c>
      <c r="AB54" s="125"/>
      <c r="AC54" s="132">
        <f>+'[1]Foundation Grant'!N54-'[1]Foundation Grant (OLD)'!N54</f>
        <v>0</v>
      </c>
      <c r="AD54" s="125">
        <f t="shared" si="2"/>
        <v>0</v>
      </c>
      <c r="AE54" s="125">
        <f t="shared" si="18"/>
        <v>130048508</v>
      </c>
      <c r="AF54" s="131">
        <f t="shared" si="23"/>
        <v>846909</v>
      </c>
      <c r="AG54" s="125">
        <f t="shared" si="4"/>
        <v>129201599</v>
      </c>
      <c r="AH54" s="133">
        <v>0</v>
      </c>
      <c r="AI54" s="133">
        <v>8347958</v>
      </c>
      <c r="AJ54" s="125">
        <f t="shared" si="5"/>
        <v>29023841</v>
      </c>
      <c r="AK54" s="134">
        <f>+'[1]13-14 deferrals, growth, EPA 1'!I54</f>
        <v>19548536</v>
      </c>
      <c r="AL54" s="135">
        <f t="shared" si="6"/>
        <v>91829800</v>
      </c>
      <c r="AM54" s="135">
        <f>+'[1]13-14 deferrals, growth, EPA 1'!AA54</f>
        <v>218136</v>
      </c>
      <c r="AN54" s="135">
        <f>+'[1]13-14 deferrals, growth, EPA 1'!AB54</f>
        <v>1126439</v>
      </c>
      <c r="AO54" s="135">
        <f>+'[1]13-14 deferrals, growth, EPA 1'!AC54</f>
        <v>1630086</v>
      </c>
      <c r="AP54" s="135">
        <f t="shared" si="19"/>
        <v>69306603</v>
      </c>
      <c r="AQ54" s="135">
        <f t="shared" si="7"/>
        <v>846909</v>
      </c>
      <c r="AR54" s="125">
        <f t="shared" si="8"/>
        <v>72281264</v>
      </c>
      <c r="AS54" s="136">
        <f t="shared" si="24"/>
        <v>0</v>
      </c>
      <c r="AT54" s="137">
        <f t="shared" si="10"/>
        <v>0.99348774535729389</v>
      </c>
      <c r="AU54" s="138">
        <f t="shared" si="11"/>
        <v>130048508</v>
      </c>
      <c r="AV54" s="139">
        <f>'[1]13-14 deferrals, growth, EPA 1'!BX54</f>
        <v>0</v>
      </c>
      <c r="AW54" s="10">
        <f t="shared" si="20"/>
        <v>0</v>
      </c>
      <c r="AX54" s="140">
        <v>0</v>
      </c>
      <c r="AY54" s="141">
        <v>0</v>
      </c>
      <c r="AZ54" s="142"/>
      <c r="BA54" s="133">
        <v>8500473</v>
      </c>
      <c r="BB54" s="143">
        <v>26766911</v>
      </c>
      <c r="BC54" s="133">
        <v>29736358</v>
      </c>
      <c r="BD54" s="142">
        <f t="shared" si="25"/>
        <v>712517</v>
      </c>
      <c r="BE54" s="142"/>
      <c r="BF54" s="142"/>
      <c r="BG54" s="142"/>
      <c r="BH54" s="142"/>
      <c r="BI54" s="142"/>
      <c r="BJ54" s="142"/>
      <c r="BK54" s="139">
        <v>0</v>
      </c>
      <c r="BL54" s="10">
        <f t="shared" si="21"/>
        <v>0</v>
      </c>
      <c r="BM54" s="16"/>
      <c r="BN54" s="16"/>
      <c r="BO54" s="16"/>
      <c r="BP54" s="16"/>
      <c r="BQ54" s="16"/>
      <c r="BR54" s="16"/>
      <c r="BS54" s="16"/>
      <c r="BT54" s="16"/>
      <c r="BU54" s="16"/>
      <c r="BV54" s="16"/>
      <c r="BW54" s="16"/>
      <c r="BX54" s="16"/>
      <c r="BY54" s="16"/>
      <c r="BZ54" s="16"/>
      <c r="CA54" s="116"/>
      <c r="CB54" s="16"/>
      <c r="CC54" s="16"/>
      <c r="CD54" s="16"/>
      <c r="CE54" s="16"/>
      <c r="CF54" s="16"/>
      <c r="CG54" s="16"/>
      <c r="CH54" s="16"/>
      <c r="CI54" s="16"/>
      <c r="CJ54" s="16"/>
      <c r="CK54" s="16"/>
      <c r="CL54" s="16"/>
      <c r="CM54" s="16"/>
    </row>
    <row r="55" spans="1:91" s="144" customFormat="1">
      <c r="A55" s="16" t="s">
        <v>156</v>
      </c>
      <c r="B55" s="118">
        <v>67637795</v>
      </c>
      <c r="C55" s="149">
        <v>0</v>
      </c>
      <c r="D55" s="120">
        <f t="shared" si="13"/>
        <v>67637795</v>
      </c>
      <c r="E55" s="10"/>
      <c r="F55" s="121">
        <f>+'[1]Foundation Grant (OLD)'!N55</f>
        <v>7196681</v>
      </c>
      <c r="G55" s="122">
        <f t="shared" si="14"/>
        <v>0</v>
      </c>
      <c r="H55" s="123">
        <f>ROUND($AE$4*[1]FTES!O55,0)</f>
        <v>0</v>
      </c>
      <c r="I55" s="123">
        <f>ROUND($AI$4*[1]FTES!Z55,0)</f>
        <v>0</v>
      </c>
      <c r="J55" s="124">
        <f>ROUND($AR$4*[1]FTES!D55,0)</f>
        <v>60441114</v>
      </c>
      <c r="K55" s="125">
        <f t="shared" si="15"/>
        <v>67637795</v>
      </c>
      <c r="L55" s="125">
        <v>0</v>
      </c>
      <c r="M55" s="125">
        <f t="shared" si="0"/>
        <v>67637795</v>
      </c>
      <c r="N55" s="126">
        <f>(M55-H55-I55-F55)/[1]FTES!D55</f>
        <v>4564.825074507703</v>
      </c>
      <c r="O55" s="125">
        <f>ROUND((M55+'[1]Restoration and Growth'!BM55)*$C$4,0)</f>
        <v>1061913</v>
      </c>
      <c r="P55" s="125">
        <f>ROUND(M55+O55+'[1]Restoration and Growth'!BM55,0)</f>
        <v>68699708</v>
      </c>
      <c r="Q55" s="127">
        <f t="shared" si="16"/>
        <v>4636.4928280000004</v>
      </c>
      <c r="R55" s="125">
        <f t="shared" si="1"/>
        <v>-1061913</v>
      </c>
      <c r="S55" s="128">
        <f>+'[1]13-14 $86M Workload Restore'!AJ53</f>
        <v>1543344</v>
      </c>
      <c r="T55" s="129">
        <f>+'[1]13-14 $86M Workload Restore'!AA53</f>
        <v>0</v>
      </c>
      <c r="U55" s="129">
        <f>'[1]Growth Deficit'!X55</f>
        <v>1159.970039</v>
      </c>
      <c r="V55" s="125">
        <f>-1* '[1]Growth Deficit'!AR55</f>
        <v>-1159.970039</v>
      </c>
      <c r="W55" s="125">
        <f t="shared" si="17"/>
        <v>0</v>
      </c>
      <c r="X55" s="129">
        <f>'[1]Restoration and Growth'!AQ55</f>
        <v>0</v>
      </c>
      <c r="Y55" s="125"/>
      <c r="Z55" s="130">
        <f>[1]FTES!AT55</f>
        <v>0</v>
      </c>
      <c r="AA55" s="131">
        <v>0</v>
      </c>
      <c r="AB55" s="125"/>
      <c r="AC55" s="132">
        <f>+'[1]Foundation Grant'!N55-'[1]Foundation Grant (OLD)'!N55</f>
        <v>0</v>
      </c>
      <c r="AD55" s="125">
        <f t="shared" si="2"/>
        <v>0</v>
      </c>
      <c r="AE55" s="125">
        <f t="shared" si="18"/>
        <v>70243052</v>
      </c>
      <c r="AF55" s="131">
        <f t="shared" si="23"/>
        <v>457440</v>
      </c>
      <c r="AG55" s="125">
        <f t="shared" si="4"/>
        <v>69785612</v>
      </c>
      <c r="AH55" s="133">
        <v>0</v>
      </c>
      <c r="AI55" s="133">
        <v>3804971</v>
      </c>
      <c r="AJ55" s="125">
        <f t="shared" si="5"/>
        <v>18578651</v>
      </c>
      <c r="AK55" s="134">
        <f>+'[1]13-14 deferrals, growth, EPA 1'!I55</f>
        <v>10671827</v>
      </c>
      <c r="AL55" s="135">
        <f t="shared" si="6"/>
        <v>47401990</v>
      </c>
      <c r="AM55" s="135">
        <f>+'[1]13-14 deferrals, growth, EPA 1'!AA55</f>
        <v>117817</v>
      </c>
      <c r="AN55" s="135">
        <f>+'[1]13-14 deferrals, growth, EPA 1'!AB55</f>
        <v>608400</v>
      </c>
      <c r="AO55" s="135">
        <f>+'[1]13-14 deferrals, growth, EPA 1'!AC55</f>
        <v>880425</v>
      </c>
      <c r="AP55" s="135">
        <f t="shared" si="19"/>
        <v>35123521</v>
      </c>
      <c r="AQ55" s="135">
        <f t="shared" si="7"/>
        <v>457440</v>
      </c>
      <c r="AR55" s="125">
        <f t="shared" si="8"/>
        <v>36730163</v>
      </c>
      <c r="AS55" s="136">
        <f t="shared" si="24"/>
        <v>0</v>
      </c>
      <c r="AT55" s="137">
        <f t="shared" si="10"/>
        <v>0.99348775448993876</v>
      </c>
      <c r="AU55" s="138">
        <f t="shared" si="11"/>
        <v>70243052</v>
      </c>
      <c r="AV55" s="139">
        <f>'[1]13-14 deferrals, growth, EPA 1'!BX55</f>
        <v>0</v>
      </c>
      <c r="AW55" s="10">
        <f t="shared" si="20"/>
        <v>0</v>
      </c>
      <c r="AX55" s="140">
        <v>0</v>
      </c>
      <c r="AY55" s="141">
        <v>0</v>
      </c>
      <c r="AZ55" s="142"/>
      <c r="BA55" s="133">
        <v>3900400</v>
      </c>
      <c r="BB55" s="143">
        <v>12552470</v>
      </c>
      <c r="BC55" s="133">
        <v>19034745</v>
      </c>
      <c r="BD55" s="142">
        <f t="shared" si="25"/>
        <v>456094</v>
      </c>
      <c r="BE55" s="142"/>
      <c r="BF55" s="142"/>
      <c r="BG55" s="142"/>
      <c r="BH55" s="142"/>
      <c r="BI55" s="142"/>
      <c r="BJ55" s="142"/>
      <c r="BK55" s="139">
        <v>0</v>
      </c>
      <c r="BL55" s="10">
        <f t="shared" si="21"/>
        <v>0</v>
      </c>
      <c r="BM55" s="16"/>
      <c r="BN55" s="16"/>
      <c r="BO55" s="16"/>
      <c r="BP55" s="16"/>
      <c r="BQ55" s="16"/>
      <c r="BR55" s="16"/>
      <c r="BS55" s="16"/>
      <c r="BT55" s="16"/>
      <c r="BU55" s="16"/>
      <c r="BV55" s="16"/>
      <c r="BW55" s="16"/>
      <c r="BX55" s="16"/>
      <c r="BY55" s="16"/>
      <c r="BZ55" s="16"/>
      <c r="CA55" s="116"/>
      <c r="CB55" s="16"/>
      <c r="CC55" s="16"/>
      <c r="CD55" s="16"/>
      <c r="CE55" s="16"/>
      <c r="CF55" s="16"/>
      <c r="CG55" s="16"/>
      <c r="CH55" s="16"/>
      <c r="CI55" s="16"/>
      <c r="CJ55" s="16"/>
      <c r="CK55" s="16"/>
      <c r="CL55" s="16"/>
      <c r="CM55" s="16"/>
    </row>
    <row r="56" spans="1:91" s="144" customFormat="1">
      <c r="A56" s="16" t="s">
        <v>157</v>
      </c>
      <c r="B56" s="118">
        <v>183653115</v>
      </c>
      <c r="C56" s="149">
        <v>0</v>
      </c>
      <c r="D56" s="120">
        <f t="shared" si="13"/>
        <v>183653115</v>
      </c>
      <c r="E56" s="10"/>
      <c r="F56" s="121">
        <f>+'[1]Foundation Grant (OLD)'!N56</f>
        <v>16607727</v>
      </c>
      <c r="G56" s="122">
        <f t="shared" si="14"/>
        <v>0</v>
      </c>
      <c r="H56" s="123">
        <f>ROUND($AE$4*[1]FTES!O56,0)</f>
        <v>5602377</v>
      </c>
      <c r="I56" s="123">
        <f>ROUND($AI$4*[1]FTES!Z56,0)</f>
        <v>19810409</v>
      </c>
      <c r="J56" s="124">
        <f>ROUND($AR$4*[1]FTES!D56,0)</f>
        <v>141632602</v>
      </c>
      <c r="K56" s="125">
        <f t="shared" si="15"/>
        <v>183653115</v>
      </c>
      <c r="L56" s="125">
        <v>0</v>
      </c>
      <c r="M56" s="125">
        <f t="shared" si="0"/>
        <v>183653115</v>
      </c>
      <c r="N56" s="126">
        <f>(M56-H56-I56-F56)/[1]FTES!D56</f>
        <v>4564.8251057735142</v>
      </c>
      <c r="O56" s="125">
        <f>ROUND((M56+'[1]Restoration and Growth'!BM56)*$C$4,0)</f>
        <v>2883354</v>
      </c>
      <c r="P56" s="125">
        <f>ROUND(M56+O56+'[1]Restoration and Growth'!BM56,0)</f>
        <v>186536469</v>
      </c>
      <c r="Q56" s="127">
        <f t="shared" si="16"/>
        <v>4636.4928600000003</v>
      </c>
      <c r="R56" s="125">
        <f t="shared" si="1"/>
        <v>-2883354</v>
      </c>
      <c r="S56" s="128">
        <f>+'[1]13-14 $86M Workload Restore'!AJ54</f>
        <v>3973954</v>
      </c>
      <c r="T56" s="129">
        <f>+'[1]13-14 $86M Workload Restore'!AA54</f>
        <v>0</v>
      </c>
      <c r="U56" s="129">
        <f>'[1]Growth Deficit'!X56</f>
        <v>2300.1096309999998</v>
      </c>
      <c r="V56" s="125">
        <f>-1* '[1]Growth Deficit'!AR56</f>
        <v>-2300.1096309999998</v>
      </c>
      <c r="W56" s="125">
        <f t="shared" si="17"/>
        <v>0</v>
      </c>
      <c r="X56" s="129">
        <f>'[1]Restoration and Growth'!AQ56</f>
        <v>0</v>
      </c>
      <c r="Y56" s="125"/>
      <c r="Z56" s="130">
        <f>[1]FTES!AT56</f>
        <v>0</v>
      </c>
      <c r="AA56" s="131">
        <v>0</v>
      </c>
      <c r="AB56" s="125"/>
      <c r="AC56" s="132">
        <f>+'[1]Foundation Grant'!N56-'[1]Foundation Grant (OLD)'!N56</f>
        <v>0</v>
      </c>
      <c r="AD56" s="125">
        <f t="shared" si="2"/>
        <v>0</v>
      </c>
      <c r="AE56" s="125">
        <f t="shared" si="18"/>
        <v>190510423</v>
      </c>
      <c r="AF56" s="131">
        <f t="shared" si="23"/>
        <v>1240652</v>
      </c>
      <c r="AG56" s="125">
        <f t="shared" si="4"/>
        <v>189269771</v>
      </c>
      <c r="AH56" s="133">
        <v>0</v>
      </c>
      <c r="AI56" s="133">
        <v>10645366</v>
      </c>
      <c r="AJ56" s="125">
        <f t="shared" si="5"/>
        <v>85096276</v>
      </c>
      <c r="AK56" s="134">
        <f>+'[1]13-14 deferrals, growth, EPA 1'!I56</f>
        <v>28891394</v>
      </c>
      <c r="AL56" s="135">
        <f t="shared" si="6"/>
        <v>93528129</v>
      </c>
      <c r="AM56" s="135">
        <f>+'[1]13-14 deferrals, growth, EPA 1'!AA56</f>
        <v>319548</v>
      </c>
      <c r="AN56" s="135">
        <f>+'[1]13-14 deferrals, growth, EPA 1'!AB56</f>
        <v>1650121</v>
      </c>
      <c r="AO56" s="135">
        <f>+'[1]13-14 deferrals, growth, EPA 1'!AC56</f>
        <v>2387914</v>
      </c>
      <c r="AP56" s="135">
        <f t="shared" si="19"/>
        <v>60279152</v>
      </c>
      <c r="AQ56" s="135">
        <f t="shared" si="7"/>
        <v>1240652</v>
      </c>
      <c r="AR56" s="125">
        <f t="shared" si="8"/>
        <v>64636735</v>
      </c>
      <c r="AS56" s="136">
        <f t="shared" si="24"/>
        <v>0</v>
      </c>
      <c r="AT56" s="137">
        <f t="shared" si="10"/>
        <v>0.9934877473869238</v>
      </c>
      <c r="AU56" s="138">
        <f t="shared" si="11"/>
        <v>190510423</v>
      </c>
      <c r="AV56" s="139">
        <f>'[1]13-14 deferrals, growth, EPA 1'!BX56</f>
        <v>0</v>
      </c>
      <c r="AW56" s="10">
        <f t="shared" si="20"/>
        <v>0</v>
      </c>
      <c r="AX56" s="140">
        <v>0</v>
      </c>
      <c r="AY56" s="141">
        <v>0</v>
      </c>
      <c r="AZ56" s="142"/>
      <c r="BA56" s="133">
        <v>11552833</v>
      </c>
      <c r="BB56" s="143">
        <v>77279292</v>
      </c>
      <c r="BC56" s="133">
        <v>87185335</v>
      </c>
      <c r="BD56" s="142">
        <f t="shared" si="25"/>
        <v>2089059</v>
      </c>
      <c r="BE56" s="142"/>
      <c r="BF56" s="142"/>
      <c r="BG56" s="142"/>
      <c r="BH56" s="142"/>
      <c r="BI56" s="142"/>
      <c r="BJ56" s="142"/>
      <c r="BK56" s="139">
        <v>0</v>
      </c>
      <c r="BL56" s="10">
        <f t="shared" si="21"/>
        <v>0</v>
      </c>
      <c r="BM56" s="16"/>
      <c r="BN56" s="16"/>
      <c r="BO56" s="16"/>
      <c r="BP56" s="16"/>
      <c r="BQ56" s="16"/>
      <c r="BR56" s="16"/>
      <c r="BS56" s="16"/>
      <c r="BT56" s="16"/>
      <c r="BU56" s="16"/>
      <c r="BV56" s="16"/>
      <c r="BW56" s="16"/>
      <c r="BX56" s="16"/>
      <c r="BY56" s="16"/>
      <c r="BZ56" s="16"/>
      <c r="CA56" s="116"/>
      <c r="CB56" s="16"/>
      <c r="CC56" s="16"/>
      <c r="CD56" s="16"/>
      <c r="CE56" s="16"/>
      <c r="CF56" s="16"/>
      <c r="CG56" s="16"/>
      <c r="CH56" s="16"/>
      <c r="CI56" s="16"/>
      <c r="CJ56" s="16"/>
      <c r="CK56" s="16"/>
      <c r="CL56" s="16"/>
      <c r="CM56" s="16"/>
    </row>
    <row r="57" spans="1:91" s="144" customFormat="1">
      <c r="A57" s="168" t="s">
        <v>158</v>
      </c>
      <c r="B57" s="118">
        <v>148621677</v>
      </c>
      <c r="C57" s="149">
        <v>0</v>
      </c>
      <c r="D57" s="120">
        <f t="shared" si="13"/>
        <v>148621677</v>
      </c>
      <c r="E57" s="10"/>
      <c r="F57" s="121">
        <f>+'[1]Foundation Grant (OLD)'!N57</f>
        <v>12455796</v>
      </c>
      <c r="G57" s="122">
        <f t="shared" si="14"/>
        <v>0</v>
      </c>
      <c r="H57" s="123">
        <f>ROUND($AE$4*[1]FTES!O57,0)</f>
        <v>7302548</v>
      </c>
      <c r="I57" s="123">
        <f>ROUND($AI$4*[1]FTES!Z57,0)</f>
        <v>22863355</v>
      </c>
      <c r="J57" s="124">
        <f>ROUND($AR$4*[1]FTES!D57,0)</f>
        <v>104475335</v>
      </c>
      <c r="K57" s="125">
        <f t="shared" si="15"/>
        <v>147097034</v>
      </c>
      <c r="L57" s="125">
        <f>IF(D57&gt;K57,D57-K57,0)</f>
        <v>1524643</v>
      </c>
      <c r="M57" s="125">
        <f t="shared" si="0"/>
        <v>148621677</v>
      </c>
      <c r="N57" s="126">
        <f>(M57-H57-I57-F57)/[1]FTES!D57</f>
        <v>4631.4411109059311</v>
      </c>
      <c r="O57" s="125">
        <f>ROUND((M57+'[1]Restoration and Growth'!BM57)*$C$4,0)</f>
        <v>1904381</v>
      </c>
      <c r="P57" s="125">
        <f>ROUND(M57+O57+'[1]Restoration and Growth'!BM57,0)</f>
        <v>123202539</v>
      </c>
      <c r="Q57" s="127">
        <f t="shared" si="16"/>
        <v>4704.1547360000004</v>
      </c>
      <c r="R57" s="125">
        <f t="shared" si="1"/>
        <v>25419138</v>
      </c>
      <c r="S57" s="128">
        <f>+'[1]13-14 $86M Workload Restore'!AJ55</f>
        <v>0</v>
      </c>
      <c r="T57" s="129">
        <f>+'[1]13-14 $86M Workload Restore'!AA55</f>
        <v>0</v>
      </c>
      <c r="U57" s="129">
        <f>'[1]Growth Deficit'!X57</f>
        <v>0</v>
      </c>
      <c r="V57" s="125">
        <f>-1* '[1]Growth Deficit'!AR57</f>
        <v>0</v>
      </c>
      <c r="W57" s="125">
        <f t="shared" si="17"/>
        <v>0</v>
      </c>
      <c r="X57" s="168">
        <f>'[1]Restoration and Growth'!AQ57</f>
        <v>27752498</v>
      </c>
      <c r="Y57" s="125"/>
      <c r="Z57" s="130">
        <f>[1]FTES!AT57</f>
        <v>0</v>
      </c>
      <c r="AA57" s="169"/>
      <c r="AB57" s="125"/>
      <c r="AC57" s="132">
        <f>+'[1]Foundation Grant'!N57-'[1]Foundation Grant (OLD)'!N57</f>
        <v>0</v>
      </c>
      <c r="AD57" s="125">
        <f t="shared" si="2"/>
        <v>0</v>
      </c>
      <c r="AE57" s="125">
        <f t="shared" si="18"/>
        <v>150955037</v>
      </c>
      <c r="AF57" s="131">
        <f t="shared" si="23"/>
        <v>983057</v>
      </c>
      <c r="AG57" s="125">
        <f t="shared" si="4"/>
        <v>149971980</v>
      </c>
      <c r="AH57" s="133">
        <v>0</v>
      </c>
      <c r="AI57" s="133">
        <v>9626822</v>
      </c>
      <c r="AJ57" s="125">
        <f t="shared" si="5"/>
        <v>49651038</v>
      </c>
      <c r="AK57" s="134">
        <f>+'[1]13-14 deferrals, growth, EPA 1'!I57</f>
        <v>22701291</v>
      </c>
      <c r="AL57" s="135">
        <f t="shared" si="6"/>
        <v>90694120</v>
      </c>
      <c r="AM57" s="135">
        <f>+'[1]13-14 deferrals, growth, EPA 1'!AA57</f>
        <v>252822</v>
      </c>
      <c r="AN57" s="135">
        <f>+'[1]13-14 deferrals, growth, EPA 1'!AB57</f>
        <v>1305555</v>
      </c>
      <c r="AO57" s="135">
        <f>+'[1]13-14 deferrals, growth, EPA 1'!AC57</f>
        <v>1889288</v>
      </c>
      <c r="AP57" s="135">
        <f t="shared" si="19"/>
        <v>64545164</v>
      </c>
      <c r="AQ57" s="135">
        <f t="shared" si="7"/>
        <v>983057</v>
      </c>
      <c r="AR57" s="125">
        <f t="shared" si="8"/>
        <v>67992829</v>
      </c>
      <c r="AS57" s="136">
        <f t="shared" si="24"/>
        <v>0</v>
      </c>
      <c r="AT57" s="137">
        <f t="shared" si="10"/>
        <v>0.99348774960056485</v>
      </c>
      <c r="AU57" s="138">
        <f t="shared" si="11"/>
        <v>123202539</v>
      </c>
      <c r="AV57" s="139">
        <f>'[1]13-14 deferrals, growth, EPA 1'!BX57</f>
        <v>0</v>
      </c>
      <c r="AW57" s="10">
        <f t="shared" si="20"/>
        <v>0</v>
      </c>
      <c r="AX57" s="140">
        <v>0</v>
      </c>
      <c r="AY57" s="170">
        <f>-289000</f>
        <v>-289000</v>
      </c>
      <c r="AZ57" s="142"/>
      <c r="BA57" s="133">
        <v>11195020</v>
      </c>
      <c r="BB57" s="143">
        <v>45469356</v>
      </c>
      <c r="BC57" s="133">
        <v>50869939</v>
      </c>
      <c r="BD57" s="142">
        <f t="shared" si="25"/>
        <v>1218901</v>
      </c>
      <c r="BE57" s="142"/>
      <c r="BF57" s="142"/>
      <c r="BG57" s="142"/>
      <c r="BH57" s="142"/>
      <c r="BI57" s="142"/>
      <c r="BJ57" s="142"/>
      <c r="BK57" s="139">
        <v>0</v>
      </c>
      <c r="BL57" s="10">
        <f t="shared" si="21"/>
        <v>0</v>
      </c>
      <c r="BM57" s="16"/>
      <c r="BN57" s="16"/>
      <c r="BO57" s="16"/>
      <c r="BP57" s="16"/>
      <c r="BQ57" s="16"/>
      <c r="BR57" s="16"/>
      <c r="BS57" s="16"/>
      <c r="BT57" s="16"/>
      <c r="BU57" s="16"/>
      <c r="BV57" s="16"/>
      <c r="BW57" s="16"/>
      <c r="BX57" s="16"/>
      <c r="BY57" s="16"/>
      <c r="BZ57" s="16"/>
      <c r="CA57" s="116"/>
      <c r="CB57" s="16"/>
      <c r="CC57" s="16"/>
      <c r="CD57" s="16"/>
      <c r="CE57" s="16"/>
      <c r="CF57" s="16"/>
      <c r="CG57" s="16"/>
      <c r="CH57" s="16"/>
      <c r="CI57" s="16"/>
      <c r="CJ57" s="16"/>
      <c r="CK57" s="16"/>
      <c r="CL57" s="16"/>
      <c r="CM57" s="16"/>
    </row>
    <row r="58" spans="1:91" s="144" customFormat="1">
      <c r="A58" s="16" t="s">
        <v>159</v>
      </c>
      <c r="B58" s="118">
        <v>74799359</v>
      </c>
      <c r="C58" s="149">
        <v>0</v>
      </c>
      <c r="D58" s="120">
        <f t="shared" si="13"/>
        <v>74799359</v>
      </c>
      <c r="E58" s="10"/>
      <c r="F58" s="121">
        <f>+'[1]Foundation Grant (OLD)'!N58</f>
        <v>5535909</v>
      </c>
      <c r="G58" s="122">
        <f t="shared" si="14"/>
        <v>-1</v>
      </c>
      <c r="H58" s="123">
        <f>ROUND($AE$4*[1]FTES!O58,0)</f>
        <v>373506</v>
      </c>
      <c r="I58" s="123">
        <f>ROUND($AI$4*[1]FTES!Z58,0)</f>
        <v>0</v>
      </c>
      <c r="J58" s="124">
        <f>ROUND($AR$4*[1]FTES!D58,0)</f>
        <v>68889943</v>
      </c>
      <c r="K58" s="125">
        <f t="shared" si="15"/>
        <v>74799358</v>
      </c>
      <c r="L58" s="125">
        <v>0</v>
      </c>
      <c r="M58" s="125">
        <f t="shared" si="0"/>
        <v>74799358</v>
      </c>
      <c r="N58" s="126">
        <f>(M58-H58-I58-F58)/[1]FTES!D58</f>
        <v>4564.825083391851</v>
      </c>
      <c r="O58" s="125">
        <f>ROUND((M58+'[1]Restoration and Growth'!BM58)*$C$4,0)</f>
        <v>1174350</v>
      </c>
      <c r="P58" s="125">
        <f>ROUND(M58+O58+'[1]Restoration and Growth'!BM58,0)</f>
        <v>75973708</v>
      </c>
      <c r="Q58" s="127">
        <f t="shared" si="16"/>
        <v>4636.4928369999998</v>
      </c>
      <c r="R58" s="125">
        <f t="shared" si="1"/>
        <v>-1174350</v>
      </c>
      <c r="S58" s="128">
        <f>+'[1]13-14 $86M Workload Restore'!AJ56</f>
        <v>1030509</v>
      </c>
      <c r="T58" s="129">
        <f>+'[1]13-14 $86M Workload Restore'!AA56</f>
        <v>0</v>
      </c>
      <c r="U58" s="129">
        <f>'[1]Growth Deficit'!X58</f>
        <v>232.865137</v>
      </c>
      <c r="V58" s="125">
        <f>-1* '[1]Growth Deficit'!AR58</f>
        <v>-232.865137</v>
      </c>
      <c r="W58" s="125">
        <f t="shared" si="17"/>
        <v>0</v>
      </c>
      <c r="X58" s="129">
        <f>'[1]Restoration and Growth'!AQ58</f>
        <v>0</v>
      </c>
      <c r="Y58" s="125"/>
      <c r="Z58" s="130">
        <f>[1]FTES!AT58</f>
        <v>0</v>
      </c>
      <c r="AA58" s="131">
        <v>0</v>
      </c>
      <c r="AB58" s="125"/>
      <c r="AC58" s="132">
        <f>+'[1]Foundation Grant'!N58-'[1]Foundation Grant (OLD)'!N58</f>
        <v>0</v>
      </c>
      <c r="AD58" s="125">
        <f t="shared" si="2"/>
        <v>0</v>
      </c>
      <c r="AE58" s="125">
        <f t="shared" si="18"/>
        <v>77004217</v>
      </c>
      <c r="AF58" s="131">
        <f t="shared" si="23"/>
        <v>501471</v>
      </c>
      <c r="AG58" s="125">
        <f t="shared" si="4"/>
        <v>76502746</v>
      </c>
      <c r="AH58" s="133">
        <v>0</v>
      </c>
      <c r="AI58" s="133">
        <v>3788287</v>
      </c>
      <c r="AJ58" s="125">
        <f t="shared" si="5"/>
        <v>23866329</v>
      </c>
      <c r="AK58" s="134">
        <f>+'[1]13-14 deferrals, growth, EPA 1'!I58</f>
        <v>11760540</v>
      </c>
      <c r="AL58" s="135">
        <f t="shared" si="6"/>
        <v>48848130</v>
      </c>
      <c r="AM58" s="135">
        <f>+'[1]13-14 deferrals, growth, EPA 1'!AA58</f>
        <v>129119</v>
      </c>
      <c r="AN58" s="135">
        <f>+'[1]13-14 deferrals, growth, EPA 1'!AB58</f>
        <v>666761</v>
      </c>
      <c r="AO58" s="135">
        <f>+'[1]13-14 deferrals, growth, EPA 1'!AC58</f>
        <v>964879</v>
      </c>
      <c r="AP58" s="135">
        <f t="shared" si="19"/>
        <v>35326831</v>
      </c>
      <c r="AQ58" s="135">
        <f t="shared" si="7"/>
        <v>501471</v>
      </c>
      <c r="AR58" s="125">
        <f t="shared" si="8"/>
        <v>37087590</v>
      </c>
      <c r="AS58" s="136">
        <f t="shared" si="24"/>
        <v>0</v>
      </c>
      <c r="AT58" s="137">
        <f t="shared" si="10"/>
        <v>0.9934877462620002</v>
      </c>
      <c r="AU58" s="138">
        <f t="shared" si="11"/>
        <v>77004217</v>
      </c>
      <c r="AV58" s="139">
        <f>'[1]13-14 deferrals, growth, EPA 1'!BX58</f>
        <v>0</v>
      </c>
      <c r="AW58" s="10">
        <f t="shared" si="20"/>
        <v>0</v>
      </c>
      <c r="AX58" s="140">
        <v>0</v>
      </c>
      <c r="AY58" s="141">
        <v>0</v>
      </c>
      <c r="AZ58" s="142"/>
      <c r="BA58" s="133">
        <v>4007584</v>
      </c>
      <c r="BB58" s="143">
        <v>22270875</v>
      </c>
      <c r="BC58" s="133">
        <v>24452232</v>
      </c>
      <c r="BD58" s="142">
        <f t="shared" si="25"/>
        <v>585903</v>
      </c>
      <c r="BE58" s="142"/>
      <c r="BF58" s="142"/>
      <c r="BG58" s="142"/>
      <c r="BH58" s="142"/>
      <c r="BI58" s="142"/>
      <c r="BJ58" s="142"/>
      <c r="BK58" s="139">
        <v>0</v>
      </c>
      <c r="BL58" s="10">
        <f t="shared" si="21"/>
        <v>0</v>
      </c>
      <c r="BM58" s="16"/>
      <c r="BN58" s="16"/>
      <c r="BO58" s="16"/>
      <c r="BP58" s="16"/>
      <c r="BQ58" s="16"/>
      <c r="BR58" s="16"/>
      <c r="BS58" s="16"/>
      <c r="BT58" s="16"/>
      <c r="BU58" s="16"/>
      <c r="BV58" s="16"/>
      <c r="BW58" s="16"/>
      <c r="BX58" s="16"/>
      <c r="BY58" s="16"/>
      <c r="BZ58" s="16"/>
      <c r="CA58" s="116"/>
      <c r="CB58" s="16"/>
      <c r="CC58" s="16"/>
      <c r="CD58" s="16"/>
      <c r="CE58" s="16"/>
      <c r="CF58" s="16"/>
      <c r="CG58" s="16"/>
      <c r="CH58" s="16"/>
      <c r="CI58" s="16"/>
      <c r="CJ58" s="16"/>
      <c r="CK58" s="16"/>
      <c r="CL58" s="16"/>
      <c r="CM58" s="16"/>
    </row>
    <row r="59" spans="1:91" s="144" customFormat="1">
      <c r="A59" s="51" t="s">
        <v>160</v>
      </c>
      <c r="B59" s="152">
        <v>70169662</v>
      </c>
      <c r="C59" s="160">
        <v>-1662569</v>
      </c>
      <c r="D59" s="153">
        <f t="shared" si="13"/>
        <v>68507093</v>
      </c>
      <c r="E59" s="152"/>
      <c r="F59" s="154">
        <f>+'[1]Foundation Grant (OLD)'!N59</f>
        <v>6643090</v>
      </c>
      <c r="G59" s="155">
        <f t="shared" si="14"/>
        <v>0</v>
      </c>
      <c r="H59" s="156">
        <f>ROUND($AE$4*[1]FTES!O59,0)</f>
        <v>272492</v>
      </c>
      <c r="I59" s="156">
        <f>ROUND($AI$4*[1]FTES!Z59,0)</f>
        <v>0</v>
      </c>
      <c r="J59" s="157">
        <f>ROUND($AR$4*[1]FTES!D59,0)</f>
        <v>61342667</v>
      </c>
      <c r="K59" s="157">
        <f t="shared" si="15"/>
        <v>68258249</v>
      </c>
      <c r="L59" s="157">
        <f>IF(D59&gt;K59,D59-K59,0)</f>
        <v>248844</v>
      </c>
      <c r="M59" s="157">
        <f t="shared" si="0"/>
        <v>68507093</v>
      </c>
      <c r="N59" s="126">
        <f>(M59-H59-I59-F59)/[1]FTES!D59</f>
        <v>4583.3428336701863</v>
      </c>
      <c r="O59" s="125">
        <f>ROUND((M59+'[1]Restoration and Growth'!BM59)*$C$4,0)</f>
        <v>1040580</v>
      </c>
      <c r="P59" s="125">
        <f>ROUND(M59+O59+'[1]Restoration and Growth'!BM59,0)</f>
        <v>67319561</v>
      </c>
      <c r="Q59" s="158">
        <f t="shared" si="16"/>
        <v>4655.301316</v>
      </c>
      <c r="R59" s="157">
        <f t="shared" si="1"/>
        <v>1187532</v>
      </c>
      <c r="S59" s="157">
        <f>+'[1]13-14 $86M Workload Restore'!AJ57</f>
        <v>0</v>
      </c>
      <c r="T59" s="157">
        <f>+'[1]13-14 $86M Workload Restore'!AA57</f>
        <v>0</v>
      </c>
      <c r="U59" s="157">
        <f>'[1]Growth Deficit'!X59</f>
        <v>0</v>
      </c>
      <c r="V59" s="157">
        <f>-1* '[1]Growth Deficit'!AR59</f>
        <v>0</v>
      </c>
      <c r="W59" s="157">
        <f t="shared" si="17"/>
        <v>0</v>
      </c>
      <c r="X59" s="129">
        <f>'[1]Restoration and Growth'!AQ59</f>
        <v>2263093</v>
      </c>
      <c r="Y59" s="157"/>
      <c r="Z59" s="159">
        <f>[1]FTES!AT59</f>
        <v>0</v>
      </c>
      <c r="AA59" s="160">
        <v>0</v>
      </c>
      <c r="AB59" s="157"/>
      <c r="AC59" s="157">
        <f>+'[1]Foundation Grant'!N59-'[1]Foundation Grant (OLD)'!N59</f>
        <v>0</v>
      </c>
      <c r="AD59" s="157">
        <f t="shared" si="2"/>
        <v>0</v>
      </c>
      <c r="AE59" s="157">
        <f t="shared" si="18"/>
        <v>69582654</v>
      </c>
      <c r="AF59" s="160">
        <v>0</v>
      </c>
      <c r="AG59" s="157">
        <f t="shared" si="4"/>
        <v>69582654</v>
      </c>
      <c r="AH59" s="161">
        <v>0</v>
      </c>
      <c r="AI59" s="161">
        <v>4646512</v>
      </c>
      <c r="AJ59" s="125">
        <f t="shared" si="5"/>
        <v>74111299</v>
      </c>
      <c r="AK59" s="134">
        <f>+'[1]13-14 deferrals, growth, EPA 1'!I59</f>
        <v>1305216</v>
      </c>
      <c r="AL59" s="162">
        <f t="shared" si="6"/>
        <v>1305216</v>
      </c>
      <c r="AM59" s="162">
        <f>+'[1]13-14 deferrals, growth, EPA 1'!AA59</f>
        <v>0</v>
      </c>
      <c r="AN59" s="162">
        <f>+'[1]13-14 deferrals, growth, EPA 1'!AB59</f>
        <v>0</v>
      </c>
      <c r="AO59" s="162">
        <f>+'[1]13-14 deferrals, growth, EPA 1'!AC59</f>
        <v>0</v>
      </c>
      <c r="AP59" s="162">
        <f t="shared" si="19"/>
        <v>0</v>
      </c>
      <c r="AQ59" s="162">
        <f t="shared" si="7"/>
        <v>0</v>
      </c>
      <c r="AR59" s="157">
        <f t="shared" si="8"/>
        <v>0</v>
      </c>
      <c r="AS59" s="148">
        <f>IF(SUM(AI59:AK59)+AR59&gt;AG59,(SUM(AI59:AK59)+AR59-AG59),0)</f>
        <v>10480373</v>
      </c>
      <c r="AT59" s="137">
        <f t="shared" si="10"/>
        <v>1</v>
      </c>
      <c r="AU59" s="138">
        <f t="shared" si="11"/>
        <v>67319561</v>
      </c>
      <c r="AV59" s="139">
        <f>'[1]13-14 deferrals, growth, EPA 1'!BX59</f>
        <v>0</v>
      </c>
      <c r="AW59" s="10">
        <f t="shared" si="20"/>
        <v>0</v>
      </c>
      <c r="AX59" s="140">
        <v>0</v>
      </c>
      <c r="AY59" s="141">
        <v>0</v>
      </c>
      <c r="AZ59" s="142"/>
      <c r="BA59" s="133">
        <v>5044656</v>
      </c>
      <c r="BB59" s="143">
        <v>65720927</v>
      </c>
      <c r="BC59" s="161">
        <v>74111299</v>
      </c>
      <c r="BD59" s="164"/>
      <c r="BE59" s="142"/>
      <c r="BF59" s="142"/>
      <c r="BG59" s="142"/>
      <c r="BH59" s="142"/>
      <c r="BI59" s="142"/>
      <c r="BJ59" s="142"/>
      <c r="BK59" s="139">
        <v>0</v>
      </c>
      <c r="BL59" s="10">
        <f t="shared" si="21"/>
        <v>0</v>
      </c>
      <c r="BM59" s="16"/>
      <c r="BN59" s="16"/>
      <c r="BO59" s="16"/>
      <c r="BP59" s="16"/>
      <c r="BQ59" s="16"/>
      <c r="BR59" s="16"/>
      <c r="BS59" s="16"/>
      <c r="BT59" s="16"/>
      <c r="BU59" s="16"/>
      <c r="BV59" s="16"/>
      <c r="BW59" s="16"/>
      <c r="BX59" s="16"/>
      <c r="BY59" s="16"/>
      <c r="BZ59" s="16"/>
      <c r="CA59" s="116"/>
      <c r="CB59" s="16"/>
      <c r="CC59" s="16"/>
      <c r="CD59" s="16"/>
      <c r="CE59" s="16"/>
      <c r="CF59" s="16"/>
      <c r="CG59" s="16"/>
      <c r="CH59" s="16"/>
      <c r="CI59" s="16"/>
      <c r="CJ59" s="16"/>
      <c r="CK59" s="16"/>
      <c r="CL59" s="16"/>
      <c r="CM59" s="16"/>
    </row>
    <row r="60" spans="1:91" s="144" customFormat="1">
      <c r="A60" s="16" t="s">
        <v>161</v>
      </c>
      <c r="B60" s="118">
        <v>43578249</v>
      </c>
      <c r="C60" s="146">
        <f>-3133649+1107182-1107182</f>
        <v>-3133649</v>
      </c>
      <c r="D60" s="120">
        <f t="shared" si="13"/>
        <v>40444600</v>
      </c>
      <c r="E60" s="10"/>
      <c r="F60" s="121">
        <f>+'[1]Foundation Grant (OLD)'!N60</f>
        <v>4428727</v>
      </c>
      <c r="G60" s="122">
        <f t="shared" si="14"/>
        <v>0</v>
      </c>
      <c r="H60" s="123">
        <f>ROUND($AE$4*[1]FTES!O60,0)</f>
        <v>156929</v>
      </c>
      <c r="I60" s="123">
        <f>ROUND($AI$4*[1]FTES!Z60,0)</f>
        <v>370944</v>
      </c>
      <c r="J60" s="124">
        <f>ROUND($AR$4*[1]FTES!D60,0)</f>
        <v>35488000</v>
      </c>
      <c r="K60" s="125">
        <f t="shared" si="15"/>
        <v>40444600</v>
      </c>
      <c r="L60" s="125">
        <v>0</v>
      </c>
      <c r="M60" s="125">
        <f t="shared" si="0"/>
        <v>40444600</v>
      </c>
      <c r="N60" s="126">
        <f>(M60-H60-I60-F60)/[1]FTES!D60</f>
        <v>4564.8250694924136</v>
      </c>
      <c r="O60" s="125">
        <f>ROUND((M60+'[1]Restoration and Growth'!BM60)*$C$4,0)</f>
        <v>634980</v>
      </c>
      <c r="P60" s="125">
        <f>ROUND(M60+O60+'[1]Restoration and Growth'!BM60,0)</f>
        <v>41079580</v>
      </c>
      <c r="Q60" s="127">
        <f t="shared" si="16"/>
        <v>4636.4928229999996</v>
      </c>
      <c r="R60" s="125">
        <f t="shared" si="1"/>
        <v>-634980</v>
      </c>
      <c r="S60" s="128">
        <f>+'[1]13-14 $86M Workload Restore'!AJ58</f>
        <v>0</v>
      </c>
      <c r="T60" s="129">
        <f>+'[1]13-14 $86M Workload Restore'!AA58</f>
        <v>1949188</v>
      </c>
      <c r="U60" s="129">
        <f>'[1]Growth Deficit'!X60</f>
        <v>-1.8600000000000002E-4</v>
      </c>
      <c r="V60" s="125">
        <f>-1* '[1]Growth Deficit'!AR60</f>
        <v>1.8600000000000002E-4</v>
      </c>
      <c r="W60" s="125">
        <f t="shared" si="17"/>
        <v>0</v>
      </c>
      <c r="X60" s="129">
        <f>'[1]Restoration and Growth'!AQ60</f>
        <v>0</v>
      </c>
      <c r="Y60" s="125"/>
      <c r="Z60" s="130">
        <f>[1]FTES!AT60</f>
        <v>0</v>
      </c>
      <c r="AA60" s="131">
        <v>0</v>
      </c>
      <c r="AB60" s="125"/>
      <c r="AC60" s="132">
        <f>+'[1]Foundation Grant'!N60-'[1]Foundation Grant (OLD)'!N60</f>
        <v>0</v>
      </c>
      <c r="AD60" s="125">
        <f t="shared" si="2"/>
        <v>0</v>
      </c>
      <c r="AE60" s="125">
        <f t="shared" si="18"/>
        <v>43028768</v>
      </c>
      <c r="AF60" s="131">
        <f>ROUND((1-$AF$82)* AE60,0)</f>
        <v>280214</v>
      </c>
      <c r="AG60" s="125">
        <f t="shared" si="4"/>
        <v>42748554</v>
      </c>
      <c r="AH60" s="133">
        <v>0</v>
      </c>
      <c r="AI60" s="133">
        <v>3998321</v>
      </c>
      <c r="AJ60" s="125">
        <f t="shared" si="5"/>
        <v>28163711</v>
      </c>
      <c r="AK60" s="134">
        <f>+'[1]13-14 deferrals, growth, EPA 1'!I60</f>
        <v>6269389</v>
      </c>
      <c r="AL60" s="135">
        <f t="shared" si="6"/>
        <v>10586522</v>
      </c>
      <c r="AM60" s="135">
        <f>+'[1]13-14 deferrals, growth, EPA 1'!AA60</f>
        <v>72233</v>
      </c>
      <c r="AN60" s="135">
        <f>+'[1]13-14 deferrals, growth, EPA 1'!AB60</f>
        <v>373005</v>
      </c>
      <c r="AO60" s="135">
        <f>+'[1]13-14 deferrals, growth, EPA 1'!AC60</f>
        <v>539781</v>
      </c>
      <c r="AP60" s="135">
        <f t="shared" si="19"/>
        <v>3332114</v>
      </c>
      <c r="AQ60" s="135">
        <f t="shared" si="7"/>
        <v>280214</v>
      </c>
      <c r="AR60" s="125">
        <f t="shared" si="8"/>
        <v>4317133</v>
      </c>
      <c r="AS60" s="136">
        <f>IF(AI60+AJ60&gt;AG60,AI60+AJ60-AG60,0)</f>
        <v>0</v>
      </c>
      <c r="AT60" s="137">
        <f t="shared" si="10"/>
        <v>0.99348775219406704</v>
      </c>
      <c r="AU60" s="138">
        <f t="shared" si="11"/>
        <v>43028768</v>
      </c>
      <c r="AV60" s="139">
        <f>'[1]13-14 deferrals, growth, EPA 1'!BX60</f>
        <v>0</v>
      </c>
      <c r="AW60" s="10">
        <f t="shared" si="20"/>
        <v>0</v>
      </c>
      <c r="AX60" s="140">
        <v>0</v>
      </c>
      <c r="AY60" s="141">
        <v>0</v>
      </c>
      <c r="AZ60" s="142"/>
      <c r="BA60" s="133">
        <v>4270536</v>
      </c>
      <c r="BB60" s="143">
        <v>29650609</v>
      </c>
      <c r="BC60" s="133">
        <v>28855112</v>
      </c>
      <c r="BD60" s="142">
        <f>ROUND(+BC60*BD$83,0)</f>
        <v>691401</v>
      </c>
      <c r="BE60" s="142"/>
      <c r="BF60" s="142"/>
      <c r="BG60" s="142"/>
      <c r="BH60" s="142"/>
      <c r="BI60" s="142"/>
      <c r="BJ60" s="142"/>
      <c r="BK60" s="139">
        <v>0</v>
      </c>
      <c r="BL60" s="10">
        <f t="shared" si="21"/>
        <v>0</v>
      </c>
      <c r="BM60" s="16"/>
      <c r="BN60" s="16"/>
      <c r="BO60" s="16"/>
      <c r="BP60" s="16"/>
      <c r="BQ60" s="16"/>
      <c r="BR60" s="16"/>
      <c r="BS60" s="16"/>
      <c r="BT60" s="16"/>
      <c r="BU60" s="16"/>
      <c r="BV60" s="16"/>
      <c r="BW60" s="16"/>
      <c r="BX60" s="16"/>
      <c r="BY60" s="16"/>
      <c r="BZ60" s="16"/>
      <c r="CA60" s="116"/>
      <c r="CB60" s="16"/>
      <c r="CC60" s="16"/>
      <c r="CD60" s="16"/>
      <c r="CE60" s="16"/>
      <c r="CF60" s="16"/>
      <c r="CG60" s="16"/>
      <c r="CH60" s="16"/>
      <c r="CI60" s="16"/>
      <c r="CJ60" s="16"/>
      <c r="CK60" s="16"/>
      <c r="CL60" s="16"/>
      <c r="CM60" s="16"/>
    </row>
    <row r="61" spans="1:91" s="32" customFormat="1">
      <c r="A61" s="51" t="s">
        <v>162</v>
      </c>
      <c r="B61" s="152">
        <v>98686994</v>
      </c>
      <c r="C61" s="160">
        <v>-1031974</v>
      </c>
      <c r="D61" s="153">
        <f t="shared" si="13"/>
        <v>97655020</v>
      </c>
      <c r="E61" s="152"/>
      <c r="F61" s="154">
        <f>+'[1]Foundation Grant (OLD)'!N61</f>
        <v>9964635</v>
      </c>
      <c r="G61" s="155">
        <f t="shared" si="14"/>
        <v>0</v>
      </c>
      <c r="H61" s="156">
        <f>ROUND($AE$4*[1]FTES!O61,0)</f>
        <v>319678</v>
      </c>
      <c r="I61" s="156">
        <f>ROUND($AI$4*[1]FTES!Z61,0)</f>
        <v>0</v>
      </c>
      <c r="J61" s="157">
        <f>ROUND($AR$4*[1]FTES!D61,0)</f>
        <v>87370707</v>
      </c>
      <c r="K61" s="157">
        <f t="shared" si="15"/>
        <v>97655020</v>
      </c>
      <c r="L61" s="157">
        <v>0</v>
      </c>
      <c r="M61" s="157">
        <f t="shared" si="0"/>
        <v>97655020</v>
      </c>
      <c r="N61" s="126">
        <f>(M61-H61-I61-F61)/[1]FTES!D61</f>
        <v>4564.8251122388265</v>
      </c>
      <c r="O61" s="125">
        <f>ROUND((M61+'[1]Restoration and Growth'!BM61)*$C$4,0)</f>
        <v>1479669</v>
      </c>
      <c r="P61" s="125">
        <f>ROUND(M61+O61+'[1]Restoration and Growth'!BM61,0)</f>
        <v>95726094</v>
      </c>
      <c r="Q61" s="158">
        <f t="shared" si="16"/>
        <v>4636.4928669999999</v>
      </c>
      <c r="R61" s="157">
        <f t="shared" si="1"/>
        <v>1928926</v>
      </c>
      <c r="S61" s="157">
        <f>+'[1]13-14 $86M Workload Restore'!AJ59</f>
        <v>0</v>
      </c>
      <c r="T61" s="157">
        <f>+'[1]13-14 $86M Workload Restore'!AA59</f>
        <v>0</v>
      </c>
      <c r="U61" s="157">
        <f>'[1]Growth Deficit'!X61</f>
        <v>0</v>
      </c>
      <c r="V61" s="157">
        <f>-1* '[1]Growth Deficit'!AR61</f>
        <v>0</v>
      </c>
      <c r="W61" s="157">
        <f t="shared" si="17"/>
        <v>0</v>
      </c>
      <c r="X61" s="129">
        <f>'[1]Restoration and Growth'!AQ61</f>
        <v>3462110</v>
      </c>
      <c r="Y61" s="157"/>
      <c r="Z61" s="159">
        <f>[1]FTES!AT61</f>
        <v>0</v>
      </c>
      <c r="AA61" s="160">
        <v>0</v>
      </c>
      <c r="AB61" s="157"/>
      <c r="AC61" s="157">
        <f>+'[1]Foundation Grant'!N61-'[1]Foundation Grant (OLD)'!N61</f>
        <v>0</v>
      </c>
      <c r="AD61" s="157">
        <f t="shared" si="2"/>
        <v>0</v>
      </c>
      <c r="AE61" s="157">
        <f t="shared" si="18"/>
        <v>99188204</v>
      </c>
      <c r="AF61" s="160">
        <v>0</v>
      </c>
      <c r="AG61" s="157">
        <f t="shared" si="4"/>
        <v>99188204</v>
      </c>
      <c r="AH61" s="161">
        <v>0</v>
      </c>
      <c r="AI61" s="161">
        <v>8891071</v>
      </c>
      <c r="AJ61" s="125">
        <f t="shared" si="5"/>
        <v>109018502</v>
      </c>
      <c r="AK61" s="134">
        <f>+'[1]13-14 deferrals, growth, EPA 1'!I61</f>
        <v>1849328</v>
      </c>
      <c r="AL61" s="162">
        <f t="shared" si="6"/>
        <v>1849328</v>
      </c>
      <c r="AM61" s="162">
        <f>+'[1]13-14 deferrals, growth, EPA 1'!AA61</f>
        <v>0</v>
      </c>
      <c r="AN61" s="162">
        <f>+'[1]13-14 deferrals, growth, EPA 1'!AB61</f>
        <v>0</v>
      </c>
      <c r="AO61" s="162">
        <f>+'[1]13-14 deferrals, growth, EPA 1'!AC61</f>
        <v>0</v>
      </c>
      <c r="AP61" s="162">
        <f t="shared" si="19"/>
        <v>0</v>
      </c>
      <c r="AQ61" s="162">
        <f t="shared" si="7"/>
        <v>0</v>
      </c>
      <c r="AR61" s="168">
        <f t="shared" si="8"/>
        <v>0</v>
      </c>
      <c r="AS61" s="148">
        <f>IF(SUM(AI61:AK61)+AR61&gt;AG61,(SUM(AI61:AK61)+AR61-AG61),0)</f>
        <v>20570697</v>
      </c>
      <c r="AT61" s="137">
        <f t="shared" si="10"/>
        <v>1</v>
      </c>
      <c r="AU61" s="154">
        <f t="shared" si="11"/>
        <v>95726094</v>
      </c>
      <c r="AV61" s="139">
        <f>'[1]13-14 deferrals, growth, EPA 1'!BX61</f>
        <v>0</v>
      </c>
      <c r="AW61" s="152">
        <f t="shared" si="20"/>
        <v>0</v>
      </c>
      <c r="AX61" s="152">
        <v>0</v>
      </c>
      <c r="AY61" s="141">
        <v>0</v>
      </c>
      <c r="AZ61" s="163"/>
      <c r="BA61" s="161">
        <v>9614831</v>
      </c>
      <c r="BB61" s="143">
        <v>104175094</v>
      </c>
      <c r="BC61" s="161">
        <v>109018502</v>
      </c>
      <c r="BD61" s="164"/>
      <c r="BE61" s="39"/>
      <c r="BF61" s="39"/>
      <c r="BG61" s="39"/>
      <c r="BH61" s="39"/>
      <c r="BI61" s="39"/>
      <c r="BJ61" s="39"/>
      <c r="BK61" s="139">
        <v>0</v>
      </c>
      <c r="BL61" s="10">
        <f t="shared" si="21"/>
        <v>0</v>
      </c>
      <c r="BM61" s="51"/>
      <c r="BN61" s="51"/>
      <c r="BO61" s="51"/>
      <c r="BP61" s="51"/>
      <c r="BQ61" s="51"/>
      <c r="BR61" s="51"/>
      <c r="BS61" s="51"/>
      <c r="BT61" s="51"/>
      <c r="BU61" s="51"/>
      <c r="BV61" s="51"/>
      <c r="BW61" s="51"/>
      <c r="BX61" s="51"/>
      <c r="BY61" s="51"/>
      <c r="BZ61" s="51"/>
      <c r="CA61" s="166"/>
      <c r="CB61" s="51"/>
      <c r="CC61" s="51"/>
      <c r="CD61" s="51"/>
      <c r="CE61" s="51"/>
      <c r="CF61" s="51"/>
      <c r="CG61" s="51"/>
      <c r="CH61" s="51"/>
      <c r="CI61" s="51"/>
      <c r="CJ61" s="51"/>
      <c r="CK61" s="51"/>
      <c r="CL61" s="51"/>
      <c r="CM61" s="51"/>
    </row>
    <row r="62" spans="1:91" s="144" customFormat="1">
      <c r="A62" s="16" t="s">
        <v>163</v>
      </c>
      <c r="B62" s="118">
        <v>70581617</v>
      </c>
      <c r="C62" s="149">
        <v>0</v>
      </c>
      <c r="D62" s="120">
        <f t="shared" si="13"/>
        <v>70581617</v>
      </c>
      <c r="E62" s="10"/>
      <c r="F62" s="121">
        <f>+'[1]Foundation Grant (OLD)'!N62</f>
        <v>6643091</v>
      </c>
      <c r="G62" s="122">
        <f t="shared" si="14"/>
        <v>0</v>
      </c>
      <c r="H62" s="123">
        <f>ROUND($AE$4*[1]FTES!O62,0)</f>
        <v>1410799</v>
      </c>
      <c r="I62" s="123">
        <f>ROUND($AI$4*[1]FTES!Z62,0)</f>
        <v>1527604</v>
      </c>
      <c r="J62" s="124">
        <f>ROUND($AR$4*[1]FTES!D62,0)</f>
        <v>61000123</v>
      </c>
      <c r="K62" s="125">
        <f t="shared" si="15"/>
        <v>70581617</v>
      </c>
      <c r="L62" s="125">
        <v>0</v>
      </c>
      <c r="M62" s="125">
        <f t="shared" si="0"/>
        <v>70581617</v>
      </c>
      <c r="N62" s="126">
        <f>(M62-H62-I62-F62)/[1]FTES!D62</f>
        <v>4564.8251275294324</v>
      </c>
      <c r="O62" s="125">
        <f>ROUND((M62+'[1]Restoration and Growth'!BM62)*$C$4,0)</f>
        <v>1057260</v>
      </c>
      <c r="P62" s="125">
        <f>ROUND(M62+O62+'[1]Restoration and Growth'!BM62,0)</f>
        <v>68398669</v>
      </c>
      <c r="Q62" s="127">
        <f t="shared" si="16"/>
        <v>4636.4928819999996</v>
      </c>
      <c r="R62" s="125">
        <f t="shared" si="1"/>
        <v>2182948</v>
      </c>
      <c r="S62" s="128">
        <f>+'[1]13-14 $86M Workload Restore'!AJ60</f>
        <v>0</v>
      </c>
      <c r="T62" s="129">
        <f>+'[1]13-14 $86M Workload Restore'!AA60</f>
        <v>0</v>
      </c>
      <c r="U62" s="129">
        <f>'[1]Growth Deficit'!X62</f>
        <v>0</v>
      </c>
      <c r="V62" s="125">
        <f>-1* '[1]Growth Deficit'!AR62</f>
        <v>0</v>
      </c>
      <c r="W62" s="125">
        <f t="shared" si="17"/>
        <v>0</v>
      </c>
      <c r="X62" s="129">
        <f>'[1]Restoration and Growth'!AQ62</f>
        <v>3291079</v>
      </c>
      <c r="Y62" s="125"/>
      <c r="Z62" s="130">
        <f>[1]FTES!AT62</f>
        <v>0</v>
      </c>
      <c r="AA62" s="131">
        <v>0</v>
      </c>
      <c r="AB62" s="125"/>
      <c r="AC62" s="132">
        <f>+'[1]Foundation Grant'!N62-'[1]Foundation Grant (OLD)'!N62</f>
        <v>0</v>
      </c>
      <c r="AD62" s="125">
        <f t="shared" si="2"/>
        <v>0</v>
      </c>
      <c r="AE62" s="125">
        <f t="shared" si="18"/>
        <v>71689748</v>
      </c>
      <c r="AF62" s="131">
        <f t="shared" ref="AF62:AF70" si="26">ROUND((1-$AF$82)* AE62,0)</f>
        <v>466862</v>
      </c>
      <c r="AG62" s="125">
        <f t="shared" si="4"/>
        <v>71222886</v>
      </c>
      <c r="AH62" s="133">
        <v>0</v>
      </c>
      <c r="AI62" s="133">
        <v>8371189</v>
      </c>
      <c r="AJ62" s="125">
        <f t="shared" si="5"/>
        <v>24286752</v>
      </c>
      <c r="AK62" s="134">
        <f>+'[1]13-14 deferrals, growth, EPA 1'!I62</f>
        <v>10170744</v>
      </c>
      <c r="AL62" s="135">
        <f t="shared" si="6"/>
        <v>38564945</v>
      </c>
      <c r="AM62" s="135">
        <f>+'[1]13-14 deferrals, growth, EPA 1'!AA62</f>
        <v>120067</v>
      </c>
      <c r="AN62" s="135">
        <f>+'[1]13-14 deferrals, growth, EPA 1'!AB62</f>
        <v>620019</v>
      </c>
      <c r="AO62" s="135">
        <f>+'[1]13-14 deferrals, growth, EPA 1'!AC62</f>
        <v>897238</v>
      </c>
      <c r="AP62" s="135">
        <f t="shared" si="19"/>
        <v>26756877</v>
      </c>
      <c r="AQ62" s="135">
        <f t="shared" si="7"/>
        <v>466862</v>
      </c>
      <c r="AR62" s="125">
        <f t="shared" si="8"/>
        <v>28394201</v>
      </c>
      <c r="AS62" s="136">
        <f>IF(AI62+AJ62&gt;AG62,AI62+AJ62-AG62,0)</f>
        <v>0</v>
      </c>
      <c r="AT62" s="137">
        <f t="shared" si="10"/>
        <v>0.99348774388215177</v>
      </c>
      <c r="AU62" s="138">
        <f t="shared" si="11"/>
        <v>68398669</v>
      </c>
      <c r="AV62" s="139">
        <f>'[1]13-14 deferrals, growth, EPA 1'!BX62</f>
        <v>0</v>
      </c>
      <c r="AW62" s="10">
        <f t="shared" si="20"/>
        <v>0</v>
      </c>
      <c r="AX62" s="140">
        <v>0</v>
      </c>
      <c r="AY62" s="141">
        <v>0</v>
      </c>
      <c r="AZ62" s="142"/>
      <c r="BA62" s="133">
        <v>8859886</v>
      </c>
      <c r="BB62" s="143">
        <v>24579553</v>
      </c>
      <c r="BC62" s="133">
        <v>24882976</v>
      </c>
      <c r="BD62" s="142">
        <f t="shared" ref="BD62:BD70" si="27">ROUND(+BC62*BD$83,0)</f>
        <v>596224</v>
      </c>
      <c r="BE62" s="142"/>
      <c r="BF62" s="142"/>
      <c r="BG62" s="142"/>
      <c r="BH62" s="142"/>
      <c r="BI62" s="142"/>
      <c r="BJ62" s="142"/>
      <c r="BK62" s="139">
        <v>0</v>
      </c>
      <c r="BL62" s="10">
        <f t="shared" si="21"/>
        <v>0</v>
      </c>
      <c r="BM62" s="16"/>
      <c r="BN62" s="16"/>
      <c r="BO62" s="16"/>
      <c r="BP62" s="16"/>
      <c r="BQ62" s="16"/>
      <c r="BR62" s="16"/>
      <c r="BS62" s="16"/>
      <c r="BT62" s="16"/>
      <c r="BU62" s="16"/>
      <c r="BV62" s="16"/>
      <c r="BW62" s="16"/>
      <c r="BX62" s="16"/>
      <c r="BY62" s="16"/>
      <c r="BZ62" s="16"/>
      <c r="CA62" s="116"/>
      <c r="CB62" s="16"/>
      <c r="CC62" s="16"/>
      <c r="CD62" s="16"/>
      <c r="CE62" s="16"/>
      <c r="CF62" s="16"/>
      <c r="CG62" s="16"/>
      <c r="CH62" s="16"/>
      <c r="CI62" s="16"/>
      <c r="CJ62" s="16"/>
      <c r="CK62" s="16"/>
      <c r="CL62" s="16"/>
      <c r="CM62" s="16"/>
    </row>
    <row r="63" spans="1:91" s="144" customFormat="1">
      <c r="A63" s="16" t="s">
        <v>164</v>
      </c>
      <c r="B63" s="118">
        <v>67296604</v>
      </c>
      <c r="C63" s="146">
        <f>1525788-71235+71235</f>
        <v>1525788</v>
      </c>
      <c r="D63" s="120">
        <f t="shared" si="13"/>
        <v>68822392</v>
      </c>
      <c r="E63" s="10"/>
      <c r="F63" s="121">
        <f>+'[1]Foundation Grant (OLD)'!N63</f>
        <v>5535909</v>
      </c>
      <c r="G63" s="122">
        <f t="shared" si="14"/>
        <v>1</v>
      </c>
      <c r="H63" s="150">
        <f>ROUND($AE$4*[1]FTES!O63,0)</f>
        <v>612729</v>
      </c>
      <c r="I63" s="150">
        <f>ROUND($AI$4*[1]FTES!Z63,0)</f>
        <v>366129</v>
      </c>
      <c r="J63" s="124">
        <f>ROUND($AR$4*[1]FTES!D63,0)</f>
        <v>62307626</v>
      </c>
      <c r="K63" s="125">
        <f t="shared" si="15"/>
        <v>68822393</v>
      </c>
      <c r="L63" s="125">
        <v>0</v>
      </c>
      <c r="M63" s="125">
        <f t="shared" si="0"/>
        <v>68822393</v>
      </c>
      <c r="N63" s="126">
        <f>(M63-H63-I63-F63)/[1]FTES!D63</f>
        <v>4564.8251109380481</v>
      </c>
      <c r="O63" s="125">
        <f>ROUND((M63+'[1]Restoration and Growth'!BM63)*$C$4,0)</f>
        <v>1080512</v>
      </c>
      <c r="P63" s="125">
        <f>ROUND(M63+O63+'[1]Restoration and Growth'!BM63,0)</f>
        <v>69902905</v>
      </c>
      <c r="Q63" s="127">
        <f t="shared" si="16"/>
        <v>4636.4928650000002</v>
      </c>
      <c r="R63" s="125">
        <f t="shared" si="1"/>
        <v>-1080512</v>
      </c>
      <c r="S63" s="128">
        <f>+'[1]13-14 $86M Workload Restore'!AJ61</f>
        <v>2368364</v>
      </c>
      <c r="T63" s="129">
        <f>+'[1]13-14 $86M Workload Restore'!AA61</f>
        <v>0</v>
      </c>
      <c r="U63" s="125">
        <f>'[1]Growth Deficit'!X63</f>
        <v>655.46</v>
      </c>
      <c r="V63" s="125">
        <f>-1* '[1]Growth Deficit'!AR63</f>
        <v>-655.46</v>
      </c>
      <c r="W63" s="125">
        <f t="shared" si="17"/>
        <v>0</v>
      </c>
      <c r="X63" s="129">
        <f>'[1]Restoration and Growth'!AQ63</f>
        <v>0</v>
      </c>
      <c r="Y63" s="125"/>
      <c r="Z63" s="151">
        <f>[1]FTES!AT63</f>
        <v>0</v>
      </c>
      <c r="AA63" s="146">
        <v>0</v>
      </c>
      <c r="AB63" s="125"/>
      <c r="AC63" s="125">
        <f>+'[1]Foundation Grant'!N63-'[1]Foundation Grant (OLD)'!N63</f>
        <v>0</v>
      </c>
      <c r="AD63" s="125">
        <f t="shared" si="2"/>
        <v>0</v>
      </c>
      <c r="AE63" s="125">
        <f t="shared" si="18"/>
        <v>72271269</v>
      </c>
      <c r="AF63" s="131">
        <f t="shared" si="26"/>
        <v>470649</v>
      </c>
      <c r="AG63" s="125">
        <f t="shared" si="4"/>
        <v>71800620</v>
      </c>
      <c r="AH63" s="171">
        <v>0</v>
      </c>
      <c r="AI63" s="133">
        <v>7981094</v>
      </c>
      <c r="AJ63" s="125">
        <f t="shared" si="5"/>
        <v>12667122</v>
      </c>
      <c r="AK63" s="134">
        <f>+'[1]13-14 deferrals, growth, EPA 1'!I63</f>
        <v>10326812</v>
      </c>
      <c r="AL63" s="135">
        <f t="shared" si="6"/>
        <v>51152404</v>
      </c>
      <c r="AM63" s="135">
        <f>+'[1]13-14 deferrals, growth, EPA 1'!AA63</f>
        <v>121079</v>
      </c>
      <c r="AN63" s="135">
        <f>+'[1]13-14 deferrals, growth, EPA 1'!AB63</f>
        <v>625241</v>
      </c>
      <c r="AO63" s="135">
        <f>+'[1]13-14 deferrals, growth, EPA 1'!AC63</f>
        <v>904795</v>
      </c>
      <c r="AP63" s="135">
        <f t="shared" si="19"/>
        <v>39174477</v>
      </c>
      <c r="AQ63" s="135">
        <f t="shared" si="7"/>
        <v>470649</v>
      </c>
      <c r="AR63" s="125">
        <f t="shared" si="8"/>
        <v>40825592</v>
      </c>
      <c r="AS63" s="136">
        <f>IF(AI63+AJ63&gt;AG63,AI63+AJ63-AG63,0)</f>
        <v>0</v>
      </c>
      <c r="AT63" s="137">
        <f t="shared" si="10"/>
        <v>0.9934877440715757</v>
      </c>
      <c r="AU63" s="138">
        <f t="shared" si="11"/>
        <v>72271269</v>
      </c>
      <c r="AV63" s="139">
        <f>'[1]13-14 deferrals, growth, EPA 1'!BX63</f>
        <v>0</v>
      </c>
      <c r="AW63" s="10">
        <f t="shared" si="20"/>
        <v>0</v>
      </c>
      <c r="AX63" s="10">
        <v>0</v>
      </c>
      <c r="AY63" s="141">
        <v>0</v>
      </c>
      <c r="AZ63" s="142"/>
      <c r="BA63" s="171">
        <v>6860000</v>
      </c>
      <c r="BB63" s="172">
        <v>12813703</v>
      </c>
      <c r="BC63" s="133">
        <v>12978092</v>
      </c>
      <c r="BD63" s="142">
        <f t="shared" si="27"/>
        <v>310970</v>
      </c>
      <c r="BE63" s="142"/>
      <c r="BF63" s="142"/>
      <c r="BG63" s="142"/>
      <c r="BH63" s="142"/>
      <c r="BI63" s="142"/>
      <c r="BJ63" s="142"/>
      <c r="BK63" s="139">
        <v>0</v>
      </c>
      <c r="BL63" s="10">
        <f t="shared" si="21"/>
        <v>0</v>
      </c>
      <c r="BM63" s="16"/>
      <c r="BN63" s="16"/>
      <c r="BO63" s="16"/>
      <c r="BP63" s="16"/>
      <c r="BQ63" s="16"/>
      <c r="BR63" s="16"/>
      <c r="BS63" s="16"/>
      <c r="BT63" s="16"/>
      <c r="BU63" s="16"/>
      <c r="BV63" s="16"/>
      <c r="BW63" s="16"/>
      <c r="BX63" s="16"/>
      <c r="BY63" s="16"/>
      <c r="BZ63" s="16"/>
      <c r="CA63" s="116"/>
      <c r="CB63" s="16"/>
      <c r="CC63" s="16"/>
      <c r="CD63" s="16"/>
      <c r="CE63" s="16"/>
      <c r="CF63" s="16"/>
      <c r="CG63" s="16"/>
      <c r="CH63" s="16"/>
      <c r="CI63" s="16"/>
      <c r="CJ63" s="16"/>
      <c r="CK63" s="16"/>
      <c r="CL63" s="16"/>
      <c r="CM63" s="16"/>
    </row>
    <row r="64" spans="1:91" s="144" customFormat="1">
      <c r="A64" s="16" t="s">
        <v>165</v>
      </c>
      <c r="B64" s="118">
        <v>101481343</v>
      </c>
      <c r="C64" s="149">
        <v>0</v>
      </c>
      <c r="D64" s="120">
        <f t="shared" si="13"/>
        <v>101481343</v>
      </c>
      <c r="E64" s="10"/>
      <c r="F64" s="121">
        <f>+'[1]Foundation Grant (OLD)'!N64</f>
        <v>6643091</v>
      </c>
      <c r="G64" s="122">
        <f t="shared" si="14"/>
        <v>0</v>
      </c>
      <c r="H64" s="123">
        <f>ROUND($AE$4*[1]FTES!O64,0)</f>
        <v>1594024</v>
      </c>
      <c r="I64" s="123">
        <f>ROUND($AI$4*[1]FTES!Z64,0)</f>
        <v>514222</v>
      </c>
      <c r="J64" s="124">
        <f>ROUND($AR$4*[1]FTES!D64,0)</f>
        <v>91250962</v>
      </c>
      <c r="K64" s="125">
        <f t="shared" si="15"/>
        <v>100002299</v>
      </c>
      <c r="L64" s="125">
        <f>IF(D64&gt;K64,D64-K64,0)</f>
        <v>1479044</v>
      </c>
      <c r="M64" s="125">
        <f t="shared" si="0"/>
        <v>101481343</v>
      </c>
      <c r="N64" s="126">
        <f>(M64-H64-I64-F64)/[1]FTES!D64</f>
        <v>4638.8142272823952</v>
      </c>
      <c r="O64" s="125">
        <f>ROUND((M64+'[1]Restoration and Growth'!BM64)*$C$4,0)</f>
        <v>1593257</v>
      </c>
      <c r="P64" s="125">
        <f>ROUND(M64+O64+'[1]Restoration and Growth'!BM64,0)</f>
        <v>103074600</v>
      </c>
      <c r="Q64" s="127">
        <f t="shared" si="16"/>
        <v>4711.6436110000004</v>
      </c>
      <c r="R64" s="125">
        <f t="shared" si="1"/>
        <v>-1593257</v>
      </c>
      <c r="S64" s="128">
        <f>+'[1]13-14 $86M Workload Restore'!AJ62</f>
        <v>2256852</v>
      </c>
      <c r="T64" s="129">
        <f>+'[1]13-14 $86M Workload Restore'!AA62</f>
        <v>0</v>
      </c>
      <c r="U64" s="129">
        <f>'[1]Growth Deficit'!X64</f>
        <v>688.94637399999999</v>
      </c>
      <c r="V64" s="125">
        <f>-1* '[1]Growth Deficit'!AR64</f>
        <v>-688.94637399999999</v>
      </c>
      <c r="W64" s="125">
        <f t="shared" si="17"/>
        <v>0</v>
      </c>
      <c r="X64" s="129">
        <f>'[1]Restoration and Growth'!AQ64</f>
        <v>0</v>
      </c>
      <c r="Y64" s="125"/>
      <c r="Z64" s="130">
        <f>[1]FTES!AT64</f>
        <v>0</v>
      </c>
      <c r="AA64" s="131">
        <v>0</v>
      </c>
      <c r="AB64" s="125"/>
      <c r="AC64" s="132">
        <f>+'[1]Foundation Grant'!N64-'[1]Foundation Grant (OLD)'!N64</f>
        <v>0</v>
      </c>
      <c r="AD64" s="125">
        <f t="shared" si="2"/>
        <v>0</v>
      </c>
      <c r="AE64" s="125">
        <f t="shared" si="18"/>
        <v>105331452</v>
      </c>
      <c r="AF64" s="131">
        <f t="shared" si="26"/>
        <v>685945</v>
      </c>
      <c r="AG64" s="125">
        <f t="shared" si="4"/>
        <v>104645507</v>
      </c>
      <c r="AH64" s="133">
        <v>0</v>
      </c>
      <c r="AI64" s="133">
        <v>12934502</v>
      </c>
      <c r="AJ64" s="125">
        <f t="shared" si="5"/>
        <v>17196269</v>
      </c>
      <c r="AK64" s="134">
        <f>+'[1]13-14 deferrals, growth, EPA 1'!I64</f>
        <v>14841553</v>
      </c>
      <c r="AL64" s="135">
        <f t="shared" si="6"/>
        <v>74514736</v>
      </c>
      <c r="AM64" s="135">
        <f>+'[1]13-14 deferrals, growth, EPA 1'!AA64</f>
        <v>176682</v>
      </c>
      <c r="AN64" s="135">
        <f>+'[1]13-14 deferrals, growth, EPA 1'!AB64</f>
        <v>912374</v>
      </c>
      <c r="AO64" s="135">
        <f>+'[1]13-14 deferrals, growth, EPA 1'!AC64</f>
        <v>1320309</v>
      </c>
      <c r="AP64" s="135">
        <f t="shared" si="19"/>
        <v>57263818</v>
      </c>
      <c r="AQ64" s="135">
        <f t="shared" si="7"/>
        <v>685945</v>
      </c>
      <c r="AR64" s="125">
        <f t="shared" si="8"/>
        <v>59673183</v>
      </c>
      <c r="AS64" s="136">
        <f>IF(AI64+AJ64&gt;AG64,AI64+AJ64-AG64,0)</f>
        <v>0</v>
      </c>
      <c r="AT64" s="137">
        <f t="shared" si="10"/>
        <v>0.99348774761027692</v>
      </c>
      <c r="AU64" s="138">
        <f t="shared" si="11"/>
        <v>105331452</v>
      </c>
      <c r="AV64" s="139">
        <f>'[1]13-14 deferrals, growth, EPA 1'!BX64</f>
        <v>0</v>
      </c>
      <c r="AW64" s="10">
        <f t="shared" si="20"/>
        <v>0</v>
      </c>
      <c r="AX64" s="140">
        <v>0</v>
      </c>
      <c r="AY64" s="141">
        <v>0</v>
      </c>
      <c r="AZ64" s="142"/>
      <c r="BA64" s="133">
        <v>13113850</v>
      </c>
      <c r="BB64" s="143">
        <v>17767648</v>
      </c>
      <c r="BC64" s="133">
        <v>17618426</v>
      </c>
      <c r="BD64" s="142">
        <f t="shared" si="27"/>
        <v>422157</v>
      </c>
      <c r="BE64" s="142"/>
      <c r="BF64" s="142"/>
      <c r="BG64" s="142"/>
      <c r="BH64" s="142"/>
      <c r="BI64" s="142"/>
      <c r="BJ64" s="142"/>
      <c r="BK64" s="139">
        <v>0</v>
      </c>
      <c r="BL64" s="10">
        <f t="shared" si="21"/>
        <v>0</v>
      </c>
      <c r="BM64" s="16"/>
      <c r="BN64" s="16"/>
      <c r="BO64" s="16"/>
      <c r="BP64" s="16"/>
      <c r="BQ64" s="16"/>
      <c r="BR64" s="16"/>
      <c r="BS64" s="16"/>
      <c r="BT64" s="16"/>
      <c r="BU64" s="16"/>
      <c r="BV64" s="16"/>
      <c r="BW64" s="16"/>
      <c r="BX64" s="16"/>
      <c r="BY64" s="16"/>
      <c r="BZ64" s="16"/>
      <c r="CA64" s="116"/>
      <c r="CB64" s="16"/>
      <c r="CC64" s="16"/>
      <c r="CD64" s="16"/>
      <c r="CE64" s="16"/>
      <c r="CF64" s="16"/>
      <c r="CG64" s="16"/>
      <c r="CH64" s="16"/>
      <c r="CI64" s="16"/>
      <c r="CJ64" s="16"/>
      <c r="CK64" s="16"/>
      <c r="CL64" s="16"/>
      <c r="CM64" s="16"/>
    </row>
    <row r="65" spans="1:91" s="144" customFormat="1">
      <c r="A65" s="16" t="s">
        <v>166</v>
      </c>
      <c r="B65" s="118">
        <v>43487184</v>
      </c>
      <c r="C65" s="149">
        <v>0</v>
      </c>
      <c r="D65" s="120">
        <f t="shared" si="13"/>
        <v>43487184</v>
      </c>
      <c r="E65" s="10"/>
      <c r="F65" s="121">
        <f>+'[1]Foundation Grant (OLD)'!N65</f>
        <v>5535909</v>
      </c>
      <c r="G65" s="122">
        <f t="shared" si="14"/>
        <v>0</v>
      </c>
      <c r="H65" s="123">
        <f>ROUND($AE$4*[1]FTES!O65,0)</f>
        <v>912149</v>
      </c>
      <c r="I65" s="123">
        <f>ROUND($AI$4*[1]FTES!Z65,0)</f>
        <v>221170</v>
      </c>
      <c r="J65" s="124">
        <f>ROUND($AR$4*[1]FTES!D65,0)</f>
        <v>36817956</v>
      </c>
      <c r="K65" s="125">
        <f t="shared" si="15"/>
        <v>43487184</v>
      </c>
      <c r="L65" s="125">
        <v>0</v>
      </c>
      <c r="M65" s="125">
        <f t="shared" si="0"/>
        <v>43487184</v>
      </c>
      <c r="N65" s="126">
        <f>(M65-H65-I65-F65)/[1]FTES!D65</f>
        <v>4564.8250881241793</v>
      </c>
      <c r="O65" s="125">
        <f>ROUND((M65+'[1]Restoration and Growth'!BM65)*$C$4,0)</f>
        <v>682749</v>
      </c>
      <c r="P65" s="125">
        <f>ROUND(M65+O65+'[1]Restoration and Growth'!BM65,0)</f>
        <v>44169933</v>
      </c>
      <c r="Q65" s="127">
        <f t="shared" si="16"/>
        <v>4636.4928419999997</v>
      </c>
      <c r="R65" s="125">
        <f t="shared" si="1"/>
        <v>-682749</v>
      </c>
      <c r="S65" s="128">
        <f>+'[1]13-14 $86M Workload Restore'!AJ63</f>
        <v>902417</v>
      </c>
      <c r="T65" s="129">
        <f>+'[1]13-14 $86M Workload Restore'!AA63</f>
        <v>0</v>
      </c>
      <c r="U65" s="129">
        <f>'[1]Growth Deficit'!X65</f>
        <v>965.77155899999991</v>
      </c>
      <c r="V65" s="125">
        <f>-1* '[1]Growth Deficit'!AR65</f>
        <v>-965.77155899999991</v>
      </c>
      <c r="W65" s="125">
        <f t="shared" si="17"/>
        <v>0</v>
      </c>
      <c r="X65" s="129">
        <f>'[1]Restoration and Growth'!AQ65</f>
        <v>0</v>
      </c>
      <c r="Y65" s="125"/>
      <c r="Z65" s="130">
        <f>[1]FTES!AT65</f>
        <v>0</v>
      </c>
      <c r="AA65" s="131">
        <v>0</v>
      </c>
      <c r="AB65" s="125"/>
      <c r="AC65" s="132">
        <f>+'[1]Foundation Grant'!N65-'[1]Foundation Grant (OLD)'!N65</f>
        <v>0</v>
      </c>
      <c r="AD65" s="125">
        <f t="shared" si="2"/>
        <v>0</v>
      </c>
      <c r="AE65" s="125">
        <f t="shared" si="18"/>
        <v>45072350</v>
      </c>
      <c r="AF65" s="131">
        <f t="shared" si="26"/>
        <v>293522</v>
      </c>
      <c r="AG65" s="125">
        <f t="shared" si="4"/>
        <v>44778828</v>
      </c>
      <c r="AH65" s="133">
        <v>0</v>
      </c>
      <c r="AI65" s="133">
        <v>2247289</v>
      </c>
      <c r="AJ65" s="125">
        <f t="shared" si="5"/>
        <v>11014761</v>
      </c>
      <c r="AK65" s="134">
        <f>+'[1]13-14 deferrals, growth, EPA 1'!I65</f>
        <v>6878911</v>
      </c>
      <c r="AL65" s="135">
        <f t="shared" si="6"/>
        <v>31516778</v>
      </c>
      <c r="AM65" s="135">
        <f>+'[1]13-14 deferrals, growth, EPA 1'!AA65</f>
        <v>75596</v>
      </c>
      <c r="AN65" s="135">
        <f>+'[1]13-14 deferrals, growth, EPA 1'!AB65</f>
        <v>390374</v>
      </c>
      <c r="AO65" s="135">
        <f>+'[1]13-14 deferrals, growth, EPA 1'!AC65</f>
        <v>564916</v>
      </c>
      <c r="AP65" s="135">
        <f t="shared" si="19"/>
        <v>23606981</v>
      </c>
      <c r="AQ65" s="135">
        <f t="shared" si="7"/>
        <v>293522</v>
      </c>
      <c r="AR65" s="125">
        <f t="shared" si="8"/>
        <v>24637867</v>
      </c>
      <c r="AS65" s="136">
        <f>IF(AI65+AJ65&gt;AG65,AI65+AJ65-AG65,0)</f>
        <v>0</v>
      </c>
      <c r="AT65" s="137">
        <f t="shared" si="10"/>
        <v>0.99348775912505116</v>
      </c>
      <c r="AU65" s="138">
        <f t="shared" si="11"/>
        <v>45072350</v>
      </c>
      <c r="AV65" s="139">
        <f>'[1]13-14 deferrals, growth, EPA 1'!BX65</f>
        <v>0</v>
      </c>
      <c r="AW65" s="10">
        <f t="shared" si="20"/>
        <v>0</v>
      </c>
      <c r="AX65" s="140">
        <v>0</v>
      </c>
      <c r="AY65" s="141">
        <v>0</v>
      </c>
      <c r="AZ65" s="142"/>
      <c r="BA65" s="133">
        <v>2289091</v>
      </c>
      <c r="BB65" s="143">
        <v>9693852</v>
      </c>
      <c r="BC65" s="133">
        <v>11285166</v>
      </c>
      <c r="BD65" s="142">
        <f t="shared" si="27"/>
        <v>270405</v>
      </c>
      <c r="BE65" s="142"/>
      <c r="BF65" s="142"/>
      <c r="BG65" s="142"/>
      <c r="BH65" s="142"/>
      <c r="BI65" s="142"/>
      <c r="BJ65" s="142"/>
      <c r="BK65" s="139">
        <v>0</v>
      </c>
      <c r="BL65" s="10">
        <f t="shared" si="21"/>
        <v>0</v>
      </c>
      <c r="BM65" s="16"/>
      <c r="BN65" s="16"/>
      <c r="BO65" s="16"/>
      <c r="BP65" s="16"/>
      <c r="BQ65" s="16"/>
      <c r="BR65" s="16"/>
      <c r="BS65" s="16"/>
      <c r="BT65" s="16"/>
      <c r="BU65" s="16"/>
      <c r="BV65" s="16"/>
      <c r="BW65" s="16"/>
      <c r="BX65" s="16"/>
      <c r="BY65" s="16"/>
      <c r="BZ65" s="16"/>
      <c r="CA65" s="116"/>
      <c r="CB65" s="16"/>
      <c r="CC65" s="16"/>
      <c r="CD65" s="16"/>
      <c r="CE65" s="16"/>
      <c r="CF65" s="16"/>
      <c r="CG65" s="16"/>
      <c r="CH65" s="16"/>
      <c r="CI65" s="16"/>
      <c r="CJ65" s="16"/>
      <c r="CK65" s="16"/>
      <c r="CL65" s="16"/>
      <c r="CM65" s="16"/>
    </row>
    <row r="66" spans="1:91" s="144" customFormat="1">
      <c r="A66" s="16" t="s">
        <v>167</v>
      </c>
      <c r="B66" s="118">
        <v>36164547</v>
      </c>
      <c r="C66" s="149">
        <v>0</v>
      </c>
      <c r="D66" s="120">
        <f t="shared" si="13"/>
        <v>36164547</v>
      </c>
      <c r="E66" s="10"/>
      <c r="F66" s="121">
        <f>+'[1]Foundation Grant (OLD)'!N66</f>
        <v>3321545</v>
      </c>
      <c r="G66" s="122">
        <f t="shared" si="14"/>
        <v>0</v>
      </c>
      <c r="H66" s="123">
        <f>ROUND($AE$4*[1]FTES!O66,0)</f>
        <v>543502</v>
      </c>
      <c r="I66" s="123">
        <f>ROUND($AI$4*[1]FTES!Z66,0)</f>
        <v>0</v>
      </c>
      <c r="J66" s="124">
        <f>ROUND($AR$4*[1]FTES!D66,0)</f>
        <v>32299500</v>
      </c>
      <c r="K66" s="125">
        <f t="shared" si="15"/>
        <v>36164547</v>
      </c>
      <c r="L66" s="125">
        <v>0</v>
      </c>
      <c r="M66" s="125">
        <f t="shared" si="0"/>
        <v>36164547</v>
      </c>
      <c r="N66" s="126">
        <f>(M66-H66-I66-F66)/[1]FTES!D66</f>
        <v>4564.8251373169596</v>
      </c>
      <c r="O66" s="125">
        <f>ROUND((M66+'[1]Restoration and Growth'!BM66)*$C$4,0)</f>
        <v>509262</v>
      </c>
      <c r="P66" s="125">
        <f>ROUND(M66+O66+'[1]Restoration and Growth'!BM66,0)</f>
        <v>32946323</v>
      </c>
      <c r="Q66" s="127">
        <f t="shared" si="16"/>
        <v>4636.4928920000002</v>
      </c>
      <c r="R66" s="125">
        <f t="shared" si="1"/>
        <v>3218224</v>
      </c>
      <c r="S66" s="128">
        <f>+'[1]13-14 $86M Workload Restore'!AJ64</f>
        <v>0</v>
      </c>
      <c r="T66" s="129">
        <f>+'[1]13-14 $86M Workload Restore'!AA64</f>
        <v>0</v>
      </c>
      <c r="U66" s="129">
        <f>'[1]Growth Deficit'!X66</f>
        <v>0</v>
      </c>
      <c r="V66" s="125">
        <f>-1* '[1]Growth Deficit'!AR66</f>
        <v>0</v>
      </c>
      <c r="W66" s="125">
        <f t="shared" si="17"/>
        <v>0</v>
      </c>
      <c r="X66" s="129">
        <f>'[1]Restoration and Growth'!AQ66</f>
        <v>3786008</v>
      </c>
      <c r="Y66" s="125"/>
      <c r="Z66" s="130">
        <f>[1]FTES!AT66</f>
        <v>0</v>
      </c>
      <c r="AA66" s="131">
        <v>0</v>
      </c>
      <c r="AB66" s="125"/>
      <c r="AC66" s="132">
        <f>+'[1]Foundation Grant'!N66-'[1]Foundation Grant (OLD)'!N66</f>
        <v>0</v>
      </c>
      <c r="AD66" s="125">
        <f t="shared" si="2"/>
        <v>0</v>
      </c>
      <c r="AE66" s="125">
        <f t="shared" si="18"/>
        <v>36732331</v>
      </c>
      <c r="AF66" s="131">
        <f t="shared" si="26"/>
        <v>239210</v>
      </c>
      <c r="AG66" s="125">
        <f t="shared" si="4"/>
        <v>36493121</v>
      </c>
      <c r="AH66" s="133">
        <v>0</v>
      </c>
      <c r="AI66" s="133">
        <v>2110614</v>
      </c>
      <c r="AJ66" s="125">
        <f t="shared" si="5"/>
        <v>12260614</v>
      </c>
      <c r="AK66" s="134">
        <f>+'[1]13-14 deferrals, growth, EPA 1'!I66</f>
        <v>5561223</v>
      </c>
      <c r="AL66" s="135">
        <f t="shared" si="6"/>
        <v>22121893</v>
      </c>
      <c r="AM66" s="135">
        <f>+'[1]13-14 deferrals, growth, EPA 1'!AA66</f>
        <v>61520</v>
      </c>
      <c r="AN66" s="135">
        <f>+'[1]13-14 deferrals, growth, EPA 1'!AB66</f>
        <v>317685</v>
      </c>
      <c r="AO66" s="135">
        <f>+'[1]13-14 deferrals, growth, EPA 1'!AC66</f>
        <v>459726</v>
      </c>
      <c r="AP66" s="135">
        <f t="shared" si="19"/>
        <v>15721739</v>
      </c>
      <c r="AQ66" s="135">
        <f t="shared" si="7"/>
        <v>239210</v>
      </c>
      <c r="AR66" s="125">
        <f t="shared" si="8"/>
        <v>16560670</v>
      </c>
      <c r="AS66" s="136">
        <f>IF(AI66+AJ66&gt;AG66,AI66+AJ66-AG66,0)</f>
        <v>0</v>
      </c>
      <c r="AT66" s="137">
        <f t="shared" si="10"/>
        <v>0.99348775333642725</v>
      </c>
      <c r="AU66" s="138">
        <f t="shared" si="11"/>
        <v>32946323</v>
      </c>
      <c r="AV66" s="139">
        <f>'[1]13-14 deferrals, growth, EPA 1'!BX66</f>
        <v>0</v>
      </c>
      <c r="AW66" s="10">
        <f t="shared" si="20"/>
        <v>0</v>
      </c>
      <c r="AX66" s="140">
        <v>0</v>
      </c>
      <c r="AY66" s="141">
        <v>0</v>
      </c>
      <c r="AZ66" s="142"/>
      <c r="BA66" s="133">
        <v>2364306</v>
      </c>
      <c r="BB66" s="143">
        <v>12554591</v>
      </c>
      <c r="BC66" s="133">
        <v>12561604</v>
      </c>
      <c r="BD66" s="142">
        <f t="shared" si="27"/>
        <v>300990</v>
      </c>
      <c r="BE66" s="142"/>
      <c r="BF66" s="142"/>
      <c r="BG66" s="142"/>
      <c r="BH66" s="142"/>
      <c r="BI66" s="142"/>
      <c r="BJ66" s="142"/>
      <c r="BK66" s="139">
        <v>0</v>
      </c>
      <c r="BL66" s="10">
        <f t="shared" si="21"/>
        <v>0</v>
      </c>
      <c r="BM66" s="16"/>
      <c r="BN66" s="16"/>
      <c r="BO66" s="16"/>
      <c r="BP66" s="16"/>
      <c r="BQ66" s="16"/>
      <c r="BR66" s="16"/>
      <c r="BS66" s="16"/>
      <c r="BT66" s="16"/>
      <c r="BU66" s="16"/>
      <c r="BV66" s="16"/>
      <c r="BW66" s="16"/>
      <c r="BX66" s="16"/>
      <c r="BY66" s="16"/>
      <c r="BZ66" s="16"/>
      <c r="CA66" s="116"/>
      <c r="CB66" s="16"/>
      <c r="CC66" s="16"/>
      <c r="CD66" s="16"/>
      <c r="CE66" s="16"/>
      <c r="CF66" s="16"/>
      <c r="CG66" s="16"/>
      <c r="CH66" s="16"/>
      <c r="CI66" s="16"/>
      <c r="CJ66" s="16"/>
      <c r="CK66" s="16"/>
      <c r="CL66" s="16"/>
      <c r="CM66" s="16"/>
    </row>
    <row r="67" spans="1:91" s="144" customFormat="1">
      <c r="A67" s="16" t="s">
        <v>168</v>
      </c>
      <c r="B67" s="118">
        <v>71613198</v>
      </c>
      <c r="C67" s="149">
        <v>0</v>
      </c>
      <c r="D67" s="120">
        <f t="shared" si="13"/>
        <v>71613198</v>
      </c>
      <c r="E67" s="10"/>
      <c r="F67" s="121">
        <f>+'[1]Foundation Grant (OLD)'!N67</f>
        <v>5674307</v>
      </c>
      <c r="G67" s="122">
        <f t="shared" si="14"/>
        <v>0</v>
      </c>
      <c r="H67" s="123">
        <f>ROUND($AE$4*[1]FTES!O67,0)</f>
        <v>947148</v>
      </c>
      <c r="I67" s="123">
        <f>ROUND($AI$4*[1]FTES!Z67,0)</f>
        <v>0</v>
      </c>
      <c r="J67" s="124">
        <f>ROUND($AR$4*[1]FTES!D67,0)</f>
        <v>64991743</v>
      </c>
      <c r="K67" s="125">
        <f t="shared" si="15"/>
        <v>71613198</v>
      </c>
      <c r="L67" s="125">
        <v>0</v>
      </c>
      <c r="M67" s="125">
        <f t="shared" si="0"/>
        <v>71613198</v>
      </c>
      <c r="N67" s="126">
        <f>(M67-H67-I67-F67)/[1]FTES!D67</f>
        <v>4564.8251044625922</v>
      </c>
      <c r="O67" s="125">
        <f>ROUND((M67+'[1]Restoration and Growth'!BM67)*$C$4,0)</f>
        <v>1037081</v>
      </c>
      <c r="P67" s="125">
        <f>ROUND(M67+O67+'[1]Restoration and Growth'!BM67,0)</f>
        <v>67093210</v>
      </c>
      <c r="Q67" s="127">
        <f t="shared" si="16"/>
        <v>4636.492859</v>
      </c>
      <c r="R67" s="125">
        <f t="shared" si="1"/>
        <v>4519988</v>
      </c>
      <c r="S67" s="128">
        <f>+'[1]13-14 $86M Workload Restore'!AJ65</f>
        <v>0</v>
      </c>
      <c r="T67" s="129">
        <f>+'[1]13-14 $86M Workload Restore'!AA65</f>
        <v>0</v>
      </c>
      <c r="U67" s="129">
        <f>'[1]Growth Deficit'!X67</f>
        <v>0</v>
      </c>
      <c r="V67" s="125">
        <f>-1* '[1]Growth Deficit'!AR67</f>
        <v>0</v>
      </c>
      <c r="W67" s="125">
        <f t="shared" si="17"/>
        <v>0</v>
      </c>
      <c r="X67" s="129">
        <f>'[1]Restoration and Growth'!AQ67</f>
        <v>5644315</v>
      </c>
      <c r="Y67" s="125"/>
      <c r="Z67" s="130">
        <f>[1]FTES!AT67</f>
        <v>0</v>
      </c>
      <c r="AA67" s="131">
        <v>0</v>
      </c>
      <c r="AB67" s="125"/>
      <c r="AC67" s="132">
        <f>+'[1]Foundation Grant'!N67-'[1]Foundation Grant (OLD)'!N67</f>
        <v>0</v>
      </c>
      <c r="AD67" s="125">
        <f t="shared" si="2"/>
        <v>0</v>
      </c>
      <c r="AE67" s="125">
        <f t="shared" si="18"/>
        <v>72737525</v>
      </c>
      <c r="AF67" s="131">
        <f t="shared" si="26"/>
        <v>473685</v>
      </c>
      <c r="AG67" s="125">
        <f t="shared" si="4"/>
        <v>72263840</v>
      </c>
      <c r="AH67" s="133">
        <v>0</v>
      </c>
      <c r="AI67" s="133">
        <v>6586102</v>
      </c>
      <c r="AJ67" s="125">
        <f t="shared" si="5"/>
        <v>57339010</v>
      </c>
      <c r="AK67" s="134">
        <f>+'[1]13-14 deferrals, growth, EPA 1'!I67</f>
        <v>6457835</v>
      </c>
      <c r="AL67" s="135">
        <f t="shared" si="6"/>
        <v>8338728</v>
      </c>
      <c r="AM67" s="135">
        <f>+'[1]13-14 deferrals, growth, EPA 1'!AA67</f>
        <v>32908</v>
      </c>
      <c r="AN67" s="135">
        <f>+'[1]13-14 deferrals, growth, EPA 1'!AB67</f>
        <v>169937</v>
      </c>
      <c r="AO67" s="135">
        <f>+'[1]13-14 deferrals, growth, EPA 1'!AC67</f>
        <v>245919</v>
      </c>
      <c r="AP67" s="147">
        <f t="shared" si="19"/>
        <v>1432129</v>
      </c>
      <c r="AQ67" s="135">
        <f t="shared" si="7"/>
        <v>473685</v>
      </c>
      <c r="AR67" s="125">
        <f t="shared" si="8"/>
        <v>1880893</v>
      </c>
      <c r="AS67" s="148">
        <f>IF(SUM(AI67:AK67)+AR67&gt;AG67,(SUM(AI67:AK67)+AR67-AG67),0)</f>
        <v>0</v>
      </c>
      <c r="AT67" s="137">
        <f t="shared" si="10"/>
        <v>0.99348774927384453</v>
      </c>
      <c r="AU67" s="138">
        <f t="shared" si="11"/>
        <v>67093210</v>
      </c>
      <c r="AV67" s="139">
        <f>'[1]13-14 deferrals, growth, EPA 1'!BX67</f>
        <v>0</v>
      </c>
      <c r="AW67" s="10">
        <f t="shared" si="20"/>
        <v>0</v>
      </c>
      <c r="AX67" s="140">
        <v>0</v>
      </c>
      <c r="AY67" s="141">
        <v>0</v>
      </c>
      <c r="AZ67" s="142"/>
      <c r="BA67" s="133">
        <v>6552280</v>
      </c>
      <c r="BB67" s="143">
        <v>55289174</v>
      </c>
      <c r="BC67" s="133">
        <v>58746646</v>
      </c>
      <c r="BD67" s="142">
        <f t="shared" si="27"/>
        <v>1407636</v>
      </c>
      <c r="BE67" s="142"/>
      <c r="BF67" s="142"/>
      <c r="BG67" s="142"/>
      <c r="BH67" s="142"/>
      <c r="BI67" s="142"/>
      <c r="BJ67" s="142"/>
      <c r="BK67" s="139">
        <v>0</v>
      </c>
      <c r="BL67" s="10">
        <f t="shared" si="21"/>
        <v>0</v>
      </c>
      <c r="BM67" s="16"/>
      <c r="BN67" s="16"/>
      <c r="BO67" s="16"/>
      <c r="BP67" s="16"/>
      <c r="BQ67" s="16"/>
      <c r="BR67" s="16"/>
      <c r="BS67" s="16"/>
      <c r="BT67" s="16"/>
      <c r="BU67" s="16"/>
      <c r="BV67" s="16"/>
      <c r="BW67" s="16"/>
      <c r="BX67" s="16"/>
      <c r="BY67" s="16"/>
      <c r="BZ67" s="16"/>
      <c r="CA67" s="116"/>
      <c r="CB67" s="16"/>
      <c r="CC67" s="16"/>
      <c r="CD67" s="16"/>
      <c r="CE67" s="16"/>
      <c r="CF67" s="16"/>
      <c r="CG67" s="16"/>
      <c r="CH67" s="16"/>
      <c r="CI67" s="16"/>
      <c r="CJ67" s="16"/>
      <c r="CK67" s="16"/>
      <c r="CL67" s="16"/>
      <c r="CM67" s="16"/>
    </row>
    <row r="68" spans="1:91" s="144" customFormat="1">
      <c r="A68" s="16" t="s">
        <v>169</v>
      </c>
      <c r="B68" s="118">
        <v>14457745</v>
      </c>
      <c r="C68" s="149">
        <v>0</v>
      </c>
      <c r="D68" s="120">
        <f t="shared" si="13"/>
        <v>14457745</v>
      </c>
      <c r="E68" s="10"/>
      <c r="F68" s="121">
        <f>+'[1]Foundation Grant (OLD)'!N68</f>
        <v>3875136</v>
      </c>
      <c r="G68" s="122">
        <f t="shared" si="14"/>
        <v>0</v>
      </c>
      <c r="H68" s="123">
        <f>ROUND($AE$4*[1]FTES!O68,0)</f>
        <v>790603</v>
      </c>
      <c r="I68" s="123">
        <f>ROUND($AI$4*[1]FTES!Z68,0)</f>
        <v>0</v>
      </c>
      <c r="J68" s="124">
        <f>ROUND($AR$4*[1]FTES!D68,0)</f>
        <v>9792006</v>
      </c>
      <c r="K68" s="125">
        <f t="shared" si="15"/>
        <v>14457745</v>
      </c>
      <c r="L68" s="125">
        <v>0</v>
      </c>
      <c r="M68" s="125">
        <f t="shared" si="0"/>
        <v>14457745</v>
      </c>
      <c r="N68" s="126">
        <f>(M68-H68-I68-F68)/[1]FTES!D68</f>
        <v>4564.8251818404469</v>
      </c>
      <c r="O68" s="125">
        <f>ROUND((M68+'[1]Restoration and Growth'!BM68)*$C$4,0)</f>
        <v>217294</v>
      </c>
      <c r="P68" s="125">
        <f>ROUND(M68+O68+'[1]Restoration and Growth'!BM68,0)</f>
        <v>14057654</v>
      </c>
      <c r="Q68" s="127">
        <f t="shared" si="16"/>
        <v>4636.492937</v>
      </c>
      <c r="R68" s="125">
        <f t="shared" si="1"/>
        <v>400091</v>
      </c>
      <c r="S68" s="128">
        <f>+'[1]13-14 $86M Workload Restore'!AJ66</f>
        <v>0</v>
      </c>
      <c r="T68" s="129">
        <f>+'[1]13-14 $86M Workload Restore'!AA66</f>
        <v>0</v>
      </c>
      <c r="U68" s="129">
        <f>'[1]Growth Deficit'!X68</f>
        <v>0</v>
      </c>
      <c r="V68" s="125">
        <f>-1* '[1]Growth Deficit'!AR68</f>
        <v>0</v>
      </c>
      <c r="W68" s="125">
        <f t="shared" si="17"/>
        <v>0</v>
      </c>
      <c r="X68" s="129">
        <f>'[1]Restoration and Growth'!AQ68</f>
        <v>627078</v>
      </c>
      <c r="Y68" s="125"/>
      <c r="Z68" s="130">
        <f>[1]FTES!AT68</f>
        <v>0</v>
      </c>
      <c r="AA68" s="131">
        <v>0</v>
      </c>
      <c r="AB68" s="125"/>
      <c r="AC68" s="132">
        <f>+'[1]Foundation Grant'!N68-'[1]Foundation Grant (OLD)'!N68</f>
        <v>0</v>
      </c>
      <c r="AD68" s="125">
        <f t="shared" si="2"/>
        <v>0</v>
      </c>
      <c r="AE68" s="125">
        <f t="shared" si="18"/>
        <v>14684732</v>
      </c>
      <c r="AF68" s="131">
        <f t="shared" si="26"/>
        <v>95631</v>
      </c>
      <c r="AG68" s="125">
        <f t="shared" si="4"/>
        <v>14589101</v>
      </c>
      <c r="AH68" s="133">
        <v>0</v>
      </c>
      <c r="AI68" s="133">
        <v>1129341</v>
      </c>
      <c r="AJ68" s="125">
        <f t="shared" si="5"/>
        <v>3402455</v>
      </c>
      <c r="AK68" s="134">
        <f>+'[1]13-14 deferrals, growth, EPA 1'!I68</f>
        <v>2177377</v>
      </c>
      <c r="AL68" s="135">
        <f t="shared" si="6"/>
        <v>10057305</v>
      </c>
      <c r="AM68" s="135">
        <f>+'[1]13-14 deferrals, growth, EPA 1'!AA68</f>
        <v>24594</v>
      </c>
      <c r="AN68" s="135">
        <f>+'[1]13-14 deferrals, growth, EPA 1'!AB68</f>
        <v>127003</v>
      </c>
      <c r="AO68" s="135">
        <f>+'[1]13-14 deferrals, growth, EPA 1'!AC68</f>
        <v>183788</v>
      </c>
      <c r="AP68" s="135">
        <f t="shared" si="19"/>
        <v>7544543</v>
      </c>
      <c r="AQ68" s="135">
        <f t="shared" si="7"/>
        <v>95631</v>
      </c>
      <c r="AR68" s="125">
        <f t="shared" si="8"/>
        <v>7879928</v>
      </c>
      <c r="AS68" s="136">
        <f>IF(AI68+AJ68&gt;AG68,AI68+AJ68-AG68,0)</f>
        <v>0</v>
      </c>
      <c r="AT68" s="137">
        <f t="shared" si="10"/>
        <v>0.99348772589108203</v>
      </c>
      <c r="AU68" s="138">
        <f t="shared" si="11"/>
        <v>14057654</v>
      </c>
      <c r="AV68" s="139">
        <f>'[1]13-14 deferrals, growth, EPA 1'!BX68</f>
        <v>0</v>
      </c>
      <c r="AW68" s="10">
        <f t="shared" si="20"/>
        <v>0</v>
      </c>
      <c r="AX68" s="140">
        <v>0</v>
      </c>
      <c r="AY68" s="141">
        <v>0</v>
      </c>
      <c r="AZ68" s="142"/>
      <c r="BA68" s="133">
        <v>789106</v>
      </c>
      <c r="BB68" s="143">
        <v>3422990</v>
      </c>
      <c r="BC68" s="133">
        <v>3485983</v>
      </c>
      <c r="BD68" s="142">
        <f t="shared" si="27"/>
        <v>83528</v>
      </c>
      <c r="BE68" s="142"/>
      <c r="BF68" s="142"/>
      <c r="BG68" s="142"/>
      <c r="BH68" s="142"/>
      <c r="BI68" s="142"/>
      <c r="BJ68" s="142"/>
      <c r="BK68" s="139">
        <v>0</v>
      </c>
      <c r="BL68" s="10">
        <f t="shared" si="21"/>
        <v>0</v>
      </c>
      <c r="BM68" s="16"/>
      <c r="BN68" s="16"/>
      <c r="BO68" s="16"/>
      <c r="BP68" s="16"/>
      <c r="BQ68" s="16"/>
      <c r="BR68" s="16"/>
      <c r="BS68" s="16"/>
      <c r="BT68" s="16"/>
      <c r="BU68" s="16"/>
      <c r="BV68" s="16"/>
      <c r="BW68" s="16"/>
      <c r="BX68" s="16"/>
      <c r="BY68" s="16"/>
      <c r="BZ68" s="16"/>
      <c r="CA68" s="116"/>
      <c r="CB68" s="16"/>
      <c r="CC68" s="16"/>
      <c r="CD68" s="16"/>
      <c r="CE68" s="16"/>
      <c r="CF68" s="16"/>
      <c r="CG68" s="16"/>
      <c r="CH68" s="16"/>
      <c r="CI68" s="16"/>
      <c r="CJ68" s="16"/>
      <c r="CK68" s="16"/>
      <c r="CL68" s="16"/>
      <c r="CM68" s="16"/>
    </row>
    <row r="69" spans="1:91" s="144" customFormat="1">
      <c r="A69" s="16" t="s">
        <v>170</v>
      </c>
      <c r="B69" s="118">
        <v>44342793</v>
      </c>
      <c r="C69" s="149">
        <v>-7007900</v>
      </c>
      <c r="D69" s="120">
        <f t="shared" si="13"/>
        <v>37334893</v>
      </c>
      <c r="E69" s="10"/>
      <c r="F69" s="121">
        <f>+'[1]Foundation Grant (OLD)'!N69</f>
        <v>5535909</v>
      </c>
      <c r="G69" s="122">
        <f t="shared" si="14"/>
        <v>-1</v>
      </c>
      <c r="H69" s="123">
        <f>ROUND($AE$4*[1]FTES!O69,0)</f>
        <v>274</v>
      </c>
      <c r="I69" s="123">
        <f>ROUND($AI$4*[1]FTES!Z69,0)</f>
        <v>0</v>
      </c>
      <c r="J69" s="124">
        <f>ROUND($AR$4*[1]FTES!D69,0)</f>
        <v>31798709</v>
      </c>
      <c r="K69" s="125">
        <f t="shared" si="15"/>
        <v>37334892</v>
      </c>
      <c r="L69" s="125">
        <v>0</v>
      </c>
      <c r="M69" s="125">
        <f t="shared" si="0"/>
        <v>37334892</v>
      </c>
      <c r="N69" s="126">
        <f>(M69-H69-I69-F69)/[1]FTES!D69</f>
        <v>4564.8251586628257</v>
      </c>
      <c r="O69" s="125">
        <f>ROUND((M69+'[1]Restoration and Growth'!BM69)*$C$4,0)</f>
        <v>586158</v>
      </c>
      <c r="P69" s="125">
        <f>ROUND(M69+O69+'[1]Restoration and Growth'!BM69,0)</f>
        <v>37921050</v>
      </c>
      <c r="Q69" s="127">
        <f t="shared" si="16"/>
        <v>4636.4929140000004</v>
      </c>
      <c r="R69" s="125">
        <f t="shared" si="1"/>
        <v>-586158</v>
      </c>
      <c r="S69" s="128">
        <f>+'[1]13-14 $86M Workload Restore'!AJ67</f>
        <v>0</v>
      </c>
      <c r="T69" s="129">
        <f>+'[1]13-14 $86M Workload Restore'!AA67</f>
        <v>5624551</v>
      </c>
      <c r="U69" s="129">
        <f>'[1]Growth Deficit'!X69</f>
        <v>2.9999999999999997E-5</v>
      </c>
      <c r="V69" s="125">
        <f>-1* '[1]Growth Deficit'!AR69</f>
        <v>-2.9999999999999997E-5</v>
      </c>
      <c r="W69" s="125">
        <f t="shared" si="17"/>
        <v>0</v>
      </c>
      <c r="X69" s="129">
        <f>'[1]Restoration and Growth'!AQ69</f>
        <v>0</v>
      </c>
      <c r="Y69" s="125"/>
      <c r="Z69" s="130">
        <f>[1]FTES!AT69</f>
        <v>0</v>
      </c>
      <c r="AA69" s="131">
        <v>0</v>
      </c>
      <c r="AB69" s="125"/>
      <c r="AC69" s="132">
        <f>+'[1]Foundation Grant'!N69-'[1]Foundation Grant (OLD)'!N69</f>
        <v>0</v>
      </c>
      <c r="AD69" s="125">
        <f t="shared" si="2"/>
        <v>0</v>
      </c>
      <c r="AE69" s="125">
        <f t="shared" si="18"/>
        <v>43545601</v>
      </c>
      <c r="AF69" s="131">
        <f t="shared" si="26"/>
        <v>283580</v>
      </c>
      <c r="AG69" s="125">
        <f t="shared" si="4"/>
        <v>43262021</v>
      </c>
      <c r="AH69" s="133">
        <v>0</v>
      </c>
      <c r="AI69" s="133">
        <v>3391762</v>
      </c>
      <c r="AJ69" s="125">
        <f t="shared" si="5"/>
        <v>10719402</v>
      </c>
      <c r="AK69" s="134">
        <f>+'[1]13-14 deferrals, growth, EPA 1'!I69</f>
        <v>6449837</v>
      </c>
      <c r="AL69" s="135">
        <f t="shared" si="6"/>
        <v>29150857</v>
      </c>
      <c r="AM69" s="135">
        <f>+'[1]13-14 deferrals, growth, EPA 1'!AA69</f>
        <v>75426</v>
      </c>
      <c r="AN69" s="135">
        <f>+'[1]13-14 deferrals, growth, EPA 1'!AB69</f>
        <v>389494</v>
      </c>
      <c r="AO69" s="135">
        <f>+'[1]13-14 deferrals, growth, EPA 1'!AC69</f>
        <v>563642</v>
      </c>
      <c r="AP69" s="135">
        <f t="shared" si="19"/>
        <v>21672458</v>
      </c>
      <c r="AQ69" s="135">
        <f t="shared" si="7"/>
        <v>283580</v>
      </c>
      <c r="AR69" s="125">
        <f t="shared" si="8"/>
        <v>22701020</v>
      </c>
      <c r="AS69" s="136">
        <f>IF(AI69+AJ69&gt;AG69,AI69+AJ69-AG69,0)</f>
        <v>0</v>
      </c>
      <c r="AT69" s="137">
        <f t="shared" si="10"/>
        <v>0.99348774632826864</v>
      </c>
      <c r="AU69" s="138">
        <f t="shared" si="11"/>
        <v>43545601</v>
      </c>
      <c r="AV69" s="139">
        <f>'[1]13-14 deferrals, growth, EPA 1'!BX69</f>
        <v>0</v>
      </c>
      <c r="AW69" s="10">
        <f t="shared" si="20"/>
        <v>0</v>
      </c>
      <c r="AX69" s="140">
        <v>0</v>
      </c>
      <c r="AY69" s="141">
        <v>0</v>
      </c>
      <c r="AZ69" s="142"/>
      <c r="BA69" s="133">
        <v>3162288</v>
      </c>
      <c r="BB69" s="143">
        <v>10309663</v>
      </c>
      <c r="BC69" s="133">
        <v>10982556</v>
      </c>
      <c r="BD69" s="142">
        <f t="shared" si="27"/>
        <v>263154</v>
      </c>
      <c r="BE69" s="142"/>
      <c r="BF69" s="142"/>
      <c r="BG69" s="142"/>
      <c r="BH69" s="142"/>
      <c r="BI69" s="142"/>
      <c r="BJ69" s="142"/>
      <c r="BK69" s="139">
        <v>0</v>
      </c>
      <c r="BL69" s="10">
        <f t="shared" si="21"/>
        <v>0</v>
      </c>
      <c r="BM69" s="16"/>
      <c r="BN69" s="16"/>
      <c r="BO69" s="16"/>
      <c r="BP69" s="16"/>
      <c r="BQ69" s="16"/>
      <c r="BR69" s="16"/>
      <c r="BS69" s="16"/>
      <c r="BT69" s="16"/>
      <c r="BU69" s="16"/>
      <c r="BV69" s="16"/>
      <c r="BW69" s="16"/>
      <c r="BX69" s="16"/>
      <c r="BY69" s="16"/>
      <c r="BZ69" s="16"/>
      <c r="CA69" s="116"/>
      <c r="CB69" s="16"/>
      <c r="CC69" s="16"/>
      <c r="CD69" s="16"/>
      <c r="CE69" s="16"/>
      <c r="CF69" s="16"/>
      <c r="CG69" s="16"/>
      <c r="CH69" s="16"/>
      <c r="CI69" s="16"/>
      <c r="CJ69" s="16"/>
      <c r="CK69" s="16"/>
      <c r="CL69" s="16"/>
      <c r="CM69" s="16"/>
    </row>
    <row r="70" spans="1:91" s="144" customFormat="1">
      <c r="A70" s="16" t="s">
        <v>171</v>
      </c>
      <c r="B70" s="118">
        <v>91062919</v>
      </c>
      <c r="C70" s="149">
        <v>-4216310</v>
      </c>
      <c r="D70" s="120">
        <f t="shared" si="13"/>
        <v>86846609</v>
      </c>
      <c r="E70" s="10"/>
      <c r="F70" s="121">
        <f>+'[1]Foundation Grant (OLD)'!N70</f>
        <v>8027068</v>
      </c>
      <c r="G70" s="122">
        <f t="shared" si="14"/>
        <v>1</v>
      </c>
      <c r="H70" s="123">
        <f>ROUND($AE$4*[1]FTES!O70,0)</f>
        <v>6116837</v>
      </c>
      <c r="I70" s="123">
        <f>ROUND($AI$4*[1]FTES!Z70,0)</f>
        <v>1435103</v>
      </c>
      <c r="J70" s="124">
        <f>ROUND($AR$4*[1]FTES!D70,0)</f>
        <v>71267602</v>
      </c>
      <c r="K70" s="125">
        <f t="shared" si="15"/>
        <v>86846610</v>
      </c>
      <c r="L70" s="125">
        <v>0</v>
      </c>
      <c r="M70" s="125">
        <f t="shared" si="0"/>
        <v>86846610</v>
      </c>
      <c r="N70" s="126">
        <f>(M70-H70-I70-F70)/[1]FTES!D70</f>
        <v>4564.825131914884</v>
      </c>
      <c r="O70" s="125">
        <f>ROUND((M70+'[1]Restoration and Growth'!BM70)*$C$4,0)</f>
        <v>1363492</v>
      </c>
      <c r="P70" s="125">
        <f>ROUND(M70+O70+'[1]Restoration and Growth'!BM70,0)</f>
        <v>88210102</v>
      </c>
      <c r="Q70" s="127">
        <f t="shared" si="16"/>
        <v>4636.492886</v>
      </c>
      <c r="R70" s="125">
        <f t="shared" si="1"/>
        <v>-1363492</v>
      </c>
      <c r="S70" s="128">
        <f>+'[1]13-14 $86M Workload Restore'!AJ68</f>
        <v>1711745</v>
      </c>
      <c r="T70" s="129">
        <f>+'[1]13-14 $86M Workload Restore'!AA68</f>
        <v>4282506</v>
      </c>
      <c r="U70" s="129">
        <f>'[1]Growth Deficit'!X70</f>
        <v>232.24897800000002</v>
      </c>
      <c r="V70" s="125">
        <f>-1* '[1]Growth Deficit'!AR70</f>
        <v>-232.24897800000002</v>
      </c>
      <c r="W70" s="125">
        <f t="shared" si="17"/>
        <v>0</v>
      </c>
      <c r="X70" s="129">
        <f>'[1]Restoration and Growth'!AQ70</f>
        <v>0</v>
      </c>
      <c r="Y70" s="125"/>
      <c r="Z70" s="130">
        <f>[1]FTES!AT70</f>
        <v>0</v>
      </c>
      <c r="AA70" s="131">
        <v>0</v>
      </c>
      <c r="AB70" s="125"/>
      <c r="AC70" s="132">
        <f>+'[1]Foundation Grant'!N70-'[1]Foundation Grant (OLD)'!N70</f>
        <v>0</v>
      </c>
      <c r="AD70" s="125">
        <f t="shared" si="2"/>
        <v>0</v>
      </c>
      <c r="AE70" s="125">
        <f t="shared" si="18"/>
        <v>94204353</v>
      </c>
      <c r="AF70" s="131">
        <f t="shared" si="26"/>
        <v>613482</v>
      </c>
      <c r="AG70" s="125">
        <f t="shared" si="4"/>
        <v>93590871</v>
      </c>
      <c r="AH70" s="133">
        <v>0</v>
      </c>
      <c r="AI70" s="133">
        <v>8382447</v>
      </c>
      <c r="AJ70" s="125">
        <f t="shared" si="5"/>
        <v>42506375</v>
      </c>
      <c r="AK70" s="134">
        <f>+'[1]13-14 deferrals, growth, EPA 1'!I70</f>
        <v>13785416</v>
      </c>
      <c r="AL70" s="135">
        <f t="shared" si="6"/>
        <v>42702049</v>
      </c>
      <c r="AM70" s="135">
        <f>+'[1]13-14 deferrals, growth, EPA 1'!AA70</f>
        <v>159572</v>
      </c>
      <c r="AN70" s="135">
        <f>+'[1]13-14 deferrals, growth, EPA 1'!AB70</f>
        <v>824018</v>
      </c>
      <c r="AO70" s="135">
        <f>+'[1]13-14 deferrals, growth, EPA 1'!AC70</f>
        <v>1192448</v>
      </c>
      <c r="AP70" s="135">
        <f t="shared" si="19"/>
        <v>26740595</v>
      </c>
      <c r="AQ70" s="135">
        <f t="shared" si="7"/>
        <v>613482</v>
      </c>
      <c r="AR70" s="125">
        <f t="shared" si="8"/>
        <v>28916633</v>
      </c>
      <c r="AS70" s="136">
        <f>IF(AI70+AJ70&gt;AG70,AI70+AJ70-AG70,0)</f>
        <v>0</v>
      </c>
      <c r="AT70" s="137">
        <f t="shared" si="10"/>
        <v>0.9934877531614702</v>
      </c>
      <c r="AU70" s="138">
        <f t="shared" si="11"/>
        <v>94204353</v>
      </c>
      <c r="AV70" s="139">
        <f>'[1]13-14 deferrals, growth, EPA 1'!BX70</f>
        <v>0</v>
      </c>
      <c r="AW70" s="10">
        <f t="shared" si="20"/>
        <v>0</v>
      </c>
      <c r="AX70" s="140">
        <v>0</v>
      </c>
      <c r="AY70" s="141">
        <v>0</v>
      </c>
      <c r="AZ70" s="142"/>
      <c r="BA70" s="133">
        <v>8931327</v>
      </c>
      <c r="BB70" s="143">
        <v>41560208</v>
      </c>
      <c r="BC70" s="133">
        <v>43549879</v>
      </c>
      <c r="BD70" s="142">
        <f t="shared" si="27"/>
        <v>1043504</v>
      </c>
      <c r="BE70" s="142"/>
      <c r="BF70" s="142"/>
      <c r="BG70" s="142"/>
      <c r="BH70" s="142"/>
      <c r="BI70" s="142"/>
      <c r="BJ70" s="142"/>
      <c r="BK70" s="139">
        <v>0</v>
      </c>
      <c r="BL70" s="10">
        <f t="shared" si="21"/>
        <v>0</v>
      </c>
      <c r="BM70" s="16"/>
      <c r="BN70" s="16"/>
      <c r="BO70" s="16"/>
      <c r="BP70" s="16"/>
      <c r="BQ70" s="16"/>
      <c r="BR70" s="16"/>
      <c r="BS70" s="16"/>
      <c r="BT70" s="16"/>
      <c r="BU70" s="16"/>
      <c r="BV70" s="16"/>
      <c r="BW70" s="16"/>
      <c r="BX70" s="16"/>
      <c r="BY70" s="16"/>
      <c r="BZ70" s="16"/>
      <c r="CA70" s="116"/>
      <c r="CB70" s="16"/>
      <c r="CC70" s="16"/>
      <c r="CD70" s="16"/>
      <c r="CE70" s="16"/>
      <c r="CF70" s="16"/>
      <c r="CG70" s="16"/>
      <c r="CH70" s="16"/>
      <c r="CI70" s="16"/>
      <c r="CJ70" s="16"/>
      <c r="CK70" s="16"/>
      <c r="CL70" s="16"/>
      <c r="CM70" s="16"/>
    </row>
    <row r="71" spans="1:91" s="32" customFormat="1">
      <c r="A71" s="51" t="s">
        <v>172</v>
      </c>
      <c r="B71" s="152">
        <v>134878660</v>
      </c>
      <c r="C71" s="160">
        <v>-1748744</v>
      </c>
      <c r="D71" s="153">
        <f t="shared" si="13"/>
        <v>133129916</v>
      </c>
      <c r="E71" s="152"/>
      <c r="F71" s="154">
        <f>+'[1]Foundation Grant (OLD)'!N71</f>
        <v>7750272</v>
      </c>
      <c r="G71" s="155">
        <f t="shared" si="14"/>
        <v>0</v>
      </c>
      <c r="H71" s="156">
        <f>ROUND($AE$4*[1]FTES!O71,0)</f>
        <v>4530306</v>
      </c>
      <c r="I71" s="156">
        <f>ROUND($AI$4*[1]FTES!Z71,0)</f>
        <v>508307</v>
      </c>
      <c r="J71" s="157">
        <f>ROUND($AR$4*[1]FTES!D71,0)</f>
        <v>117053756</v>
      </c>
      <c r="K71" s="157">
        <f t="shared" si="15"/>
        <v>129842641</v>
      </c>
      <c r="L71" s="157">
        <f>IF(D71&gt;K71,D71-K71,0)</f>
        <v>3287275</v>
      </c>
      <c r="M71" s="157">
        <f t="shared" si="0"/>
        <v>133129916</v>
      </c>
      <c r="N71" s="126">
        <f>(M71-H71-I71-F71)/[1]FTES!D71</f>
        <v>4693.0212088891312</v>
      </c>
      <c r="O71" s="125">
        <f>ROUND((M71+'[1]Restoration and Growth'!BM71)*$C$4,0)</f>
        <v>1903317</v>
      </c>
      <c r="P71" s="125">
        <f>ROUND(M71+O71+'[1]Restoration and Growth'!BM71,0)</f>
        <v>123133712</v>
      </c>
      <c r="Q71" s="158">
        <f t="shared" si="16"/>
        <v>4766.701642</v>
      </c>
      <c r="R71" s="157">
        <f t="shared" si="1"/>
        <v>9996204</v>
      </c>
      <c r="S71" s="157">
        <f>+'[1]13-14 $86M Workload Restore'!AJ69</f>
        <v>0</v>
      </c>
      <c r="T71" s="157">
        <f>+'[1]13-14 $86M Workload Restore'!AA69</f>
        <v>0</v>
      </c>
      <c r="U71" s="157">
        <f>'[1]Growth Deficit'!X71</f>
        <v>0</v>
      </c>
      <c r="V71" s="157">
        <f>-1* '[1]Growth Deficit'!AR71</f>
        <v>0</v>
      </c>
      <c r="W71" s="157">
        <f t="shared" si="17"/>
        <v>0</v>
      </c>
      <c r="X71" s="129">
        <f>'[1]Restoration and Growth'!AQ71</f>
        <v>12086343</v>
      </c>
      <c r="Y71" s="157"/>
      <c r="Z71" s="159">
        <f>[1]FTES!AT71</f>
        <v>0</v>
      </c>
      <c r="AA71" s="160">
        <v>0</v>
      </c>
      <c r="AB71" s="157"/>
      <c r="AC71" s="157">
        <f>+'[1]Foundation Grant'!N71-'[1]Foundation Grant (OLD)'!N71</f>
        <v>0</v>
      </c>
      <c r="AD71" s="157">
        <f t="shared" si="2"/>
        <v>0</v>
      </c>
      <c r="AE71" s="157">
        <f t="shared" si="18"/>
        <v>135220055</v>
      </c>
      <c r="AF71" s="160">
        <v>0</v>
      </c>
      <c r="AG71" s="157">
        <f t="shared" si="4"/>
        <v>135220055</v>
      </c>
      <c r="AH71" s="161">
        <v>0</v>
      </c>
      <c r="AI71" s="161">
        <v>17015449</v>
      </c>
      <c r="AJ71" s="125">
        <f t="shared" si="5"/>
        <v>161688659</v>
      </c>
      <c r="AK71" s="134">
        <f>+'[1]13-14 deferrals, growth, EPA 1'!I71</f>
        <v>2489214</v>
      </c>
      <c r="AL71" s="162">
        <f t="shared" si="6"/>
        <v>2489214</v>
      </c>
      <c r="AM71" s="162">
        <f>+'[1]13-14 deferrals, growth, EPA 1'!AA71</f>
        <v>0</v>
      </c>
      <c r="AN71" s="162">
        <f>+'[1]13-14 deferrals, growth, EPA 1'!AB71</f>
        <v>0</v>
      </c>
      <c r="AO71" s="162">
        <f>+'[1]13-14 deferrals, growth, EPA 1'!AC71</f>
        <v>0</v>
      </c>
      <c r="AP71" s="162">
        <f t="shared" si="19"/>
        <v>0</v>
      </c>
      <c r="AQ71" s="162">
        <f t="shared" si="7"/>
        <v>0</v>
      </c>
      <c r="AR71" s="157">
        <f t="shared" si="8"/>
        <v>0</v>
      </c>
      <c r="AS71" s="148">
        <f>IF(SUM(AI71:AK71)+AR71&gt;AG71,(SUM(AI71:AK71)+AR71-AG71),0)</f>
        <v>45973267</v>
      </c>
      <c r="AT71" s="137">
        <f t="shared" si="10"/>
        <v>1</v>
      </c>
      <c r="AU71" s="154">
        <f t="shared" si="11"/>
        <v>123133712</v>
      </c>
      <c r="AV71" s="139">
        <f>'[1]13-14 deferrals, growth, EPA 1'!BX71</f>
        <v>0</v>
      </c>
      <c r="AW71" s="152">
        <f t="shared" si="20"/>
        <v>0</v>
      </c>
      <c r="AX71" s="152">
        <v>0</v>
      </c>
      <c r="AY71" s="141">
        <v>0</v>
      </c>
      <c r="AZ71" s="163"/>
      <c r="BA71" s="161">
        <v>18242395</v>
      </c>
      <c r="BB71" s="162">
        <v>161798529</v>
      </c>
      <c r="BC71" s="161">
        <v>161688659</v>
      </c>
      <c r="BD71" s="164"/>
      <c r="BE71" s="39"/>
      <c r="BF71" s="39"/>
      <c r="BG71" s="39"/>
      <c r="BH71" s="39"/>
      <c r="BI71" s="39"/>
      <c r="BJ71" s="39"/>
      <c r="BK71" s="165">
        <v>0</v>
      </c>
      <c r="BL71" s="152">
        <f t="shared" si="21"/>
        <v>0</v>
      </c>
      <c r="BM71" s="51"/>
      <c r="BN71" s="51"/>
      <c r="BO71" s="51"/>
      <c r="BP71" s="51"/>
      <c r="BQ71" s="51"/>
      <c r="BR71" s="51"/>
      <c r="BS71" s="51"/>
      <c r="BT71" s="51"/>
      <c r="BU71" s="51"/>
      <c r="BV71" s="51"/>
      <c r="BW71" s="51"/>
      <c r="BX71" s="51"/>
      <c r="BY71" s="51"/>
      <c r="BZ71" s="51"/>
      <c r="CA71" s="166"/>
      <c r="CB71" s="51"/>
      <c r="CC71" s="51"/>
      <c r="CD71" s="51"/>
      <c r="CE71" s="51"/>
      <c r="CF71" s="51"/>
      <c r="CG71" s="51"/>
      <c r="CH71" s="51"/>
      <c r="CI71" s="51"/>
      <c r="CJ71" s="51"/>
      <c r="CK71" s="51"/>
      <c r="CL71" s="51"/>
      <c r="CM71" s="51"/>
    </row>
    <row r="72" spans="1:91" s="144" customFormat="1">
      <c r="A72" s="16" t="s">
        <v>173</v>
      </c>
      <c r="B72" s="118">
        <v>72462102</v>
      </c>
      <c r="C72" s="149">
        <v>0</v>
      </c>
      <c r="D72" s="120">
        <f t="shared" si="13"/>
        <v>72462102</v>
      </c>
      <c r="E72" s="10"/>
      <c r="F72" s="121">
        <f>+'[1]Foundation Grant (OLD)'!N72</f>
        <v>5535909</v>
      </c>
      <c r="G72" s="122">
        <f t="shared" si="14"/>
        <v>1</v>
      </c>
      <c r="H72" s="123">
        <f>ROUND($AE$4*[1]FTES!O72,0)</f>
        <v>506856</v>
      </c>
      <c r="I72" s="123">
        <f>ROUND($AI$4*[1]FTES!Z72,0)</f>
        <v>111830</v>
      </c>
      <c r="J72" s="124">
        <f>ROUND($AR$4*[1]FTES!D72,0)</f>
        <v>66307508</v>
      </c>
      <c r="K72" s="125">
        <f t="shared" si="15"/>
        <v>72462103</v>
      </c>
      <c r="L72" s="125">
        <v>0</v>
      </c>
      <c r="M72" s="125">
        <f t="shared" si="0"/>
        <v>72462103</v>
      </c>
      <c r="N72" s="126">
        <f>(M72-H72-I72-F72)/[1]FTES!D72</f>
        <v>4564.8250955978128</v>
      </c>
      <c r="O72" s="125">
        <f>ROUND((M72+'[1]Restoration and Growth'!BM72)*$C$4,0)</f>
        <v>1137655</v>
      </c>
      <c r="P72" s="125">
        <f>ROUND(M72+O72+'[1]Restoration and Growth'!BM72,0)</f>
        <v>73599758</v>
      </c>
      <c r="Q72" s="127">
        <f t="shared" si="16"/>
        <v>4636.4928499999996</v>
      </c>
      <c r="R72" s="125">
        <f t="shared" si="1"/>
        <v>-1137655</v>
      </c>
      <c r="S72" s="128">
        <f>+'[1]13-14 $86M Workload Restore'!AJ70</f>
        <v>1092915</v>
      </c>
      <c r="T72" s="129">
        <f>+'[1]13-14 $86M Workload Restore'!AA70</f>
        <v>0</v>
      </c>
      <c r="U72" s="129">
        <f>'[1]Growth Deficit'!X72</f>
        <v>233.05002899999999</v>
      </c>
      <c r="V72" s="125">
        <f>-1* '[1]Growth Deficit'!AR72</f>
        <v>-233.05002899999999</v>
      </c>
      <c r="W72" s="125">
        <f t="shared" si="17"/>
        <v>0</v>
      </c>
      <c r="X72" s="129">
        <f>'[1]Restoration and Growth'!AQ72</f>
        <v>0</v>
      </c>
      <c r="Y72" s="125"/>
      <c r="Z72" s="130">
        <f>[1]FTES!AT72</f>
        <v>0</v>
      </c>
      <c r="AA72" s="131">
        <v>0</v>
      </c>
      <c r="AB72" s="125"/>
      <c r="AC72" s="146">
        <f>+'[1]Foundation Grant'!N72-'[1]Foundation Grant (OLD)'!N72</f>
        <v>2214364</v>
      </c>
      <c r="AD72" s="168">
        <f t="shared" si="2"/>
        <v>34766</v>
      </c>
      <c r="AE72" s="125">
        <f t="shared" si="18"/>
        <v>76941803</v>
      </c>
      <c r="AF72" s="131">
        <f t="shared" ref="AF72:AF77" si="28">ROUND((1-$AF$82)* AE72,0)</f>
        <v>501064</v>
      </c>
      <c r="AG72" s="125">
        <f t="shared" si="4"/>
        <v>76440739</v>
      </c>
      <c r="AH72" s="133">
        <v>0</v>
      </c>
      <c r="AI72" s="133">
        <v>4211477</v>
      </c>
      <c r="AJ72" s="125">
        <f t="shared" si="5"/>
        <v>19024808</v>
      </c>
      <c r="AK72" s="134">
        <f>+'[1]13-14 deferrals, growth, EPA 1'!I72</f>
        <v>11682539</v>
      </c>
      <c r="AL72" s="135">
        <f t="shared" si="6"/>
        <v>53204454</v>
      </c>
      <c r="AM72" s="135">
        <f>+'[1]13-14 deferrals, growth, EPA 1'!AA72</f>
        <v>128859</v>
      </c>
      <c r="AN72" s="135">
        <f>+'[1]13-14 deferrals, growth, EPA 1'!AB72</f>
        <v>665417</v>
      </c>
      <c r="AO72" s="135">
        <f>+'[1]13-14 deferrals, growth, EPA 1'!AC72</f>
        <v>962934</v>
      </c>
      <c r="AP72" s="135">
        <f t="shared" si="19"/>
        <v>39764705</v>
      </c>
      <c r="AQ72" s="135">
        <f t="shared" si="7"/>
        <v>501064</v>
      </c>
      <c r="AR72" s="125">
        <f t="shared" si="8"/>
        <v>41521915</v>
      </c>
      <c r="AS72" s="136">
        <f t="shared" ref="AS72:AS77" si="29">IF(AI72+AJ72&gt;AG72,AI72+AJ72-AG72,0)</f>
        <v>0</v>
      </c>
      <c r="AT72" s="137">
        <f t="shared" si="10"/>
        <v>0.99348775333481587</v>
      </c>
      <c r="AU72" s="138">
        <f t="shared" si="11"/>
        <v>76941803</v>
      </c>
      <c r="AV72" s="139">
        <f>'[1]13-14 deferrals, growth, EPA 1'!BX72</f>
        <v>2.4000000000000057</v>
      </c>
      <c r="AW72" s="10">
        <f t="shared" si="20"/>
        <v>-166877</v>
      </c>
      <c r="AX72" s="140">
        <v>0</v>
      </c>
      <c r="AY72" s="141">
        <v>0</v>
      </c>
      <c r="AZ72" s="142"/>
      <c r="BA72" s="133">
        <v>4317455</v>
      </c>
      <c r="BB72" s="143">
        <v>19021971</v>
      </c>
      <c r="BC72" s="133">
        <v>19491855</v>
      </c>
      <c r="BD72" s="142">
        <f t="shared" ref="BD72:BD77" si="30">ROUND(+BC72*BD$83,0)</f>
        <v>467047</v>
      </c>
      <c r="BE72" s="142"/>
      <c r="BF72" s="142"/>
      <c r="BG72" s="142"/>
      <c r="BH72" s="142"/>
      <c r="BI72" s="142"/>
      <c r="BJ72" s="142"/>
      <c r="BK72" s="139">
        <v>0</v>
      </c>
      <c r="BL72" s="10">
        <f t="shared" si="21"/>
        <v>0</v>
      </c>
      <c r="BM72" s="16"/>
      <c r="BN72" s="16"/>
      <c r="BO72" s="16"/>
      <c r="BP72" s="16"/>
      <c r="BQ72" s="16"/>
      <c r="BR72" s="16"/>
      <c r="BS72" s="16"/>
      <c r="BT72" s="16"/>
      <c r="BU72" s="16"/>
      <c r="BV72" s="16"/>
      <c r="BW72" s="16"/>
      <c r="BX72" s="16"/>
      <c r="BY72" s="16"/>
      <c r="BZ72" s="16"/>
      <c r="CA72" s="116"/>
      <c r="CB72" s="16"/>
      <c r="CC72" s="16"/>
      <c r="CD72" s="16"/>
      <c r="CE72" s="16"/>
      <c r="CF72" s="16"/>
      <c r="CG72" s="16"/>
      <c r="CH72" s="16"/>
      <c r="CI72" s="16"/>
      <c r="CJ72" s="16"/>
      <c r="CK72" s="16"/>
      <c r="CL72" s="16"/>
      <c r="CM72" s="16"/>
    </row>
    <row r="73" spans="1:91" s="144" customFormat="1">
      <c r="A73" s="16" t="s">
        <v>174</v>
      </c>
      <c r="B73" s="118">
        <v>127333716</v>
      </c>
      <c r="C73" s="149">
        <v>0</v>
      </c>
      <c r="D73" s="120">
        <f t="shared" si="13"/>
        <v>127333716</v>
      </c>
      <c r="E73" s="10"/>
      <c r="F73" s="121">
        <f>+'[1]Foundation Grant (OLD)'!N73</f>
        <v>11071818</v>
      </c>
      <c r="G73" s="122">
        <f t="shared" si="14"/>
        <v>0</v>
      </c>
      <c r="H73" s="123">
        <f>ROUND($AE$4*[1]FTES!O73,0)</f>
        <v>1221781</v>
      </c>
      <c r="I73" s="123">
        <f>ROUND($AI$4*[1]FTES!Z73,0)</f>
        <v>0</v>
      </c>
      <c r="J73" s="124">
        <f>ROUND($AR$4*[1]FTES!D73,0)</f>
        <v>115040117</v>
      </c>
      <c r="K73" s="125">
        <f t="shared" si="15"/>
        <v>127333716</v>
      </c>
      <c r="L73" s="125">
        <v>0</v>
      </c>
      <c r="M73" s="125">
        <f t="shared" ref="M73:M80" si="31">SUM(K73:L73)</f>
        <v>127333716</v>
      </c>
      <c r="N73" s="126">
        <f>(M73-H73-I73-F73)/[1]FTES!D73</f>
        <v>4564.8251193141814</v>
      </c>
      <c r="O73" s="125">
        <f>ROUND((M73+'[1]Restoration and Growth'!BM73)*$C$4,0)</f>
        <v>1999139</v>
      </c>
      <c r="P73" s="125">
        <f>ROUND(M73+O73+'[1]Restoration and Growth'!BM73,0)</f>
        <v>129332855</v>
      </c>
      <c r="Q73" s="127">
        <f t="shared" si="16"/>
        <v>4636.4928739999996</v>
      </c>
      <c r="R73" s="125">
        <f t="shared" ref="R73:R80" si="32">M73-P73</f>
        <v>-1999139</v>
      </c>
      <c r="S73" s="128">
        <f>+'[1]13-14 $86M Workload Restore'!AJ71</f>
        <v>2765951</v>
      </c>
      <c r="T73" s="129">
        <f>+'[1]13-14 $86M Workload Restore'!AA71</f>
        <v>0</v>
      </c>
      <c r="U73" s="129">
        <f>'[1]Growth Deficit'!X73</f>
        <v>684.66081199999996</v>
      </c>
      <c r="V73" s="125">
        <f>-1* '[1]Growth Deficit'!AR73</f>
        <v>-684.66081199999996</v>
      </c>
      <c r="W73" s="125">
        <f t="shared" si="17"/>
        <v>0</v>
      </c>
      <c r="X73" s="129">
        <f>'[1]Restoration and Growth'!AQ73</f>
        <v>0</v>
      </c>
      <c r="Y73" s="125"/>
      <c r="Z73" s="130">
        <f>[1]FTES!AT73</f>
        <v>0</v>
      </c>
      <c r="AA73" s="131">
        <v>0</v>
      </c>
      <c r="AB73" s="125"/>
      <c r="AC73" s="132">
        <f>+'[1]Foundation Grant'!N73-'[1]Foundation Grant (OLD)'!N73</f>
        <v>0</v>
      </c>
      <c r="AD73" s="125">
        <f t="shared" ref="AD73:AD79" si="33">ROUND(AC73*C$4,0)</f>
        <v>0</v>
      </c>
      <c r="AE73" s="125">
        <f t="shared" si="18"/>
        <v>132098806</v>
      </c>
      <c r="AF73" s="131">
        <f t="shared" si="28"/>
        <v>860261</v>
      </c>
      <c r="AG73" s="125">
        <f t="shared" ref="AG73:AG80" si="34">AE73-AF73+AH73</f>
        <v>131238545</v>
      </c>
      <c r="AH73" s="133">
        <v>0</v>
      </c>
      <c r="AI73" s="133">
        <v>6394100</v>
      </c>
      <c r="AJ73" s="125">
        <f t="shared" ref="AJ73:AJ79" si="35">+BC73-BD73</f>
        <v>32413877</v>
      </c>
      <c r="AK73" s="134">
        <f>+'[1]13-14 deferrals, growth, EPA 1'!I73</f>
        <v>20191716</v>
      </c>
      <c r="AL73" s="135">
        <f t="shared" ref="AL73:AL80" si="36">+AK73+AR73</f>
        <v>92430568</v>
      </c>
      <c r="AM73" s="135">
        <f>+'[1]13-14 deferrals, growth, EPA 1'!AA73</f>
        <v>221574</v>
      </c>
      <c r="AN73" s="135">
        <f>+'[1]13-14 deferrals, growth, EPA 1'!AB73</f>
        <v>1144191</v>
      </c>
      <c r="AO73" s="135">
        <f>+'[1]13-14 deferrals, growth, EPA 1'!AC73</f>
        <v>1655775</v>
      </c>
      <c r="AP73" s="135">
        <f t="shared" si="19"/>
        <v>69217312</v>
      </c>
      <c r="AQ73" s="135">
        <f t="shared" ref="AQ73:AQ80" si="37">IF((+AE73-AI73-AJ73-AL73)&lt;=0,0,(+AE73-AI73-AJ73-AL73))</f>
        <v>860261</v>
      </c>
      <c r="AR73" s="125">
        <f t="shared" ref="AR73:AR80" si="38">IF(AI73+AJ73+AK73&lt;=AG73,AG73-AI73-AJ73-AK73,0)</f>
        <v>72238852</v>
      </c>
      <c r="AS73" s="136">
        <f t="shared" si="29"/>
        <v>0</v>
      </c>
      <c r="AT73" s="137">
        <f t="shared" ref="AT73:AT80" si="39">+AG73/AE73</f>
        <v>0.99348774583170718</v>
      </c>
      <c r="AU73" s="138">
        <f t="shared" ref="AU73:AU80" si="40">AE73-X73-AA73-AB73</f>
        <v>132098806</v>
      </c>
      <c r="AV73" s="139">
        <f>'[1]13-14 deferrals, growth, EPA 1'!BX73</f>
        <v>0</v>
      </c>
      <c r="AW73" s="10">
        <f t="shared" si="20"/>
        <v>0</v>
      </c>
      <c r="AX73" s="140">
        <v>0</v>
      </c>
      <c r="AY73" s="141">
        <v>0</v>
      </c>
      <c r="AZ73" s="142"/>
      <c r="BA73" s="133">
        <v>6796901</v>
      </c>
      <c r="BB73" s="143">
        <v>30050830</v>
      </c>
      <c r="BC73" s="133">
        <v>33209617</v>
      </c>
      <c r="BD73" s="142">
        <f t="shared" si="30"/>
        <v>795740</v>
      </c>
      <c r="BE73" s="142"/>
      <c r="BF73" s="142"/>
      <c r="BG73" s="142"/>
      <c r="BH73" s="142"/>
      <c r="BI73" s="142"/>
      <c r="BJ73" s="142"/>
      <c r="BK73" s="139">
        <v>0</v>
      </c>
      <c r="BL73" s="10">
        <f t="shared" si="21"/>
        <v>0</v>
      </c>
      <c r="BM73" s="16"/>
      <c r="BN73" s="16"/>
      <c r="BO73" s="16"/>
      <c r="BP73" s="16"/>
      <c r="BQ73" s="16"/>
      <c r="BR73" s="16"/>
      <c r="BS73" s="16"/>
      <c r="BT73" s="16"/>
      <c r="BU73" s="16"/>
      <c r="BV73" s="16"/>
      <c r="BW73" s="16"/>
      <c r="BX73" s="16"/>
      <c r="BY73" s="16"/>
      <c r="BZ73" s="16"/>
      <c r="CA73" s="116"/>
      <c r="CB73" s="16"/>
      <c r="CC73" s="16"/>
      <c r="CD73" s="16"/>
      <c r="CE73" s="16"/>
      <c r="CF73" s="16"/>
      <c r="CG73" s="16"/>
      <c r="CH73" s="16"/>
      <c r="CI73" s="16"/>
      <c r="CJ73" s="16"/>
      <c r="CK73" s="16"/>
      <c r="CL73" s="16"/>
      <c r="CM73" s="16"/>
    </row>
    <row r="74" spans="1:91" s="144" customFormat="1">
      <c r="A74" s="16" t="s">
        <v>175</v>
      </c>
      <c r="B74" s="118">
        <v>123747049</v>
      </c>
      <c r="C74" s="149">
        <v>0</v>
      </c>
      <c r="D74" s="120">
        <f t="shared" ref="D74:D80" si="41">B74+C74</f>
        <v>123747049</v>
      </c>
      <c r="E74" s="10"/>
      <c r="F74" s="121">
        <f>+'[1]Foundation Grant (OLD)'!N74</f>
        <v>11071817</v>
      </c>
      <c r="G74" s="122">
        <f t="shared" ref="G74:G80" si="42">M74-D74</f>
        <v>0</v>
      </c>
      <c r="H74" s="123">
        <f>ROUND($AE$4*[1]FTES!O74,0)</f>
        <v>696506</v>
      </c>
      <c r="I74" s="123">
        <f>ROUND($AI$4*[1]FTES!Z74,0)</f>
        <v>0</v>
      </c>
      <c r="J74" s="124">
        <f>ROUND($AR$4*[1]FTES!D74,0)</f>
        <v>111978726</v>
      </c>
      <c r="K74" s="125">
        <f t="shared" ref="K74:K80" si="43">J74+H74+F74+I74</f>
        <v>123747049</v>
      </c>
      <c r="L74" s="125">
        <v>0</v>
      </c>
      <c r="M74" s="125">
        <f t="shared" si="31"/>
        <v>123747049</v>
      </c>
      <c r="N74" s="126">
        <f>(M74-H74-I74-F74)/[1]FTES!D74</f>
        <v>4564.8251191668842</v>
      </c>
      <c r="O74" s="125">
        <f>ROUND((M74+'[1]Restoration and Growth'!BM74)*$C$4,0)</f>
        <v>1942829</v>
      </c>
      <c r="P74" s="125">
        <f>ROUND(M74+O74+'[1]Restoration and Growth'!BM74,0)</f>
        <v>125689878</v>
      </c>
      <c r="Q74" s="127">
        <f t="shared" ref="Q74:Q80" si="44">ROUND(N74*(1+$C$4),6)</f>
        <v>4636.4928739999996</v>
      </c>
      <c r="R74" s="125">
        <f t="shared" si="32"/>
        <v>-1942829</v>
      </c>
      <c r="S74" s="128">
        <f>+'[1]13-14 $86M Workload Restore'!AJ72</f>
        <v>2074079</v>
      </c>
      <c r="T74" s="129">
        <f>+'[1]13-14 $86M Workload Restore'!AA72</f>
        <v>0</v>
      </c>
      <c r="U74" s="129">
        <f>'[1]Growth Deficit'!X74</f>
        <v>526.92884699999991</v>
      </c>
      <c r="V74" s="125">
        <f>-1* '[1]Growth Deficit'!AR74</f>
        <v>-526.92884699999991</v>
      </c>
      <c r="W74" s="125">
        <f t="shared" ref="W74:W80" si="45">ROUND(U74+V74,0)</f>
        <v>0</v>
      </c>
      <c r="X74" s="129">
        <f>'[1]Restoration and Growth'!AQ74</f>
        <v>0</v>
      </c>
      <c r="Y74" s="125"/>
      <c r="Z74" s="130">
        <f>[1]FTES!AT74</f>
        <v>0</v>
      </c>
      <c r="AA74" s="131">
        <v>0</v>
      </c>
      <c r="AB74" s="125"/>
      <c r="AC74" s="132">
        <f>+'[1]Foundation Grant'!N74-'[1]Foundation Grant (OLD)'!N74</f>
        <v>0</v>
      </c>
      <c r="AD74" s="125">
        <f t="shared" si="33"/>
        <v>0</v>
      </c>
      <c r="AE74" s="125">
        <f t="shared" ref="AE74:AE80" si="46">P74+T74+W74+X74+AA74+Z74+AB74+AC74+AD74+S74</f>
        <v>127763957</v>
      </c>
      <c r="AF74" s="131">
        <f t="shared" si="28"/>
        <v>832031</v>
      </c>
      <c r="AG74" s="125">
        <f t="shared" si="34"/>
        <v>126931926</v>
      </c>
      <c r="AH74" s="133">
        <v>0</v>
      </c>
      <c r="AI74" s="133">
        <v>12024048</v>
      </c>
      <c r="AJ74" s="125">
        <f t="shared" si="35"/>
        <v>50606232</v>
      </c>
      <c r="AK74" s="134">
        <f>+'[1]13-14 deferrals, growth, EPA 1'!I74</f>
        <v>18591089</v>
      </c>
      <c r="AL74" s="135">
        <f t="shared" si="36"/>
        <v>64301646</v>
      </c>
      <c r="AM74" s="135">
        <f>+'[1]13-14 deferrals, growth, EPA 1'!AA74</f>
        <v>215319</v>
      </c>
      <c r="AN74" s="135">
        <f>+'[1]13-14 deferrals, growth, EPA 1'!AB74</f>
        <v>1111893</v>
      </c>
      <c r="AO74" s="135">
        <f>+'[1]13-14 deferrals, growth, EPA 1'!AC74</f>
        <v>1609036</v>
      </c>
      <c r="AP74" s="135">
        <f t="shared" ref="AP74:AP80" si="47">+AR74-SUM(AM74:AO74)</f>
        <v>42774309</v>
      </c>
      <c r="AQ74" s="135">
        <f t="shared" si="37"/>
        <v>832031</v>
      </c>
      <c r="AR74" s="125">
        <f t="shared" si="38"/>
        <v>45710557</v>
      </c>
      <c r="AS74" s="136">
        <f t="shared" si="29"/>
        <v>0</v>
      </c>
      <c r="AT74" s="137">
        <f t="shared" si="39"/>
        <v>0.99348774866138501</v>
      </c>
      <c r="AU74" s="138">
        <f t="shared" si="40"/>
        <v>127763957</v>
      </c>
      <c r="AV74" s="139">
        <f>'[1]13-14 deferrals, growth, EPA 1'!BX74</f>
        <v>0</v>
      </c>
      <c r="AW74" s="10">
        <f t="shared" ref="AW74:AW80" si="48">ROUND(-AV74*$AU$4,0)</f>
        <v>0</v>
      </c>
      <c r="AX74" s="140">
        <v>0</v>
      </c>
      <c r="AY74" s="141">
        <v>0</v>
      </c>
      <c r="AZ74" s="142"/>
      <c r="BA74" s="133">
        <v>12791164</v>
      </c>
      <c r="BB74" s="143">
        <v>51362286</v>
      </c>
      <c r="BC74" s="133">
        <v>51848583</v>
      </c>
      <c r="BD74" s="142">
        <f t="shared" si="30"/>
        <v>1242351</v>
      </c>
      <c r="BE74" s="142"/>
      <c r="BF74" s="142"/>
      <c r="BG74" s="142"/>
      <c r="BH74" s="142"/>
      <c r="BI74" s="142"/>
      <c r="BJ74" s="142"/>
      <c r="BK74" s="139">
        <v>0</v>
      </c>
      <c r="BL74" s="10">
        <f t="shared" ref="BL74:BL80" si="49">ROUND(-BK74*$AR$4,0)</f>
        <v>0</v>
      </c>
      <c r="BM74" s="16"/>
      <c r="BN74" s="16"/>
      <c r="BO74" s="16"/>
      <c r="BP74" s="16"/>
      <c r="BQ74" s="16"/>
      <c r="BR74" s="16"/>
      <c r="BS74" s="16"/>
      <c r="BT74" s="16"/>
      <c r="BU74" s="16"/>
      <c r="BV74" s="16"/>
      <c r="BW74" s="16"/>
      <c r="BX74" s="16"/>
      <c r="BY74" s="16"/>
      <c r="BZ74" s="16"/>
      <c r="CA74" s="116"/>
      <c r="CB74" s="16"/>
      <c r="CC74" s="16"/>
      <c r="CD74" s="16"/>
      <c r="CE74" s="16"/>
      <c r="CF74" s="16"/>
      <c r="CG74" s="16"/>
      <c r="CH74" s="16"/>
      <c r="CI74" s="16"/>
      <c r="CJ74" s="16"/>
      <c r="CK74" s="16"/>
      <c r="CL74" s="16"/>
      <c r="CM74" s="16"/>
    </row>
    <row r="75" spans="1:91" s="144" customFormat="1">
      <c r="A75" s="16" t="s">
        <v>176</v>
      </c>
      <c r="B75" s="118">
        <v>45443689</v>
      </c>
      <c r="C75" s="149">
        <v>0</v>
      </c>
      <c r="D75" s="120">
        <f t="shared" si="41"/>
        <v>45443689</v>
      </c>
      <c r="E75" s="10"/>
      <c r="F75" s="121">
        <f>+'[1]Foundation Grant (OLD)'!N75</f>
        <v>4428727</v>
      </c>
      <c r="G75" s="122">
        <f t="shared" si="42"/>
        <v>0</v>
      </c>
      <c r="H75" s="123">
        <f>ROUND($AE$4*[1]FTES!O75,0)</f>
        <v>257614</v>
      </c>
      <c r="I75" s="123">
        <f>ROUND($AI$4*[1]FTES!Z75,0)</f>
        <v>0</v>
      </c>
      <c r="J75" s="124">
        <f>ROUND($AR$4*[1]FTES!D75,0)</f>
        <v>40757348</v>
      </c>
      <c r="K75" s="125">
        <f t="shared" si="43"/>
        <v>45443689</v>
      </c>
      <c r="L75" s="125">
        <v>0</v>
      </c>
      <c r="M75" s="125">
        <f t="shared" si="31"/>
        <v>45443689</v>
      </c>
      <c r="N75" s="126">
        <f>(M75-H75-I75-F75)/[1]FTES!D75</f>
        <v>4564.8250888201628</v>
      </c>
      <c r="O75" s="125">
        <f>ROUND((M75+'[1]Restoration and Growth'!BM75)*$C$4,0)</f>
        <v>713466</v>
      </c>
      <c r="P75" s="125">
        <f>ROUND(M75+O75+'[1]Restoration and Growth'!BM75,0)</f>
        <v>46157155</v>
      </c>
      <c r="Q75" s="127">
        <f t="shared" si="44"/>
        <v>4636.492843</v>
      </c>
      <c r="R75" s="125">
        <f t="shared" si="32"/>
        <v>-713466</v>
      </c>
      <c r="S75" s="128">
        <f>+'[1]13-14 $86M Workload Restore'!AJ73</f>
        <v>975647</v>
      </c>
      <c r="T75" s="129">
        <f>+'[1]13-14 $86M Workload Restore'!AA73</f>
        <v>0</v>
      </c>
      <c r="U75" s="129">
        <f>'[1]Growth Deficit'!X75</f>
        <v>362.83270400000004</v>
      </c>
      <c r="V75" s="125">
        <f>-1* '[1]Growth Deficit'!AR75</f>
        <v>-362.83270400000004</v>
      </c>
      <c r="W75" s="125">
        <f t="shared" si="45"/>
        <v>0</v>
      </c>
      <c r="X75" s="129">
        <f>'[1]Restoration and Growth'!AQ75</f>
        <v>0</v>
      </c>
      <c r="Y75" s="125"/>
      <c r="Z75" s="130">
        <f>[1]FTES!AT75</f>
        <v>0</v>
      </c>
      <c r="AA75" s="131">
        <v>0</v>
      </c>
      <c r="AB75" s="125"/>
      <c r="AC75" s="132">
        <f>+'[1]Foundation Grant'!N75-'[1]Foundation Grant (OLD)'!N75</f>
        <v>0</v>
      </c>
      <c r="AD75" s="125">
        <f t="shared" si="33"/>
        <v>0</v>
      </c>
      <c r="AE75" s="125">
        <f t="shared" si="46"/>
        <v>47132802</v>
      </c>
      <c r="AF75" s="131">
        <f t="shared" si="28"/>
        <v>306941</v>
      </c>
      <c r="AG75" s="125">
        <f t="shared" si="34"/>
        <v>46825861</v>
      </c>
      <c r="AH75" s="133">
        <v>0</v>
      </c>
      <c r="AI75" s="133">
        <v>1770079</v>
      </c>
      <c r="AJ75" s="125">
        <f t="shared" si="35"/>
        <v>10042963</v>
      </c>
      <c r="AK75" s="134">
        <f>+'[1]13-14 deferrals, growth, EPA 1'!I75</f>
        <v>7286531</v>
      </c>
      <c r="AL75" s="135">
        <f t="shared" si="36"/>
        <v>35012819</v>
      </c>
      <c r="AM75" s="135">
        <f>+'[1]13-14 deferrals, growth, EPA 1'!AA75</f>
        <v>79056</v>
      </c>
      <c r="AN75" s="135">
        <f>+'[1]13-14 deferrals, growth, EPA 1'!AB75</f>
        <v>408240</v>
      </c>
      <c r="AO75" s="135">
        <f>+'[1]13-14 deferrals, growth, EPA 1'!AC75</f>
        <v>590770</v>
      </c>
      <c r="AP75" s="135">
        <f t="shared" si="47"/>
        <v>26648222</v>
      </c>
      <c r="AQ75" s="135">
        <f t="shared" si="37"/>
        <v>306941</v>
      </c>
      <c r="AR75" s="125">
        <f t="shared" si="38"/>
        <v>27726288</v>
      </c>
      <c r="AS75" s="136">
        <f t="shared" si="29"/>
        <v>0</v>
      </c>
      <c r="AT75" s="137">
        <f t="shared" si="39"/>
        <v>0.99348774129745143</v>
      </c>
      <c r="AU75" s="138">
        <f t="shared" si="40"/>
        <v>47132802</v>
      </c>
      <c r="AV75" s="139">
        <f>'[1]13-14 deferrals, growth, EPA 1'!BX75</f>
        <v>0</v>
      </c>
      <c r="AW75" s="10">
        <f t="shared" si="48"/>
        <v>0</v>
      </c>
      <c r="AX75" s="140">
        <v>0</v>
      </c>
      <c r="AY75" s="141">
        <v>0</v>
      </c>
      <c r="AZ75" s="142"/>
      <c r="BA75" s="133">
        <v>2095617</v>
      </c>
      <c r="BB75" s="143">
        <v>7063251</v>
      </c>
      <c r="BC75" s="133">
        <v>10289511</v>
      </c>
      <c r="BD75" s="142">
        <f t="shared" si="30"/>
        <v>246548</v>
      </c>
      <c r="BE75" s="142"/>
      <c r="BF75" s="142"/>
      <c r="BG75" s="142"/>
      <c r="BH75" s="142"/>
      <c r="BI75" s="142"/>
      <c r="BJ75" s="142"/>
      <c r="BK75" s="139">
        <v>0</v>
      </c>
      <c r="BL75" s="10">
        <f t="shared" si="49"/>
        <v>0</v>
      </c>
      <c r="BM75" s="16"/>
      <c r="BN75" s="16"/>
      <c r="BO75" s="16"/>
      <c r="BP75" s="16"/>
      <c r="BQ75" s="16"/>
      <c r="BR75" s="16"/>
      <c r="BS75" s="16"/>
      <c r="BT75" s="16"/>
      <c r="BU75" s="16"/>
      <c r="BV75" s="16"/>
      <c r="BW75" s="16"/>
      <c r="BX75" s="16"/>
      <c r="BY75" s="16"/>
      <c r="BZ75" s="16"/>
      <c r="CA75" s="116"/>
      <c r="CB75" s="16"/>
      <c r="CC75" s="16"/>
      <c r="CD75" s="16"/>
      <c r="CE75" s="16"/>
      <c r="CF75" s="16"/>
      <c r="CG75" s="16"/>
      <c r="CH75" s="16"/>
      <c r="CI75" s="16"/>
      <c r="CJ75" s="16"/>
      <c r="CK75" s="16"/>
      <c r="CL75" s="16"/>
      <c r="CM75" s="16"/>
    </row>
    <row r="76" spans="1:91" s="144" customFormat="1">
      <c r="A76" s="16" t="s">
        <v>177</v>
      </c>
      <c r="B76" s="118">
        <v>28156247</v>
      </c>
      <c r="C76" s="149">
        <v>0</v>
      </c>
      <c r="D76" s="120">
        <f t="shared" si="41"/>
        <v>28156247</v>
      </c>
      <c r="E76" s="10"/>
      <c r="F76" s="121">
        <f>+'[1]Foundation Grant (OLD)'!N76</f>
        <v>6919885</v>
      </c>
      <c r="G76" s="122">
        <f t="shared" si="42"/>
        <v>0</v>
      </c>
      <c r="H76" s="123">
        <f>ROUND($AE$4*[1]FTES!O76,0)</f>
        <v>1011572</v>
      </c>
      <c r="I76" s="123">
        <f>ROUND($AI$4*[1]FTES!Z76,0)</f>
        <v>0</v>
      </c>
      <c r="J76" s="124">
        <f>ROUND($AR$4*[1]FTES!D76,0)</f>
        <v>20224790</v>
      </c>
      <c r="K76" s="125">
        <f t="shared" si="43"/>
        <v>28156247</v>
      </c>
      <c r="L76" s="125">
        <v>0</v>
      </c>
      <c r="M76" s="125">
        <f t="shared" si="31"/>
        <v>28156247</v>
      </c>
      <c r="N76" s="126">
        <f>(M76-H76-I76-F76)/[1]FTES!D76</f>
        <v>4564.8250850297327</v>
      </c>
      <c r="O76" s="125">
        <f>ROUND((M76+'[1]Restoration and Growth'!BM76)*$C$4,0)</f>
        <v>442053</v>
      </c>
      <c r="P76" s="125">
        <f>ROUND(M76+O76+'[1]Restoration and Growth'!BM76,0)</f>
        <v>28598300</v>
      </c>
      <c r="Q76" s="127">
        <f t="shared" si="44"/>
        <v>4636.4928389999995</v>
      </c>
      <c r="R76" s="125">
        <f t="shared" si="32"/>
        <v>-442053</v>
      </c>
      <c r="S76" s="128">
        <f>+'[1]13-14 $86M Workload Restore'!AJ74</f>
        <v>504029</v>
      </c>
      <c r="T76" s="129">
        <f>+'[1]13-14 $86M Workload Restore'!AA74</f>
        <v>0</v>
      </c>
      <c r="U76" s="129">
        <f>'[1]Growth Deficit'!X76</f>
        <v>401.07716899999997</v>
      </c>
      <c r="V76" s="125">
        <f>-1* '[1]Growth Deficit'!AR76</f>
        <v>-401.07716899999997</v>
      </c>
      <c r="W76" s="125">
        <f t="shared" si="45"/>
        <v>0</v>
      </c>
      <c r="X76" s="129">
        <f>'[1]Restoration and Growth'!AQ76</f>
        <v>0</v>
      </c>
      <c r="Y76" s="125"/>
      <c r="Z76" s="130">
        <f>[1]FTES!AT76</f>
        <v>0</v>
      </c>
      <c r="AA76" s="131">
        <v>0</v>
      </c>
      <c r="AB76" s="125"/>
      <c r="AC76" s="132">
        <f>+'[1]Foundation Grant'!N76-'[1]Foundation Grant (OLD)'!N76</f>
        <v>0</v>
      </c>
      <c r="AD76" s="125">
        <f t="shared" si="33"/>
        <v>0</v>
      </c>
      <c r="AE76" s="125">
        <f t="shared" si="46"/>
        <v>29102329</v>
      </c>
      <c r="AF76" s="131">
        <f t="shared" si="28"/>
        <v>189522</v>
      </c>
      <c r="AG76" s="125">
        <f t="shared" si="34"/>
        <v>28912807</v>
      </c>
      <c r="AH76" s="133">
        <v>0</v>
      </c>
      <c r="AI76" s="133">
        <v>975919</v>
      </c>
      <c r="AJ76" s="125">
        <f t="shared" si="35"/>
        <v>4493547</v>
      </c>
      <c r="AK76" s="134">
        <f>+'[1]13-14 deferrals, growth, EPA 1'!I76</f>
        <v>4517893</v>
      </c>
      <c r="AL76" s="135">
        <f t="shared" si="36"/>
        <v>23443341</v>
      </c>
      <c r="AM76" s="135">
        <f>+'[1]13-14 deferrals, growth, EPA 1'!AA76</f>
        <v>48802</v>
      </c>
      <c r="AN76" s="135">
        <f>+'[1]13-14 deferrals, growth, EPA 1'!AB76</f>
        <v>252008</v>
      </c>
      <c r="AO76" s="135">
        <f>+'[1]13-14 deferrals, growth, EPA 1'!AC76</f>
        <v>364685</v>
      </c>
      <c r="AP76" s="135">
        <f t="shared" si="47"/>
        <v>18259953</v>
      </c>
      <c r="AQ76" s="135">
        <f t="shared" si="37"/>
        <v>189522</v>
      </c>
      <c r="AR76" s="125">
        <f t="shared" si="38"/>
        <v>18925448</v>
      </c>
      <c r="AS76" s="136">
        <f t="shared" si="29"/>
        <v>0</v>
      </c>
      <c r="AT76" s="137">
        <f t="shared" si="39"/>
        <v>0.99348773769961851</v>
      </c>
      <c r="AU76" s="138">
        <f t="shared" si="40"/>
        <v>29102329</v>
      </c>
      <c r="AV76" s="139">
        <f>'[1]13-14 deferrals, growth, EPA 1'!BX76</f>
        <v>0</v>
      </c>
      <c r="AW76" s="10">
        <f t="shared" si="48"/>
        <v>0</v>
      </c>
      <c r="AX76" s="140">
        <v>0</v>
      </c>
      <c r="AY76" s="141">
        <v>0</v>
      </c>
      <c r="AZ76" s="142"/>
      <c r="BA76" s="133">
        <v>1025972</v>
      </c>
      <c r="BB76" s="143">
        <v>4047906</v>
      </c>
      <c r="BC76" s="133">
        <v>4603861</v>
      </c>
      <c r="BD76" s="142">
        <f t="shared" si="30"/>
        <v>110314</v>
      </c>
      <c r="BE76" s="142"/>
      <c r="BF76" s="142"/>
      <c r="BG76" s="142"/>
      <c r="BH76" s="142"/>
      <c r="BI76" s="142"/>
      <c r="BJ76" s="142"/>
      <c r="BK76" s="139">
        <v>0</v>
      </c>
      <c r="BL76" s="10">
        <f t="shared" si="49"/>
        <v>0</v>
      </c>
      <c r="BM76" s="16"/>
      <c r="BN76" s="16"/>
      <c r="BO76" s="16"/>
      <c r="BP76" s="16"/>
      <c r="BQ76" s="16"/>
      <c r="BR76" s="16"/>
      <c r="BS76" s="16"/>
      <c r="BT76" s="16"/>
      <c r="BU76" s="16"/>
      <c r="BV76" s="16"/>
      <c r="BW76" s="16"/>
      <c r="BX76" s="16"/>
      <c r="BY76" s="16"/>
      <c r="BZ76" s="16"/>
      <c r="CA76" s="116"/>
      <c r="CB76" s="16"/>
      <c r="CC76" s="16"/>
      <c r="CD76" s="16"/>
      <c r="CE76" s="16"/>
      <c r="CF76" s="16"/>
      <c r="CG76" s="16"/>
      <c r="CH76" s="16"/>
      <c r="CI76" s="16"/>
      <c r="CJ76" s="16"/>
      <c r="CK76" s="16"/>
      <c r="CL76" s="16"/>
      <c r="CM76" s="16"/>
    </row>
    <row r="77" spans="1:91" s="144" customFormat="1">
      <c r="A77" s="16" t="s">
        <v>178</v>
      </c>
      <c r="B77" s="118">
        <v>19585382</v>
      </c>
      <c r="C77" s="149">
        <v>0</v>
      </c>
      <c r="D77" s="120">
        <f t="shared" si="41"/>
        <v>19585382</v>
      </c>
      <c r="E77" s="10"/>
      <c r="F77" s="121">
        <f>+'[1]Foundation Grant (OLD)'!N77</f>
        <v>3875136</v>
      </c>
      <c r="G77" s="122">
        <f t="shared" si="42"/>
        <v>0</v>
      </c>
      <c r="H77" s="123">
        <f>ROUND($AE$4*[1]FTES!O77,0)</f>
        <v>190253</v>
      </c>
      <c r="I77" s="123">
        <f>ROUND($AI$4*[1]FTES!Z77,0)</f>
        <v>0</v>
      </c>
      <c r="J77" s="124">
        <f>ROUND($AR$4*[1]FTES!D77,0)</f>
        <v>11249727</v>
      </c>
      <c r="K77" s="125">
        <f t="shared" si="43"/>
        <v>15315116</v>
      </c>
      <c r="L77" s="125">
        <f>IF(D77&gt;K77,D77-K77,0)</f>
        <v>4270266</v>
      </c>
      <c r="M77" s="125">
        <f t="shared" si="31"/>
        <v>19585382</v>
      </c>
      <c r="N77" s="126">
        <f>(M77-H77-I77-F77)/[1]FTES!D77</f>
        <v>6297.5798271728827</v>
      </c>
      <c r="O77" s="125">
        <f>ROUND((M77+'[1]Restoration and Growth'!BM77)*$C$4,0)</f>
        <v>307490</v>
      </c>
      <c r="P77" s="125">
        <f>ROUND(M77+O77+'[1]Restoration and Growth'!BM77,0)</f>
        <v>19892872</v>
      </c>
      <c r="Q77" s="127">
        <f t="shared" si="44"/>
        <v>6396.45183</v>
      </c>
      <c r="R77" s="125">
        <f t="shared" si="32"/>
        <v>-307490</v>
      </c>
      <c r="S77" s="128">
        <f>+'[1]13-14 $86M Workload Restore'!AJ75</f>
        <v>0</v>
      </c>
      <c r="T77" s="129">
        <f>+'[1]13-14 $86M Workload Restore'!AA75</f>
        <v>0</v>
      </c>
      <c r="U77" s="129">
        <f>'[1]Growth Deficit'!X77</f>
        <v>5.9123229999999998</v>
      </c>
      <c r="V77" s="125">
        <f>-1* '[1]Growth Deficit'!AR77</f>
        <v>-5.9123229999999998</v>
      </c>
      <c r="W77" s="125">
        <f t="shared" si="45"/>
        <v>0</v>
      </c>
      <c r="X77" s="129">
        <f>'[1]Restoration and Growth'!AQ77</f>
        <v>0</v>
      </c>
      <c r="Y77" s="125"/>
      <c r="Z77" s="130">
        <f>[1]FTES!AT77</f>
        <v>0</v>
      </c>
      <c r="AA77" s="131">
        <v>0</v>
      </c>
      <c r="AB77" s="125"/>
      <c r="AC77" s="132">
        <f>+'[1]Foundation Grant'!N77-'[1]Foundation Grant (OLD)'!N77</f>
        <v>0</v>
      </c>
      <c r="AD77" s="125">
        <f t="shared" si="33"/>
        <v>0</v>
      </c>
      <c r="AE77" s="125">
        <f t="shared" si="46"/>
        <v>19892872</v>
      </c>
      <c r="AF77" s="131">
        <f t="shared" si="28"/>
        <v>129547</v>
      </c>
      <c r="AG77" s="125">
        <f t="shared" si="34"/>
        <v>19763325</v>
      </c>
      <c r="AH77" s="133">
        <v>0</v>
      </c>
      <c r="AI77" s="133">
        <v>860825</v>
      </c>
      <c r="AJ77" s="125">
        <f t="shared" si="35"/>
        <v>7892069</v>
      </c>
      <c r="AK77" s="134">
        <f>+'[1]13-14 deferrals, growth, EPA 1'!I77</f>
        <v>3057083</v>
      </c>
      <c r="AL77" s="135">
        <f t="shared" si="36"/>
        <v>11010431</v>
      </c>
      <c r="AM77" s="135">
        <f>+'[1]13-14 deferrals, growth, EPA 1'!AA77</f>
        <v>33317</v>
      </c>
      <c r="AN77" s="135">
        <f>+'[1]13-14 deferrals, growth, EPA 1'!AB77</f>
        <v>172046</v>
      </c>
      <c r="AO77" s="135">
        <f>+'[1]13-14 deferrals, growth, EPA 1'!AC77</f>
        <v>248971</v>
      </c>
      <c r="AP77" s="135">
        <f t="shared" si="47"/>
        <v>7499014</v>
      </c>
      <c r="AQ77" s="135">
        <f t="shared" si="37"/>
        <v>129547</v>
      </c>
      <c r="AR77" s="125">
        <f t="shared" si="38"/>
        <v>7953348</v>
      </c>
      <c r="AS77" s="136">
        <f t="shared" si="29"/>
        <v>0</v>
      </c>
      <c r="AT77" s="137">
        <f t="shared" si="39"/>
        <v>0.9934877678798717</v>
      </c>
      <c r="AU77" s="138">
        <f t="shared" si="40"/>
        <v>19892872</v>
      </c>
      <c r="AV77" s="139">
        <f>'[1]13-14 deferrals, growth, EPA 1'!BX77</f>
        <v>0</v>
      </c>
      <c r="AW77" s="10">
        <f t="shared" si="48"/>
        <v>0</v>
      </c>
      <c r="AX77" s="140">
        <v>0</v>
      </c>
      <c r="AY77" s="141">
        <v>0</v>
      </c>
      <c r="AZ77" s="142"/>
      <c r="BA77" s="133">
        <v>824175</v>
      </c>
      <c r="BB77" s="143">
        <v>13646115</v>
      </c>
      <c r="BC77" s="133">
        <v>8085814</v>
      </c>
      <c r="BD77" s="142">
        <f t="shared" si="30"/>
        <v>193745</v>
      </c>
      <c r="BE77" s="142"/>
      <c r="BF77" s="142"/>
      <c r="BG77" s="142"/>
      <c r="BH77" s="142"/>
      <c r="BI77" s="142"/>
      <c r="BJ77" s="142"/>
      <c r="BK77" s="139">
        <v>0</v>
      </c>
      <c r="BL77" s="10">
        <f t="shared" si="49"/>
        <v>0</v>
      </c>
      <c r="BM77" s="16"/>
      <c r="BN77" s="16"/>
      <c r="BO77" s="16"/>
      <c r="BP77" s="16"/>
      <c r="BQ77" s="16"/>
      <c r="BR77" s="16"/>
      <c r="BS77" s="16"/>
      <c r="BT77" s="16"/>
      <c r="BU77" s="16"/>
      <c r="BV77" s="16"/>
      <c r="BW77" s="16"/>
      <c r="BX77" s="16"/>
      <c r="BY77" s="16"/>
      <c r="BZ77" s="16"/>
      <c r="CA77" s="116"/>
      <c r="CB77" s="16"/>
      <c r="CC77" s="16"/>
      <c r="CD77" s="16"/>
      <c r="CE77" s="16"/>
      <c r="CF77" s="16"/>
      <c r="CG77" s="16"/>
      <c r="CH77" s="16"/>
      <c r="CI77" s="16"/>
      <c r="CJ77" s="16"/>
      <c r="CK77" s="16"/>
      <c r="CL77" s="16"/>
      <c r="CM77" s="16"/>
    </row>
    <row r="78" spans="1:91" s="144" customFormat="1">
      <c r="A78" s="51" t="s">
        <v>179</v>
      </c>
      <c r="B78" s="118">
        <v>79778318</v>
      </c>
      <c r="C78" s="160">
        <v>-2350681</v>
      </c>
      <c r="D78" s="153">
        <f t="shared" si="41"/>
        <v>77427637</v>
      </c>
      <c r="E78" s="152"/>
      <c r="F78" s="154">
        <f>+'[1]Foundation Grant (OLD)'!N78</f>
        <v>7196681</v>
      </c>
      <c r="G78" s="155">
        <f t="shared" si="42"/>
        <v>0</v>
      </c>
      <c r="H78" s="156">
        <f>ROUND($AE$4*[1]FTES!O78,0)</f>
        <v>1747852</v>
      </c>
      <c r="I78" s="156">
        <f>ROUND($AI$4*[1]FTES!Z78,0)</f>
        <v>0</v>
      </c>
      <c r="J78" s="157">
        <f>ROUND($AR$4*[1]FTES!D78,0)</f>
        <v>68483104</v>
      </c>
      <c r="K78" s="157">
        <f t="shared" si="43"/>
        <v>77427637</v>
      </c>
      <c r="L78" s="157">
        <v>0</v>
      </c>
      <c r="M78" s="157">
        <f t="shared" si="31"/>
        <v>77427637</v>
      </c>
      <c r="N78" s="126">
        <f>(M78-H78-I78-F78)/[1]FTES!D78</f>
        <v>4564.8251107326514</v>
      </c>
      <c r="O78" s="125">
        <f>ROUND((M78+'[1]Restoration and Growth'!BM78)*$C$4,0)</f>
        <v>1123286</v>
      </c>
      <c r="P78" s="125">
        <f>ROUND(M78+O78+'[1]Restoration and Growth'!BM78,0)</f>
        <v>72670133</v>
      </c>
      <c r="Q78" s="158">
        <f t="shared" si="44"/>
        <v>4636.4928650000002</v>
      </c>
      <c r="R78" s="157">
        <f t="shared" si="32"/>
        <v>4757504</v>
      </c>
      <c r="S78" s="157">
        <f>+'[1]13-14 $86M Workload Restore'!AJ76</f>
        <v>0</v>
      </c>
      <c r="T78" s="157">
        <f>+'[1]13-14 $86M Workload Restore'!AA76</f>
        <v>0</v>
      </c>
      <c r="U78" s="157">
        <f>'[1]Growth Deficit'!X78</f>
        <v>0</v>
      </c>
      <c r="V78" s="157">
        <f>-1* '[1]Growth Deficit'!AR78</f>
        <v>0</v>
      </c>
      <c r="W78" s="157">
        <f t="shared" si="45"/>
        <v>0</v>
      </c>
      <c r="X78" s="129">
        <f>'[1]Restoration and Growth'!AQ78</f>
        <v>5973118</v>
      </c>
      <c r="Y78" s="157"/>
      <c r="Z78" s="159">
        <f>[1]FTES!AT78</f>
        <v>0</v>
      </c>
      <c r="AA78" s="160">
        <v>0</v>
      </c>
      <c r="AB78" s="157"/>
      <c r="AC78" s="157">
        <f>+'[1]Foundation Grant'!N78-'[1]Foundation Grant (OLD)'!N78</f>
        <v>0</v>
      </c>
      <c r="AD78" s="157">
        <f t="shared" si="33"/>
        <v>0</v>
      </c>
      <c r="AE78" s="157">
        <f t="shared" si="46"/>
        <v>78643251</v>
      </c>
      <c r="AF78" s="160">
        <v>0</v>
      </c>
      <c r="AG78" s="157">
        <f t="shared" si="34"/>
        <v>78643251</v>
      </c>
      <c r="AH78" s="161">
        <v>0</v>
      </c>
      <c r="AI78" s="161">
        <v>7827448</v>
      </c>
      <c r="AJ78" s="125">
        <f t="shared" si="35"/>
        <v>83189296</v>
      </c>
      <c r="AK78" s="134">
        <f>+'[1]13-14 deferrals, growth, EPA 1'!I78</f>
        <v>1439654</v>
      </c>
      <c r="AL78" s="162">
        <f t="shared" si="36"/>
        <v>1439654</v>
      </c>
      <c r="AM78" s="162">
        <f>+'[1]13-14 deferrals, growth, EPA 1'!AA78</f>
        <v>0</v>
      </c>
      <c r="AN78" s="162">
        <f>+'[1]13-14 deferrals, growth, EPA 1'!AB78</f>
        <v>0</v>
      </c>
      <c r="AO78" s="162">
        <f>+'[1]13-14 deferrals, growth, EPA 1'!AC78</f>
        <v>0</v>
      </c>
      <c r="AP78" s="162">
        <f t="shared" si="47"/>
        <v>0</v>
      </c>
      <c r="AQ78" s="162">
        <f t="shared" si="37"/>
        <v>0</v>
      </c>
      <c r="AR78" s="157">
        <f t="shared" si="38"/>
        <v>0</v>
      </c>
      <c r="AS78" s="148">
        <f>IF(SUM(AI78:AK78)+AR78&gt;AG78,(SUM(AI78:AK78)+AR78-AG78),0)</f>
        <v>13813147</v>
      </c>
      <c r="AT78" s="137">
        <f t="shared" si="39"/>
        <v>1</v>
      </c>
      <c r="AU78" s="138">
        <f t="shared" si="40"/>
        <v>72670133</v>
      </c>
      <c r="AV78" s="139">
        <f>'[1]13-14 deferrals, growth, EPA 1'!BX78</f>
        <v>4</v>
      </c>
      <c r="AW78" s="10">
        <f t="shared" si="48"/>
        <v>-278128</v>
      </c>
      <c r="AX78" s="140">
        <v>0</v>
      </c>
      <c r="AY78" s="141">
        <v>0</v>
      </c>
      <c r="AZ78" s="142"/>
      <c r="BA78" s="133">
        <v>8437527</v>
      </c>
      <c r="BB78" s="143">
        <v>70337331</v>
      </c>
      <c r="BC78" s="161">
        <v>83189296</v>
      </c>
      <c r="BD78" s="164"/>
      <c r="BE78" s="142"/>
      <c r="BF78" s="142"/>
      <c r="BG78" s="142"/>
      <c r="BH78" s="142"/>
      <c r="BI78" s="142"/>
      <c r="BJ78" s="142"/>
      <c r="BK78" s="139">
        <v>0</v>
      </c>
      <c r="BL78" s="10">
        <f t="shared" si="49"/>
        <v>0</v>
      </c>
      <c r="BM78" s="16"/>
      <c r="BN78" s="16"/>
      <c r="BO78" s="16"/>
      <c r="BP78" s="16"/>
      <c r="BQ78" s="16"/>
      <c r="BR78" s="16"/>
      <c r="BS78" s="16"/>
      <c r="BT78" s="16"/>
      <c r="BU78" s="16"/>
      <c r="BV78" s="16"/>
      <c r="BW78" s="16"/>
      <c r="BX78" s="16"/>
      <c r="BY78" s="16"/>
      <c r="BZ78" s="16"/>
      <c r="CA78" s="116"/>
      <c r="CB78" s="16"/>
      <c r="CC78" s="16"/>
      <c r="CD78" s="16"/>
      <c r="CE78" s="16"/>
      <c r="CF78" s="16"/>
      <c r="CG78" s="16"/>
      <c r="CH78" s="16"/>
      <c r="CI78" s="16"/>
      <c r="CJ78" s="16"/>
      <c r="CK78" s="16"/>
      <c r="CL78" s="16"/>
      <c r="CM78" s="16"/>
    </row>
    <row r="79" spans="1:91" s="144" customFormat="1">
      <c r="A79" s="16" t="s">
        <v>180</v>
      </c>
      <c r="B79" s="118">
        <v>80629718</v>
      </c>
      <c r="C79" s="149">
        <v>0</v>
      </c>
      <c r="D79" s="120">
        <f t="shared" si="41"/>
        <v>80629718</v>
      </c>
      <c r="E79" s="10"/>
      <c r="F79" s="121">
        <f>+'[1]Foundation Grant (OLD)'!N79</f>
        <v>7196681</v>
      </c>
      <c r="G79" s="122">
        <f t="shared" si="42"/>
        <v>-1</v>
      </c>
      <c r="H79" s="123">
        <f>ROUND($AE$4*[1]FTES!O79,0)</f>
        <v>287205</v>
      </c>
      <c r="I79" s="123">
        <f>ROUND($AI$4*[1]FTES!Z79,0)</f>
        <v>298481</v>
      </c>
      <c r="J79" s="124">
        <f>ROUND($AR$4*[1]FTES!D79,0)</f>
        <v>72847350</v>
      </c>
      <c r="K79" s="125">
        <f t="shared" si="43"/>
        <v>80629717</v>
      </c>
      <c r="L79" s="125">
        <v>0</v>
      </c>
      <c r="M79" s="125">
        <f t="shared" si="31"/>
        <v>80629717</v>
      </c>
      <c r="N79" s="126">
        <f>(M79-H79-I79-F79)/[1]FTES!D79</f>
        <v>4564.8250868960586</v>
      </c>
      <c r="O79" s="125">
        <f>ROUND((M79+'[1]Restoration and Growth'!BM79)*$C$4,0)</f>
        <v>1265887</v>
      </c>
      <c r="P79" s="125">
        <f>ROUND(M79+O79+'[1]Restoration and Growth'!BM79,0)</f>
        <v>81895604</v>
      </c>
      <c r="Q79" s="127">
        <f t="shared" si="44"/>
        <v>4636.4928410000002</v>
      </c>
      <c r="R79" s="125">
        <f t="shared" si="32"/>
        <v>-1265887</v>
      </c>
      <c r="S79" s="128">
        <f>+'[1]13-14 $86M Workload Restore'!AJ77</f>
        <v>1784261</v>
      </c>
      <c r="T79" s="129">
        <f>+'[1]13-14 $86M Workload Restore'!AA77</f>
        <v>0</v>
      </c>
      <c r="U79" s="129">
        <f>'[1]Growth Deficit'!X79</f>
        <v>338.71006899999998</v>
      </c>
      <c r="V79" s="125">
        <f>-1* '[1]Growth Deficit'!AR79</f>
        <v>-338.71006899999998</v>
      </c>
      <c r="W79" s="125">
        <f t="shared" si="45"/>
        <v>0</v>
      </c>
      <c r="X79" s="129">
        <f>'[1]Restoration and Growth'!AQ79</f>
        <v>0</v>
      </c>
      <c r="Y79" s="125"/>
      <c r="Z79" s="130">
        <f>[1]FTES!AT79</f>
        <v>0</v>
      </c>
      <c r="AA79" s="131">
        <v>0</v>
      </c>
      <c r="AB79" s="125"/>
      <c r="AC79" s="132">
        <f>+'[1]Foundation Grant'!N79-'[1]Foundation Grant (OLD)'!N79</f>
        <v>0</v>
      </c>
      <c r="AD79" s="125">
        <f t="shared" si="33"/>
        <v>0</v>
      </c>
      <c r="AE79" s="125">
        <f t="shared" si="46"/>
        <v>83679865</v>
      </c>
      <c r="AF79" s="131">
        <f>ROUND((1-$AF$82)* AE79,0)</f>
        <v>544944</v>
      </c>
      <c r="AG79" s="125">
        <f t="shared" si="34"/>
        <v>83134921</v>
      </c>
      <c r="AH79" s="133">
        <v>0</v>
      </c>
      <c r="AI79" s="133">
        <v>4380431</v>
      </c>
      <c r="AJ79" s="125">
        <f t="shared" si="35"/>
        <v>29353023</v>
      </c>
      <c r="AK79" s="134">
        <f>+'[1]13-14 deferrals, growth, EPA 1'!I79</f>
        <v>12737722</v>
      </c>
      <c r="AL79" s="135">
        <f t="shared" si="36"/>
        <v>49401467</v>
      </c>
      <c r="AM79" s="135">
        <f>+'[1]13-14 deferrals, growth, EPA 1'!AA79</f>
        <v>140672</v>
      </c>
      <c r="AN79" s="135">
        <f>+'[1]13-14 deferrals, growth, EPA 1'!AB79</f>
        <v>726420</v>
      </c>
      <c r="AO79" s="135">
        <f>+'[1]13-14 deferrals, growth, EPA 1'!AC79</f>
        <v>1051213</v>
      </c>
      <c r="AP79" s="135">
        <f t="shared" si="47"/>
        <v>34745440</v>
      </c>
      <c r="AQ79" s="135">
        <f t="shared" si="37"/>
        <v>544944</v>
      </c>
      <c r="AR79" s="125">
        <f t="shared" si="38"/>
        <v>36663745</v>
      </c>
      <c r="AS79" s="136">
        <f>IF(AI79+AJ79&gt;AG79,AI79+AJ79-AG79,0)</f>
        <v>0</v>
      </c>
      <c r="AT79" s="137">
        <f t="shared" si="39"/>
        <v>0.99348775240017417</v>
      </c>
      <c r="AU79" s="138">
        <f t="shared" si="40"/>
        <v>83679865</v>
      </c>
      <c r="AV79" s="139">
        <f>'[1]13-14 deferrals, growth, EPA 1'!BX79</f>
        <v>0</v>
      </c>
      <c r="AW79" s="10">
        <f t="shared" si="48"/>
        <v>0</v>
      </c>
      <c r="AX79" s="140">
        <v>0</v>
      </c>
      <c r="AY79" s="141">
        <v>0</v>
      </c>
      <c r="AZ79" s="142"/>
      <c r="BA79" s="133">
        <v>4214000</v>
      </c>
      <c r="BB79" s="143">
        <v>31189509</v>
      </c>
      <c r="BC79" s="133">
        <v>30073621</v>
      </c>
      <c r="BD79" s="142">
        <f>ROUND(+BC79*BD$83,0)</f>
        <v>720598</v>
      </c>
      <c r="BE79" s="142"/>
      <c r="BF79" s="142"/>
      <c r="BG79" s="142"/>
      <c r="BH79" s="142"/>
      <c r="BI79" s="142"/>
      <c r="BJ79" s="142"/>
      <c r="BK79" s="139">
        <v>0</v>
      </c>
      <c r="BL79" s="10">
        <f t="shared" si="49"/>
        <v>0</v>
      </c>
      <c r="BM79" s="16"/>
      <c r="BN79" s="16"/>
      <c r="BO79" s="16"/>
      <c r="BP79" s="16"/>
      <c r="BQ79" s="16"/>
      <c r="BR79" s="16"/>
      <c r="BS79" s="16"/>
      <c r="BT79" s="16"/>
      <c r="BU79" s="16"/>
      <c r="BV79" s="16"/>
      <c r="BW79" s="16"/>
      <c r="BX79" s="16"/>
      <c r="BY79" s="16"/>
      <c r="BZ79" s="16"/>
      <c r="CA79" s="116"/>
      <c r="CB79" s="16"/>
      <c r="CC79" s="16"/>
      <c r="CD79" s="16"/>
      <c r="CE79" s="16"/>
      <c r="CF79" s="16"/>
      <c r="CG79" s="16"/>
      <c r="CH79" s="16"/>
      <c r="CI79" s="16"/>
      <c r="CJ79" s="16"/>
      <c r="CK79" s="16"/>
      <c r="CL79" s="16"/>
      <c r="CM79" s="16"/>
    </row>
    <row r="80" spans="1:91" s="144" customFormat="1">
      <c r="A80" s="16" t="s">
        <v>181</v>
      </c>
      <c r="B80" s="118">
        <v>41285621</v>
      </c>
      <c r="C80" s="146">
        <f>553591-553591</f>
        <v>0</v>
      </c>
      <c r="D80" s="120">
        <f t="shared" si="41"/>
        <v>41285621</v>
      </c>
      <c r="E80" s="10"/>
      <c r="F80" s="121">
        <f>+'[1]Foundation Grant (OLD)'!N80</f>
        <v>7196681</v>
      </c>
      <c r="G80" s="122">
        <f t="shared" si="42"/>
        <v>0</v>
      </c>
      <c r="H80" s="123">
        <f>ROUND($AE$4*[1]FTES!O80,0)</f>
        <v>303620</v>
      </c>
      <c r="I80" s="123">
        <f>ROUND($AI$4*[1]FTES!Z80,0)</f>
        <v>0</v>
      </c>
      <c r="J80" s="124">
        <f>ROUND($AR$4*[1]FTES!D80,0)</f>
        <v>33785320</v>
      </c>
      <c r="K80" s="125">
        <f t="shared" si="43"/>
        <v>41285621</v>
      </c>
      <c r="L80" s="125">
        <v>0</v>
      </c>
      <c r="M80" s="125">
        <f t="shared" si="31"/>
        <v>41285621</v>
      </c>
      <c r="N80" s="126">
        <f>(M80-H80-I80-F80)/[1]FTES!D80</f>
        <v>4564.825070994284</v>
      </c>
      <c r="O80" s="125">
        <f>ROUND((M80+'[1]Restoration and Growth'!BM80)*$C$4,0)</f>
        <v>588058</v>
      </c>
      <c r="P80" s="125">
        <f>ROUND(M80+O80+'[1]Restoration and Growth'!BM80,0)</f>
        <v>38043969</v>
      </c>
      <c r="Q80" s="127">
        <f t="shared" si="44"/>
        <v>4636.4928250000003</v>
      </c>
      <c r="R80" s="125">
        <f t="shared" si="32"/>
        <v>3241652</v>
      </c>
      <c r="S80" s="128">
        <f>+'[1]13-14 $86M Workload Restore'!AJ78</f>
        <v>0</v>
      </c>
      <c r="T80" s="129">
        <f>+'[1]13-14 $86M Workload Restore'!AA78</f>
        <v>0</v>
      </c>
      <c r="U80" s="129">
        <f>'[1]Growth Deficit'!X80</f>
        <v>0</v>
      </c>
      <c r="V80" s="125">
        <f>-1* '[1]Growth Deficit'!AR80</f>
        <v>0</v>
      </c>
      <c r="W80" s="125">
        <f t="shared" si="45"/>
        <v>0</v>
      </c>
      <c r="X80" s="129">
        <f>'[1]Restoration and Growth'!AQ80</f>
        <v>3889836</v>
      </c>
      <c r="Y80" s="125"/>
      <c r="Z80" s="130">
        <f>[1]FTES!AT80</f>
        <v>0</v>
      </c>
      <c r="AA80" s="131">
        <v>0</v>
      </c>
      <c r="AB80" s="125"/>
      <c r="AC80" s="146">
        <f>+'[1]Foundation Grant'!N80-'[1]Foundation Grant (OLD)'!N80</f>
        <v>1107182</v>
      </c>
      <c r="AD80" s="168">
        <f>ROUND(AC80*C$4,0)</f>
        <v>17383</v>
      </c>
      <c r="AE80" s="125">
        <f t="shared" si="46"/>
        <v>43058370</v>
      </c>
      <c r="AF80" s="131">
        <f>ROUND((1-$AF$82)* AE80,0)</f>
        <v>280407</v>
      </c>
      <c r="AG80" s="125">
        <f t="shared" si="34"/>
        <v>42777963</v>
      </c>
      <c r="AH80" s="133">
        <v>0</v>
      </c>
      <c r="AI80" s="133">
        <v>1485853</v>
      </c>
      <c r="AJ80" s="125">
        <f>+BC80-BD80</f>
        <v>20067428</v>
      </c>
      <c r="AK80" s="134">
        <f>+'[1]13-14 deferrals, growth, EPA 1'!I80</f>
        <v>6677717</v>
      </c>
      <c r="AL80" s="135">
        <f t="shared" si="36"/>
        <v>21224682</v>
      </c>
      <c r="AM80" s="135">
        <f>+'[1]13-14 deferrals, growth, EPA 1'!AA80</f>
        <v>71173</v>
      </c>
      <c r="AN80" s="135">
        <f>+'[1]13-14 deferrals, growth, EPA 1'!AB80</f>
        <v>367533</v>
      </c>
      <c r="AO80" s="135">
        <f>+'[1]13-14 deferrals, growth, EPA 1'!AC80</f>
        <v>531863</v>
      </c>
      <c r="AP80" s="135">
        <f t="shared" si="47"/>
        <v>13576396</v>
      </c>
      <c r="AQ80" s="135">
        <f t="shared" si="37"/>
        <v>280407</v>
      </c>
      <c r="AR80" s="125">
        <f t="shared" si="38"/>
        <v>14546965</v>
      </c>
      <c r="AS80" s="136">
        <f>IF(AI80+AJ80&gt;AG80,AI80+AJ80-AG80,0)</f>
        <v>0</v>
      </c>
      <c r="AT80" s="137">
        <f t="shared" si="39"/>
        <v>0.99348774698159725</v>
      </c>
      <c r="AU80" s="138">
        <f t="shared" si="40"/>
        <v>39168534</v>
      </c>
      <c r="AV80" s="139">
        <f>'[1]13-14 deferrals, growth, EPA 1'!BX80</f>
        <v>0</v>
      </c>
      <c r="AW80" s="10">
        <f t="shared" si="48"/>
        <v>0</v>
      </c>
      <c r="AX80" s="140">
        <v>0</v>
      </c>
      <c r="AY80" s="141">
        <v>0</v>
      </c>
      <c r="AZ80" s="142"/>
      <c r="BA80" s="133">
        <v>1719182</v>
      </c>
      <c r="BB80" s="143">
        <v>20790600</v>
      </c>
      <c r="BC80" s="133">
        <v>20560071</v>
      </c>
      <c r="BD80" s="142">
        <f>ROUND(+BC80*BD$83,0)</f>
        <v>492643</v>
      </c>
      <c r="BE80" s="142"/>
      <c r="BF80" s="142"/>
      <c r="BG80" s="142"/>
      <c r="BH80" s="142"/>
      <c r="BI80" s="142"/>
      <c r="BJ80" s="142"/>
      <c r="BK80" s="139">
        <v>0</v>
      </c>
      <c r="BL80" s="10">
        <f t="shared" si="49"/>
        <v>0</v>
      </c>
      <c r="BM80" s="16"/>
      <c r="BN80" s="16"/>
      <c r="BO80" s="16"/>
      <c r="BP80" s="16"/>
      <c r="BQ80" s="16"/>
      <c r="BR80" s="16"/>
      <c r="BS80" s="16"/>
      <c r="BT80" s="16"/>
      <c r="BU80" s="16"/>
      <c r="BV80" s="16"/>
      <c r="BW80" s="16"/>
      <c r="BX80" s="16"/>
      <c r="BY80" s="16"/>
      <c r="BZ80" s="16"/>
      <c r="CA80" s="116"/>
      <c r="CB80" s="16"/>
      <c r="CC80" s="16"/>
      <c r="CD80" s="16"/>
      <c r="CE80" s="16"/>
      <c r="CF80" s="16"/>
      <c r="CG80" s="16"/>
      <c r="CH80" s="16"/>
      <c r="CI80" s="16"/>
      <c r="CJ80" s="16"/>
      <c r="CK80" s="16"/>
      <c r="CL80" s="16"/>
      <c r="CM80" s="16"/>
    </row>
    <row r="81" spans="1:90" s="19" customFormat="1" ht="13.5" thickBot="1">
      <c r="A81" s="19" t="s">
        <v>182</v>
      </c>
      <c r="B81" s="176">
        <f>SUM(B9:B80)</f>
        <v>5486249947</v>
      </c>
      <c r="C81" s="176">
        <f>SUM(C9:C80)</f>
        <v>-50993620</v>
      </c>
      <c r="D81" s="176">
        <f>SUM(D9:D80)</f>
        <v>5435256327</v>
      </c>
      <c r="E81" s="177"/>
      <c r="F81" s="54">
        <f t="shared" ref="F81:M81" si="50">SUM(F9:F80)</f>
        <v>505566862</v>
      </c>
      <c r="G81" s="122">
        <f t="shared" si="50"/>
        <v>0</v>
      </c>
      <c r="H81" s="178">
        <f t="shared" si="50"/>
        <v>81896286</v>
      </c>
      <c r="I81" s="179">
        <f t="shared" si="50"/>
        <v>114995445</v>
      </c>
      <c r="J81" s="179">
        <f t="shared" si="50"/>
        <v>4718431884</v>
      </c>
      <c r="K81" s="179">
        <f t="shared" si="50"/>
        <v>5420890477</v>
      </c>
      <c r="L81" s="179">
        <f t="shared" si="50"/>
        <v>14365850</v>
      </c>
      <c r="M81" s="176">
        <f t="shared" si="50"/>
        <v>5435256327</v>
      </c>
      <c r="N81" s="126">
        <f>AR4</f>
        <v>4564.8251</v>
      </c>
      <c r="O81" s="178">
        <f>SUM(O9:O80)</f>
        <v>84022326</v>
      </c>
      <c r="P81" s="180">
        <f>SUM(P9:P80)</f>
        <v>5435762587</v>
      </c>
      <c r="Q81" s="127">
        <f>ROUND(N81*(1+$C$4),2)</f>
        <v>4636.49</v>
      </c>
      <c r="R81" s="26">
        <f t="shared" ref="R81:X81" si="51">SUM(R9:R80)</f>
        <v>-506260</v>
      </c>
      <c r="S81" s="26">
        <f t="shared" si="51"/>
        <v>86047307</v>
      </c>
      <c r="T81" s="54">
        <f t="shared" si="51"/>
        <v>34306442</v>
      </c>
      <c r="U81" s="178">
        <f t="shared" si="51"/>
        <v>32154.827485999995</v>
      </c>
      <c r="V81" s="179">
        <f t="shared" si="51"/>
        <v>-32154.827485999995</v>
      </c>
      <c r="W81" s="176">
        <f t="shared" si="51"/>
        <v>0</v>
      </c>
      <c r="X81" s="54">
        <f t="shared" si="51"/>
        <v>84827269</v>
      </c>
      <c r="Z81" s="179">
        <f t="shared" ref="Z81:AS81" si="52">SUM(Z9:Z80)</f>
        <v>0</v>
      </c>
      <c r="AA81" s="179">
        <f t="shared" si="52"/>
        <v>-554194</v>
      </c>
      <c r="AB81" s="179">
        <f t="shared" si="52"/>
        <v>0</v>
      </c>
      <c r="AC81" s="176">
        <f t="shared" si="52"/>
        <v>2075967</v>
      </c>
      <c r="AD81" s="176">
        <f t="shared" si="52"/>
        <v>32593</v>
      </c>
      <c r="AE81" s="178">
        <f t="shared" si="52"/>
        <v>5642497971</v>
      </c>
      <c r="AF81" s="181">
        <f t="shared" si="52"/>
        <v>33726722</v>
      </c>
      <c r="AG81" s="176">
        <f t="shared" si="52"/>
        <v>5608771249</v>
      </c>
      <c r="AH81" s="176">
        <f t="shared" si="52"/>
        <v>0</v>
      </c>
      <c r="AI81" s="182">
        <f t="shared" si="52"/>
        <v>406073693</v>
      </c>
      <c r="AJ81" s="183">
        <f t="shared" si="52"/>
        <v>2284213580</v>
      </c>
      <c r="AK81" s="183">
        <f t="shared" si="52"/>
        <v>776703510</v>
      </c>
      <c r="AL81" s="183">
        <f t="shared" si="52"/>
        <v>3059876476</v>
      </c>
      <c r="AM81" s="183">
        <f t="shared" si="52"/>
        <v>8583000</v>
      </c>
      <c r="AN81" s="183">
        <f t="shared" si="52"/>
        <v>44322000</v>
      </c>
      <c r="AO81" s="183">
        <f t="shared" si="52"/>
        <v>64139000</v>
      </c>
      <c r="AP81" s="183">
        <f t="shared" si="52"/>
        <v>2166128966</v>
      </c>
      <c r="AQ81" s="183">
        <f t="shared" si="52"/>
        <v>33726722</v>
      </c>
      <c r="AR81" s="179">
        <f t="shared" si="52"/>
        <v>2283172966</v>
      </c>
      <c r="AS81" s="176">
        <f t="shared" si="52"/>
        <v>141392500</v>
      </c>
      <c r="AT81" s="184"/>
      <c r="AU81" s="54">
        <f>SUM(AU9:AU80)</f>
        <v>5558224896</v>
      </c>
      <c r="AV81" s="185">
        <f>SUM(AV9:AV80)</f>
        <v>38.330000000000013</v>
      </c>
      <c r="AW81" s="24">
        <f>SUM(AW9:AW80)</f>
        <v>-2665162</v>
      </c>
      <c r="AX81" s="152">
        <f>SUM(AX9:AX80)</f>
        <v>325000</v>
      </c>
      <c r="AY81" s="24">
        <f>SUM(AY9:AY80)</f>
        <v>-289000</v>
      </c>
      <c r="AZ81" s="26"/>
      <c r="BA81" s="182">
        <f>SUM(BA9:BA80)</f>
        <v>418688260</v>
      </c>
      <c r="BB81" s="183">
        <f>SUM(BB9:BB80)</f>
        <v>2213171244</v>
      </c>
      <c r="BC81" s="183">
        <f>SUM(BC9:BC80)</f>
        <v>2326803795</v>
      </c>
      <c r="BD81" s="183">
        <f>SUM(BD9:BD80)</f>
        <v>42590215</v>
      </c>
      <c r="BE81" s="186"/>
      <c r="BF81" s="186"/>
      <c r="BG81" s="186"/>
      <c r="BH81" s="186"/>
      <c r="BI81" s="186"/>
      <c r="BJ81" s="186"/>
      <c r="BK81" s="185">
        <f>SUM(BK9:BK80)</f>
        <v>0</v>
      </c>
      <c r="BL81" s="24">
        <f>SUM(BL9:BL80)</f>
        <v>0</v>
      </c>
    </row>
    <row r="82" spans="1:90" ht="13.5" thickBot="1">
      <c r="F82" s="187"/>
      <c r="H82" s="187"/>
      <c r="I82" s="187"/>
      <c r="P82" s="10">
        <f>P81-P71-P40-P37</f>
        <v>5233188252</v>
      </c>
      <c r="Q82" s="9"/>
      <c r="R82" s="10"/>
      <c r="S82" s="10"/>
      <c r="T82" s="10">
        <f>T81-T71-T40-T37</f>
        <v>34306442</v>
      </c>
      <c r="U82" s="10">
        <f>U81-U71-U40-U37</f>
        <v>31854.384048999993</v>
      </c>
      <c r="V82" s="10">
        <f>V81-V71-V40-V37</f>
        <v>-31854.384048999993</v>
      </c>
      <c r="W82" s="10">
        <f>W81-W71-W40-W37</f>
        <v>0</v>
      </c>
      <c r="X82" s="10">
        <f>X81-X71-X40-X37</f>
        <v>71282672</v>
      </c>
      <c r="Z82" s="10">
        <f>Z81-Z71-Z40-Z37</f>
        <v>0</v>
      </c>
      <c r="AA82" s="188">
        <f>AA81-AA71-AA40-AA37</f>
        <v>-554194</v>
      </c>
      <c r="AB82" s="10">
        <f>AB81-AB71-AB40-AB37</f>
        <v>0</v>
      </c>
      <c r="AC82" s="10">
        <f>AC81-AC71-AC40-AC37</f>
        <v>2075967</v>
      </c>
      <c r="AE82" s="152"/>
      <c r="AF82" s="189">
        <v>0.99348774916872273</v>
      </c>
      <c r="AG82" s="6"/>
      <c r="AH82" s="190"/>
      <c r="AQ82" s="191">
        <f>1-(AQ81)/AE84</f>
        <v>0.99339498237642632</v>
      </c>
      <c r="AR82" s="192">
        <f>P4</f>
        <v>2283172966</v>
      </c>
      <c r="AZ82" s="10"/>
      <c r="CG82" s="69"/>
    </row>
    <row r="83" spans="1:90" ht="15.75" thickBot="1">
      <c r="F83" s="193"/>
      <c r="J83" s="6">
        <f>J81+L81</f>
        <v>4732797734</v>
      </c>
      <c r="L83" s="193"/>
      <c r="P83" s="10">
        <f>P81-P82</f>
        <v>202574335</v>
      </c>
      <c r="Q83" s="9"/>
      <c r="R83" s="10"/>
      <c r="S83" s="10"/>
      <c r="T83" s="10">
        <f>T81-T82</f>
        <v>0</v>
      </c>
      <c r="U83" s="10">
        <f>U81-U82</f>
        <v>300.44343700000172</v>
      </c>
      <c r="V83" s="10">
        <f>V81-V82</f>
        <v>-300.44343700000172</v>
      </c>
      <c r="W83" s="10">
        <f>W81-W82</f>
        <v>0</v>
      </c>
      <c r="X83" s="10">
        <f>X81-X82</f>
        <v>13544597</v>
      </c>
      <c r="Z83" s="10">
        <f>Z81-Z82</f>
        <v>0</v>
      </c>
      <c r="AA83" s="194"/>
      <c r="AB83" s="10">
        <f>AB81-AB82</f>
        <v>0</v>
      </c>
      <c r="AC83" s="10">
        <f>AC81-AC82</f>
        <v>0</v>
      </c>
      <c r="AD83" s="195"/>
      <c r="AE83" s="196" t="s">
        <v>183</v>
      </c>
      <c r="AF83" s="197">
        <f>P4-Q4</f>
        <v>-79378657</v>
      </c>
      <c r="AG83" s="6"/>
      <c r="AI83" s="198">
        <v>425627000</v>
      </c>
      <c r="AJ83" s="198">
        <v>2394874000</v>
      </c>
      <c r="AK83" s="16" t="s">
        <v>184</v>
      </c>
      <c r="AL83" s="25"/>
      <c r="AM83" s="25"/>
      <c r="AN83" s="25"/>
      <c r="AO83" s="25"/>
      <c r="AP83" s="25"/>
      <c r="AQ83" s="199" t="s">
        <v>185</v>
      </c>
      <c r="AR83" s="200">
        <f>AR81-AR82</f>
        <v>0</v>
      </c>
      <c r="BD83" s="201">
        <v>2.3961130110020379E-2</v>
      </c>
    </row>
    <row r="84" spans="1:90">
      <c r="B84" s="6"/>
      <c r="F84" s="202"/>
      <c r="M84" s="6">
        <f>K81+L81</f>
        <v>5435256327</v>
      </c>
      <c r="P84" s="10">
        <f>P82+T82+X82+Z82+AB82+AC82</f>
        <v>5340853333</v>
      </c>
      <c r="Q84" s="9" t="s">
        <v>186</v>
      </c>
      <c r="R84" s="10"/>
      <c r="S84" s="10"/>
      <c r="T84" s="6">
        <f>P81+T81+X81+Z81+AB81+AC81</f>
        <v>5556972265</v>
      </c>
      <c r="U84" s="6">
        <v>276129444.22000003</v>
      </c>
      <c r="V84" s="6">
        <v>1802413942</v>
      </c>
      <c r="W84" s="6">
        <v>3371410404.7799997</v>
      </c>
      <c r="AB84" s="193"/>
      <c r="AE84" s="203">
        <f>+AE81-AE37-AE40-AE59-AE61-AE67-AE71-AE78</f>
        <v>5106227405</v>
      </c>
      <c r="AF84" s="204" t="s">
        <v>187</v>
      </c>
      <c r="AG84" s="205">
        <f>AF83+AR83</f>
        <v>-79378657</v>
      </c>
      <c r="AI84" s="206">
        <v>1.0165725608605143</v>
      </c>
      <c r="AJ84" s="206">
        <v>1.0833657844807514</v>
      </c>
      <c r="AK84" s="207"/>
      <c r="AL84" s="207"/>
      <c r="AM84" s="207"/>
      <c r="AN84" s="207"/>
      <c r="AO84" s="25"/>
      <c r="AP84" s="207"/>
      <c r="AQ84" s="6"/>
      <c r="AR84" s="208"/>
      <c r="BD84" s="209">
        <f>+BD81-BD7</f>
        <v>0</v>
      </c>
    </row>
    <row r="85" spans="1:90" ht="16.5" customHeight="1">
      <c r="D85">
        <f>40925037/[1]Rates!B7</f>
        <v>8945.6299992461882</v>
      </c>
      <c r="J85" s="116"/>
      <c r="M85" s="6">
        <f>M84-85257</f>
        <v>5435171070</v>
      </c>
      <c r="P85" s="10">
        <f>T85-P83</f>
        <v>5413094851</v>
      </c>
      <c r="Q85" s="9"/>
      <c r="R85" s="10"/>
      <c r="S85" s="10"/>
      <c r="T85" s="6">
        <f>5376586000+248431000-9347814</f>
        <v>5615669186</v>
      </c>
      <c r="U85" s="6" t="s">
        <v>188</v>
      </c>
      <c r="V85" s="6">
        <f>V82+K4</f>
        <v>89389145.615951002</v>
      </c>
      <c r="W85" s="6">
        <v>5449953791</v>
      </c>
      <c r="X85" s="6">
        <f>W81+Z81</f>
        <v>0</v>
      </c>
      <c r="AA85" s="210"/>
      <c r="AE85" s="211" t="s">
        <v>40</v>
      </c>
      <c r="AF85" s="211"/>
      <c r="AG85" s="211"/>
      <c r="AI85" s="212">
        <f>+AI81-AI83</f>
        <v>-19553307</v>
      </c>
      <c r="AJ85" s="212">
        <f>+AJ81-AJ83</f>
        <v>-110660420</v>
      </c>
      <c r="AK85" s="213"/>
      <c r="AL85" s="213"/>
      <c r="AM85" s="213"/>
      <c r="AN85" s="213"/>
      <c r="AO85" s="25"/>
      <c r="AP85" s="213"/>
      <c r="AQ85" s="213">
        <f>+AR83+AF81</f>
        <v>33726722</v>
      </c>
      <c r="AR85" s="214"/>
      <c r="AS85" s="161">
        <v>2254121810</v>
      </c>
    </row>
    <row r="86" spans="1:90" s="219" customFormat="1">
      <c r="A86" s="19" t="s">
        <v>189</v>
      </c>
      <c r="B86" s="19"/>
      <c r="C86" s="19"/>
      <c r="D86" s="19"/>
      <c r="E86" s="19"/>
      <c r="F86" s="19"/>
      <c r="G86" s="19"/>
      <c r="H86" s="19"/>
      <c r="I86" s="19"/>
      <c r="J86" s="19"/>
      <c r="K86" s="25"/>
      <c r="L86" s="25"/>
      <c r="M86" s="25"/>
      <c r="N86" s="215"/>
      <c r="O86" s="19"/>
      <c r="P86" s="216">
        <f>P85-P84</f>
        <v>72241518</v>
      </c>
      <c r="Q86" s="217"/>
      <c r="R86" s="216"/>
      <c r="S86" s="216"/>
      <c r="T86" s="25">
        <f>T85-T84</f>
        <v>58696921</v>
      </c>
      <c r="U86" s="6" t="s">
        <v>190</v>
      </c>
      <c r="V86" s="25"/>
      <c r="W86" s="25"/>
      <c r="X86" s="25"/>
      <c r="Y86" s="25"/>
      <c r="Z86" s="25"/>
      <c r="AA86" s="25"/>
      <c r="AB86" s="25"/>
      <c r="AC86" s="53"/>
      <c r="AD86" s="19"/>
      <c r="AE86" s="25">
        <f>AE81-AE37-AE40-AE61-AE71</f>
        <v>5327190835</v>
      </c>
      <c r="AF86" s="25">
        <f>AE86-AG86</f>
        <v>33726722</v>
      </c>
      <c r="AG86" s="25">
        <f>AG81-AG37-AG40-AG61-AG71</f>
        <v>5293464113</v>
      </c>
      <c r="AH86" s="218"/>
      <c r="AI86" s="125"/>
      <c r="AJ86" s="25">
        <f>+AJ78+AI78-AG78</f>
        <v>12373493</v>
      </c>
      <c r="AK86" s="25"/>
      <c r="AL86" s="25"/>
      <c r="AM86" s="25"/>
      <c r="AN86" s="25"/>
      <c r="AO86" s="25"/>
      <c r="AP86" s="25"/>
      <c r="AQ86" s="25"/>
      <c r="AR86" s="25">
        <f>AR81-AR37-AR40-AR61-AR71</f>
        <v>2283172966</v>
      </c>
      <c r="AS86" s="161">
        <v>8583000</v>
      </c>
      <c r="AT86" s="14"/>
      <c r="AU86"/>
      <c r="AV86" s="19"/>
      <c r="AW86" s="19"/>
      <c r="AX86" s="10"/>
      <c r="AZ86" s="220"/>
      <c r="BA86" s="19"/>
      <c r="BB86" s="19"/>
      <c r="BC86" s="221" t="s">
        <v>191</v>
      </c>
      <c r="BD86" s="222">
        <v>105307295</v>
      </c>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row>
    <row r="87" spans="1:90">
      <c r="D87" s="6">
        <f>B81+C81</f>
        <v>5435256327</v>
      </c>
      <c r="F87" s="6">
        <f>D87-F81</f>
        <v>4929689465</v>
      </c>
      <c r="Q87" s="9"/>
      <c r="R87" s="10"/>
      <c r="S87" s="10"/>
      <c r="AB87" s="10"/>
      <c r="AC87" s="223"/>
      <c r="AD87" s="116"/>
      <c r="AE87" s="224">
        <f>AI86+AJ86+AR86</f>
        <v>2295546459</v>
      </c>
      <c r="AF87" s="216">
        <v>827970000</v>
      </c>
      <c r="AG87" s="16"/>
      <c r="AH87" s="225"/>
      <c r="AI87" s="226"/>
      <c r="AJ87" s="125"/>
      <c r="AK87" s="125"/>
      <c r="AL87" s="125"/>
      <c r="AM87" s="125"/>
      <c r="AN87" s="125"/>
      <c r="AO87" s="25"/>
      <c r="AP87" s="125"/>
      <c r="AQ87" s="125"/>
      <c r="AR87" s="25"/>
      <c r="AS87" s="227">
        <v>-87994000</v>
      </c>
      <c r="BC87" s="228"/>
      <c r="BD87" s="229">
        <v>38759811</v>
      </c>
    </row>
    <row r="88" spans="1:90" ht="15">
      <c r="F88" t="s">
        <v>192</v>
      </c>
      <c r="Q88" s="9"/>
      <c r="R88" s="10"/>
      <c r="S88" s="10"/>
      <c r="T88" s="6">
        <f>T84+97532000</f>
        <v>5654504265</v>
      </c>
      <c r="U88" s="6">
        <v>5629582480</v>
      </c>
      <c r="V88" s="6" t="s">
        <v>193</v>
      </c>
      <c r="AB88" s="10"/>
      <c r="AC88" s="223"/>
      <c r="AD88" s="116"/>
      <c r="AE88" s="10"/>
      <c r="AF88" s="230"/>
      <c r="AG88" s="25">
        <f>SUM(AI86:AR86)</f>
        <v>2295546459</v>
      </c>
      <c r="AH88" s="231"/>
      <c r="AI88" s="125"/>
      <c r="AJ88" s="125"/>
      <c r="AK88" s="125"/>
      <c r="AL88" s="125"/>
      <c r="AM88" s="125"/>
      <c r="AN88" s="125"/>
      <c r="AO88" s="25"/>
      <c r="AP88" s="125"/>
      <c r="AQ88" s="125"/>
      <c r="AR88" s="43">
        <f>2254121810+8583000-87994000+44322000+64139000-11000</f>
        <v>2283160810</v>
      </c>
      <c r="AS88" s="161">
        <v>44322000</v>
      </c>
      <c r="BC88" s="228"/>
      <c r="BD88" s="229">
        <f>SUM(BD86:BD87)</f>
        <v>144067106</v>
      </c>
    </row>
    <row r="89" spans="1:90">
      <c r="F89" t="s">
        <v>194</v>
      </c>
      <c r="Q89" s="9"/>
      <c r="R89" s="10"/>
      <c r="S89" s="10"/>
      <c r="U89" s="6">
        <f>AI81+AJ81-AS81</f>
        <v>2548894773</v>
      </c>
      <c r="V89" s="6" t="s">
        <v>195</v>
      </c>
      <c r="W89" s="6">
        <f>2056377000+283718000</f>
        <v>2340095000</v>
      </c>
      <c r="X89" s="6" t="s">
        <v>196</v>
      </c>
      <c r="AB89" s="10"/>
      <c r="AC89" s="223"/>
      <c r="AD89" s="116"/>
      <c r="AE89" s="10">
        <f>AE86-AE87</f>
        <v>3031644376</v>
      </c>
      <c r="AF89" s="232"/>
      <c r="AG89" s="16"/>
      <c r="AH89" s="231"/>
      <c r="AJ89" s="125"/>
      <c r="AK89" s="125"/>
      <c r="AL89" s="125"/>
      <c r="AM89" s="125"/>
      <c r="AN89" s="125"/>
      <c r="AO89" s="25"/>
      <c r="AP89" s="125"/>
      <c r="AQ89" s="125"/>
      <c r="AR89" s="172"/>
      <c r="AS89" s="161">
        <v>64139000</v>
      </c>
      <c r="BC89" s="228"/>
      <c r="BD89" s="229"/>
    </row>
    <row r="90" spans="1:90">
      <c r="F90" s="233" t="s">
        <v>197</v>
      </c>
      <c r="Q90" s="9"/>
      <c r="R90" s="10"/>
      <c r="S90" s="10"/>
      <c r="U90" s="6">
        <f>T88-U89</f>
        <v>3105609492</v>
      </c>
      <c r="V90" s="6" t="s">
        <v>198</v>
      </c>
      <c r="W90" s="6">
        <f>U89-W89</f>
        <v>208799773</v>
      </c>
      <c r="X90" s="6" t="s">
        <v>199</v>
      </c>
      <c r="AB90" s="10"/>
      <c r="AC90" s="10"/>
      <c r="AD90" s="16"/>
      <c r="AE90" s="10"/>
      <c r="AF90" s="16"/>
      <c r="AG90" s="16"/>
      <c r="AH90" s="225"/>
      <c r="AI90" s="131"/>
      <c r="AJ90" s="125"/>
      <c r="AK90" s="125"/>
      <c r="AL90" s="125"/>
      <c r="AM90" s="125"/>
      <c r="AN90" s="125"/>
      <c r="AO90" s="25"/>
      <c r="AP90" s="125"/>
      <c r="AQ90" s="125"/>
      <c r="AR90" s="10"/>
      <c r="AS90" s="161">
        <v>-11000</v>
      </c>
      <c r="AT90" s="211"/>
      <c r="BC90" s="221" t="s">
        <v>200</v>
      </c>
      <c r="BD90" s="229">
        <v>58876380</v>
      </c>
    </row>
    <row r="91" spans="1:90">
      <c r="F91" s="233" t="s">
        <v>201</v>
      </c>
      <c r="Q91" s="9"/>
      <c r="R91" s="10"/>
      <c r="S91" s="10"/>
      <c r="T91" s="6">
        <f>T85+97532000</f>
        <v>5713201186</v>
      </c>
      <c r="U91" s="6" t="s">
        <v>202</v>
      </c>
      <c r="AB91" s="10"/>
      <c r="AC91" s="10"/>
      <c r="AD91" s="16"/>
      <c r="AE91" s="10"/>
      <c r="AF91" s="16"/>
      <c r="AG91" s="16"/>
      <c r="AH91" s="225"/>
      <c r="AI91" s="224"/>
      <c r="AJ91" s="125"/>
      <c r="AK91" s="125"/>
      <c r="AL91" s="125"/>
      <c r="AM91" s="125"/>
      <c r="AN91" s="125"/>
      <c r="AO91" s="25"/>
      <c r="AP91" s="125"/>
      <c r="AQ91" s="125"/>
      <c r="AR91" s="10"/>
      <c r="AS91" s="152">
        <f>SUM(AS85:AS90)</f>
        <v>2283160810</v>
      </c>
      <c r="AT91" s="211"/>
      <c r="BC91" s="228"/>
      <c r="BD91" s="229">
        <v>42600511</v>
      </c>
    </row>
    <row r="92" spans="1:90">
      <c r="Q92" s="9"/>
      <c r="R92" s="10"/>
      <c r="S92" s="10"/>
      <c r="AB92" s="10"/>
      <c r="AC92" s="10"/>
      <c r="AD92" s="16"/>
      <c r="AE92" s="16"/>
      <c r="AF92" s="234"/>
      <c r="AG92" s="16"/>
      <c r="AH92" s="231"/>
      <c r="AI92" s="125"/>
      <c r="AJ92" s="125"/>
      <c r="AK92" s="125"/>
      <c r="AL92" s="125"/>
      <c r="AM92" s="125"/>
      <c r="AN92" s="125"/>
      <c r="AO92" s="25"/>
      <c r="AP92" s="125"/>
      <c r="AQ92" s="125"/>
      <c r="AR92" s="10"/>
      <c r="BC92" s="228"/>
      <c r="BD92" s="229">
        <f>SUM(BD90:BD91)</f>
        <v>101476891</v>
      </c>
    </row>
    <row r="93" spans="1:90">
      <c r="Q93" s="9"/>
      <c r="R93" s="10"/>
      <c r="S93" s="10"/>
      <c r="T93" s="6">
        <f>T91-T88</f>
        <v>58696921</v>
      </c>
      <c r="U93" s="235" t="s">
        <v>203</v>
      </c>
      <c r="V93" s="6">
        <f>97532000+T93</f>
        <v>156228921</v>
      </c>
      <c r="W93" s="6">
        <f>U90-P4</f>
        <v>822436526</v>
      </c>
      <c r="X93" s="11" t="s">
        <v>204</v>
      </c>
      <c r="AB93" s="10"/>
      <c r="AC93" s="10"/>
      <c r="AD93" s="26"/>
      <c r="AE93" s="16"/>
      <c r="AF93" s="234"/>
      <c r="AG93" s="16"/>
      <c r="AH93" s="231"/>
      <c r="AI93" s="125"/>
      <c r="AJ93" s="125"/>
      <c r="AK93" s="125"/>
      <c r="AL93" s="125"/>
      <c r="AM93" s="125"/>
      <c r="AN93" s="125"/>
      <c r="AO93" s="125"/>
      <c r="AP93" s="125"/>
      <c r="AQ93" s="125"/>
      <c r="AR93" s="16"/>
      <c r="BD93" s="211"/>
    </row>
    <row r="94" spans="1:90">
      <c r="Q94" s="9"/>
      <c r="R94" s="10"/>
      <c r="S94" s="10"/>
      <c r="W94" s="6">
        <f>W93-81922925</f>
        <v>740513601</v>
      </c>
      <c r="AB94" s="10"/>
      <c r="AC94" s="10"/>
      <c r="AD94" s="16"/>
      <c r="AE94" s="236"/>
      <c r="AF94" s="16"/>
      <c r="AG94" s="16"/>
      <c r="AH94" s="231"/>
      <c r="AI94" s="125"/>
      <c r="AJ94" s="125"/>
      <c r="AK94" s="125"/>
      <c r="AL94" s="125"/>
      <c r="AM94" s="125"/>
      <c r="AN94" s="125"/>
      <c r="AO94" s="125"/>
      <c r="AP94" s="125"/>
      <c r="AQ94" s="125"/>
      <c r="AR94" s="16"/>
      <c r="AS94" s="10"/>
      <c r="BC94"/>
    </row>
    <row r="95" spans="1:90">
      <c r="Q95" s="9"/>
      <c r="R95" s="10"/>
      <c r="S95" s="10"/>
      <c r="AB95" s="10"/>
      <c r="AC95" s="188"/>
      <c r="AD95" s="16"/>
      <c r="AE95" s="16"/>
      <c r="AF95" s="16"/>
      <c r="AG95" s="16"/>
      <c r="AH95" s="231"/>
      <c r="AI95" s="16"/>
      <c r="AJ95" s="16"/>
      <c r="AK95" s="16"/>
      <c r="AL95" s="16"/>
      <c r="AM95" s="16"/>
      <c r="AN95" s="16"/>
      <c r="AO95" s="16"/>
      <c r="AP95" s="16"/>
      <c r="AQ95" s="16"/>
      <c r="AR95" s="16"/>
      <c r="AS95" s="10"/>
    </row>
    <row r="96" spans="1:90" ht="76.5">
      <c r="A96" s="61" t="s">
        <v>205</v>
      </c>
      <c r="B96" s="237" t="s">
        <v>206</v>
      </c>
      <c r="C96" s="237" t="s">
        <v>206</v>
      </c>
      <c r="P96" s="238" t="s">
        <v>207</v>
      </c>
      <c r="Q96" s="9"/>
      <c r="R96" s="10"/>
      <c r="S96" s="10"/>
      <c r="AA96" s="239" t="s">
        <v>208</v>
      </c>
      <c r="AB96" s="240"/>
      <c r="AC96" s="240"/>
      <c r="AD96" s="16"/>
      <c r="AE96" s="16"/>
      <c r="AF96" s="16"/>
      <c r="AG96" s="16"/>
      <c r="AH96" s="231"/>
      <c r="AI96" s="237" t="s">
        <v>209</v>
      </c>
      <c r="AJ96" s="237" t="s">
        <v>210</v>
      </c>
      <c r="AK96" s="237"/>
      <c r="AL96" s="237"/>
      <c r="AM96" s="237"/>
      <c r="AN96" s="237"/>
      <c r="AO96" s="237"/>
      <c r="AP96" s="237"/>
      <c r="AQ96" s="237"/>
      <c r="AR96" s="16"/>
      <c r="AS96" s="16"/>
      <c r="AY96" s="241"/>
    </row>
    <row r="97" spans="1:103" ht="76.5">
      <c r="A97" s="61" t="s">
        <v>211</v>
      </c>
      <c r="B97" s="242" t="s">
        <v>212</v>
      </c>
      <c r="C97" s="242" t="s">
        <v>213</v>
      </c>
      <c r="P97" s="238" t="s">
        <v>214</v>
      </c>
      <c r="Q97" s="9"/>
      <c r="R97" s="10"/>
      <c r="S97" s="10"/>
      <c r="AA97" s="239" t="s">
        <v>215</v>
      </c>
      <c r="AB97" s="10"/>
      <c r="AC97" s="10"/>
      <c r="AD97" s="16"/>
      <c r="AE97" s="16"/>
      <c r="AF97" s="16"/>
      <c r="AG97" s="16"/>
      <c r="AH97" s="231"/>
      <c r="AI97" s="237" t="s">
        <v>216</v>
      </c>
      <c r="AJ97" s="237" t="s">
        <v>217</v>
      </c>
      <c r="AK97" s="237"/>
      <c r="AL97" s="237"/>
      <c r="AM97" s="237"/>
      <c r="AN97" s="237"/>
      <c r="AO97" s="237"/>
      <c r="AP97" s="237"/>
      <c r="AQ97" s="237"/>
      <c r="AR97" s="16"/>
      <c r="AS97" s="16"/>
      <c r="AY97" s="241"/>
    </row>
    <row r="98" spans="1:103" s="241" customFormat="1" ht="51">
      <c r="A98" s="243" t="s">
        <v>218</v>
      </c>
      <c r="B98" s="242" t="s">
        <v>219</v>
      </c>
      <c r="C98" s="242" t="s">
        <v>219</v>
      </c>
      <c r="D98" s="242"/>
      <c r="E98" s="242"/>
      <c r="F98" s="242"/>
      <c r="G98" s="242"/>
      <c r="H98" s="242"/>
      <c r="I98" s="242"/>
      <c r="J98" s="242"/>
      <c r="K98" s="6"/>
      <c r="L98" s="244"/>
      <c r="M98" s="6"/>
      <c r="N98" s="245"/>
      <c r="O98" s="242"/>
      <c r="P98" s="238" t="s">
        <v>220</v>
      </c>
      <c r="Q98" s="246"/>
      <c r="R98" s="238"/>
      <c r="S98" s="238"/>
      <c r="T98" s="244"/>
      <c r="U98" s="244"/>
      <c r="V98" s="244"/>
      <c r="W98" s="244"/>
      <c r="X98" s="244"/>
      <c r="Y98" s="244"/>
      <c r="Z98" s="244"/>
      <c r="AA98" s="239" t="s">
        <v>221</v>
      </c>
      <c r="AB98" s="238"/>
      <c r="AC98" s="238"/>
      <c r="AD98" s="247"/>
      <c r="AE98" s="247"/>
      <c r="AF98" s="247"/>
      <c r="AG98" s="247"/>
      <c r="AH98" s="248"/>
      <c r="AI98" s="237" t="s">
        <v>222</v>
      </c>
      <c r="AJ98" s="237" t="s">
        <v>223</v>
      </c>
      <c r="AK98" s="237"/>
      <c r="AL98" s="237"/>
      <c r="AM98" s="237"/>
      <c r="AN98" s="237"/>
      <c r="AO98" s="237"/>
      <c r="AP98" s="237"/>
      <c r="AQ98" s="237"/>
      <c r="AR98" s="247"/>
      <c r="AS98" s="247"/>
      <c r="AT98" s="249"/>
      <c r="AU98" s="242"/>
      <c r="AV98" s="242"/>
      <c r="AW98" s="242"/>
      <c r="AX98" s="10"/>
      <c r="AZ98" s="247"/>
      <c r="BA98" s="242"/>
      <c r="BB98" s="242"/>
      <c r="BC98" s="247"/>
      <c r="BD98" s="242"/>
      <c r="BE98" s="242"/>
      <c r="BF98" s="242"/>
      <c r="BG98" s="242"/>
      <c r="BH98" s="242"/>
      <c r="BI98" s="242"/>
      <c r="BJ98" s="242"/>
      <c r="BK98" s="242"/>
      <c r="BL98" s="242"/>
      <c r="BM98" s="242"/>
      <c r="BN98" s="250"/>
      <c r="BO98" s="242"/>
      <c r="BP98" s="242"/>
      <c r="BQ98" s="242"/>
      <c r="BR98" s="242"/>
      <c r="BS98" s="242"/>
      <c r="BT98" s="242"/>
      <c r="BU98" s="242"/>
      <c r="BV98" s="242"/>
      <c r="BW98" s="242"/>
      <c r="BX98" s="242"/>
      <c r="BY98" s="242"/>
      <c r="BZ98" s="242"/>
      <c r="CA98" s="242"/>
      <c r="CB98" s="242"/>
      <c r="CC98" s="242"/>
      <c r="CD98" s="242"/>
      <c r="CE98" s="242"/>
      <c r="CF98" s="242"/>
      <c r="CG98" s="242"/>
      <c r="CH98" s="242"/>
      <c r="CI98" s="242"/>
      <c r="CJ98" s="242"/>
      <c r="CK98" s="242"/>
      <c r="CL98" s="242"/>
    </row>
    <row r="99" spans="1:103" s="241" customFormat="1" ht="25.5">
      <c r="A99" s="251" t="s">
        <v>224</v>
      </c>
      <c r="B99" s="242" t="s">
        <v>225</v>
      </c>
      <c r="C99" s="252" t="s">
        <v>226</v>
      </c>
      <c r="D99" s="242"/>
      <c r="E99" s="242"/>
      <c r="F99" s="242"/>
      <c r="G99" s="242"/>
      <c r="H99" s="242"/>
      <c r="I99" s="242"/>
      <c r="J99" s="242"/>
      <c r="K99" s="6"/>
      <c r="L99" s="244"/>
      <c r="M99" s="6"/>
      <c r="N99" s="245"/>
      <c r="O99" s="242"/>
      <c r="P99" s="253" t="s">
        <v>227</v>
      </c>
      <c r="Q99" s="246"/>
      <c r="R99" s="238"/>
      <c r="S99" s="238"/>
      <c r="T99" s="244"/>
      <c r="U99" s="244"/>
      <c r="V99" s="244"/>
      <c r="W99" s="244"/>
      <c r="X99" s="244"/>
      <c r="Y99" s="244"/>
      <c r="Z99" s="244"/>
      <c r="AA99" s="239" t="s">
        <v>228</v>
      </c>
      <c r="AB99" s="238"/>
      <c r="AC99" s="238"/>
      <c r="AD99" s="247"/>
      <c r="AE99" s="247"/>
      <c r="AF99" s="247"/>
      <c r="AG99" s="247"/>
      <c r="AH99" s="248"/>
      <c r="AI99" s="237" t="s">
        <v>229</v>
      </c>
      <c r="AJ99" s="237" t="s">
        <v>230</v>
      </c>
      <c r="AK99" s="237"/>
      <c r="AL99" s="237"/>
      <c r="AM99" s="237"/>
      <c r="AN99" s="237"/>
      <c r="AO99" s="237"/>
      <c r="AP99" s="237"/>
      <c r="AQ99" s="237"/>
      <c r="AR99" s="247"/>
      <c r="AS99" s="247"/>
      <c r="AT99" s="249"/>
      <c r="AU99" s="242"/>
      <c r="AV99" s="242"/>
      <c r="AW99" s="242"/>
      <c r="AX99" s="10"/>
      <c r="AZ99" s="247"/>
      <c r="BA99" s="242"/>
      <c r="BB99" s="242"/>
      <c r="BC99" s="247"/>
      <c r="BD99" s="242"/>
      <c r="BE99" s="242"/>
      <c r="BF99" s="242"/>
      <c r="BG99" s="242"/>
      <c r="BH99" s="242"/>
      <c r="BI99" s="242"/>
      <c r="BJ99" s="242"/>
      <c r="BK99" s="242"/>
      <c r="BL99" s="242"/>
      <c r="BM99" s="242"/>
      <c r="BN99" s="250"/>
      <c r="BO99" s="242"/>
      <c r="BP99" s="242"/>
      <c r="BQ99" s="242"/>
      <c r="BR99" s="242"/>
      <c r="BS99" s="242"/>
      <c r="BT99" s="242"/>
      <c r="BU99" s="242"/>
      <c r="BV99" s="242"/>
      <c r="BW99" s="242"/>
      <c r="BX99" s="242"/>
      <c r="BY99" s="242"/>
      <c r="BZ99" s="242"/>
      <c r="CA99" s="242"/>
      <c r="CB99" s="242"/>
      <c r="CC99" s="242"/>
      <c r="CD99" s="242"/>
      <c r="CE99" s="242"/>
      <c r="CF99" s="242"/>
      <c r="CG99" s="242"/>
      <c r="CH99" s="242"/>
      <c r="CI99" s="242"/>
      <c r="CJ99" s="242"/>
      <c r="CK99" s="242"/>
      <c r="CL99" s="242"/>
    </row>
    <row r="100" spans="1:103" s="255" customFormat="1">
      <c r="A100" s="254" t="s">
        <v>231</v>
      </c>
      <c r="B100" s="255">
        <v>41821</v>
      </c>
      <c r="C100" s="255">
        <v>41682</v>
      </c>
      <c r="K100" s="256"/>
      <c r="M100" s="256"/>
      <c r="N100" s="257"/>
      <c r="P100" s="257">
        <v>41682</v>
      </c>
      <c r="Q100" s="257"/>
      <c r="R100" s="257"/>
      <c r="S100" s="257"/>
      <c r="AA100" s="257">
        <v>41411</v>
      </c>
      <c r="AB100" s="257"/>
      <c r="AC100" s="257"/>
      <c r="AD100" s="257"/>
      <c r="AE100" s="257"/>
      <c r="AF100" s="257">
        <v>41470</v>
      </c>
      <c r="AG100" s="257"/>
      <c r="AH100" s="257"/>
      <c r="AI100" s="258">
        <v>42006</v>
      </c>
      <c r="AJ100" s="258">
        <v>42040</v>
      </c>
      <c r="AK100" s="255">
        <v>42019</v>
      </c>
      <c r="AL100" s="258"/>
      <c r="AM100" s="258">
        <v>41919</v>
      </c>
      <c r="AN100" s="258">
        <v>41919</v>
      </c>
      <c r="AO100" s="258">
        <v>41919</v>
      </c>
      <c r="AP100" s="258">
        <v>41919</v>
      </c>
      <c r="AQ100" s="258"/>
      <c r="AR100" s="257">
        <v>42019</v>
      </c>
      <c r="AS100" s="257"/>
      <c r="AT100" s="249"/>
      <c r="AX100" s="259"/>
      <c r="AY100" s="257">
        <v>42040</v>
      </c>
      <c r="AZ100" s="257"/>
      <c r="BC100" s="257"/>
      <c r="BN100" s="260"/>
    </row>
    <row r="101" spans="1:103" s="256" customFormat="1">
      <c r="A101" s="254" t="s">
        <v>232</v>
      </c>
      <c r="N101" s="259"/>
      <c r="P101" s="259"/>
      <c r="Q101" s="259"/>
      <c r="R101" s="259"/>
      <c r="S101" s="259"/>
      <c r="AA101" s="261"/>
      <c r="AB101" s="259"/>
      <c r="AC101" s="259"/>
      <c r="AD101" s="259"/>
      <c r="AE101" s="259"/>
      <c r="AF101" s="259"/>
      <c r="AG101" s="259"/>
      <c r="AH101" s="259"/>
      <c r="AI101" s="259"/>
      <c r="AJ101" s="259"/>
      <c r="AK101" s="255"/>
      <c r="AL101" s="259"/>
      <c r="AM101" s="259"/>
      <c r="AN101" s="259"/>
      <c r="AO101" s="259"/>
      <c r="AP101" s="259"/>
      <c r="AQ101" s="259"/>
      <c r="AR101" s="259"/>
      <c r="AS101" s="259"/>
      <c r="AT101" s="14"/>
      <c r="AX101" s="259"/>
      <c r="AY101" s="257"/>
      <c r="AZ101" s="259"/>
      <c r="BC101" s="259"/>
      <c r="BN101" s="262"/>
    </row>
    <row r="102" spans="1:103" ht="178.5">
      <c r="A102" s="243" t="s">
        <v>233</v>
      </c>
      <c r="C102" s="252" t="s">
        <v>234</v>
      </c>
      <c r="P102" s="253" t="s">
        <v>235</v>
      </c>
      <c r="Q102" s="9"/>
      <c r="R102" s="10"/>
      <c r="S102" s="10"/>
      <c r="AA102" s="263" t="s">
        <v>236</v>
      </c>
      <c r="AB102" s="10"/>
      <c r="AC102" s="10"/>
      <c r="AD102" s="16"/>
      <c r="AE102" s="16"/>
      <c r="AF102" s="252" t="s">
        <v>237</v>
      </c>
      <c r="AG102" s="16"/>
      <c r="AH102" s="231"/>
      <c r="AI102" s="237" t="s">
        <v>238</v>
      </c>
      <c r="AJ102" s="237" t="s">
        <v>239</v>
      </c>
      <c r="AK102" s="242" t="s">
        <v>240</v>
      </c>
      <c r="AL102" s="16"/>
      <c r="AM102" s="237" t="s">
        <v>241</v>
      </c>
      <c r="AN102" s="237" t="s">
        <v>241</v>
      </c>
      <c r="AO102" s="237" t="s">
        <v>241</v>
      </c>
      <c r="AP102" s="237" t="s">
        <v>241</v>
      </c>
      <c r="AQ102" s="16"/>
      <c r="AR102" s="242" t="s">
        <v>242</v>
      </c>
      <c r="AS102" s="16"/>
      <c r="AY102" s="264" t="s">
        <v>243</v>
      </c>
    </row>
    <row r="103" spans="1:103" ht="216.75">
      <c r="A103" s="243" t="s">
        <v>244</v>
      </c>
      <c r="C103" s="252" t="s">
        <v>245</v>
      </c>
      <c r="Q103" s="9"/>
      <c r="R103" s="10"/>
      <c r="S103" s="10"/>
      <c r="AJ103" s="237" t="s">
        <v>246</v>
      </c>
      <c r="AK103" s="265" t="s">
        <v>247</v>
      </c>
      <c r="AR103" s="242" t="s">
        <v>248</v>
      </c>
      <c r="AS103" s="242" t="s">
        <v>249</v>
      </c>
    </row>
    <row r="104" spans="1:103" ht="51">
      <c r="A104" s="243" t="s">
        <v>250</v>
      </c>
      <c r="Q104" s="9"/>
      <c r="R104" s="10"/>
      <c r="S104" s="10"/>
      <c r="AJ104" s="237" t="s">
        <v>251</v>
      </c>
      <c r="AK104" s="242" t="s">
        <v>252</v>
      </c>
      <c r="AR104" s="242"/>
    </row>
    <row r="105" spans="1:103">
      <c r="Q105" s="9"/>
      <c r="R105" s="10"/>
      <c r="S105" s="10"/>
    </row>
    <row r="106" spans="1:103">
      <c r="Q106" s="9"/>
      <c r="R106" s="10"/>
      <c r="S106" s="10"/>
    </row>
    <row r="107" spans="1:103">
      <c r="Q107" s="9"/>
      <c r="R107" s="10"/>
      <c r="S107" s="10"/>
    </row>
    <row r="108" spans="1:103">
      <c r="Q108" s="9"/>
      <c r="R108" s="10"/>
      <c r="S108" s="10"/>
    </row>
    <row r="109" spans="1:103">
      <c r="Q109" s="9"/>
      <c r="R109" s="10"/>
      <c r="S109" s="10"/>
    </row>
    <row r="110" spans="1:103">
      <c r="Q110" s="9"/>
      <c r="R110" s="10"/>
      <c r="S110" s="10"/>
    </row>
    <row r="111" spans="1:103">
      <c r="Q111" s="9"/>
      <c r="R111" s="10"/>
      <c r="S111" s="10"/>
    </row>
    <row r="112" spans="1:103" s="6" customFormat="1">
      <c r="A112"/>
      <c r="B112"/>
      <c r="C112"/>
      <c r="D112"/>
      <c r="E112"/>
      <c r="F112"/>
      <c r="G112"/>
      <c r="H112"/>
      <c r="I112"/>
      <c r="J112"/>
      <c r="N112" s="7"/>
      <c r="O112"/>
      <c r="P112" s="10"/>
      <c r="Q112" s="9"/>
      <c r="R112" s="10"/>
      <c r="S112" s="10"/>
      <c r="AA112" s="11"/>
      <c r="AD112"/>
      <c r="AE112"/>
      <c r="AF112"/>
      <c r="AG112"/>
      <c r="AH112" s="46"/>
      <c r="AI112"/>
      <c r="AJ112"/>
      <c r="AK112"/>
      <c r="AL112"/>
      <c r="AM112"/>
      <c r="AN112"/>
      <c r="AO112"/>
      <c r="AP112"/>
      <c r="AQ112"/>
      <c r="AR112"/>
      <c r="AS112"/>
      <c r="AT112" s="14"/>
      <c r="AU112"/>
      <c r="AV112"/>
      <c r="AW112"/>
      <c r="AX112" s="10"/>
      <c r="AY112" s="20"/>
      <c r="AZ112" s="16"/>
      <c r="BA112"/>
      <c r="BB112"/>
      <c r="BC112" s="16"/>
      <c r="BD112"/>
      <c r="BE112"/>
      <c r="BF112"/>
      <c r="BG112"/>
      <c r="BH112"/>
      <c r="BI112"/>
      <c r="BJ112"/>
      <c r="BK112"/>
      <c r="BL112"/>
      <c r="BM112"/>
      <c r="BN112" s="19"/>
      <c r="BO112"/>
      <c r="BP112"/>
      <c r="BQ112"/>
      <c r="BR112"/>
      <c r="BS112"/>
      <c r="BT112"/>
      <c r="BU112"/>
      <c r="BV112"/>
      <c r="BW112"/>
      <c r="BX112"/>
      <c r="BY112"/>
      <c r="BZ112"/>
      <c r="CA112"/>
      <c r="CB112"/>
      <c r="CC112"/>
      <c r="CD112"/>
      <c r="CE112"/>
      <c r="CF112"/>
      <c r="CG112"/>
      <c r="CH112"/>
      <c r="CI112"/>
      <c r="CJ112"/>
      <c r="CK112"/>
      <c r="CL112"/>
      <c r="CM112" s="20"/>
      <c r="CN112" s="20"/>
      <c r="CO112" s="20"/>
      <c r="CP112" s="20"/>
      <c r="CQ112" s="20"/>
      <c r="CR112" s="20"/>
      <c r="CS112" s="20"/>
      <c r="CT112" s="20"/>
      <c r="CU112" s="20"/>
      <c r="CV112" s="20"/>
      <c r="CW112" s="20"/>
      <c r="CX112" s="20"/>
      <c r="CY112" s="20"/>
    </row>
    <row r="113" spans="1:103" s="6" customFormat="1">
      <c r="A113"/>
      <c r="B113"/>
      <c r="C113"/>
      <c r="D113"/>
      <c r="E113"/>
      <c r="F113"/>
      <c r="G113"/>
      <c r="H113"/>
      <c r="I113"/>
      <c r="J113"/>
      <c r="N113" s="7"/>
      <c r="O113"/>
      <c r="P113" s="10"/>
      <c r="Q113" s="9"/>
      <c r="R113" s="10"/>
      <c r="S113" s="10"/>
      <c r="AA113" s="11"/>
      <c r="AD113"/>
      <c r="AE113"/>
      <c r="AF113"/>
      <c r="AG113"/>
      <c r="AH113" s="46"/>
      <c r="AI113"/>
      <c r="AJ113"/>
      <c r="AK113"/>
      <c r="AL113"/>
      <c r="AM113"/>
      <c r="AN113"/>
      <c r="AO113"/>
      <c r="AP113"/>
      <c r="AQ113"/>
      <c r="AR113"/>
      <c r="AS113"/>
      <c r="AT113" s="14"/>
      <c r="AU113"/>
      <c r="AV113"/>
      <c r="AW113"/>
      <c r="AX113" s="10"/>
      <c r="AY113" s="20"/>
      <c r="AZ113" s="16"/>
      <c r="BA113"/>
      <c r="BB113"/>
      <c r="BC113" s="16"/>
      <c r="BD113"/>
      <c r="BE113"/>
      <c r="BF113"/>
      <c r="BG113"/>
      <c r="BH113"/>
      <c r="BI113"/>
      <c r="BJ113"/>
      <c r="BK113"/>
      <c r="BL113"/>
      <c r="BM113"/>
      <c r="BN113" s="19"/>
      <c r="BO113"/>
      <c r="BP113"/>
      <c r="BQ113"/>
      <c r="BR113"/>
      <c r="BS113"/>
      <c r="BT113"/>
      <c r="BU113"/>
      <c r="BV113"/>
      <c r="BW113"/>
      <c r="BX113"/>
      <c r="BY113"/>
      <c r="BZ113"/>
      <c r="CA113"/>
      <c r="CB113"/>
      <c r="CC113"/>
      <c r="CD113"/>
      <c r="CE113"/>
      <c r="CF113"/>
      <c r="CG113"/>
      <c r="CH113"/>
      <c r="CI113"/>
      <c r="CJ113"/>
      <c r="CK113"/>
      <c r="CL113"/>
      <c r="CM113" s="20"/>
      <c r="CN113" s="20"/>
      <c r="CO113" s="20"/>
      <c r="CP113" s="20"/>
      <c r="CQ113" s="20"/>
      <c r="CR113" s="20"/>
      <c r="CS113" s="20"/>
      <c r="CT113" s="20"/>
      <c r="CU113" s="20"/>
      <c r="CV113" s="20"/>
      <c r="CW113" s="20"/>
      <c r="CX113" s="20"/>
      <c r="CY113" s="20"/>
    </row>
    <row r="114" spans="1:103" s="6" customFormat="1">
      <c r="A114"/>
      <c r="B114"/>
      <c r="C114"/>
      <c r="D114"/>
      <c r="E114"/>
      <c r="F114"/>
      <c r="G114"/>
      <c r="H114"/>
      <c r="I114"/>
      <c r="J114"/>
      <c r="N114" s="7"/>
      <c r="O114"/>
      <c r="P114" s="10"/>
      <c r="Q114" s="9"/>
      <c r="R114" s="10"/>
      <c r="S114" s="10"/>
      <c r="AA114" s="11"/>
      <c r="AD114"/>
      <c r="AE114"/>
      <c r="AF114"/>
      <c r="AG114"/>
      <c r="AH114" s="46"/>
      <c r="AI114"/>
      <c r="AJ114"/>
      <c r="AK114"/>
      <c r="AL114"/>
      <c r="AM114"/>
      <c r="AN114"/>
      <c r="AO114"/>
      <c r="AP114"/>
      <c r="AQ114"/>
      <c r="AR114"/>
      <c r="AS114"/>
      <c r="AT114" s="14"/>
      <c r="AU114"/>
      <c r="AV114"/>
      <c r="AW114"/>
      <c r="AX114" s="10"/>
      <c r="AY114" s="20"/>
      <c r="AZ114" s="16"/>
      <c r="BA114"/>
      <c r="BB114"/>
      <c r="BC114" s="16"/>
      <c r="BD114"/>
      <c r="BE114"/>
      <c r="BF114"/>
      <c r="BG114"/>
      <c r="BH114"/>
      <c r="BI114"/>
      <c r="BJ114"/>
      <c r="BK114"/>
      <c r="BL114"/>
      <c r="BM114"/>
      <c r="BN114" s="19"/>
      <c r="BO114"/>
      <c r="BP114"/>
      <c r="BQ114"/>
      <c r="BR114"/>
      <c r="BS114"/>
      <c r="BT114"/>
      <c r="BU114"/>
      <c r="BV114"/>
      <c r="BW114"/>
      <c r="BX114"/>
      <c r="BY114"/>
      <c r="BZ114"/>
      <c r="CA114"/>
      <c r="CB114"/>
      <c r="CC114"/>
      <c r="CD114"/>
      <c r="CE114"/>
      <c r="CF114"/>
      <c r="CG114"/>
      <c r="CH114"/>
      <c r="CI114"/>
      <c r="CJ114"/>
      <c r="CK114"/>
      <c r="CL114"/>
      <c r="CM114" s="20"/>
      <c r="CN114" s="20"/>
      <c r="CO114" s="20"/>
      <c r="CP114" s="20"/>
      <c r="CQ114" s="20"/>
      <c r="CR114" s="20"/>
      <c r="CS114" s="20"/>
      <c r="CT114" s="20"/>
      <c r="CU114" s="20"/>
      <c r="CV114" s="20"/>
      <c r="CW114" s="20"/>
      <c r="CX114" s="20"/>
      <c r="CY114" s="20"/>
    </row>
    <row r="115" spans="1:103" s="6" customFormat="1">
      <c r="A115"/>
      <c r="B115"/>
      <c r="C115"/>
      <c r="D115"/>
      <c r="E115"/>
      <c r="F115"/>
      <c r="G115"/>
      <c r="H115"/>
      <c r="I115"/>
      <c r="J115"/>
      <c r="N115" s="7"/>
      <c r="O115"/>
      <c r="P115" s="10"/>
      <c r="Q115" s="9"/>
      <c r="R115" s="10"/>
      <c r="S115" s="10"/>
      <c r="AA115" s="11"/>
      <c r="AD115"/>
      <c r="AE115"/>
      <c r="AF115"/>
      <c r="AG115"/>
      <c r="AH115" s="46"/>
      <c r="AI115"/>
      <c r="AJ115"/>
      <c r="AK115"/>
      <c r="AL115"/>
      <c r="AM115"/>
      <c r="AN115"/>
      <c r="AO115"/>
      <c r="AP115"/>
      <c r="AQ115"/>
      <c r="AR115"/>
      <c r="AS115"/>
      <c r="AT115" s="14"/>
      <c r="AU115"/>
      <c r="AV115"/>
      <c r="AW115"/>
      <c r="AX115" s="10"/>
      <c r="AY115" s="20"/>
      <c r="AZ115" s="16"/>
      <c r="BA115"/>
      <c r="BB115"/>
      <c r="BC115" s="16"/>
      <c r="BD115"/>
      <c r="BE115"/>
      <c r="BF115"/>
      <c r="BG115"/>
      <c r="BH115"/>
      <c r="BI115"/>
      <c r="BJ115"/>
      <c r="BK115"/>
      <c r="BL115"/>
      <c r="BM115"/>
      <c r="BN115" s="19"/>
      <c r="BO115"/>
      <c r="BP115"/>
      <c r="BQ115"/>
      <c r="BR115"/>
      <c r="BS115"/>
      <c r="BT115"/>
      <c r="BU115"/>
      <c r="BV115"/>
      <c r="BW115"/>
      <c r="BX115"/>
      <c r="BY115"/>
      <c r="BZ115"/>
      <c r="CA115"/>
      <c r="CB115"/>
      <c r="CC115"/>
      <c r="CD115"/>
      <c r="CE115"/>
      <c r="CF115"/>
      <c r="CG115"/>
      <c r="CH115"/>
      <c r="CI115"/>
      <c r="CJ115"/>
      <c r="CK115"/>
      <c r="CL115"/>
      <c r="CM115" s="20"/>
      <c r="CN115" s="20"/>
      <c r="CO115" s="20"/>
      <c r="CP115" s="20"/>
      <c r="CQ115" s="20"/>
      <c r="CR115" s="20"/>
      <c r="CS115" s="20"/>
      <c r="CT115" s="20"/>
      <c r="CU115" s="20"/>
      <c r="CV115" s="20"/>
      <c r="CW115" s="20"/>
      <c r="CX115" s="20"/>
      <c r="CY115" s="20"/>
    </row>
    <row r="116" spans="1:103" s="6" customFormat="1">
      <c r="A116"/>
      <c r="B116"/>
      <c r="C116"/>
      <c r="D116"/>
      <c r="E116"/>
      <c r="F116"/>
      <c r="G116"/>
      <c r="H116"/>
      <c r="I116"/>
      <c r="J116"/>
      <c r="N116" s="7"/>
      <c r="O116"/>
      <c r="P116" s="10"/>
      <c r="Q116" s="9"/>
      <c r="R116" s="10"/>
      <c r="S116" s="10"/>
      <c r="AA116" s="11"/>
      <c r="AD116"/>
      <c r="AE116"/>
      <c r="AF116"/>
      <c r="AG116"/>
      <c r="AH116" s="46"/>
      <c r="AI116"/>
      <c r="AJ116"/>
      <c r="AK116"/>
      <c r="AL116"/>
      <c r="AM116"/>
      <c r="AN116"/>
      <c r="AO116"/>
      <c r="AP116"/>
      <c r="AQ116"/>
      <c r="AR116"/>
      <c r="AS116"/>
      <c r="AT116" s="14"/>
      <c r="AU116"/>
      <c r="AV116"/>
      <c r="AW116"/>
      <c r="AX116" s="10"/>
      <c r="AY116" s="20"/>
      <c r="AZ116" s="16"/>
      <c r="BA116"/>
      <c r="BB116"/>
      <c r="BC116" s="16"/>
      <c r="BD116"/>
      <c r="BE116"/>
      <c r="BF116"/>
      <c r="BG116"/>
      <c r="BH116"/>
      <c r="BI116"/>
      <c r="BJ116"/>
      <c r="BK116"/>
      <c r="BL116"/>
      <c r="BM116"/>
      <c r="BN116" s="19"/>
      <c r="BO116"/>
      <c r="BP116"/>
      <c r="BQ116"/>
      <c r="BR116"/>
      <c r="BS116"/>
      <c r="BT116"/>
      <c r="BU116"/>
      <c r="BV116"/>
      <c r="BW116"/>
      <c r="BX116"/>
      <c r="BY116"/>
      <c r="BZ116"/>
      <c r="CA116"/>
      <c r="CB116"/>
      <c r="CC116"/>
      <c r="CD116"/>
      <c r="CE116"/>
      <c r="CF116"/>
      <c r="CG116"/>
      <c r="CH116"/>
      <c r="CI116"/>
      <c r="CJ116"/>
      <c r="CK116"/>
      <c r="CL116"/>
      <c r="CM116" s="20"/>
      <c r="CN116" s="20"/>
      <c r="CO116" s="20"/>
      <c r="CP116" s="20"/>
      <c r="CQ116" s="20"/>
      <c r="CR116" s="20"/>
      <c r="CS116" s="20"/>
      <c r="CT116" s="20"/>
      <c r="CU116" s="20"/>
      <c r="CV116" s="20"/>
      <c r="CW116" s="20"/>
      <c r="CX116" s="20"/>
      <c r="CY116" s="20"/>
    </row>
    <row r="117" spans="1:103" s="6" customFormat="1">
      <c r="A117"/>
      <c r="B117"/>
      <c r="C117"/>
      <c r="D117"/>
      <c r="E117"/>
      <c r="F117"/>
      <c r="G117"/>
      <c r="H117"/>
      <c r="I117"/>
      <c r="J117"/>
      <c r="N117" s="7"/>
      <c r="O117"/>
      <c r="P117" s="10"/>
      <c r="Q117" s="9"/>
      <c r="R117" s="10"/>
      <c r="S117" s="10"/>
      <c r="AA117" s="11"/>
      <c r="AD117"/>
      <c r="AE117"/>
      <c r="AF117"/>
      <c r="AG117"/>
      <c r="AH117" s="46"/>
      <c r="AI117"/>
      <c r="AJ117"/>
      <c r="AK117"/>
      <c r="AL117"/>
      <c r="AM117"/>
      <c r="AN117"/>
      <c r="AO117"/>
      <c r="AP117"/>
      <c r="AQ117"/>
      <c r="AR117"/>
      <c r="AS117"/>
      <c r="AT117" s="14"/>
      <c r="AU117"/>
      <c r="AV117"/>
      <c r="AW117"/>
      <c r="AX117" s="10"/>
      <c r="AY117" s="20"/>
      <c r="AZ117" s="16"/>
      <c r="BA117"/>
      <c r="BB117"/>
      <c r="BC117" s="16"/>
      <c r="BD117"/>
      <c r="BE117"/>
      <c r="BF117"/>
      <c r="BG117"/>
      <c r="BH117"/>
      <c r="BI117"/>
      <c r="BJ117"/>
      <c r="BK117"/>
      <c r="BL117"/>
      <c r="BM117"/>
      <c r="BN117" s="19"/>
      <c r="BO117"/>
      <c r="BP117"/>
      <c r="BQ117"/>
      <c r="BR117"/>
      <c r="BS117"/>
      <c r="BT117"/>
      <c r="BU117"/>
      <c r="BV117"/>
      <c r="BW117"/>
      <c r="BX117"/>
      <c r="BY117"/>
      <c r="BZ117"/>
      <c r="CA117"/>
      <c r="CB117"/>
      <c r="CC117"/>
      <c r="CD117"/>
      <c r="CE117"/>
      <c r="CF117"/>
      <c r="CG117"/>
      <c r="CH117"/>
      <c r="CI117"/>
      <c r="CJ117"/>
      <c r="CK117"/>
      <c r="CL117"/>
      <c r="CM117" s="20"/>
      <c r="CN117" s="20"/>
      <c r="CO117" s="20"/>
      <c r="CP117" s="20"/>
      <c r="CQ117" s="20"/>
      <c r="CR117" s="20"/>
      <c r="CS117" s="20"/>
      <c r="CT117" s="20"/>
      <c r="CU117" s="20"/>
      <c r="CV117" s="20"/>
      <c r="CW117" s="20"/>
      <c r="CX117" s="20"/>
      <c r="CY117" s="20"/>
    </row>
    <row r="118" spans="1:103" s="6" customFormat="1">
      <c r="A118"/>
      <c r="B118"/>
      <c r="C118"/>
      <c r="D118"/>
      <c r="E118"/>
      <c r="F118"/>
      <c r="G118"/>
      <c r="H118"/>
      <c r="I118"/>
      <c r="J118"/>
      <c r="N118" s="7"/>
      <c r="O118"/>
      <c r="P118" s="10"/>
      <c r="Q118" s="9"/>
      <c r="R118" s="10"/>
      <c r="S118" s="10"/>
      <c r="AA118" s="11"/>
      <c r="AD118"/>
      <c r="AE118"/>
      <c r="AF118"/>
      <c r="AG118"/>
      <c r="AH118" s="46"/>
      <c r="AI118"/>
      <c r="AJ118"/>
      <c r="AK118"/>
      <c r="AL118"/>
      <c r="AM118"/>
      <c r="AN118"/>
      <c r="AO118"/>
      <c r="AP118"/>
      <c r="AQ118"/>
      <c r="AR118"/>
      <c r="AS118"/>
      <c r="AT118" s="14"/>
      <c r="AU118"/>
      <c r="AV118"/>
      <c r="AW118"/>
      <c r="AX118" s="10"/>
      <c r="AY118" s="20"/>
      <c r="AZ118" s="16"/>
      <c r="BA118"/>
      <c r="BB118"/>
      <c r="BC118" s="16"/>
      <c r="BD118"/>
      <c r="BE118"/>
      <c r="BF118"/>
      <c r="BG118"/>
      <c r="BH118"/>
      <c r="BI118"/>
      <c r="BJ118"/>
      <c r="BK118"/>
      <c r="BL118"/>
      <c r="BM118"/>
      <c r="BN118" s="19"/>
      <c r="BO118"/>
      <c r="BP118"/>
      <c r="BQ118"/>
      <c r="BR118"/>
      <c r="BS118"/>
      <c r="BT118"/>
      <c r="BU118"/>
      <c r="BV118"/>
      <c r="BW118"/>
      <c r="BX118"/>
      <c r="BY118"/>
      <c r="BZ118"/>
      <c r="CA118"/>
      <c r="CB118"/>
      <c r="CC118"/>
      <c r="CD118"/>
      <c r="CE118"/>
      <c r="CF118"/>
      <c r="CG118"/>
      <c r="CH118"/>
      <c r="CI118"/>
      <c r="CJ118"/>
      <c r="CK118"/>
      <c r="CL118"/>
      <c r="CM118" s="20"/>
      <c r="CN118" s="20"/>
      <c r="CO118" s="20"/>
      <c r="CP118" s="20"/>
      <c r="CQ118" s="20"/>
      <c r="CR118" s="20"/>
      <c r="CS118" s="20"/>
      <c r="CT118" s="20"/>
      <c r="CU118" s="20"/>
      <c r="CV118" s="20"/>
      <c r="CW118" s="20"/>
      <c r="CX118" s="20"/>
      <c r="CY118" s="20"/>
    </row>
    <row r="119" spans="1:103" s="6" customFormat="1">
      <c r="A119"/>
      <c r="B119"/>
      <c r="C119"/>
      <c r="D119"/>
      <c r="E119"/>
      <c r="F119"/>
      <c r="G119"/>
      <c r="H119"/>
      <c r="I119"/>
      <c r="J119"/>
      <c r="N119" s="7"/>
      <c r="O119"/>
      <c r="P119" s="10"/>
      <c r="Q119" s="9"/>
      <c r="R119" s="10"/>
      <c r="S119" s="10"/>
      <c r="AA119" s="11"/>
      <c r="AD119"/>
      <c r="AE119"/>
      <c r="AF119"/>
      <c r="AG119"/>
      <c r="AH119" s="46"/>
      <c r="AI119"/>
      <c r="AJ119"/>
      <c r="AK119"/>
      <c r="AL119"/>
      <c r="AM119"/>
      <c r="AN119"/>
      <c r="AO119"/>
      <c r="AP119"/>
      <c r="AQ119"/>
      <c r="AR119"/>
      <c r="AS119"/>
      <c r="AT119" s="14"/>
      <c r="AU119"/>
      <c r="AV119"/>
      <c r="AW119"/>
      <c r="AX119" s="10"/>
      <c r="AY119" s="20"/>
      <c r="AZ119" s="16"/>
      <c r="BA119"/>
      <c r="BB119"/>
      <c r="BC119" s="16"/>
      <c r="BD119"/>
      <c r="BE119"/>
      <c r="BF119"/>
      <c r="BG119"/>
      <c r="BH119"/>
      <c r="BI119"/>
      <c r="BJ119"/>
      <c r="BK119"/>
      <c r="BL119"/>
      <c r="BM119"/>
      <c r="BN119" s="19"/>
      <c r="BO119"/>
      <c r="BP119"/>
      <c r="BQ119"/>
      <c r="BR119"/>
      <c r="BS119"/>
      <c r="BT119"/>
      <c r="BU119"/>
      <c r="BV119"/>
      <c r="BW119"/>
      <c r="BX119"/>
      <c r="BY119"/>
      <c r="BZ119"/>
      <c r="CA119"/>
      <c r="CB119"/>
      <c r="CC119"/>
      <c r="CD119"/>
      <c r="CE119"/>
      <c r="CF119"/>
      <c r="CG119"/>
      <c r="CH119"/>
      <c r="CI119"/>
      <c r="CJ119"/>
      <c r="CK119"/>
      <c r="CL119"/>
      <c r="CM119" s="20"/>
      <c r="CN119" s="20"/>
      <c r="CO119" s="20"/>
      <c r="CP119" s="20"/>
      <c r="CQ119" s="20"/>
      <c r="CR119" s="20"/>
      <c r="CS119" s="20"/>
      <c r="CT119" s="20"/>
      <c r="CU119" s="20"/>
      <c r="CV119" s="20"/>
      <c r="CW119" s="20"/>
      <c r="CX119" s="20"/>
      <c r="CY119" s="20"/>
    </row>
    <row r="120" spans="1:103" s="6" customFormat="1">
      <c r="A120"/>
      <c r="B120"/>
      <c r="C120"/>
      <c r="D120"/>
      <c r="E120"/>
      <c r="F120"/>
      <c r="G120"/>
      <c r="H120"/>
      <c r="I120"/>
      <c r="J120"/>
      <c r="N120" s="7"/>
      <c r="O120"/>
      <c r="P120" s="10"/>
      <c r="Q120" s="9"/>
      <c r="R120" s="10"/>
      <c r="S120" s="10"/>
      <c r="AA120" s="11"/>
      <c r="AD120"/>
      <c r="AE120"/>
      <c r="AF120"/>
      <c r="AG120"/>
      <c r="AH120" s="46"/>
      <c r="AI120"/>
      <c r="AJ120"/>
      <c r="AK120"/>
      <c r="AL120"/>
      <c r="AM120"/>
      <c r="AN120"/>
      <c r="AO120"/>
      <c r="AP120"/>
      <c r="AQ120"/>
      <c r="AR120"/>
      <c r="AS120"/>
      <c r="AT120" s="14"/>
      <c r="AU120"/>
      <c r="AV120"/>
      <c r="AW120"/>
      <c r="AX120" s="10"/>
      <c r="AY120" s="20"/>
      <c r="AZ120" s="16"/>
      <c r="BA120"/>
      <c r="BB120"/>
      <c r="BC120" s="16"/>
      <c r="BD120"/>
      <c r="BE120"/>
      <c r="BF120"/>
      <c r="BG120"/>
      <c r="BH120"/>
      <c r="BI120"/>
      <c r="BJ120"/>
      <c r="BK120"/>
      <c r="BL120"/>
      <c r="BM120"/>
      <c r="BN120" s="19"/>
      <c r="BO120"/>
      <c r="BP120"/>
      <c r="BQ120"/>
      <c r="BR120"/>
      <c r="BS120"/>
      <c r="BT120"/>
      <c r="BU120"/>
      <c r="BV120"/>
      <c r="BW120"/>
      <c r="BX120"/>
      <c r="BY120"/>
      <c r="BZ120"/>
      <c r="CA120"/>
      <c r="CB120"/>
      <c r="CC120"/>
      <c r="CD120"/>
      <c r="CE120"/>
      <c r="CF120"/>
      <c r="CG120"/>
      <c r="CH120"/>
      <c r="CI120"/>
      <c r="CJ120"/>
      <c r="CK120"/>
      <c r="CL120"/>
      <c r="CM120" s="20"/>
      <c r="CN120" s="20"/>
      <c r="CO120" s="20"/>
      <c r="CP120" s="20"/>
      <c r="CQ120" s="20"/>
      <c r="CR120" s="20"/>
      <c r="CS120" s="20"/>
      <c r="CT120" s="20"/>
      <c r="CU120" s="20"/>
      <c r="CV120" s="20"/>
      <c r="CW120" s="20"/>
      <c r="CX120" s="20"/>
      <c r="CY120" s="20"/>
    </row>
    <row r="121" spans="1:103" s="6" customFormat="1">
      <c r="A121"/>
      <c r="B121"/>
      <c r="C121"/>
      <c r="D121"/>
      <c r="E121"/>
      <c r="F121"/>
      <c r="G121"/>
      <c r="H121"/>
      <c r="I121"/>
      <c r="J121"/>
      <c r="N121" s="7"/>
      <c r="O121"/>
      <c r="P121" s="10"/>
      <c r="Q121" s="9"/>
      <c r="R121" s="10"/>
      <c r="S121" s="10"/>
      <c r="AA121" s="11"/>
      <c r="AD121"/>
      <c r="AE121"/>
      <c r="AF121"/>
      <c r="AG121"/>
      <c r="AH121" s="46"/>
      <c r="AI121"/>
      <c r="AJ121"/>
      <c r="AK121"/>
      <c r="AL121"/>
      <c r="AM121"/>
      <c r="AN121"/>
      <c r="AO121"/>
      <c r="AP121"/>
      <c r="AQ121"/>
      <c r="AR121"/>
      <c r="AS121"/>
      <c r="AT121" s="14"/>
      <c r="AU121"/>
      <c r="AV121"/>
      <c r="AW121"/>
      <c r="AX121" s="10"/>
      <c r="AY121" s="20"/>
      <c r="AZ121" s="16"/>
      <c r="BA121"/>
      <c r="BB121"/>
      <c r="BC121" s="16"/>
      <c r="BD121"/>
      <c r="BE121"/>
      <c r="BF121"/>
      <c r="BG121"/>
      <c r="BH121"/>
      <c r="BI121"/>
      <c r="BJ121"/>
      <c r="BK121"/>
      <c r="BL121"/>
      <c r="BM121"/>
      <c r="BN121" s="19"/>
      <c r="BO121"/>
      <c r="BP121"/>
      <c r="BQ121"/>
      <c r="BR121"/>
      <c r="BS121"/>
      <c r="BT121"/>
      <c r="BU121"/>
      <c r="BV121"/>
      <c r="BW121"/>
      <c r="BX121"/>
      <c r="BY121"/>
      <c r="BZ121"/>
      <c r="CA121"/>
      <c r="CB121"/>
      <c r="CC121"/>
      <c r="CD121"/>
      <c r="CE121"/>
      <c r="CF121"/>
      <c r="CG121"/>
      <c r="CH121"/>
      <c r="CI121"/>
      <c r="CJ121"/>
      <c r="CK121"/>
      <c r="CL121"/>
      <c r="CM121" s="20"/>
      <c r="CN121" s="20"/>
      <c r="CO121" s="20"/>
      <c r="CP121" s="20"/>
      <c r="CQ121" s="20"/>
      <c r="CR121" s="20"/>
      <c r="CS121" s="20"/>
      <c r="CT121" s="20"/>
      <c r="CU121" s="20"/>
      <c r="CV121" s="20"/>
      <c r="CW121" s="20"/>
      <c r="CX121" s="20"/>
      <c r="CY121" s="20"/>
    </row>
    <row r="122" spans="1:103" s="6" customFormat="1">
      <c r="A122"/>
      <c r="B122"/>
      <c r="C122"/>
      <c r="D122"/>
      <c r="E122"/>
      <c r="F122"/>
      <c r="G122"/>
      <c r="H122"/>
      <c r="I122"/>
      <c r="J122"/>
      <c r="N122" s="7"/>
      <c r="O122"/>
      <c r="P122" s="10"/>
      <c r="Q122" s="9"/>
      <c r="R122" s="10"/>
      <c r="S122" s="10"/>
      <c r="AA122" s="11"/>
      <c r="AD122"/>
      <c r="AE122"/>
      <c r="AF122"/>
      <c r="AG122"/>
      <c r="AH122" s="46"/>
      <c r="AI122"/>
      <c r="AJ122"/>
      <c r="AK122"/>
      <c r="AL122"/>
      <c r="AM122"/>
      <c r="AN122"/>
      <c r="AO122"/>
      <c r="AP122"/>
      <c r="AQ122"/>
      <c r="AR122"/>
      <c r="AS122"/>
      <c r="AT122" s="14"/>
      <c r="AU122"/>
      <c r="AV122"/>
      <c r="AW122"/>
      <c r="AX122" s="10"/>
      <c r="AY122" s="20"/>
      <c r="AZ122" s="16"/>
      <c r="BA122"/>
      <c r="BB122"/>
      <c r="BC122" s="16"/>
      <c r="BD122"/>
      <c r="BE122"/>
      <c r="BF122"/>
      <c r="BG122"/>
      <c r="BH122"/>
      <c r="BI122"/>
      <c r="BJ122"/>
      <c r="BK122"/>
      <c r="BL122"/>
      <c r="BM122"/>
      <c r="BN122" s="19"/>
      <c r="BO122"/>
      <c r="BP122"/>
      <c r="BQ122"/>
      <c r="BR122"/>
      <c r="BS122"/>
      <c r="BT122"/>
      <c r="BU122"/>
      <c r="BV122"/>
      <c r="BW122"/>
      <c r="BX122"/>
      <c r="BY122"/>
      <c r="BZ122"/>
      <c r="CA122"/>
      <c r="CB122"/>
      <c r="CC122"/>
      <c r="CD122"/>
      <c r="CE122"/>
      <c r="CF122"/>
      <c r="CG122"/>
      <c r="CH122"/>
      <c r="CI122"/>
      <c r="CJ122"/>
      <c r="CK122"/>
      <c r="CL122"/>
      <c r="CM122" s="20"/>
      <c r="CN122" s="20"/>
      <c r="CO122" s="20"/>
      <c r="CP122" s="20"/>
      <c r="CQ122" s="20"/>
      <c r="CR122" s="20"/>
      <c r="CS122" s="20"/>
      <c r="CT122" s="20"/>
      <c r="CU122" s="20"/>
      <c r="CV122" s="20"/>
      <c r="CW122" s="20"/>
      <c r="CX122" s="20"/>
      <c r="CY122" s="20"/>
    </row>
    <row r="123" spans="1:103" s="6" customFormat="1">
      <c r="A123"/>
      <c r="B123"/>
      <c r="C123"/>
      <c r="D123"/>
      <c r="E123"/>
      <c r="F123"/>
      <c r="G123"/>
      <c r="H123"/>
      <c r="I123"/>
      <c r="J123"/>
      <c r="N123" s="7"/>
      <c r="O123"/>
      <c r="P123" s="10"/>
      <c r="Q123" s="9"/>
      <c r="R123" s="10"/>
      <c r="S123" s="10"/>
      <c r="AA123" s="11"/>
      <c r="AD123"/>
      <c r="AE123"/>
      <c r="AF123"/>
      <c r="AG123"/>
      <c r="AH123" s="46"/>
      <c r="AI123"/>
      <c r="AJ123"/>
      <c r="AK123"/>
      <c r="AL123"/>
      <c r="AM123"/>
      <c r="AN123"/>
      <c r="AO123"/>
      <c r="AP123"/>
      <c r="AQ123"/>
      <c r="AR123"/>
      <c r="AS123"/>
      <c r="AT123" s="14"/>
      <c r="AU123"/>
      <c r="AV123"/>
      <c r="AW123"/>
      <c r="AX123" s="10"/>
      <c r="AY123" s="20"/>
      <c r="AZ123" s="16"/>
      <c r="BA123"/>
      <c r="BB123"/>
      <c r="BC123" s="16"/>
      <c r="BD123"/>
      <c r="BE123"/>
      <c r="BF123"/>
      <c r="BG123"/>
      <c r="BH123"/>
      <c r="BI123"/>
      <c r="BJ123"/>
      <c r="BK123"/>
      <c r="BL123"/>
      <c r="BM123"/>
      <c r="BN123" s="19"/>
      <c r="BO123"/>
      <c r="BP123"/>
      <c r="BQ123"/>
      <c r="BR123"/>
      <c r="BS123"/>
      <c r="BT123"/>
      <c r="BU123"/>
      <c r="BV123"/>
      <c r="BW123"/>
      <c r="BX123"/>
      <c r="BY123"/>
      <c r="BZ123"/>
      <c r="CA123"/>
      <c r="CB123"/>
      <c r="CC123"/>
      <c r="CD123"/>
      <c r="CE123"/>
      <c r="CF123"/>
      <c r="CG123"/>
      <c r="CH123"/>
      <c r="CI123"/>
      <c r="CJ123"/>
      <c r="CK123"/>
      <c r="CL123"/>
      <c r="CM123" s="20"/>
      <c r="CN123" s="20"/>
      <c r="CO123" s="20"/>
      <c r="CP123" s="20"/>
      <c r="CQ123" s="20"/>
      <c r="CR123" s="20"/>
      <c r="CS123" s="20"/>
      <c r="CT123" s="20"/>
      <c r="CU123" s="20"/>
      <c r="CV123" s="20"/>
      <c r="CW123" s="20"/>
      <c r="CX123" s="20"/>
      <c r="CY123" s="20"/>
    </row>
    <row r="124" spans="1:103" s="6" customFormat="1">
      <c r="A124"/>
      <c r="B124"/>
      <c r="C124"/>
      <c r="D124"/>
      <c r="E124"/>
      <c r="F124"/>
      <c r="G124"/>
      <c r="H124"/>
      <c r="I124"/>
      <c r="J124"/>
      <c r="N124" s="7"/>
      <c r="O124"/>
      <c r="P124" s="10"/>
      <c r="Q124" s="9"/>
      <c r="R124" s="10"/>
      <c r="S124" s="10"/>
      <c r="AA124" s="11"/>
      <c r="AD124"/>
      <c r="AE124"/>
      <c r="AF124"/>
      <c r="AG124"/>
      <c r="AH124" s="46"/>
      <c r="AI124"/>
      <c r="AJ124"/>
      <c r="AK124"/>
      <c r="AL124"/>
      <c r="AM124"/>
      <c r="AN124"/>
      <c r="AO124"/>
      <c r="AP124"/>
      <c r="AQ124"/>
      <c r="AR124"/>
      <c r="AS124"/>
      <c r="AT124" s="14"/>
      <c r="AU124"/>
      <c r="AV124"/>
      <c r="AW124"/>
      <c r="AX124" s="10"/>
      <c r="AY124" s="20"/>
      <c r="AZ124" s="16"/>
      <c r="BA124"/>
      <c r="BB124"/>
      <c r="BC124" s="16"/>
      <c r="BD124"/>
      <c r="BE124"/>
      <c r="BF124"/>
      <c r="BG124"/>
      <c r="BH124"/>
      <c r="BI124"/>
      <c r="BJ124"/>
      <c r="BK124"/>
      <c r="BL124"/>
      <c r="BM124"/>
      <c r="BN124" s="19"/>
      <c r="BO124"/>
      <c r="BP124"/>
      <c r="BQ124"/>
      <c r="BR124"/>
      <c r="BS124"/>
      <c r="BT124"/>
      <c r="BU124"/>
      <c r="BV124"/>
      <c r="BW124"/>
      <c r="BX124"/>
      <c r="BY124"/>
      <c r="BZ124"/>
      <c r="CA124"/>
      <c r="CB124"/>
      <c r="CC124"/>
      <c r="CD124"/>
      <c r="CE124"/>
      <c r="CF124"/>
      <c r="CG124"/>
      <c r="CH124"/>
      <c r="CI124"/>
      <c r="CJ124"/>
      <c r="CK124"/>
      <c r="CL124"/>
      <c r="CM124" s="20"/>
      <c r="CN124" s="20"/>
      <c r="CO124" s="20"/>
      <c r="CP124" s="20"/>
      <c r="CQ124" s="20"/>
      <c r="CR124" s="20"/>
      <c r="CS124" s="20"/>
      <c r="CT124" s="20"/>
      <c r="CU124" s="20"/>
      <c r="CV124" s="20"/>
      <c r="CW124" s="20"/>
      <c r="CX124" s="20"/>
      <c r="CY124" s="20"/>
    </row>
    <row r="125" spans="1:103" s="6" customFormat="1">
      <c r="A125"/>
      <c r="B125"/>
      <c r="C125"/>
      <c r="D125"/>
      <c r="E125"/>
      <c r="F125"/>
      <c r="G125"/>
      <c r="H125"/>
      <c r="I125"/>
      <c r="J125"/>
      <c r="N125" s="7"/>
      <c r="O125"/>
      <c r="P125" s="10"/>
      <c r="Q125" s="9"/>
      <c r="R125" s="10"/>
      <c r="S125" s="10"/>
      <c r="AA125" s="11"/>
      <c r="AD125"/>
      <c r="AE125"/>
      <c r="AF125"/>
      <c r="AG125"/>
      <c r="AH125" s="46"/>
      <c r="AI125"/>
      <c r="AJ125"/>
      <c r="AK125"/>
      <c r="AL125"/>
      <c r="AM125"/>
      <c r="AN125"/>
      <c r="AO125"/>
      <c r="AP125"/>
      <c r="AQ125"/>
      <c r="AR125"/>
      <c r="AS125"/>
      <c r="AT125" s="14"/>
      <c r="AU125"/>
      <c r="AV125"/>
      <c r="AW125"/>
      <c r="AX125" s="10"/>
      <c r="AY125" s="20"/>
      <c r="AZ125" s="16"/>
      <c r="BA125"/>
      <c r="BB125"/>
      <c r="BC125" s="16"/>
      <c r="BD125"/>
      <c r="BE125"/>
      <c r="BF125"/>
      <c r="BG125"/>
      <c r="BH125"/>
      <c r="BI125"/>
      <c r="BJ125"/>
      <c r="BK125"/>
      <c r="BL125"/>
      <c r="BM125"/>
      <c r="BN125" s="19"/>
      <c r="BO125"/>
      <c r="BP125"/>
      <c r="BQ125"/>
      <c r="BR125"/>
      <c r="BS125"/>
      <c r="BT125"/>
      <c r="BU125"/>
      <c r="BV125"/>
      <c r="BW125"/>
      <c r="BX125"/>
      <c r="BY125"/>
      <c r="BZ125"/>
      <c r="CA125"/>
      <c r="CB125"/>
      <c r="CC125"/>
      <c r="CD125"/>
      <c r="CE125"/>
      <c r="CF125"/>
      <c r="CG125"/>
      <c r="CH125"/>
      <c r="CI125"/>
      <c r="CJ125"/>
      <c r="CK125"/>
      <c r="CL125"/>
      <c r="CM125" s="20"/>
      <c r="CN125" s="20"/>
      <c r="CO125" s="20"/>
      <c r="CP125" s="20"/>
      <c r="CQ125" s="20"/>
      <c r="CR125" s="20"/>
      <c r="CS125" s="20"/>
      <c r="CT125" s="20"/>
      <c r="CU125" s="20"/>
      <c r="CV125" s="20"/>
      <c r="CW125" s="20"/>
      <c r="CX125" s="20"/>
      <c r="CY125" s="20"/>
    </row>
    <row r="126" spans="1:103" s="6" customFormat="1">
      <c r="A126"/>
      <c r="B126"/>
      <c r="C126"/>
      <c r="D126"/>
      <c r="E126"/>
      <c r="F126"/>
      <c r="G126"/>
      <c r="H126"/>
      <c r="I126"/>
      <c r="J126"/>
      <c r="N126" s="7"/>
      <c r="O126"/>
      <c r="P126" s="10"/>
      <c r="Q126" s="9"/>
      <c r="R126" s="10"/>
      <c r="S126" s="10"/>
      <c r="AA126" s="11"/>
      <c r="AD126"/>
      <c r="AE126"/>
      <c r="AF126"/>
      <c r="AG126"/>
      <c r="AH126" s="46"/>
      <c r="AI126"/>
      <c r="AJ126"/>
      <c r="AK126"/>
      <c r="AL126"/>
      <c r="AM126"/>
      <c r="AN126"/>
      <c r="AO126"/>
      <c r="AP126"/>
      <c r="AQ126"/>
      <c r="AR126"/>
      <c r="AS126"/>
      <c r="AT126" s="14"/>
      <c r="AU126"/>
      <c r="AV126"/>
      <c r="AW126"/>
      <c r="AX126" s="10"/>
      <c r="AY126" s="20"/>
      <c r="AZ126" s="16"/>
      <c r="BA126"/>
      <c r="BB126"/>
      <c r="BC126" s="16"/>
      <c r="BD126"/>
      <c r="BE126"/>
      <c r="BF126"/>
      <c r="BG126"/>
      <c r="BH126"/>
      <c r="BI126"/>
      <c r="BJ126"/>
      <c r="BK126"/>
      <c r="BL126"/>
      <c r="BM126"/>
      <c r="BN126" s="19"/>
      <c r="BO126"/>
      <c r="BP126"/>
      <c r="BQ126"/>
      <c r="BR126"/>
      <c r="BS126"/>
      <c r="BT126"/>
      <c r="BU126"/>
      <c r="BV126"/>
      <c r="BW126"/>
      <c r="BX126"/>
      <c r="BY126"/>
      <c r="BZ126"/>
      <c r="CA126"/>
      <c r="CB126"/>
      <c r="CC126"/>
      <c r="CD126"/>
      <c r="CE126"/>
      <c r="CF126"/>
      <c r="CG126"/>
      <c r="CH126"/>
      <c r="CI126"/>
      <c r="CJ126"/>
      <c r="CK126"/>
      <c r="CL126"/>
      <c r="CM126" s="20"/>
      <c r="CN126" s="20"/>
      <c r="CO126" s="20"/>
      <c r="CP126" s="20"/>
      <c r="CQ126" s="20"/>
      <c r="CR126" s="20"/>
      <c r="CS126" s="20"/>
      <c r="CT126" s="20"/>
      <c r="CU126" s="20"/>
      <c r="CV126" s="20"/>
      <c r="CW126" s="20"/>
      <c r="CX126" s="20"/>
      <c r="CY126" s="20"/>
    </row>
    <row r="127" spans="1:103" s="6" customFormat="1">
      <c r="A127"/>
      <c r="B127"/>
      <c r="C127"/>
      <c r="D127"/>
      <c r="E127"/>
      <c r="F127"/>
      <c r="G127"/>
      <c r="H127"/>
      <c r="I127"/>
      <c r="J127"/>
      <c r="N127" s="7"/>
      <c r="O127"/>
      <c r="P127" s="10"/>
      <c r="Q127" s="9"/>
      <c r="R127" s="10"/>
      <c r="S127" s="10"/>
      <c r="AA127" s="11"/>
      <c r="AD127"/>
      <c r="AE127"/>
      <c r="AF127"/>
      <c r="AG127"/>
      <c r="AH127" s="46"/>
      <c r="AI127"/>
      <c r="AJ127"/>
      <c r="AK127"/>
      <c r="AL127"/>
      <c r="AM127"/>
      <c r="AN127"/>
      <c r="AO127"/>
      <c r="AP127"/>
      <c r="AQ127"/>
      <c r="AR127"/>
      <c r="AS127"/>
      <c r="AT127" s="14"/>
      <c r="AU127"/>
      <c r="AV127"/>
      <c r="AW127"/>
      <c r="AX127" s="10"/>
      <c r="AY127" s="20"/>
      <c r="AZ127" s="16"/>
      <c r="BA127"/>
      <c r="BB127"/>
      <c r="BC127" s="16"/>
      <c r="BD127"/>
      <c r="BE127"/>
      <c r="BF127"/>
      <c r="BG127"/>
      <c r="BH127"/>
      <c r="BI127"/>
      <c r="BJ127"/>
      <c r="BK127"/>
      <c r="BL127"/>
      <c r="BM127"/>
      <c r="BN127" s="19"/>
      <c r="BO127"/>
      <c r="BP127"/>
      <c r="BQ127"/>
      <c r="BR127"/>
      <c r="BS127"/>
      <c r="BT127"/>
      <c r="BU127"/>
      <c r="BV127"/>
      <c r="BW127"/>
      <c r="BX127"/>
      <c r="BY127"/>
      <c r="BZ127"/>
      <c r="CA127"/>
      <c r="CB127"/>
      <c r="CC127"/>
      <c r="CD127"/>
      <c r="CE127"/>
      <c r="CF127"/>
      <c r="CG127"/>
      <c r="CH127"/>
      <c r="CI127"/>
      <c r="CJ127"/>
      <c r="CK127"/>
      <c r="CL127"/>
      <c r="CM127" s="20"/>
      <c r="CN127" s="20"/>
      <c r="CO127" s="20"/>
      <c r="CP127" s="20"/>
      <c r="CQ127" s="20"/>
      <c r="CR127" s="20"/>
      <c r="CS127" s="20"/>
      <c r="CT127" s="20"/>
      <c r="CU127" s="20"/>
      <c r="CV127" s="20"/>
      <c r="CW127" s="20"/>
      <c r="CX127" s="20"/>
      <c r="CY127" s="20"/>
    </row>
    <row r="128" spans="1:103" s="6" customFormat="1">
      <c r="A128"/>
      <c r="B128"/>
      <c r="C128"/>
      <c r="D128"/>
      <c r="E128"/>
      <c r="F128"/>
      <c r="G128"/>
      <c r="H128"/>
      <c r="I128"/>
      <c r="J128"/>
      <c r="N128" s="7"/>
      <c r="O128"/>
      <c r="P128" s="10"/>
      <c r="Q128" s="9"/>
      <c r="R128" s="10"/>
      <c r="S128" s="10"/>
      <c r="AA128" s="11"/>
      <c r="AD128"/>
      <c r="AE128"/>
      <c r="AF128"/>
      <c r="AG128"/>
      <c r="AH128" s="46"/>
      <c r="AI128"/>
      <c r="AJ128"/>
      <c r="AK128"/>
      <c r="AL128"/>
      <c r="AM128"/>
      <c r="AN128"/>
      <c r="AO128"/>
      <c r="AP128"/>
      <c r="AQ128"/>
      <c r="AR128"/>
      <c r="AS128"/>
      <c r="AT128" s="14"/>
      <c r="AU128"/>
      <c r="AV128"/>
      <c r="AW128"/>
      <c r="AX128" s="10"/>
      <c r="AY128" s="20"/>
      <c r="AZ128" s="16"/>
      <c r="BA128"/>
      <c r="BB128"/>
      <c r="BC128" s="16"/>
      <c r="BD128"/>
      <c r="BE128"/>
      <c r="BF128"/>
      <c r="BG128"/>
      <c r="BH128"/>
      <c r="BI128"/>
      <c r="BJ128"/>
      <c r="BK128"/>
      <c r="BL128"/>
      <c r="BM128"/>
      <c r="BN128" s="19"/>
      <c r="BO128"/>
      <c r="BP128"/>
      <c r="BQ128"/>
      <c r="BR128"/>
      <c r="BS128"/>
      <c r="BT128"/>
      <c r="BU128"/>
      <c r="BV128"/>
      <c r="BW128"/>
      <c r="BX128"/>
      <c r="BY128"/>
      <c r="BZ128"/>
      <c r="CA128"/>
      <c r="CB128"/>
      <c r="CC128"/>
      <c r="CD128"/>
      <c r="CE128"/>
      <c r="CF128"/>
      <c r="CG128"/>
      <c r="CH128"/>
      <c r="CI128"/>
      <c r="CJ128"/>
      <c r="CK128"/>
      <c r="CL128"/>
      <c r="CM128" s="20"/>
      <c r="CN128" s="20"/>
      <c r="CO128" s="20"/>
      <c r="CP128" s="20"/>
      <c r="CQ128" s="20"/>
      <c r="CR128" s="20"/>
      <c r="CS128" s="20"/>
      <c r="CT128" s="20"/>
      <c r="CU128" s="20"/>
      <c r="CV128" s="20"/>
      <c r="CW128" s="20"/>
      <c r="CX128" s="20"/>
      <c r="CY128" s="20"/>
    </row>
    <row r="129" spans="1:103" s="6" customFormat="1">
      <c r="A129"/>
      <c r="B129"/>
      <c r="C129"/>
      <c r="D129"/>
      <c r="E129"/>
      <c r="F129"/>
      <c r="G129"/>
      <c r="H129"/>
      <c r="I129"/>
      <c r="J129"/>
      <c r="N129" s="7"/>
      <c r="O129"/>
      <c r="P129" s="10"/>
      <c r="Q129" s="9"/>
      <c r="R129" s="10"/>
      <c r="S129" s="10"/>
      <c r="AA129" s="11"/>
      <c r="AD129"/>
      <c r="AE129"/>
      <c r="AF129"/>
      <c r="AG129"/>
      <c r="AH129" s="46"/>
      <c r="AI129"/>
      <c r="AJ129"/>
      <c r="AK129"/>
      <c r="AL129"/>
      <c r="AM129"/>
      <c r="AN129"/>
      <c r="AO129"/>
      <c r="AP129"/>
      <c r="AQ129"/>
      <c r="AR129"/>
      <c r="AS129"/>
      <c r="AT129" s="14"/>
      <c r="AU129"/>
      <c r="AV129"/>
      <c r="AW129"/>
      <c r="AX129" s="10"/>
      <c r="AY129" s="20"/>
      <c r="AZ129" s="16"/>
      <c r="BA129"/>
      <c r="BB129"/>
      <c r="BC129" s="16"/>
      <c r="BD129"/>
      <c r="BE129"/>
      <c r="BF129"/>
      <c r="BG129"/>
      <c r="BH129"/>
      <c r="BI129"/>
      <c r="BJ129"/>
      <c r="BK129"/>
      <c r="BL129"/>
      <c r="BM129"/>
      <c r="BN129" s="19"/>
      <c r="BO129"/>
      <c r="BP129"/>
      <c r="BQ129"/>
      <c r="BR129"/>
      <c r="BS129"/>
      <c r="BT129"/>
      <c r="BU129"/>
      <c r="BV129"/>
      <c r="BW129"/>
      <c r="BX129"/>
      <c r="BY129"/>
      <c r="BZ129"/>
      <c r="CA129"/>
      <c r="CB129"/>
      <c r="CC129"/>
      <c r="CD129"/>
      <c r="CE129"/>
      <c r="CF129"/>
      <c r="CG129"/>
      <c r="CH129"/>
      <c r="CI129"/>
      <c r="CJ129"/>
      <c r="CK129"/>
      <c r="CL129"/>
      <c r="CM129" s="20"/>
      <c r="CN129" s="20"/>
      <c r="CO129" s="20"/>
      <c r="CP129" s="20"/>
      <c r="CQ129" s="20"/>
      <c r="CR129" s="20"/>
      <c r="CS129" s="20"/>
      <c r="CT129" s="20"/>
      <c r="CU129" s="20"/>
      <c r="CV129" s="20"/>
      <c r="CW129" s="20"/>
      <c r="CX129" s="20"/>
      <c r="CY129" s="20"/>
    </row>
    <row r="130" spans="1:103" s="6" customFormat="1">
      <c r="A130"/>
      <c r="B130"/>
      <c r="C130"/>
      <c r="D130"/>
      <c r="E130"/>
      <c r="F130"/>
      <c r="G130"/>
      <c r="H130"/>
      <c r="I130"/>
      <c r="J130"/>
      <c r="N130" s="7"/>
      <c r="O130"/>
      <c r="P130" s="10"/>
      <c r="Q130" s="9"/>
      <c r="R130" s="10"/>
      <c r="S130" s="10"/>
      <c r="AA130" s="11"/>
      <c r="AD130"/>
      <c r="AE130"/>
      <c r="AF130"/>
      <c r="AG130"/>
      <c r="AH130" s="46"/>
      <c r="AI130"/>
      <c r="AJ130"/>
      <c r="AK130"/>
      <c r="AL130"/>
      <c r="AM130"/>
      <c r="AN130"/>
      <c r="AO130"/>
      <c r="AP130"/>
      <c r="AQ130"/>
      <c r="AR130"/>
      <c r="AS130"/>
      <c r="AT130" s="14"/>
      <c r="AU130"/>
      <c r="AV130"/>
      <c r="AW130"/>
      <c r="AX130" s="10"/>
      <c r="AY130" s="20"/>
      <c r="AZ130" s="16"/>
      <c r="BA130"/>
      <c r="BB130"/>
      <c r="BC130" s="16"/>
      <c r="BD130"/>
      <c r="BE130"/>
      <c r="BF130"/>
      <c r="BG130"/>
      <c r="BH130"/>
      <c r="BI130"/>
      <c r="BJ130"/>
      <c r="BK130"/>
      <c r="BL130"/>
      <c r="BM130"/>
      <c r="BN130" s="19"/>
      <c r="BO130"/>
      <c r="BP130"/>
      <c r="BQ130"/>
      <c r="BR130"/>
      <c r="BS130"/>
      <c r="BT130"/>
      <c r="BU130"/>
      <c r="BV130"/>
      <c r="BW130"/>
      <c r="BX130"/>
      <c r="BY130"/>
      <c r="BZ130"/>
      <c r="CA130"/>
      <c r="CB130"/>
      <c r="CC130"/>
      <c r="CD130"/>
      <c r="CE130"/>
      <c r="CF130"/>
      <c r="CG130"/>
      <c r="CH130"/>
      <c r="CI130"/>
      <c r="CJ130"/>
      <c r="CK130"/>
      <c r="CL130"/>
      <c r="CM130" s="20"/>
      <c r="CN130" s="20"/>
      <c r="CO130" s="20"/>
      <c r="CP130" s="20"/>
      <c r="CQ130" s="20"/>
      <c r="CR130" s="20"/>
      <c r="CS130" s="20"/>
      <c r="CT130" s="20"/>
      <c r="CU130" s="20"/>
      <c r="CV130" s="20"/>
      <c r="CW130" s="20"/>
      <c r="CX130" s="20"/>
      <c r="CY130" s="20"/>
    </row>
    <row r="131" spans="1:103" s="6" customFormat="1">
      <c r="A131"/>
      <c r="B131"/>
      <c r="C131"/>
      <c r="D131"/>
      <c r="E131"/>
      <c r="F131"/>
      <c r="G131"/>
      <c r="H131"/>
      <c r="I131"/>
      <c r="J131"/>
      <c r="N131" s="7"/>
      <c r="O131"/>
      <c r="P131" s="10"/>
      <c r="Q131" s="9"/>
      <c r="R131" s="10"/>
      <c r="S131" s="10"/>
      <c r="AA131" s="11"/>
      <c r="AD131"/>
      <c r="AE131"/>
      <c r="AF131"/>
      <c r="AG131"/>
      <c r="AH131" s="46"/>
      <c r="AI131"/>
      <c r="AJ131"/>
      <c r="AK131"/>
      <c r="AL131"/>
      <c r="AM131"/>
      <c r="AN131"/>
      <c r="AO131"/>
      <c r="AP131"/>
      <c r="AQ131"/>
      <c r="AR131"/>
      <c r="AS131"/>
      <c r="AT131" s="14"/>
      <c r="AU131"/>
      <c r="AV131"/>
      <c r="AW131"/>
      <c r="AX131" s="10"/>
      <c r="AY131" s="20"/>
      <c r="AZ131" s="16"/>
      <c r="BA131"/>
      <c r="BB131"/>
      <c r="BC131" s="16"/>
      <c r="BD131"/>
      <c r="BE131"/>
      <c r="BF131"/>
      <c r="BG131"/>
      <c r="BH131"/>
      <c r="BI131"/>
      <c r="BJ131"/>
      <c r="BK131"/>
      <c r="BL131"/>
      <c r="BM131"/>
      <c r="BN131" s="19"/>
      <c r="BO131"/>
      <c r="BP131"/>
      <c r="BQ131"/>
      <c r="BR131"/>
      <c r="BS131"/>
      <c r="BT131"/>
      <c r="BU131"/>
      <c r="BV131"/>
      <c r="BW131"/>
      <c r="BX131"/>
      <c r="BY131"/>
      <c r="BZ131"/>
      <c r="CA131"/>
      <c r="CB131"/>
      <c r="CC131"/>
      <c r="CD131"/>
      <c r="CE131"/>
      <c r="CF131"/>
      <c r="CG131"/>
      <c r="CH131"/>
      <c r="CI131"/>
      <c r="CJ131"/>
      <c r="CK131"/>
      <c r="CL131"/>
      <c r="CM131" s="20"/>
      <c r="CN131" s="20"/>
      <c r="CO131" s="20"/>
      <c r="CP131" s="20"/>
      <c r="CQ131" s="20"/>
      <c r="CR131" s="20"/>
      <c r="CS131" s="20"/>
      <c r="CT131" s="20"/>
      <c r="CU131" s="20"/>
      <c r="CV131" s="20"/>
      <c r="CW131" s="20"/>
      <c r="CX131" s="20"/>
      <c r="CY131" s="20"/>
    </row>
    <row r="132" spans="1:103" s="6" customFormat="1">
      <c r="A132"/>
      <c r="B132"/>
      <c r="C132"/>
      <c r="D132"/>
      <c r="E132"/>
      <c r="F132"/>
      <c r="G132"/>
      <c r="H132"/>
      <c r="I132"/>
      <c r="J132"/>
      <c r="N132" s="7"/>
      <c r="O132"/>
      <c r="P132" s="10"/>
      <c r="Q132" s="9"/>
      <c r="R132" s="10"/>
      <c r="S132" s="10"/>
      <c r="AA132" s="11"/>
      <c r="AD132"/>
      <c r="AE132"/>
      <c r="AF132"/>
      <c r="AG132"/>
      <c r="AH132" s="46"/>
      <c r="AI132"/>
      <c r="AJ132"/>
      <c r="AK132"/>
      <c r="AL132"/>
      <c r="AM132"/>
      <c r="AN132"/>
      <c r="AO132"/>
      <c r="AP132"/>
      <c r="AQ132"/>
      <c r="AR132"/>
      <c r="AS132"/>
      <c r="AT132" s="14"/>
      <c r="AU132"/>
      <c r="AV132"/>
      <c r="AW132"/>
      <c r="AX132" s="10"/>
      <c r="AY132" s="20"/>
      <c r="AZ132" s="16"/>
      <c r="BA132"/>
      <c r="BB132"/>
      <c r="BC132" s="16"/>
      <c r="BD132"/>
      <c r="BE132"/>
      <c r="BF132"/>
      <c r="BG132"/>
      <c r="BH132"/>
      <c r="BI132"/>
      <c r="BJ132"/>
      <c r="BK132"/>
      <c r="BL132"/>
      <c r="BM132"/>
      <c r="BN132" s="19"/>
      <c r="BO132"/>
      <c r="BP132"/>
      <c r="BQ132"/>
      <c r="BR132"/>
      <c r="BS132"/>
      <c r="BT132"/>
      <c r="BU132"/>
      <c r="BV132"/>
      <c r="BW132"/>
      <c r="BX132"/>
      <c r="BY132"/>
      <c r="BZ132"/>
      <c r="CA132"/>
      <c r="CB132"/>
      <c r="CC132"/>
      <c r="CD132"/>
      <c r="CE132"/>
      <c r="CF132"/>
      <c r="CG132"/>
      <c r="CH132"/>
      <c r="CI132"/>
      <c r="CJ132"/>
      <c r="CK132"/>
      <c r="CL132"/>
      <c r="CM132" s="20"/>
      <c r="CN132" s="20"/>
      <c r="CO132" s="20"/>
      <c r="CP132" s="20"/>
      <c r="CQ132" s="20"/>
      <c r="CR132" s="20"/>
      <c r="CS132" s="20"/>
      <c r="CT132" s="20"/>
      <c r="CU132" s="20"/>
      <c r="CV132" s="20"/>
      <c r="CW132" s="20"/>
      <c r="CX132" s="20"/>
      <c r="CY132" s="20"/>
    </row>
    <row r="133" spans="1:103" s="6" customFormat="1">
      <c r="A133"/>
      <c r="B133"/>
      <c r="C133"/>
      <c r="D133"/>
      <c r="E133"/>
      <c r="F133"/>
      <c r="G133"/>
      <c r="H133"/>
      <c r="I133"/>
      <c r="J133"/>
      <c r="N133" s="7"/>
      <c r="O133"/>
      <c r="P133" s="10"/>
      <c r="Q133" s="9"/>
      <c r="R133" s="10"/>
      <c r="S133" s="10"/>
      <c r="AA133" s="11"/>
      <c r="AD133"/>
      <c r="AE133"/>
      <c r="AF133"/>
      <c r="AG133"/>
      <c r="AH133" s="46"/>
      <c r="AI133"/>
      <c r="AJ133"/>
      <c r="AK133"/>
      <c r="AL133"/>
      <c r="AM133"/>
      <c r="AN133"/>
      <c r="AO133"/>
      <c r="AP133"/>
      <c r="AQ133"/>
      <c r="AR133"/>
      <c r="AS133"/>
      <c r="AT133" s="14"/>
      <c r="AU133"/>
      <c r="AV133"/>
      <c r="AW133"/>
      <c r="AX133" s="10"/>
      <c r="AY133" s="20"/>
      <c r="AZ133" s="16"/>
      <c r="BA133"/>
      <c r="BB133"/>
      <c r="BC133" s="16"/>
      <c r="BD133"/>
      <c r="BE133"/>
      <c r="BF133"/>
      <c r="BG133"/>
      <c r="BH133"/>
      <c r="BI133"/>
      <c r="BJ133"/>
      <c r="BK133"/>
      <c r="BL133"/>
      <c r="BM133"/>
      <c r="BN133" s="19"/>
      <c r="BO133"/>
      <c r="BP133"/>
      <c r="BQ133"/>
      <c r="BR133"/>
      <c r="BS133"/>
      <c r="BT133"/>
      <c r="BU133"/>
      <c r="BV133"/>
      <c r="BW133"/>
      <c r="BX133"/>
      <c r="BY133"/>
      <c r="BZ133"/>
      <c r="CA133"/>
      <c r="CB133"/>
      <c r="CC133"/>
      <c r="CD133"/>
      <c r="CE133"/>
      <c r="CF133"/>
      <c r="CG133"/>
      <c r="CH133"/>
      <c r="CI133"/>
      <c r="CJ133"/>
      <c r="CK133"/>
      <c r="CL133"/>
      <c r="CM133" s="20"/>
      <c r="CN133" s="20"/>
      <c r="CO133" s="20"/>
      <c r="CP133" s="20"/>
      <c r="CQ133" s="20"/>
      <c r="CR133" s="20"/>
      <c r="CS133" s="20"/>
      <c r="CT133" s="20"/>
      <c r="CU133" s="20"/>
      <c r="CV133" s="20"/>
      <c r="CW133" s="20"/>
      <c r="CX133" s="20"/>
      <c r="CY133" s="20"/>
    </row>
    <row r="134" spans="1:103" s="6" customFormat="1">
      <c r="A134"/>
      <c r="B134"/>
      <c r="C134"/>
      <c r="D134"/>
      <c r="E134"/>
      <c r="F134"/>
      <c r="G134"/>
      <c r="H134"/>
      <c r="I134"/>
      <c r="J134"/>
      <c r="N134" s="7"/>
      <c r="O134"/>
      <c r="P134" s="10"/>
      <c r="Q134" s="9"/>
      <c r="R134" s="10"/>
      <c r="S134" s="10"/>
      <c r="AA134" s="11"/>
      <c r="AD134"/>
      <c r="AE134"/>
      <c r="AF134"/>
      <c r="AG134"/>
      <c r="AH134" s="46"/>
      <c r="AI134"/>
      <c r="AJ134"/>
      <c r="AK134"/>
      <c r="AL134"/>
      <c r="AM134"/>
      <c r="AN134"/>
      <c r="AO134"/>
      <c r="AP134"/>
      <c r="AQ134"/>
      <c r="AR134"/>
      <c r="AS134"/>
      <c r="AT134" s="14"/>
      <c r="AU134"/>
      <c r="AV134"/>
      <c r="AW134"/>
      <c r="AX134" s="10"/>
      <c r="AY134" s="20"/>
      <c r="AZ134" s="16"/>
      <c r="BA134"/>
      <c r="BB134"/>
      <c r="BC134" s="16"/>
      <c r="BD134"/>
      <c r="BE134"/>
      <c r="BF134"/>
      <c r="BG134"/>
      <c r="BH134"/>
      <c r="BI134"/>
      <c r="BJ134"/>
      <c r="BK134"/>
      <c r="BL134"/>
      <c r="BM134"/>
      <c r="BN134" s="19"/>
      <c r="BO134"/>
      <c r="BP134"/>
      <c r="BQ134"/>
      <c r="BR134"/>
      <c r="BS134"/>
      <c r="BT134"/>
      <c r="BU134"/>
      <c r="BV134"/>
      <c r="BW134"/>
      <c r="BX134"/>
      <c r="BY134"/>
      <c r="BZ134"/>
      <c r="CA134"/>
      <c r="CB134"/>
      <c r="CC134"/>
      <c r="CD134"/>
      <c r="CE134"/>
      <c r="CF134"/>
      <c r="CG134"/>
      <c r="CH134"/>
      <c r="CI134"/>
      <c r="CJ134"/>
      <c r="CK134"/>
      <c r="CL134"/>
      <c r="CM134" s="20"/>
      <c r="CN134" s="20"/>
      <c r="CO134" s="20"/>
      <c r="CP134" s="20"/>
      <c r="CQ134" s="20"/>
      <c r="CR134" s="20"/>
      <c r="CS134" s="20"/>
      <c r="CT134" s="20"/>
      <c r="CU134" s="20"/>
      <c r="CV134" s="20"/>
      <c r="CW134" s="20"/>
      <c r="CX134" s="20"/>
      <c r="CY134" s="20"/>
    </row>
    <row r="135" spans="1:103" s="6" customFormat="1">
      <c r="A135"/>
      <c r="B135"/>
      <c r="C135"/>
      <c r="D135"/>
      <c r="E135"/>
      <c r="F135"/>
      <c r="G135"/>
      <c r="H135"/>
      <c r="I135"/>
      <c r="J135"/>
      <c r="N135" s="7"/>
      <c r="O135"/>
      <c r="P135" s="10"/>
      <c r="Q135" s="9"/>
      <c r="R135" s="10"/>
      <c r="S135" s="10"/>
      <c r="AA135" s="11"/>
      <c r="AD135"/>
      <c r="AE135"/>
      <c r="AF135"/>
      <c r="AG135"/>
      <c r="AH135" s="46"/>
      <c r="AI135"/>
      <c r="AJ135"/>
      <c r="AK135"/>
      <c r="AL135"/>
      <c r="AM135"/>
      <c r="AN135"/>
      <c r="AO135"/>
      <c r="AP135"/>
      <c r="AQ135"/>
      <c r="AR135"/>
      <c r="AS135"/>
      <c r="AT135" s="14"/>
      <c r="AU135"/>
      <c r="AV135"/>
      <c r="AW135"/>
      <c r="AX135" s="10"/>
      <c r="AY135" s="20"/>
      <c r="AZ135" s="16"/>
      <c r="BA135"/>
      <c r="BB135"/>
      <c r="BC135" s="16"/>
      <c r="BD135"/>
      <c r="BE135"/>
      <c r="BF135"/>
      <c r="BG135"/>
      <c r="BH135"/>
      <c r="BI135"/>
      <c r="BJ135"/>
      <c r="BK135"/>
      <c r="BL135"/>
      <c r="BM135"/>
      <c r="BN135" s="19"/>
      <c r="BO135"/>
      <c r="BP135"/>
      <c r="BQ135"/>
      <c r="BR135"/>
      <c r="BS135"/>
      <c r="BT135"/>
      <c r="BU135"/>
      <c r="BV135"/>
      <c r="BW135"/>
      <c r="BX135"/>
      <c r="BY135"/>
      <c r="BZ135"/>
      <c r="CA135"/>
      <c r="CB135"/>
      <c r="CC135"/>
      <c r="CD135"/>
      <c r="CE135"/>
      <c r="CF135"/>
      <c r="CG135"/>
      <c r="CH135"/>
      <c r="CI135"/>
      <c r="CJ135"/>
      <c r="CK135"/>
      <c r="CL135"/>
      <c r="CM135" s="20"/>
      <c r="CN135" s="20"/>
      <c r="CO135" s="20"/>
      <c r="CP135" s="20"/>
      <c r="CQ135" s="20"/>
      <c r="CR135" s="20"/>
      <c r="CS135" s="20"/>
      <c r="CT135" s="20"/>
      <c r="CU135" s="20"/>
      <c r="CV135" s="20"/>
      <c r="CW135" s="20"/>
      <c r="CX135" s="20"/>
      <c r="CY135" s="20"/>
    </row>
    <row r="136" spans="1:103" s="6" customFormat="1">
      <c r="A136"/>
      <c r="B136"/>
      <c r="C136"/>
      <c r="D136"/>
      <c r="E136"/>
      <c r="F136"/>
      <c r="G136"/>
      <c r="H136"/>
      <c r="I136"/>
      <c r="J136"/>
      <c r="N136" s="7"/>
      <c r="O136"/>
      <c r="P136" s="10"/>
      <c r="Q136" s="9"/>
      <c r="R136" s="10"/>
      <c r="S136" s="10"/>
      <c r="AA136" s="11"/>
      <c r="AD136"/>
      <c r="AE136"/>
      <c r="AF136"/>
      <c r="AG136"/>
      <c r="AH136" s="46"/>
      <c r="AI136"/>
      <c r="AJ136"/>
      <c r="AK136"/>
      <c r="AL136"/>
      <c r="AM136"/>
      <c r="AN136"/>
      <c r="AO136"/>
      <c r="AP136"/>
      <c r="AQ136"/>
      <c r="AR136"/>
      <c r="AS136"/>
      <c r="AT136" s="14"/>
      <c r="AU136"/>
      <c r="AV136"/>
      <c r="AW136"/>
      <c r="AX136" s="10"/>
      <c r="AY136" s="20"/>
      <c r="AZ136" s="16"/>
      <c r="BA136"/>
      <c r="BB136"/>
      <c r="BC136" s="16"/>
      <c r="BD136"/>
      <c r="BE136"/>
      <c r="BF136"/>
      <c r="BG136"/>
      <c r="BH136"/>
      <c r="BI136"/>
      <c r="BJ136"/>
      <c r="BK136"/>
      <c r="BL136"/>
      <c r="BM136"/>
      <c r="BN136" s="19"/>
      <c r="BO136"/>
      <c r="BP136"/>
      <c r="BQ136"/>
      <c r="BR136"/>
      <c r="BS136"/>
      <c r="BT136"/>
      <c r="BU136"/>
      <c r="BV136"/>
      <c r="BW136"/>
      <c r="BX136"/>
      <c r="BY136"/>
      <c r="BZ136"/>
      <c r="CA136"/>
      <c r="CB136"/>
      <c r="CC136"/>
      <c r="CD136"/>
      <c r="CE136"/>
      <c r="CF136"/>
      <c r="CG136"/>
      <c r="CH136"/>
      <c r="CI136"/>
      <c r="CJ136"/>
      <c r="CK136"/>
      <c r="CL136"/>
      <c r="CM136" s="20"/>
      <c r="CN136" s="20"/>
      <c r="CO136" s="20"/>
      <c r="CP136" s="20"/>
      <c r="CQ136" s="20"/>
      <c r="CR136" s="20"/>
      <c r="CS136" s="20"/>
      <c r="CT136" s="20"/>
      <c r="CU136" s="20"/>
      <c r="CV136" s="20"/>
      <c r="CW136" s="20"/>
      <c r="CX136" s="20"/>
      <c r="CY136" s="20"/>
    </row>
    <row r="137" spans="1:103" s="6" customFormat="1">
      <c r="A137"/>
      <c r="B137"/>
      <c r="C137"/>
      <c r="D137"/>
      <c r="E137"/>
      <c r="F137"/>
      <c r="G137"/>
      <c r="H137"/>
      <c r="I137"/>
      <c r="J137"/>
      <c r="N137" s="7"/>
      <c r="O137"/>
      <c r="P137" s="10"/>
      <c r="Q137" s="9"/>
      <c r="R137" s="10"/>
      <c r="S137" s="10"/>
      <c r="AA137" s="11"/>
      <c r="AD137"/>
      <c r="AE137"/>
      <c r="AF137"/>
      <c r="AG137"/>
      <c r="AH137" s="46"/>
      <c r="AI137"/>
      <c r="AJ137"/>
      <c r="AK137"/>
      <c r="AL137"/>
      <c r="AM137"/>
      <c r="AN137"/>
      <c r="AO137"/>
      <c r="AP137"/>
      <c r="AQ137"/>
      <c r="AR137"/>
      <c r="AS137"/>
      <c r="AT137" s="14"/>
      <c r="AU137"/>
      <c r="AV137"/>
      <c r="AW137"/>
      <c r="AX137" s="10"/>
      <c r="AY137" s="20"/>
      <c r="AZ137" s="16"/>
      <c r="BA137"/>
      <c r="BB137"/>
      <c r="BC137" s="16"/>
      <c r="BD137"/>
      <c r="BE137"/>
      <c r="BF137"/>
      <c r="BG137"/>
      <c r="BH137"/>
      <c r="BI137"/>
      <c r="BJ137"/>
      <c r="BK137"/>
      <c r="BL137"/>
      <c r="BM137"/>
      <c r="BN137" s="19"/>
      <c r="BO137"/>
      <c r="BP137"/>
      <c r="BQ137"/>
      <c r="BR137"/>
      <c r="BS137"/>
      <c r="BT137"/>
      <c r="BU137"/>
      <c r="BV137"/>
      <c r="BW137"/>
      <c r="BX137"/>
      <c r="BY137"/>
      <c r="BZ137"/>
      <c r="CA137"/>
      <c r="CB137"/>
      <c r="CC137"/>
      <c r="CD137"/>
      <c r="CE137"/>
      <c r="CF137"/>
      <c r="CG137"/>
      <c r="CH137"/>
      <c r="CI137"/>
      <c r="CJ137"/>
      <c r="CK137"/>
      <c r="CL137"/>
      <c r="CM137" s="20"/>
      <c r="CN137" s="20"/>
      <c r="CO137" s="20"/>
      <c r="CP137" s="20"/>
      <c r="CQ137" s="20"/>
      <c r="CR137" s="20"/>
      <c r="CS137" s="20"/>
      <c r="CT137" s="20"/>
      <c r="CU137" s="20"/>
      <c r="CV137" s="20"/>
      <c r="CW137" s="20"/>
      <c r="CX137" s="20"/>
      <c r="CY137" s="20"/>
    </row>
    <row r="138" spans="1:103" s="6" customFormat="1">
      <c r="A138"/>
      <c r="B138"/>
      <c r="C138"/>
      <c r="D138"/>
      <c r="E138"/>
      <c r="F138"/>
      <c r="G138"/>
      <c r="H138"/>
      <c r="I138"/>
      <c r="J138"/>
      <c r="N138" s="7"/>
      <c r="O138"/>
      <c r="P138" s="10"/>
      <c r="Q138" s="9"/>
      <c r="R138" s="10"/>
      <c r="S138" s="10"/>
      <c r="AA138" s="11"/>
      <c r="AD138"/>
      <c r="AE138"/>
      <c r="AF138"/>
      <c r="AG138"/>
      <c r="AH138" s="46"/>
      <c r="AI138"/>
      <c r="AJ138"/>
      <c r="AK138"/>
      <c r="AL138"/>
      <c r="AM138"/>
      <c r="AN138"/>
      <c r="AO138"/>
      <c r="AP138"/>
      <c r="AQ138"/>
      <c r="AR138"/>
      <c r="AS138"/>
      <c r="AT138" s="14"/>
      <c r="AU138"/>
      <c r="AV138"/>
      <c r="AW138"/>
      <c r="AX138" s="10"/>
      <c r="AY138" s="20"/>
      <c r="AZ138" s="16"/>
      <c r="BA138"/>
      <c r="BB138"/>
      <c r="BC138" s="16"/>
      <c r="BD138"/>
      <c r="BE138"/>
      <c r="BF138"/>
      <c r="BG138"/>
      <c r="BH138"/>
      <c r="BI138"/>
      <c r="BJ138"/>
      <c r="BK138"/>
      <c r="BL138"/>
      <c r="BM138"/>
      <c r="BN138" s="19"/>
      <c r="BO138"/>
      <c r="BP138"/>
      <c r="BQ138"/>
      <c r="BR138"/>
      <c r="BS138"/>
      <c r="BT138"/>
      <c r="BU138"/>
      <c r="BV138"/>
      <c r="BW138"/>
      <c r="BX138"/>
      <c r="BY138"/>
      <c r="BZ138"/>
      <c r="CA138"/>
      <c r="CB138"/>
      <c r="CC138"/>
      <c r="CD138"/>
      <c r="CE138"/>
      <c r="CF138"/>
      <c r="CG138"/>
      <c r="CH138"/>
      <c r="CI138"/>
      <c r="CJ138"/>
      <c r="CK138"/>
      <c r="CL138"/>
      <c r="CM138" s="20"/>
      <c r="CN138" s="20"/>
      <c r="CO138" s="20"/>
      <c r="CP138" s="20"/>
      <c r="CQ138" s="20"/>
      <c r="CR138" s="20"/>
      <c r="CS138" s="20"/>
      <c r="CT138" s="20"/>
      <c r="CU138" s="20"/>
      <c r="CV138" s="20"/>
      <c r="CW138" s="20"/>
      <c r="CX138" s="20"/>
      <c r="CY138" s="20"/>
    </row>
    <row r="139" spans="1:103" s="6" customFormat="1">
      <c r="A139"/>
      <c r="B139"/>
      <c r="C139"/>
      <c r="D139"/>
      <c r="E139"/>
      <c r="F139"/>
      <c r="G139"/>
      <c r="H139"/>
      <c r="I139"/>
      <c r="J139"/>
      <c r="N139" s="7"/>
      <c r="O139"/>
      <c r="P139" s="10"/>
      <c r="Q139" s="9"/>
      <c r="R139" s="10"/>
      <c r="S139" s="10"/>
      <c r="AA139" s="11"/>
      <c r="AD139"/>
      <c r="AE139"/>
      <c r="AF139"/>
      <c r="AG139"/>
      <c r="AH139" s="46"/>
      <c r="AI139"/>
      <c r="AJ139"/>
      <c r="AK139"/>
      <c r="AL139"/>
      <c r="AM139"/>
      <c r="AN139"/>
      <c r="AO139"/>
      <c r="AP139"/>
      <c r="AQ139"/>
      <c r="AR139"/>
      <c r="AS139"/>
      <c r="AT139" s="14"/>
      <c r="AU139"/>
      <c r="AV139"/>
      <c r="AW139"/>
      <c r="AX139" s="10"/>
      <c r="AY139" s="20"/>
      <c r="AZ139" s="16"/>
      <c r="BA139"/>
      <c r="BB139"/>
      <c r="BC139" s="16"/>
      <c r="BD139"/>
      <c r="BE139"/>
      <c r="BF139"/>
      <c r="BG139"/>
      <c r="BH139"/>
      <c r="BI139"/>
      <c r="BJ139"/>
      <c r="BK139"/>
      <c r="BL139"/>
      <c r="BM139"/>
      <c r="BN139" s="19"/>
      <c r="BO139"/>
      <c r="BP139"/>
      <c r="BQ139"/>
      <c r="BR139"/>
      <c r="BS139"/>
      <c r="BT139"/>
      <c r="BU139"/>
      <c r="BV139"/>
      <c r="BW139"/>
      <c r="BX139"/>
      <c r="BY139"/>
      <c r="BZ139"/>
      <c r="CA139"/>
      <c r="CB139"/>
      <c r="CC139"/>
      <c r="CD139"/>
      <c r="CE139"/>
      <c r="CF139"/>
      <c r="CG139"/>
      <c r="CH139"/>
      <c r="CI139"/>
      <c r="CJ139"/>
      <c r="CK139"/>
      <c r="CL139"/>
      <c r="CM139" s="20"/>
      <c r="CN139" s="20"/>
      <c r="CO139" s="20"/>
      <c r="CP139" s="20"/>
      <c r="CQ139" s="20"/>
      <c r="CR139" s="20"/>
      <c r="CS139" s="20"/>
      <c r="CT139" s="20"/>
      <c r="CU139" s="20"/>
      <c r="CV139" s="20"/>
      <c r="CW139" s="20"/>
      <c r="CX139" s="20"/>
      <c r="CY139" s="20"/>
    </row>
    <row r="140" spans="1:103" s="6" customFormat="1">
      <c r="A140"/>
      <c r="B140"/>
      <c r="C140"/>
      <c r="D140"/>
      <c r="E140"/>
      <c r="F140"/>
      <c r="G140"/>
      <c r="H140"/>
      <c r="I140"/>
      <c r="J140"/>
      <c r="N140" s="7"/>
      <c r="O140"/>
      <c r="P140" s="10"/>
      <c r="Q140" s="9"/>
      <c r="R140" s="10"/>
      <c r="S140" s="10"/>
      <c r="AA140" s="11"/>
      <c r="AD140"/>
      <c r="AE140"/>
      <c r="AF140"/>
      <c r="AG140"/>
      <c r="AH140" s="46"/>
      <c r="AI140"/>
      <c r="AJ140"/>
      <c r="AK140"/>
      <c r="AL140"/>
      <c r="AM140"/>
      <c r="AN140"/>
      <c r="AO140"/>
      <c r="AP140"/>
      <c r="AQ140"/>
      <c r="AR140"/>
      <c r="AS140"/>
      <c r="AT140" s="14"/>
      <c r="AU140"/>
      <c r="AV140"/>
      <c r="AW140"/>
      <c r="AX140" s="10"/>
      <c r="AY140" s="20"/>
      <c r="AZ140" s="16"/>
      <c r="BA140"/>
      <c r="BB140"/>
      <c r="BC140" s="16"/>
      <c r="BD140"/>
      <c r="BE140"/>
      <c r="BF140"/>
      <c r="BG140"/>
      <c r="BH140"/>
      <c r="BI140"/>
      <c r="BJ140"/>
      <c r="BK140"/>
      <c r="BL140"/>
      <c r="BM140"/>
      <c r="BN140" s="19"/>
      <c r="BO140"/>
      <c r="BP140"/>
      <c r="BQ140"/>
      <c r="BR140"/>
      <c r="BS140"/>
      <c r="BT140"/>
      <c r="BU140"/>
      <c r="BV140"/>
      <c r="BW140"/>
      <c r="BX140"/>
      <c r="BY140"/>
      <c r="BZ140"/>
      <c r="CA140"/>
      <c r="CB140"/>
      <c r="CC140"/>
      <c r="CD140"/>
      <c r="CE140"/>
      <c r="CF140"/>
      <c r="CG140"/>
      <c r="CH140"/>
      <c r="CI140"/>
      <c r="CJ140"/>
      <c r="CK140"/>
      <c r="CL140"/>
      <c r="CM140" s="20"/>
      <c r="CN140" s="20"/>
      <c r="CO140" s="20"/>
      <c r="CP140" s="20"/>
      <c r="CQ140" s="20"/>
      <c r="CR140" s="20"/>
      <c r="CS140" s="20"/>
      <c r="CT140" s="20"/>
      <c r="CU140" s="20"/>
      <c r="CV140" s="20"/>
      <c r="CW140" s="20"/>
      <c r="CX140" s="20"/>
      <c r="CY140" s="20"/>
    </row>
    <row r="141" spans="1:103" s="6" customFormat="1">
      <c r="A141"/>
      <c r="B141"/>
      <c r="C141"/>
      <c r="D141"/>
      <c r="E141"/>
      <c r="F141"/>
      <c r="G141"/>
      <c r="H141"/>
      <c r="I141"/>
      <c r="J141"/>
      <c r="N141" s="7"/>
      <c r="O141"/>
      <c r="P141" s="10"/>
      <c r="Q141" s="9"/>
      <c r="R141" s="10"/>
      <c r="S141" s="10"/>
      <c r="AA141" s="11"/>
      <c r="AD141"/>
      <c r="AE141"/>
      <c r="AF141"/>
      <c r="AG141"/>
      <c r="AH141" s="46"/>
      <c r="AI141"/>
      <c r="AJ141"/>
      <c r="AK141"/>
      <c r="AL141"/>
      <c r="AM141"/>
      <c r="AN141"/>
      <c r="AO141"/>
      <c r="AP141"/>
      <c r="AQ141"/>
      <c r="AR141"/>
      <c r="AS141"/>
      <c r="AT141" s="14"/>
      <c r="AU141"/>
      <c r="AV141"/>
      <c r="AW141"/>
      <c r="AX141" s="10"/>
      <c r="AY141" s="20"/>
      <c r="AZ141" s="16"/>
      <c r="BA141"/>
      <c r="BB141"/>
      <c r="BC141" s="16"/>
      <c r="BD141"/>
      <c r="BE141"/>
      <c r="BF141"/>
      <c r="BG141"/>
      <c r="BH141"/>
      <c r="BI141"/>
      <c r="BJ141"/>
      <c r="BK141"/>
      <c r="BL141"/>
      <c r="BM141"/>
      <c r="BN141" s="19"/>
      <c r="BO141"/>
      <c r="BP141"/>
      <c r="BQ141"/>
      <c r="BR141"/>
      <c r="BS141"/>
      <c r="BT141"/>
      <c r="BU141"/>
      <c r="BV141"/>
      <c r="BW141"/>
      <c r="BX141"/>
      <c r="BY141"/>
      <c r="BZ141"/>
      <c r="CA141"/>
      <c r="CB141"/>
      <c r="CC141"/>
      <c r="CD141"/>
      <c r="CE141"/>
      <c r="CF141"/>
      <c r="CG141"/>
      <c r="CH141"/>
      <c r="CI141"/>
      <c r="CJ141"/>
      <c r="CK141"/>
      <c r="CL141"/>
      <c r="CM141" s="20"/>
      <c r="CN141" s="20"/>
      <c r="CO141" s="20"/>
      <c r="CP141" s="20"/>
      <c r="CQ141" s="20"/>
      <c r="CR141" s="20"/>
      <c r="CS141" s="20"/>
      <c r="CT141" s="20"/>
      <c r="CU141" s="20"/>
      <c r="CV141" s="20"/>
      <c r="CW141" s="20"/>
      <c r="CX141" s="20"/>
      <c r="CY141" s="20"/>
    </row>
    <row r="142" spans="1:103" s="6" customFormat="1">
      <c r="A142"/>
      <c r="B142"/>
      <c r="C142"/>
      <c r="D142"/>
      <c r="E142"/>
      <c r="F142"/>
      <c r="G142"/>
      <c r="H142"/>
      <c r="I142"/>
      <c r="J142"/>
      <c r="N142" s="7"/>
      <c r="O142"/>
      <c r="P142" s="10"/>
      <c r="Q142" s="9"/>
      <c r="R142" s="10"/>
      <c r="S142" s="10"/>
      <c r="AA142" s="11"/>
      <c r="AD142"/>
      <c r="AE142"/>
      <c r="AF142"/>
      <c r="AG142"/>
      <c r="AH142" s="46"/>
      <c r="AI142"/>
      <c r="AJ142"/>
      <c r="AK142"/>
      <c r="AL142"/>
      <c r="AM142"/>
      <c r="AN142"/>
      <c r="AO142"/>
      <c r="AP142"/>
      <c r="AQ142"/>
      <c r="AR142"/>
      <c r="AS142"/>
      <c r="AT142" s="14"/>
      <c r="AU142"/>
      <c r="AV142"/>
      <c r="AW142"/>
      <c r="AX142" s="10"/>
      <c r="AY142" s="20"/>
      <c r="AZ142" s="16"/>
      <c r="BA142"/>
      <c r="BB142"/>
      <c r="BC142" s="16"/>
      <c r="BD142"/>
      <c r="BE142"/>
      <c r="BF142"/>
      <c r="BG142"/>
      <c r="BH142"/>
      <c r="BI142"/>
      <c r="BJ142"/>
      <c r="BK142"/>
      <c r="BL142"/>
      <c r="BM142"/>
      <c r="BN142" s="19"/>
      <c r="BO142"/>
      <c r="BP142"/>
      <c r="BQ142"/>
      <c r="BR142"/>
      <c r="BS142"/>
      <c r="BT142"/>
      <c r="BU142"/>
      <c r="BV142"/>
      <c r="BW142"/>
      <c r="BX142"/>
      <c r="BY142"/>
      <c r="BZ142"/>
      <c r="CA142"/>
      <c r="CB142"/>
      <c r="CC142"/>
      <c r="CD142"/>
      <c r="CE142"/>
      <c r="CF142"/>
      <c r="CG142"/>
      <c r="CH142"/>
      <c r="CI142"/>
      <c r="CJ142"/>
      <c r="CK142"/>
      <c r="CL142"/>
      <c r="CM142" s="20"/>
      <c r="CN142" s="20"/>
      <c r="CO142" s="20"/>
      <c r="CP142" s="20"/>
      <c r="CQ142" s="20"/>
      <c r="CR142" s="20"/>
      <c r="CS142" s="20"/>
      <c r="CT142" s="20"/>
      <c r="CU142" s="20"/>
      <c r="CV142" s="20"/>
      <c r="CW142" s="20"/>
      <c r="CX142" s="20"/>
      <c r="CY142" s="20"/>
    </row>
    <row r="143" spans="1:103" s="6" customFormat="1">
      <c r="A143"/>
      <c r="B143"/>
      <c r="C143"/>
      <c r="D143"/>
      <c r="E143"/>
      <c r="F143"/>
      <c r="G143"/>
      <c r="H143"/>
      <c r="I143"/>
      <c r="J143"/>
      <c r="N143" s="7"/>
      <c r="O143"/>
      <c r="P143" s="10"/>
      <c r="Q143" s="9"/>
      <c r="R143" s="10"/>
      <c r="S143" s="10"/>
      <c r="AA143" s="11"/>
      <c r="AD143"/>
      <c r="AE143"/>
      <c r="AF143"/>
      <c r="AG143"/>
      <c r="AH143" s="46"/>
      <c r="AI143"/>
      <c r="AJ143"/>
      <c r="AK143"/>
      <c r="AL143"/>
      <c r="AM143"/>
      <c r="AN143"/>
      <c r="AO143"/>
      <c r="AP143"/>
      <c r="AQ143"/>
      <c r="AR143"/>
      <c r="AS143"/>
      <c r="AT143" s="14"/>
      <c r="AU143"/>
      <c r="AV143"/>
      <c r="AW143"/>
      <c r="AX143" s="10"/>
      <c r="AY143" s="20"/>
      <c r="AZ143" s="16"/>
      <c r="BA143"/>
      <c r="BB143"/>
      <c r="BC143" s="16"/>
      <c r="BD143"/>
      <c r="BE143"/>
      <c r="BF143"/>
      <c r="BG143"/>
      <c r="BH143"/>
      <c r="BI143"/>
      <c r="BJ143"/>
      <c r="BK143"/>
      <c r="BL143"/>
      <c r="BM143"/>
      <c r="BN143" s="19"/>
      <c r="BO143"/>
      <c r="BP143"/>
      <c r="BQ143"/>
      <c r="BR143"/>
      <c r="BS143"/>
      <c r="BT143"/>
      <c r="BU143"/>
      <c r="BV143"/>
      <c r="BW143"/>
      <c r="BX143"/>
      <c r="BY143"/>
      <c r="BZ143"/>
      <c r="CA143"/>
      <c r="CB143"/>
      <c r="CC143"/>
      <c r="CD143"/>
      <c r="CE143"/>
      <c r="CF143"/>
      <c r="CG143"/>
      <c r="CH143"/>
      <c r="CI143"/>
      <c r="CJ143"/>
      <c r="CK143"/>
      <c r="CL143"/>
      <c r="CM143" s="20"/>
      <c r="CN143" s="20"/>
      <c r="CO143" s="20"/>
      <c r="CP143" s="20"/>
      <c r="CQ143" s="20"/>
      <c r="CR143" s="20"/>
      <c r="CS143" s="20"/>
      <c r="CT143" s="20"/>
      <c r="CU143" s="20"/>
      <c r="CV143" s="20"/>
      <c r="CW143" s="20"/>
      <c r="CX143" s="20"/>
      <c r="CY143" s="20"/>
    </row>
    <row r="144" spans="1:103" s="6" customFormat="1">
      <c r="A144"/>
      <c r="B144"/>
      <c r="C144"/>
      <c r="D144"/>
      <c r="E144"/>
      <c r="F144"/>
      <c r="G144"/>
      <c r="H144"/>
      <c r="I144"/>
      <c r="J144"/>
      <c r="N144" s="7"/>
      <c r="O144"/>
      <c r="P144" s="10"/>
      <c r="Q144" s="9"/>
      <c r="R144" s="10"/>
      <c r="S144" s="10"/>
      <c r="AA144" s="11"/>
      <c r="AD144"/>
      <c r="AE144"/>
      <c r="AF144"/>
      <c r="AG144"/>
      <c r="AH144" s="46"/>
      <c r="AI144"/>
      <c r="AJ144"/>
      <c r="AK144"/>
      <c r="AL144"/>
      <c r="AM144"/>
      <c r="AN144"/>
      <c r="AO144"/>
      <c r="AP144"/>
      <c r="AQ144"/>
      <c r="AR144"/>
      <c r="AS144"/>
      <c r="AT144" s="14"/>
      <c r="AU144"/>
      <c r="AV144"/>
      <c r="AW144"/>
      <c r="AX144" s="10"/>
      <c r="AY144" s="20"/>
      <c r="AZ144" s="16"/>
      <c r="BA144"/>
      <c r="BB144"/>
      <c r="BC144" s="16"/>
      <c r="BD144"/>
      <c r="BE144"/>
      <c r="BF144"/>
      <c r="BG144"/>
      <c r="BH144"/>
      <c r="BI144"/>
      <c r="BJ144"/>
      <c r="BK144"/>
      <c r="BL144"/>
      <c r="BM144"/>
      <c r="BN144" s="19"/>
      <c r="BO144"/>
      <c r="BP144"/>
      <c r="BQ144"/>
      <c r="BR144"/>
      <c r="BS144"/>
      <c r="BT144"/>
      <c r="BU144"/>
      <c r="BV144"/>
      <c r="BW144"/>
      <c r="BX144"/>
      <c r="BY144"/>
      <c r="BZ144"/>
      <c r="CA144"/>
      <c r="CB144"/>
      <c r="CC144"/>
      <c r="CD144"/>
      <c r="CE144"/>
      <c r="CF144"/>
      <c r="CG144"/>
      <c r="CH144"/>
      <c r="CI144"/>
      <c r="CJ144"/>
      <c r="CK144"/>
      <c r="CL144"/>
      <c r="CM144" s="20"/>
      <c r="CN144" s="20"/>
      <c r="CO144" s="20"/>
      <c r="CP144" s="20"/>
      <c r="CQ144" s="20"/>
      <c r="CR144" s="20"/>
      <c r="CS144" s="20"/>
      <c r="CT144" s="20"/>
      <c r="CU144" s="20"/>
      <c r="CV144" s="20"/>
      <c r="CW144" s="20"/>
      <c r="CX144" s="20"/>
      <c r="CY144" s="20"/>
    </row>
    <row r="145" spans="1:103" s="6" customFormat="1">
      <c r="A145"/>
      <c r="B145"/>
      <c r="C145"/>
      <c r="D145"/>
      <c r="E145"/>
      <c r="F145"/>
      <c r="G145"/>
      <c r="H145"/>
      <c r="I145"/>
      <c r="J145"/>
      <c r="N145" s="7"/>
      <c r="O145"/>
      <c r="P145" s="10"/>
      <c r="Q145" s="9"/>
      <c r="R145" s="10"/>
      <c r="S145" s="10"/>
      <c r="AA145" s="11"/>
      <c r="AD145"/>
      <c r="AE145"/>
      <c r="AF145"/>
      <c r="AG145"/>
      <c r="AH145" s="46"/>
      <c r="AI145"/>
      <c r="AJ145"/>
      <c r="AK145"/>
      <c r="AL145"/>
      <c r="AM145"/>
      <c r="AN145"/>
      <c r="AO145"/>
      <c r="AP145"/>
      <c r="AQ145"/>
      <c r="AR145"/>
      <c r="AS145"/>
      <c r="AT145" s="14"/>
      <c r="AU145"/>
      <c r="AV145"/>
      <c r="AW145"/>
      <c r="AX145" s="10"/>
      <c r="AY145" s="20"/>
      <c r="AZ145" s="16"/>
      <c r="BA145"/>
      <c r="BB145"/>
      <c r="BC145" s="16"/>
      <c r="BD145"/>
      <c r="BE145"/>
      <c r="BF145"/>
      <c r="BG145"/>
      <c r="BH145"/>
      <c r="BI145"/>
      <c r="BJ145"/>
      <c r="BK145"/>
      <c r="BL145"/>
      <c r="BM145"/>
      <c r="BN145" s="19"/>
      <c r="BO145"/>
      <c r="BP145"/>
      <c r="BQ145"/>
      <c r="BR145"/>
      <c r="BS145"/>
      <c r="BT145"/>
      <c r="BU145"/>
      <c r="BV145"/>
      <c r="BW145"/>
      <c r="BX145"/>
      <c r="BY145"/>
      <c r="BZ145"/>
      <c r="CA145"/>
      <c r="CB145"/>
      <c r="CC145"/>
      <c r="CD145"/>
      <c r="CE145"/>
      <c r="CF145"/>
      <c r="CG145"/>
      <c r="CH145"/>
      <c r="CI145"/>
      <c r="CJ145"/>
      <c r="CK145"/>
      <c r="CL145"/>
      <c r="CM145" s="20"/>
      <c r="CN145" s="20"/>
      <c r="CO145" s="20"/>
      <c r="CP145" s="20"/>
      <c r="CQ145" s="20"/>
      <c r="CR145" s="20"/>
      <c r="CS145" s="20"/>
      <c r="CT145" s="20"/>
      <c r="CU145" s="20"/>
      <c r="CV145" s="20"/>
      <c r="CW145" s="20"/>
      <c r="CX145" s="20"/>
      <c r="CY145" s="20"/>
    </row>
    <row r="146" spans="1:103" s="6" customFormat="1">
      <c r="A146"/>
      <c r="B146"/>
      <c r="C146"/>
      <c r="D146"/>
      <c r="E146"/>
      <c r="F146"/>
      <c r="G146"/>
      <c r="H146"/>
      <c r="I146"/>
      <c r="J146"/>
      <c r="N146" s="7"/>
      <c r="O146"/>
      <c r="P146" s="10"/>
      <c r="Q146" s="9"/>
      <c r="R146" s="10"/>
      <c r="S146" s="10"/>
      <c r="AA146" s="11"/>
      <c r="AD146"/>
      <c r="AE146"/>
      <c r="AF146"/>
      <c r="AG146"/>
      <c r="AH146" s="46"/>
      <c r="AI146"/>
      <c r="AJ146"/>
      <c r="AK146"/>
      <c r="AL146"/>
      <c r="AM146"/>
      <c r="AN146"/>
      <c r="AO146"/>
      <c r="AP146"/>
      <c r="AQ146"/>
      <c r="AR146"/>
      <c r="AS146"/>
      <c r="AT146" s="14"/>
      <c r="AU146"/>
      <c r="AV146"/>
      <c r="AW146"/>
      <c r="AX146" s="10"/>
      <c r="AY146" s="20"/>
      <c r="AZ146" s="16"/>
      <c r="BA146"/>
      <c r="BB146"/>
      <c r="BC146" s="16"/>
      <c r="BD146"/>
      <c r="BE146"/>
      <c r="BF146"/>
      <c r="BG146"/>
      <c r="BH146"/>
      <c r="BI146"/>
      <c r="BJ146"/>
      <c r="BK146"/>
      <c r="BL146"/>
      <c r="BM146"/>
      <c r="BN146" s="19"/>
      <c r="BO146"/>
      <c r="BP146"/>
      <c r="BQ146"/>
      <c r="BR146"/>
      <c r="BS146"/>
      <c r="BT146"/>
      <c r="BU146"/>
      <c r="BV146"/>
      <c r="BW146"/>
      <c r="BX146"/>
      <c r="BY146"/>
      <c r="BZ146"/>
      <c r="CA146"/>
      <c r="CB146"/>
      <c r="CC146"/>
      <c r="CD146"/>
      <c r="CE146"/>
      <c r="CF146"/>
      <c r="CG146"/>
      <c r="CH146"/>
      <c r="CI146"/>
      <c r="CJ146"/>
      <c r="CK146"/>
      <c r="CL146"/>
      <c r="CM146" s="20"/>
      <c r="CN146" s="20"/>
      <c r="CO146" s="20"/>
      <c r="CP146" s="20"/>
      <c r="CQ146" s="20"/>
      <c r="CR146" s="20"/>
      <c r="CS146" s="20"/>
      <c r="CT146" s="20"/>
      <c r="CU146" s="20"/>
      <c r="CV146" s="20"/>
      <c r="CW146" s="20"/>
      <c r="CX146" s="20"/>
      <c r="CY146" s="20"/>
    </row>
    <row r="147" spans="1:103" s="6" customFormat="1">
      <c r="A147"/>
      <c r="B147"/>
      <c r="C147"/>
      <c r="D147"/>
      <c r="E147"/>
      <c r="F147"/>
      <c r="G147"/>
      <c r="H147"/>
      <c r="I147"/>
      <c r="J147"/>
      <c r="N147" s="7"/>
      <c r="O147"/>
      <c r="P147" s="10"/>
      <c r="Q147" s="9"/>
      <c r="R147" s="10"/>
      <c r="S147" s="10"/>
      <c r="AA147" s="11"/>
      <c r="AD147"/>
      <c r="AE147"/>
      <c r="AF147"/>
      <c r="AG147"/>
      <c r="AH147" s="46"/>
      <c r="AI147"/>
      <c r="AJ147"/>
      <c r="AK147"/>
      <c r="AL147"/>
      <c r="AM147"/>
      <c r="AN147"/>
      <c r="AO147"/>
      <c r="AP147"/>
      <c r="AQ147"/>
      <c r="AR147"/>
      <c r="AS147"/>
      <c r="AT147" s="14"/>
      <c r="AU147"/>
      <c r="AV147"/>
      <c r="AW147"/>
      <c r="AX147" s="10"/>
      <c r="AY147" s="20"/>
      <c r="AZ147" s="16"/>
      <c r="BA147"/>
      <c r="BB147"/>
      <c r="BC147" s="16"/>
      <c r="BD147"/>
      <c r="BE147"/>
      <c r="BF147"/>
      <c r="BG147"/>
      <c r="BH147"/>
      <c r="BI147"/>
      <c r="BJ147"/>
      <c r="BK147"/>
      <c r="BL147"/>
      <c r="BM147"/>
      <c r="BN147" s="19"/>
      <c r="BO147"/>
      <c r="BP147"/>
      <c r="BQ147"/>
      <c r="BR147"/>
      <c r="BS147"/>
      <c r="BT147"/>
      <c r="BU147"/>
      <c r="BV147"/>
      <c r="BW147"/>
      <c r="BX147"/>
      <c r="BY147"/>
      <c r="BZ147"/>
      <c r="CA147"/>
      <c r="CB147"/>
      <c r="CC147"/>
      <c r="CD147"/>
      <c r="CE147"/>
      <c r="CF147"/>
      <c r="CG147"/>
      <c r="CH147"/>
      <c r="CI147"/>
      <c r="CJ147"/>
      <c r="CK147"/>
      <c r="CL147"/>
      <c r="CM147" s="20"/>
      <c r="CN147" s="20"/>
      <c r="CO147" s="20"/>
      <c r="CP147" s="20"/>
      <c r="CQ147" s="20"/>
      <c r="CR147" s="20"/>
      <c r="CS147" s="20"/>
      <c r="CT147" s="20"/>
      <c r="CU147" s="20"/>
      <c r="CV147" s="20"/>
      <c r="CW147" s="20"/>
      <c r="CX147" s="20"/>
      <c r="CY147" s="20"/>
    </row>
    <row r="148" spans="1:103" s="6" customFormat="1">
      <c r="A148"/>
      <c r="B148"/>
      <c r="C148"/>
      <c r="D148"/>
      <c r="E148"/>
      <c r="F148"/>
      <c r="G148"/>
      <c r="H148"/>
      <c r="I148"/>
      <c r="J148"/>
      <c r="N148" s="7"/>
      <c r="O148"/>
      <c r="P148" s="10"/>
      <c r="Q148" s="9"/>
      <c r="R148" s="10"/>
      <c r="S148" s="10"/>
      <c r="AA148" s="11"/>
      <c r="AD148"/>
      <c r="AE148"/>
      <c r="AF148"/>
      <c r="AG148"/>
      <c r="AH148" s="46"/>
      <c r="AI148"/>
      <c r="AJ148"/>
      <c r="AK148"/>
      <c r="AL148"/>
      <c r="AM148"/>
      <c r="AN148"/>
      <c r="AO148"/>
      <c r="AP148"/>
      <c r="AQ148"/>
      <c r="AR148"/>
      <c r="AS148"/>
      <c r="AT148" s="14"/>
      <c r="AU148"/>
      <c r="AV148"/>
      <c r="AW148"/>
      <c r="AX148" s="10"/>
      <c r="AY148" s="20"/>
      <c r="AZ148" s="16"/>
      <c r="BA148"/>
      <c r="BB148"/>
      <c r="BC148" s="16"/>
      <c r="BD148"/>
      <c r="BE148"/>
      <c r="BF148"/>
      <c r="BG148"/>
      <c r="BH148"/>
      <c r="BI148"/>
      <c r="BJ148"/>
      <c r="BK148"/>
      <c r="BL148"/>
      <c r="BM148"/>
      <c r="BN148" s="19"/>
      <c r="BO148"/>
      <c r="BP148"/>
      <c r="BQ148"/>
      <c r="BR148"/>
      <c r="BS148"/>
      <c r="BT148"/>
      <c r="BU148"/>
      <c r="BV148"/>
      <c r="BW148"/>
      <c r="BX148"/>
      <c r="BY148"/>
      <c r="BZ148"/>
      <c r="CA148"/>
      <c r="CB148"/>
      <c r="CC148"/>
      <c r="CD148"/>
      <c r="CE148"/>
      <c r="CF148"/>
      <c r="CG148"/>
      <c r="CH148"/>
      <c r="CI148"/>
      <c r="CJ148"/>
      <c r="CK148"/>
      <c r="CL148"/>
      <c r="CM148" s="20"/>
      <c r="CN148" s="20"/>
      <c r="CO148" s="20"/>
      <c r="CP148" s="20"/>
      <c r="CQ148" s="20"/>
      <c r="CR148" s="20"/>
      <c r="CS148" s="20"/>
      <c r="CT148" s="20"/>
      <c r="CU148" s="20"/>
      <c r="CV148" s="20"/>
      <c r="CW148" s="20"/>
      <c r="CX148" s="20"/>
      <c r="CY148" s="20"/>
    </row>
    <row r="149" spans="1:103" s="6" customFormat="1">
      <c r="A149"/>
      <c r="B149"/>
      <c r="C149"/>
      <c r="D149"/>
      <c r="E149"/>
      <c r="F149"/>
      <c r="G149"/>
      <c r="H149"/>
      <c r="I149"/>
      <c r="J149"/>
      <c r="N149" s="7"/>
      <c r="O149"/>
      <c r="P149" s="10"/>
      <c r="Q149" s="9"/>
      <c r="R149" s="10"/>
      <c r="S149" s="10"/>
      <c r="AA149" s="11"/>
      <c r="AD149"/>
      <c r="AE149"/>
      <c r="AF149"/>
      <c r="AG149"/>
      <c r="AH149" s="46"/>
      <c r="AI149"/>
      <c r="AJ149"/>
      <c r="AK149"/>
      <c r="AL149"/>
      <c r="AM149"/>
      <c r="AN149"/>
      <c r="AO149"/>
      <c r="AP149"/>
      <c r="AQ149"/>
      <c r="AR149"/>
      <c r="AS149"/>
      <c r="AT149" s="14"/>
      <c r="AU149"/>
      <c r="AV149"/>
      <c r="AW149"/>
      <c r="AX149" s="10"/>
      <c r="AY149" s="20"/>
      <c r="AZ149" s="16"/>
      <c r="BA149"/>
      <c r="BB149"/>
      <c r="BC149" s="16"/>
      <c r="BD149"/>
      <c r="BE149"/>
      <c r="BF149"/>
      <c r="BG149"/>
      <c r="BH149"/>
      <c r="BI149"/>
      <c r="BJ149"/>
      <c r="BK149"/>
      <c r="BL149"/>
      <c r="BM149"/>
      <c r="BN149" s="19"/>
      <c r="BO149"/>
      <c r="BP149"/>
      <c r="BQ149"/>
      <c r="BR149"/>
      <c r="BS149"/>
      <c r="BT149"/>
      <c r="BU149"/>
      <c r="BV149"/>
      <c r="BW149"/>
      <c r="BX149"/>
      <c r="BY149"/>
      <c r="BZ149"/>
      <c r="CA149"/>
      <c r="CB149"/>
      <c r="CC149"/>
      <c r="CD149"/>
      <c r="CE149"/>
      <c r="CF149"/>
      <c r="CG149"/>
      <c r="CH149"/>
      <c r="CI149"/>
      <c r="CJ149"/>
      <c r="CK149"/>
      <c r="CL149"/>
      <c r="CM149" s="20"/>
      <c r="CN149" s="20"/>
      <c r="CO149" s="20"/>
      <c r="CP149" s="20"/>
      <c r="CQ149" s="20"/>
      <c r="CR149" s="20"/>
      <c r="CS149" s="20"/>
      <c r="CT149" s="20"/>
      <c r="CU149" s="20"/>
      <c r="CV149" s="20"/>
      <c r="CW149" s="20"/>
      <c r="CX149" s="20"/>
      <c r="CY149" s="20"/>
    </row>
    <row r="150" spans="1:103" s="6" customFormat="1">
      <c r="A150"/>
      <c r="B150"/>
      <c r="C150"/>
      <c r="D150"/>
      <c r="E150"/>
      <c r="F150"/>
      <c r="G150"/>
      <c r="H150"/>
      <c r="I150"/>
      <c r="J150"/>
      <c r="N150" s="7"/>
      <c r="O150"/>
      <c r="P150" s="10"/>
      <c r="Q150" s="9"/>
      <c r="R150" s="10"/>
      <c r="S150" s="10"/>
      <c r="AA150" s="11"/>
      <c r="AD150"/>
      <c r="AE150"/>
      <c r="AF150"/>
      <c r="AG150"/>
      <c r="AH150" s="46"/>
      <c r="AI150"/>
      <c r="AJ150"/>
      <c r="AK150"/>
      <c r="AL150"/>
      <c r="AM150"/>
      <c r="AN150"/>
      <c r="AO150"/>
      <c r="AP150"/>
      <c r="AQ150"/>
      <c r="AR150"/>
      <c r="AS150"/>
      <c r="AT150" s="14"/>
      <c r="AU150"/>
      <c r="AV150"/>
      <c r="AW150"/>
      <c r="AX150" s="10"/>
      <c r="AY150" s="20"/>
      <c r="AZ150" s="16"/>
      <c r="BA150"/>
      <c r="BB150"/>
      <c r="BC150" s="16"/>
      <c r="BD150"/>
      <c r="BE150"/>
      <c r="BF150"/>
      <c r="BG150"/>
      <c r="BH150"/>
      <c r="BI150"/>
      <c r="BJ150"/>
      <c r="BK150"/>
      <c r="BL150"/>
      <c r="BM150"/>
      <c r="BN150" s="19"/>
      <c r="BO150"/>
      <c r="BP150"/>
      <c r="BQ150"/>
      <c r="BR150"/>
      <c r="BS150"/>
      <c r="BT150"/>
      <c r="BU150"/>
      <c r="BV150"/>
      <c r="BW150"/>
      <c r="BX150"/>
      <c r="BY150"/>
      <c r="BZ150"/>
      <c r="CA150"/>
      <c r="CB150"/>
      <c r="CC150"/>
      <c r="CD150"/>
      <c r="CE150"/>
      <c r="CF150"/>
      <c r="CG150"/>
      <c r="CH150"/>
      <c r="CI150"/>
      <c r="CJ150"/>
      <c r="CK150"/>
      <c r="CL150"/>
      <c r="CM150" s="20"/>
      <c r="CN150" s="20"/>
      <c r="CO150" s="20"/>
      <c r="CP150" s="20"/>
      <c r="CQ150" s="20"/>
      <c r="CR150" s="20"/>
      <c r="CS150" s="20"/>
      <c r="CT150" s="20"/>
      <c r="CU150" s="20"/>
      <c r="CV150" s="20"/>
      <c r="CW150" s="20"/>
      <c r="CX150" s="20"/>
      <c r="CY150" s="20"/>
    </row>
    <row r="151" spans="1:103" s="6" customFormat="1">
      <c r="A151"/>
      <c r="B151"/>
      <c r="C151"/>
      <c r="D151"/>
      <c r="E151"/>
      <c r="F151"/>
      <c r="G151"/>
      <c r="H151"/>
      <c r="I151"/>
      <c r="J151"/>
      <c r="N151" s="7"/>
      <c r="O151"/>
      <c r="P151" s="10"/>
      <c r="Q151" s="9"/>
      <c r="R151" s="10"/>
      <c r="S151" s="10"/>
      <c r="AA151" s="11"/>
      <c r="AD151"/>
      <c r="AE151"/>
      <c r="AF151"/>
      <c r="AG151"/>
      <c r="AH151" s="46"/>
      <c r="AI151"/>
      <c r="AJ151"/>
      <c r="AK151"/>
      <c r="AL151"/>
      <c r="AM151"/>
      <c r="AN151"/>
      <c r="AO151"/>
      <c r="AP151"/>
      <c r="AQ151"/>
      <c r="AR151"/>
      <c r="AS151"/>
      <c r="AT151" s="14"/>
      <c r="AU151"/>
      <c r="AV151"/>
      <c r="AW151"/>
      <c r="AX151" s="10"/>
      <c r="AY151" s="20"/>
      <c r="AZ151" s="16"/>
      <c r="BA151"/>
      <c r="BB151"/>
      <c r="BC151" s="16"/>
      <c r="BD151"/>
      <c r="BE151"/>
      <c r="BF151"/>
      <c r="BG151"/>
      <c r="BH151"/>
      <c r="BI151"/>
      <c r="BJ151"/>
      <c r="BK151"/>
      <c r="BL151"/>
      <c r="BM151"/>
      <c r="BN151" s="19"/>
      <c r="BO151"/>
      <c r="BP151"/>
      <c r="BQ151"/>
      <c r="BR151"/>
      <c r="BS151"/>
      <c r="BT151"/>
      <c r="BU151"/>
      <c r="BV151"/>
      <c r="BW151"/>
      <c r="BX151"/>
      <c r="BY151"/>
      <c r="BZ151"/>
      <c r="CA151"/>
      <c r="CB151"/>
      <c r="CC151"/>
      <c r="CD151"/>
      <c r="CE151"/>
      <c r="CF151"/>
      <c r="CG151"/>
      <c r="CH151"/>
      <c r="CI151"/>
      <c r="CJ151"/>
      <c r="CK151"/>
      <c r="CL151"/>
      <c r="CM151" s="20"/>
      <c r="CN151" s="20"/>
      <c r="CO151" s="20"/>
      <c r="CP151" s="20"/>
      <c r="CQ151" s="20"/>
      <c r="CR151" s="20"/>
      <c r="CS151" s="20"/>
      <c r="CT151" s="20"/>
      <c r="CU151" s="20"/>
      <c r="CV151" s="20"/>
      <c r="CW151" s="20"/>
      <c r="CX151" s="20"/>
      <c r="CY151" s="20"/>
    </row>
    <row r="152" spans="1:103" s="6" customFormat="1">
      <c r="A152"/>
      <c r="B152"/>
      <c r="C152"/>
      <c r="D152"/>
      <c r="E152"/>
      <c r="F152"/>
      <c r="G152"/>
      <c r="H152"/>
      <c r="I152"/>
      <c r="J152"/>
      <c r="N152" s="7"/>
      <c r="O152"/>
      <c r="P152" s="10"/>
      <c r="Q152" s="9"/>
      <c r="R152" s="10"/>
      <c r="S152" s="10"/>
      <c r="AA152" s="11"/>
      <c r="AD152"/>
      <c r="AE152"/>
      <c r="AF152"/>
      <c r="AG152"/>
      <c r="AH152" s="46"/>
      <c r="AI152"/>
      <c r="AJ152"/>
      <c r="AK152"/>
      <c r="AL152"/>
      <c r="AM152"/>
      <c r="AN152"/>
      <c r="AO152"/>
      <c r="AP152"/>
      <c r="AQ152"/>
      <c r="AR152"/>
      <c r="AS152"/>
      <c r="AT152" s="14"/>
      <c r="AU152"/>
      <c r="AV152"/>
      <c r="AW152"/>
      <c r="AX152" s="10"/>
      <c r="AY152" s="20"/>
      <c r="AZ152" s="16"/>
      <c r="BA152"/>
      <c r="BB152"/>
      <c r="BC152" s="16"/>
      <c r="BD152"/>
      <c r="BE152"/>
      <c r="BF152"/>
      <c r="BG152"/>
      <c r="BH152"/>
      <c r="BI152"/>
      <c r="BJ152"/>
      <c r="BK152"/>
      <c r="BL152"/>
      <c r="BM152"/>
      <c r="BN152" s="19"/>
      <c r="BO152"/>
      <c r="BP152"/>
      <c r="BQ152"/>
      <c r="BR152"/>
      <c r="BS152"/>
      <c r="BT152"/>
      <c r="BU152"/>
      <c r="BV152"/>
      <c r="BW152"/>
      <c r="BX152"/>
      <c r="BY152"/>
      <c r="BZ152"/>
      <c r="CA152"/>
      <c r="CB152"/>
      <c r="CC152"/>
      <c r="CD152"/>
      <c r="CE152"/>
      <c r="CF152"/>
      <c r="CG152"/>
      <c r="CH152"/>
      <c r="CI152"/>
      <c r="CJ152"/>
      <c r="CK152"/>
      <c r="CL152"/>
      <c r="CM152" s="20"/>
      <c r="CN152" s="20"/>
      <c r="CO152" s="20"/>
      <c r="CP152" s="20"/>
      <c r="CQ152" s="20"/>
      <c r="CR152" s="20"/>
      <c r="CS152" s="20"/>
      <c r="CT152" s="20"/>
      <c r="CU152" s="20"/>
      <c r="CV152" s="20"/>
      <c r="CW152" s="20"/>
      <c r="CX152" s="20"/>
      <c r="CY152" s="20"/>
    </row>
    <row r="153" spans="1:103" s="6" customFormat="1">
      <c r="A153"/>
      <c r="B153"/>
      <c r="C153"/>
      <c r="D153"/>
      <c r="E153"/>
      <c r="F153"/>
      <c r="G153"/>
      <c r="H153"/>
      <c r="I153"/>
      <c r="J153"/>
      <c r="N153" s="7"/>
      <c r="O153"/>
      <c r="P153" s="10"/>
      <c r="Q153" s="9"/>
      <c r="R153" s="10"/>
      <c r="S153" s="10"/>
      <c r="AA153" s="11"/>
      <c r="AD153"/>
      <c r="AE153"/>
      <c r="AF153"/>
      <c r="AG153"/>
      <c r="AH153" s="46"/>
      <c r="AI153"/>
      <c r="AJ153"/>
      <c r="AK153"/>
      <c r="AL153"/>
      <c r="AM153"/>
      <c r="AN153"/>
      <c r="AO153"/>
      <c r="AP153"/>
      <c r="AQ153"/>
      <c r="AR153"/>
      <c r="AS153"/>
      <c r="AT153" s="14"/>
      <c r="AU153"/>
      <c r="AV153"/>
      <c r="AW153"/>
      <c r="AX153" s="10"/>
      <c r="AY153" s="20"/>
      <c r="AZ153" s="16"/>
      <c r="BA153"/>
      <c r="BB153"/>
      <c r="BC153" s="16"/>
      <c r="BD153"/>
      <c r="BE153"/>
      <c r="BF153"/>
      <c r="BG153"/>
      <c r="BH153"/>
      <c r="BI153"/>
      <c r="BJ153"/>
      <c r="BK153"/>
      <c r="BL153"/>
      <c r="BM153"/>
      <c r="BN153" s="19"/>
      <c r="BO153"/>
      <c r="BP153"/>
      <c r="BQ153"/>
      <c r="BR153"/>
      <c r="BS153"/>
      <c r="BT153"/>
      <c r="BU153"/>
      <c r="BV153"/>
      <c r="BW153"/>
      <c r="BX153"/>
      <c r="BY153"/>
      <c r="BZ153"/>
      <c r="CA153"/>
      <c r="CB153"/>
      <c r="CC153"/>
      <c r="CD153"/>
      <c r="CE153"/>
      <c r="CF153"/>
      <c r="CG153"/>
      <c r="CH153"/>
      <c r="CI153"/>
      <c r="CJ153"/>
      <c r="CK153"/>
      <c r="CL153"/>
      <c r="CM153" s="20"/>
      <c r="CN153" s="20"/>
      <c r="CO153" s="20"/>
      <c r="CP153" s="20"/>
      <c r="CQ153" s="20"/>
      <c r="CR153" s="20"/>
      <c r="CS153" s="20"/>
      <c r="CT153" s="20"/>
      <c r="CU153" s="20"/>
      <c r="CV153" s="20"/>
      <c r="CW153" s="20"/>
      <c r="CX153" s="20"/>
      <c r="CY153" s="20"/>
    </row>
    <row r="154" spans="1:103" s="6" customFormat="1">
      <c r="A154"/>
      <c r="B154"/>
      <c r="C154"/>
      <c r="D154"/>
      <c r="E154"/>
      <c r="F154"/>
      <c r="G154"/>
      <c r="H154"/>
      <c r="I154"/>
      <c r="J154"/>
      <c r="N154" s="7"/>
      <c r="O154"/>
      <c r="P154" s="10"/>
      <c r="Q154" s="9"/>
      <c r="R154" s="10"/>
      <c r="S154" s="10"/>
      <c r="AA154" s="11"/>
      <c r="AD154"/>
      <c r="AE154"/>
      <c r="AF154"/>
      <c r="AG154"/>
      <c r="AH154" s="46"/>
      <c r="AI154"/>
      <c r="AJ154"/>
      <c r="AK154"/>
      <c r="AL154"/>
      <c r="AM154"/>
      <c r="AN154"/>
      <c r="AO154"/>
      <c r="AP154"/>
      <c r="AQ154"/>
      <c r="AR154"/>
      <c r="AS154"/>
      <c r="AT154" s="14"/>
      <c r="AU154"/>
      <c r="AV154"/>
      <c r="AW154"/>
      <c r="AX154" s="10"/>
      <c r="AY154" s="20"/>
      <c r="AZ154" s="16"/>
      <c r="BA154"/>
      <c r="BB154"/>
      <c r="BC154" s="16"/>
      <c r="BD154"/>
      <c r="BE154"/>
      <c r="BF154"/>
      <c r="BG154"/>
      <c r="BH154"/>
      <c r="BI154"/>
      <c r="BJ154"/>
      <c r="BK154"/>
      <c r="BL154"/>
      <c r="BM154"/>
      <c r="BN154" s="19"/>
      <c r="BO154"/>
      <c r="BP154"/>
      <c r="BQ154"/>
      <c r="BR154"/>
      <c r="BS154"/>
      <c r="BT154"/>
      <c r="BU154"/>
      <c r="BV154"/>
      <c r="BW154"/>
      <c r="BX154"/>
      <c r="BY154"/>
      <c r="BZ154"/>
      <c r="CA154"/>
      <c r="CB154"/>
      <c r="CC154"/>
      <c r="CD154"/>
      <c r="CE154"/>
      <c r="CF154"/>
      <c r="CG154"/>
      <c r="CH154"/>
      <c r="CI154"/>
      <c r="CJ154"/>
      <c r="CK154"/>
      <c r="CL154"/>
      <c r="CM154" s="20"/>
      <c r="CN154" s="20"/>
      <c r="CO154" s="20"/>
      <c r="CP154" s="20"/>
      <c r="CQ154" s="20"/>
      <c r="CR154" s="20"/>
      <c r="CS154" s="20"/>
      <c r="CT154" s="20"/>
      <c r="CU154" s="20"/>
      <c r="CV154" s="20"/>
      <c r="CW154" s="20"/>
      <c r="CX154" s="20"/>
      <c r="CY154" s="20"/>
    </row>
    <row r="155" spans="1:103" s="6" customFormat="1">
      <c r="A155"/>
      <c r="B155"/>
      <c r="C155"/>
      <c r="D155"/>
      <c r="E155"/>
      <c r="F155"/>
      <c r="G155"/>
      <c r="H155"/>
      <c r="I155"/>
      <c r="J155"/>
      <c r="N155" s="7"/>
      <c r="O155"/>
      <c r="P155" s="10"/>
      <c r="Q155" s="9"/>
      <c r="R155" s="10"/>
      <c r="S155" s="10"/>
      <c r="AA155" s="11"/>
      <c r="AD155"/>
      <c r="AE155"/>
      <c r="AF155"/>
      <c r="AG155"/>
      <c r="AH155" s="46"/>
      <c r="AI155"/>
      <c r="AJ155"/>
      <c r="AK155"/>
      <c r="AL155"/>
      <c r="AM155"/>
      <c r="AN155"/>
      <c r="AO155"/>
      <c r="AP155"/>
      <c r="AQ155"/>
      <c r="AR155"/>
      <c r="AS155"/>
      <c r="AT155" s="14"/>
      <c r="AU155"/>
      <c r="AV155"/>
      <c r="AW155"/>
      <c r="AX155" s="10"/>
      <c r="AY155" s="20"/>
      <c r="AZ155" s="16"/>
      <c r="BA155"/>
      <c r="BB155"/>
      <c r="BC155" s="16"/>
      <c r="BD155"/>
      <c r="BE155"/>
      <c r="BF155"/>
      <c r="BG155"/>
      <c r="BH155"/>
      <c r="BI155"/>
      <c r="BJ155"/>
      <c r="BK155"/>
      <c r="BL155"/>
      <c r="BM155"/>
      <c r="BN155" s="19"/>
      <c r="BO155"/>
      <c r="BP155"/>
      <c r="BQ155"/>
      <c r="BR155"/>
      <c r="BS155"/>
      <c r="BT155"/>
      <c r="BU155"/>
      <c r="BV155"/>
      <c r="BW155"/>
      <c r="BX155"/>
      <c r="BY155"/>
      <c r="BZ155"/>
      <c r="CA155"/>
      <c r="CB155"/>
      <c r="CC155"/>
      <c r="CD155"/>
      <c r="CE155"/>
      <c r="CF155"/>
      <c r="CG155"/>
      <c r="CH155"/>
      <c r="CI155"/>
      <c r="CJ155"/>
      <c r="CK155"/>
      <c r="CL155"/>
      <c r="CM155" s="20"/>
      <c r="CN155" s="20"/>
      <c r="CO155" s="20"/>
      <c r="CP155" s="20"/>
      <c r="CQ155" s="20"/>
      <c r="CR155" s="20"/>
      <c r="CS155" s="20"/>
      <c r="CT155" s="20"/>
      <c r="CU155" s="20"/>
      <c r="CV155" s="20"/>
      <c r="CW155" s="20"/>
      <c r="CX155" s="20"/>
      <c r="CY155" s="20"/>
    </row>
    <row r="156" spans="1:103" s="6" customFormat="1">
      <c r="A156"/>
      <c r="B156"/>
      <c r="C156"/>
      <c r="D156"/>
      <c r="E156"/>
      <c r="F156"/>
      <c r="G156"/>
      <c r="H156"/>
      <c r="I156"/>
      <c r="J156"/>
      <c r="N156" s="7"/>
      <c r="O156"/>
      <c r="P156" s="10"/>
      <c r="Q156" s="9"/>
      <c r="R156" s="10"/>
      <c r="S156" s="10"/>
      <c r="AA156" s="11"/>
      <c r="AD156"/>
      <c r="AE156"/>
      <c r="AF156"/>
      <c r="AG156"/>
      <c r="AH156" s="46"/>
      <c r="AI156"/>
      <c r="AJ156"/>
      <c r="AK156"/>
      <c r="AL156"/>
      <c r="AM156"/>
      <c r="AN156"/>
      <c r="AO156"/>
      <c r="AP156"/>
      <c r="AQ156"/>
      <c r="AR156"/>
      <c r="AS156"/>
      <c r="AT156" s="14"/>
      <c r="AU156"/>
      <c r="AV156"/>
      <c r="AW156"/>
      <c r="AX156" s="10"/>
      <c r="AY156" s="20"/>
      <c r="AZ156" s="16"/>
      <c r="BA156"/>
      <c r="BB156"/>
      <c r="BC156" s="16"/>
      <c r="BD156"/>
      <c r="BE156"/>
      <c r="BF156"/>
      <c r="BG156"/>
      <c r="BH156"/>
      <c r="BI156"/>
      <c r="BJ156"/>
      <c r="BK156"/>
      <c r="BL156"/>
      <c r="BM156"/>
      <c r="BN156" s="19"/>
      <c r="BO156"/>
      <c r="BP156"/>
      <c r="BQ156"/>
      <c r="BR156"/>
      <c r="BS156"/>
      <c r="BT156"/>
      <c r="BU156"/>
      <c r="BV156"/>
      <c r="BW156"/>
      <c r="BX156"/>
      <c r="BY156"/>
      <c r="BZ156"/>
      <c r="CA156"/>
      <c r="CB156"/>
      <c r="CC156"/>
      <c r="CD156"/>
      <c r="CE156"/>
      <c r="CF156"/>
      <c r="CG156"/>
      <c r="CH156"/>
      <c r="CI156"/>
      <c r="CJ156"/>
      <c r="CK156"/>
      <c r="CL156"/>
      <c r="CM156" s="20"/>
      <c r="CN156" s="20"/>
      <c r="CO156" s="20"/>
      <c r="CP156" s="20"/>
      <c r="CQ156" s="20"/>
      <c r="CR156" s="20"/>
      <c r="CS156" s="20"/>
      <c r="CT156" s="20"/>
      <c r="CU156" s="20"/>
      <c r="CV156" s="20"/>
      <c r="CW156" s="20"/>
      <c r="CX156" s="20"/>
      <c r="CY156" s="20"/>
    </row>
    <row r="157" spans="1:103" s="6" customFormat="1">
      <c r="A157"/>
      <c r="B157"/>
      <c r="C157"/>
      <c r="D157"/>
      <c r="E157"/>
      <c r="F157"/>
      <c r="G157"/>
      <c r="H157"/>
      <c r="I157"/>
      <c r="J157"/>
      <c r="N157" s="7"/>
      <c r="O157"/>
      <c r="P157" s="10"/>
      <c r="Q157" s="9"/>
      <c r="R157" s="10"/>
      <c r="S157" s="10"/>
      <c r="AA157" s="11"/>
      <c r="AD157"/>
      <c r="AE157"/>
      <c r="AF157"/>
      <c r="AG157"/>
      <c r="AH157" s="46"/>
      <c r="AI157"/>
      <c r="AJ157"/>
      <c r="AK157"/>
      <c r="AL157"/>
      <c r="AM157"/>
      <c r="AN157"/>
      <c r="AO157"/>
      <c r="AP157"/>
      <c r="AQ157"/>
      <c r="AR157"/>
      <c r="AS157"/>
      <c r="AT157" s="14"/>
      <c r="AU157"/>
      <c r="AV157"/>
      <c r="AW157"/>
      <c r="AX157" s="10"/>
      <c r="AY157" s="20"/>
      <c r="AZ157" s="16"/>
      <c r="BA157"/>
      <c r="BB157"/>
      <c r="BC157" s="16"/>
      <c r="BD157"/>
      <c r="BE157"/>
      <c r="BF157"/>
      <c r="BG157"/>
      <c r="BH157"/>
      <c r="BI157"/>
      <c r="BJ157"/>
      <c r="BK157"/>
      <c r="BL157"/>
      <c r="BM157"/>
      <c r="BN157" s="19"/>
      <c r="BO157"/>
      <c r="BP157"/>
      <c r="BQ157"/>
      <c r="BR157"/>
      <c r="BS157"/>
      <c r="BT157"/>
      <c r="BU157"/>
      <c r="BV157"/>
      <c r="BW157"/>
      <c r="BX157"/>
      <c r="BY157"/>
      <c r="BZ157"/>
      <c r="CA157"/>
      <c r="CB157"/>
      <c r="CC157"/>
      <c r="CD157"/>
      <c r="CE157"/>
      <c r="CF157"/>
      <c r="CG157"/>
      <c r="CH157"/>
      <c r="CI157"/>
      <c r="CJ157"/>
      <c r="CK157"/>
      <c r="CL157"/>
      <c r="CM157" s="20"/>
      <c r="CN157" s="20"/>
      <c r="CO157" s="20"/>
      <c r="CP157" s="20"/>
      <c r="CQ157" s="20"/>
      <c r="CR157" s="20"/>
      <c r="CS157" s="20"/>
      <c r="CT157" s="20"/>
      <c r="CU157" s="20"/>
      <c r="CV157" s="20"/>
      <c r="CW157" s="20"/>
      <c r="CX157" s="20"/>
      <c r="CY157" s="20"/>
    </row>
    <row r="158" spans="1:103" s="6" customFormat="1">
      <c r="A158"/>
      <c r="B158"/>
      <c r="C158"/>
      <c r="D158"/>
      <c r="E158"/>
      <c r="F158"/>
      <c r="G158"/>
      <c r="H158"/>
      <c r="I158"/>
      <c r="J158"/>
      <c r="N158" s="7"/>
      <c r="O158"/>
      <c r="P158" s="10"/>
      <c r="Q158" s="9"/>
      <c r="R158" s="10"/>
      <c r="S158" s="10"/>
      <c r="AA158" s="11"/>
      <c r="AD158"/>
      <c r="AE158"/>
      <c r="AF158"/>
      <c r="AG158"/>
      <c r="AH158" s="46"/>
      <c r="AI158"/>
      <c r="AJ158"/>
      <c r="AK158"/>
      <c r="AL158"/>
      <c r="AM158"/>
      <c r="AN158"/>
      <c r="AO158"/>
      <c r="AP158"/>
      <c r="AQ158"/>
      <c r="AR158"/>
      <c r="AS158"/>
      <c r="AT158" s="14"/>
      <c r="AU158"/>
      <c r="AV158"/>
      <c r="AW158"/>
      <c r="AX158" s="10"/>
      <c r="AY158" s="20"/>
      <c r="AZ158" s="16"/>
      <c r="BA158"/>
      <c r="BB158"/>
      <c r="BC158" s="16"/>
      <c r="BD158"/>
      <c r="BE158"/>
      <c r="BF158"/>
      <c r="BG158"/>
      <c r="BH158"/>
      <c r="BI158"/>
      <c r="BJ158"/>
      <c r="BK158"/>
      <c r="BL158"/>
      <c r="BM158"/>
      <c r="BN158" s="19"/>
      <c r="BO158"/>
      <c r="BP158"/>
      <c r="BQ158"/>
      <c r="BR158"/>
      <c r="BS158"/>
      <c r="BT158"/>
      <c r="BU158"/>
      <c r="BV158"/>
      <c r="BW158"/>
      <c r="BX158"/>
      <c r="BY158"/>
      <c r="BZ158"/>
      <c r="CA158"/>
      <c r="CB158"/>
      <c r="CC158"/>
      <c r="CD158"/>
      <c r="CE158"/>
      <c r="CF158"/>
      <c r="CG158"/>
      <c r="CH158"/>
      <c r="CI158"/>
      <c r="CJ158"/>
      <c r="CK158"/>
      <c r="CL158"/>
      <c r="CM158" s="20"/>
      <c r="CN158" s="20"/>
      <c r="CO158" s="20"/>
      <c r="CP158" s="20"/>
      <c r="CQ158" s="20"/>
      <c r="CR158" s="20"/>
      <c r="CS158" s="20"/>
      <c r="CT158" s="20"/>
      <c r="CU158" s="20"/>
      <c r="CV158" s="20"/>
      <c r="CW158" s="20"/>
      <c r="CX158" s="20"/>
      <c r="CY158" s="20"/>
    </row>
    <row r="159" spans="1:103" s="6" customFormat="1">
      <c r="A159"/>
      <c r="B159"/>
      <c r="C159"/>
      <c r="D159"/>
      <c r="E159"/>
      <c r="F159"/>
      <c r="G159"/>
      <c r="H159"/>
      <c r="I159"/>
      <c r="J159"/>
      <c r="N159" s="7"/>
      <c r="O159"/>
      <c r="P159" s="10"/>
      <c r="Q159" s="9"/>
      <c r="R159" s="10"/>
      <c r="S159" s="10"/>
      <c r="AA159" s="11"/>
      <c r="AD159"/>
      <c r="AE159"/>
      <c r="AF159"/>
      <c r="AG159"/>
      <c r="AH159" s="46"/>
      <c r="AI159"/>
      <c r="AJ159"/>
      <c r="AK159"/>
      <c r="AL159"/>
      <c r="AM159"/>
      <c r="AN159"/>
      <c r="AO159"/>
      <c r="AP159"/>
      <c r="AQ159"/>
      <c r="AR159"/>
      <c r="AS159"/>
      <c r="AT159" s="14"/>
      <c r="AU159"/>
      <c r="AV159"/>
      <c r="AW159"/>
      <c r="AX159" s="10"/>
      <c r="AY159" s="20"/>
      <c r="AZ159" s="16"/>
      <c r="BA159"/>
      <c r="BB159"/>
      <c r="BC159" s="16"/>
      <c r="BD159"/>
      <c r="BE159"/>
      <c r="BF159"/>
      <c r="BG159"/>
      <c r="BH159"/>
      <c r="BI159"/>
      <c r="BJ159"/>
      <c r="BK159"/>
      <c r="BL159"/>
      <c r="BM159"/>
      <c r="BN159" s="19"/>
      <c r="BO159"/>
      <c r="BP159"/>
      <c r="BQ159"/>
      <c r="BR159"/>
      <c r="BS159"/>
      <c r="BT159"/>
      <c r="BU159"/>
      <c r="BV159"/>
      <c r="BW159"/>
      <c r="BX159"/>
      <c r="BY159"/>
      <c r="BZ159"/>
      <c r="CA159"/>
      <c r="CB159"/>
      <c r="CC159"/>
      <c r="CD159"/>
      <c r="CE159"/>
      <c r="CF159"/>
      <c r="CG159"/>
      <c r="CH159"/>
      <c r="CI159"/>
      <c r="CJ159"/>
      <c r="CK159"/>
      <c r="CL159"/>
      <c r="CM159" s="20"/>
      <c r="CN159" s="20"/>
      <c r="CO159" s="20"/>
      <c r="CP159" s="20"/>
      <c r="CQ159" s="20"/>
      <c r="CR159" s="20"/>
      <c r="CS159" s="20"/>
      <c r="CT159" s="20"/>
      <c r="CU159" s="20"/>
      <c r="CV159" s="20"/>
      <c r="CW159" s="20"/>
      <c r="CX159" s="20"/>
      <c r="CY159" s="20"/>
    </row>
    <row r="160" spans="1:103" s="6" customFormat="1">
      <c r="A160"/>
      <c r="B160"/>
      <c r="C160"/>
      <c r="D160"/>
      <c r="E160"/>
      <c r="F160"/>
      <c r="G160"/>
      <c r="H160"/>
      <c r="I160"/>
      <c r="J160"/>
      <c r="N160" s="7"/>
      <c r="O160"/>
      <c r="P160" s="10"/>
      <c r="Q160" s="9"/>
      <c r="R160" s="10"/>
      <c r="S160" s="10"/>
      <c r="AA160" s="11"/>
      <c r="AD160"/>
      <c r="AE160"/>
      <c r="AF160"/>
      <c r="AG160"/>
      <c r="AH160" s="46"/>
      <c r="AI160"/>
      <c r="AJ160"/>
      <c r="AK160"/>
      <c r="AL160"/>
      <c r="AM160"/>
      <c r="AN160"/>
      <c r="AO160"/>
      <c r="AP160"/>
      <c r="AQ160"/>
      <c r="AR160"/>
      <c r="AS160"/>
      <c r="AT160" s="14"/>
      <c r="AU160"/>
      <c r="AV160"/>
      <c r="AW160"/>
      <c r="AX160" s="10"/>
      <c r="AY160" s="20"/>
      <c r="AZ160" s="16"/>
      <c r="BA160"/>
      <c r="BB160"/>
      <c r="BC160" s="16"/>
      <c r="BD160"/>
      <c r="BE160"/>
      <c r="BF160"/>
      <c r="BG160"/>
      <c r="BH160"/>
      <c r="BI160"/>
      <c r="BJ160"/>
      <c r="BK160"/>
      <c r="BL160"/>
      <c r="BM160"/>
      <c r="BN160" s="19"/>
      <c r="BO160"/>
      <c r="BP160"/>
      <c r="BQ160"/>
      <c r="BR160"/>
      <c r="BS160"/>
      <c r="BT160"/>
      <c r="BU160"/>
      <c r="BV160"/>
      <c r="BW160"/>
      <c r="BX160"/>
      <c r="BY160"/>
      <c r="BZ160"/>
      <c r="CA160"/>
      <c r="CB160"/>
      <c r="CC160"/>
      <c r="CD160"/>
      <c r="CE160"/>
      <c r="CF160"/>
      <c r="CG160"/>
      <c r="CH160"/>
      <c r="CI160"/>
      <c r="CJ160"/>
      <c r="CK160"/>
      <c r="CL160"/>
      <c r="CM160" s="20"/>
      <c r="CN160" s="20"/>
      <c r="CO160" s="20"/>
      <c r="CP160" s="20"/>
      <c r="CQ160" s="20"/>
      <c r="CR160" s="20"/>
      <c r="CS160" s="20"/>
      <c r="CT160" s="20"/>
      <c r="CU160" s="20"/>
      <c r="CV160" s="20"/>
      <c r="CW160" s="20"/>
      <c r="CX160" s="20"/>
      <c r="CY160" s="20"/>
    </row>
    <row r="161" spans="1:103" s="6" customFormat="1">
      <c r="A161"/>
      <c r="B161"/>
      <c r="C161"/>
      <c r="D161"/>
      <c r="E161"/>
      <c r="F161"/>
      <c r="G161"/>
      <c r="H161"/>
      <c r="I161"/>
      <c r="J161"/>
      <c r="N161" s="7"/>
      <c r="O161"/>
      <c r="P161" s="10"/>
      <c r="Q161" s="9"/>
      <c r="R161" s="10"/>
      <c r="S161" s="10"/>
      <c r="AA161" s="11"/>
      <c r="AD161"/>
      <c r="AE161"/>
      <c r="AF161"/>
      <c r="AG161"/>
      <c r="AH161" s="46"/>
      <c r="AI161"/>
      <c r="AJ161"/>
      <c r="AK161"/>
      <c r="AL161"/>
      <c r="AM161"/>
      <c r="AN161"/>
      <c r="AO161"/>
      <c r="AP161"/>
      <c r="AQ161"/>
      <c r="AR161"/>
      <c r="AS161"/>
      <c r="AT161" s="14"/>
      <c r="AU161"/>
      <c r="AV161"/>
      <c r="AW161"/>
      <c r="AX161" s="10"/>
      <c r="AY161" s="20"/>
      <c r="AZ161" s="16"/>
      <c r="BA161"/>
      <c r="BB161"/>
      <c r="BC161" s="16"/>
      <c r="BD161"/>
      <c r="BE161"/>
      <c r="BF161"/>
      <c r="BG161"/>
      <c r="BH161"/>
      <c r="BI161"/>
      <c r="BJ161"/>
      <c r="BK161"/>
      <c r="BL161"/>
      <c r="BM161"/>
      <c r="BN161" s="19"/>
      <c r="BO161"/>
      <c r="BP161"/>
      <c r="BQ161"/>
      <c r="BR161"/>
      <c r="BS161"/>
      <c r="BT161"/>
      <c r="BU161"/>
      <c r="BV161"/>
      <c r="BW161"/>
      <c r="BX161"/>
      <c r="BY161"/>
      <c r="BZ161"/>
      <c r="CA161"/>
      <c r="CB161"/>
      <c r="CC161"/>
      <c r="CD161"/>
      <c r="CE161"/>
      <c r="CF161"/>
      <c r="CG161"/>
      <c r="CH161"/>
      <c r="CI161"/>
      <c r="CJ161"/>
      <c r="CK161"/>
      <c r="CL161"/>
      <c r="CM161" s="20"/>
      <c r="CN161" s="20"/>
      <c r="CO161" s="20"/>
      <c r="CP161" s="20"/>
      <c r="CQ161" s="20"/>
      <c r="CR161" s="20"/>
      <c r="CS161" s="20"/>
      <c r="CT161" s="20"/>
      <c r="CU161" s="20"/>
      <c r="CV161" s="20"/>
      <c r="CW161" s="20"/>
      <c r="CX161" s="20"/>
      <c r="CY161" s="20"/>
    </row>
    <row r="162" spans="1:103" s="6" customFormat="1">
      <c r="A162"/>
      <c r="B162"/>
      <c r="C162"/>
      <c r="D162"/>
      <c r="E162"/>
      <c r="F162"/>
      <c r="G162"/>
      <c r="H162"/>
      <c r="I162"/>
      <c r="J162"/>
      <c r="N162" s="7"/>
      <c r="O162"/>
      <c r="P162" s="10"/>
      <c r="Q162" s="9"/>
      <c r="R162" s="10"/>
      <c r="S162" s="10"/>
      <c r="AA162" s="11"/>
      <c r="AD162"/>
      <c r="AE162"/>
      <c r="AF162"/>
      <c r="AG162"/>
      <c r="AH162" s="46"/>
      <c r="AI162"/>
      <c r="AJ162"/>
      <c r="AK162"/>
      <c r="AL162"/>
      <c r="AM162"/>
      <c r="AN162"/>
      <c r="AO162"/>
      <c r="AP162"/>
      <c r="AQ162"/>
      <c r="AR162"/>
      <c r="AS162"/>
      <c r="AT162" s="14"/>
      <c r="AU162"/>
      <c r="AV162"/>
      <c r="AW162"/>
      <c r="AX162" s="10"/>
      <c r="AY162" s="20"/>
      <c r="AZ162" s="16"/>
      <c r="BA162"/>
      <c r="BB162"/>
      <c r="BC162" s="16"/>
      <c r="BD162"/>
      <c r="BE162"/>
      <c r="BF162"/>
      <c r="BG162"/>
      <c r="BH162"/>
      <c r="BI162"/>
      <c r="BJ162"/>
      <c r="BK162"/>
      <c r="BL162"/>
      <c r="BM162"/>
      <c r="BN162" s="19"/>
      <c r="BO162"/>
      <c r="BP162"/>
      <c r="BQ162"/>
      <c r="BR162"/>
      <c r="BS162"/>
      <c r="BT162"/>
      <c r="BU162"/>
      <c r="BV162"/>
      <c r="BW162"/>
      <c r="BX162"/>
      <c r="BY162"/>
      <c r="BZ162"/>
      <c r="CA162"/>
      <c r="CB162"/>
      <c r="CC162"/>
      <c r="CD162"/>
      <c r="CE162"/>
      <c r="CF162"/>
      <c r="CG162"/>
      <c r="CH162"/>
      <c r="CI162"/>
      <c r="CJ162"/>
      <c r="CK162"/>
      <c r="CL162"/>
      <c r="CM162" s="20"/>
      <c r="CN162" s="20"/>
      <c r="CO162" s="20"/>
      <c r="CP162" s="20"/>
      <c r="CQ162" s="20"/>
      <c r="CR162" s="20"/>
      <c r="CS162" s="20"/>
      <c r="CT162" s="20"/>
      <c r="CU162" s="20"/>
      <c r="CV162" s="20"/>
      <c r="CW162" s="20"/>
      <c r="CX162" s="20"/>
      <c r="CY162" s="20"/>
    </row>
    <row r="163" spans="1:103" s="6" customFormat="1">
      <c r="A163"/>
      <c r="B163"/>
      <c r="C163"/>
      <c r="D163"/>
      <c r="E163"/>
      <c r="F163"/>
      <c r="G163"/>
      <c r="H163"/>
      <c r="I163"/>
      <c r="J163"/>
      <c r="N163" s="7"/>
      <c r="O163"/>
      <c r="P163" s="10"/>
      <c r="Q163" s="9"/>
      <c r="R163" s="10"/>
      <c r="S163" s="10"/>
      <c r="AA163" s="11"/>
      <c r="AD163"/>
      <c r="AE163"/>
      <c r="AF163"/>
      <c r="AG163"/>
      <c r="AH163" s="46"/>
      <c r="AI163"/>
      <c r="AJ163"/>
      <c r="AK163"/>
      <c r="AL163"/>
      <c r="AM163"/>
      <c r="AN163"/>
      <c r="AO163"/>
      <c r="AP163"/>
      <c r="AQ163"/>
      <c r="AR163"/>
      <c r="AS163"/>
      <c r="AT163" s="14"/>
      <c r="AU163"/>
      <c r="AV163"/>
      <c r="AW163"/>
      <c r="AX163" s="10"/>
      <c r="AY163" s="20"/>
      <c r="AZ163" s="16"/>
      <c r="BA163"/>
      <c r="BB163"/>
      <c r="BC163" s="16"/>
      <c r="BD163"/>
      <c r="BE163"/>
      <c r="BF163"/>
      <c r="BG163"/>
      <c r="BH163"/>
      <c r="BI163"/>
      <c r="BJ163"/>
      <c r="BK163"/>
      <c r="BL163"/>
      <c r="BM163"/>
      <c r="BN163" s="19"/>
      <c r="BO163"/>
      <c r="BP163"/>
      <c r="BQ163"/>
      <c r="BR163"/>
      <c r="BS163"/>
      <c r="BT163"/>
      <c r="BU163"/>
      <c r="BV163"/>
      <c r="BW163"/>
      <c r="BX163"/>
      <c r="BY163"/>
      <c r="BZ163"/>
      <c r="CA163"/>
      <c r="CB163"/>
      <c r="CC163"/>
      <c r="CD163"/>
      <c r="CE163"/>
      <c r="CF163"/>
      <c r="CG163"/>
      <c r="CH163"/>
      <c r="CI163"/>
      <c r="CJ163"/>
      <c r="CK163"/>
      <c r="CL163"/>
      <c r="CM163" s="20"/>
      <c r="CN163" s="20"/>
      <c r="CO163" s="20"/>
      <c r="CP163" s="20"/>
      <c r="CQ163" s="20"/>
      <c r="CR163" s="20"/>
      <c r="CS163" s="20"/>
      <c r="CT163" s="20"/>
      <c r="CU163" s="20"/>
      <c r="CV163" s="20"/>
      <c r="CW163" s="20"/>
      <c r="CX163" s="20"/>
      <c r="CY163" s="20"/>
    </row>
    <row r="164" spans="1:103" s="6" customFormat="1">
      <c r="A164"/>
      <c r="B164"/>
      <c r="C164"/>
      <c r="D164"/>
      <c r="E164"/>
      <c r="F164"/>
      <c r="G164"/>
      <c r="H164"/>
      <c r="I164"/>
      <c r="J164"/>
      <c r="N164" s="7"/>
      <c r="O164"/>
      <c r="P164" s="10"/>
      <c r="Q164" s="9"/>
      <c r="R164" s="10"/>
      <c r="S164" s="10"/>
      <c r="AA164" s="11"/>
      <c r="AD164"/>
      <c r="AE164"/>
      <c r="AF164"/>
      <c r="AG164"/>
      <c r="AH164" s="46"/>
      <c r="AI164"/>
      <c r="AJ164"/>
      <c r="AK164"/>
      <c r="AL164"/>
      <c r="AM164"/>
      <c r="AN164"/>
      <c r="AO164"/>
      <c r="AP164"/>
      <c r="AQ164"/>
      <c r="AR164"/>
      <c r="AS164"/>
      <c r="AT164" s="14"/>
      <c r="AU164"/>
      <c r="AV164"/>
      <c r="AW164"/>
      <c r="AX164" s="10"/>
      <c r="AY164" s="20"/>
      <c r="AZ164" s="16"/>
      <c r="BA164"/>
      <c r="BB164"/>
      <c r="BC164" s="16"/>
      <c r="BD164"/>
      <c r="BE164"/>
      <c r="BF164"/>
      <c r="BG164"/>
      <c r="BH164"/>
      <c r="BI164"/>
      <c r="BJ164"/>
      <c r="BK164"/>
      <c r="BL164"/>
      <c r="BM164"/>
      <c r="BN164" s="19"/>
      <c r="BO164"/>
      <c r="BP164"/>
      <c r="BQ164"/>
      <c r="BR164"/>
      <c r="BS164"/>
      <c r="BT164"/>
      <c r="BU164"/>
      <c r="BV164"/>
      <c r="BW164"/>
      <c r="BX164"/>
      <c r="BY164"/>
      <c r="BZ164"/>
      <c r="CA164"/>
      <c r="CB164"/>
      <c r="CC164"/>
      <c r="CD164"/>
      <c r="CE164"/>
      <c r="CF164"/>
      <c r="CG164"/>
      <c r="CH164"/>
      <c r="CI164"/>
      <c r="CJ164"/>
      <c r="CK164"/>
      <c r="CL164"/>
      <c r="CM164" s="20"/>
      <c r="CN164" s="20"/>
      <c r="CO164" s="20"/>
      <c r="CP164" s="20"/>
      <c r="CQ164" s="20"/>
      <c r="CR164" s="20"/>
      <c r="CS164" s="20"/>
      <c r="CT164" s="20"/>
      <c r="CU164" s="20"/>
      <c r="CV164" s="20"/>
      <c r="CW164" s="20"/>
      <c r="CX164" s="20"/>
      <c r="CY164" s="20"/>
    </row>
    <row r="165" spans="1:103" s="6" customFormat="1">
      <c r="A165"/>
      <c r="B165"/>
      <c r="C165"/>
      <c r="D165"/>
      <c r="E165"/>
      <c r="F165"/>
      <c r="G165"/>
      <c r="H165"/>
      <c r="I165"/>
      <c r="J165"/>
      <c r="N165" s="7"/>
      <c r="O165"/>
      <c r="P165" s="10"/>
      <c r="Q165" s="9"/>
      <c r="R165" s="10"/>
      <c r="S165" s="10"/>
      <c r="AA165" s="11"/>
      <c r="AD165"/>
      <c r="AE165"/>
      <c r="AF165"/>
      <c r="AG165"/>
      <c r="AH165" s="46"/>
      <c r="AI165"/>
      <c r="AJ165"/>
      <c r="AK165"/>
      <c r="AL165"/>
      <c r="AM165"/>
      <c r="AN165"/>
      <c r="AO165"/>
      <c r="AP165"/>
      <c r="AQ165"/>
      <c r="AR165"/>
      <c r="AS165"/>
      <c r="AT165" s="14"/>
      <c r="AU165"/>
      <c r="AV165"/>
      <c r="AW165"/>
      <c r="AX165" s="10"/>
      <c r="AY165" s="20"/>
      <c r="AZ165" s="16"/>
      <c r="BA165"/>
      <c r="BB165"/>
      <c r="BC165" s="16"/>
      <c r="BD165"/>
      <c r="BE165"/>
      <c r="BF165"/>
      <c r="BG165"/>
      <c r="BH165"/>
      <c r="BI165"/>
      <c r="BJ165"/>
      <c r="BK165"/>
      <c r="BL165"/>
      <c r="BM165"/>
      <c r="BN165" s="19"/>
      <c r="BO165"/>
      <c r="BP165"/>
      <c r="BQ165"/>
      <c r="BR165"/>
      <c r="BS165"/>
      <c r="BT165"/>
      <c r="BU165"/>
      <c r="BV165"/>
      <c r="BW165"/>
      <c r="BX165"/>
      <c r="BY165"/>
      <c r="BZ165"/>
      <c r="CA165"/>
      <c r="CB165"/>
      <c r="CC165"/>
      <c r="CD165"/>
      <c r="CE165"/>
      <c r="CF165"/>
      <c r="CG165"/>
      <c r="CH165"/>
      <c r="CI165"/>
      <c r="CJ165"/>
      <c r="CK165"/>
      <c r="CL165"/>
      <c r="CM165" s="20"/>
      <c r="CN165" s="20"/>
      <c r="CO165" s="20"/>
      <c r="CP165" s="20"/>
      <c r="CQ165" s="20"/>
      <c r="CR165" s="20"/>
      <c r="CS165" s="20"/>
      <c r="CT165" s="20"/>
      <c r="CU165" s="20"/>
      <c r="CV165" s="20"/>
      <c r="CW165" s="20"/>
      <c r="CX165" s="20"/>
      <c r="CY165" s="20"/>
    </row>
    <row r="166" spans="1:103" s="6" customFormat="1">
      <c r="A166"/>
      <c r="B166"/>
      <c r="C166"/>
      <c r="D166"/>
      <c r="E166"/>
      <c r="F166"/>
      <c r="G166"/>
      <c r="H166"/>
      <c r="I166"/>
      <c r="J166"/>
      <c r="N166" s="7"/>
      <c r="O166"/>
      <c r="P166" s="10"/>
      <c r="Q166" s="9"/>
      <c r="R166" s="10"/>
      <c r="S166" s="10"/>
      <c r="AA166" s="11"/>
      <c r="AD166"/>
      <c r="AE166"/>
      <c r="AF166"/>
      <c r="AG166"/>
      <c r="AH166" s="46"/>
      <c r="AI166"/>
      <c r="AJ166"/>
      <c r="AK166"/>
      <c r="AL166"/>
      <c r="AM166"/>
      <c r="AN166"/>
      <c r="AO166"/>
      <c r="AP166"/>
      <c r="AQ166"/>
      <c r="AR166"/>
      <c r="AS166"/>
      <c r="AT166" s="14"/>
      <c r="AU166"/>
      <c r="AV166"/>
      <c r="AW166"/>
      <c r="AX166" s="10"/>
      <c r="AY166" s="20"/>
      <c r="AZ166" s="16"/>
      <c r="BA166"/>
      <c r="BB166"/>
      <c r="BC166" s="16"/>
      <c r="BD166"/>
      <c r="BE166"/>
      <c r="BF166"/>
      <c r="BG166"/>
      <c r="BH166"/>
      <c r="BI166"/>
      <c r="BJ166"/>
      <c r="BK166"/>
      <c r="BL166"/>
      <c r="BM166"/>
      <c r="BN166" s="19"/>
      <c r="BO166"/>
      <c r="BP166"/>
      <c r="BQ166"/>
      <c r="BR166"/>
      <c r="BS166"/>
      <c r="BT166"/>
      <c r="BU166"/>
      <c r="BV166"/>
      <c r="BW166"/>
      <c r="BX166"/>
      <c r="BY166"/>
      <c r="BZ166"/>
      <c r="CA166"/>
      <c r="CB166"/>
      <c r="CC166"/>
      <c r="CD166"/>
      <c r="CE166"/>
      <c r="CF166"/>
      <c r="CG166"/>
      <c r="CH166"/>
      <c r="CI166"/>
      <c r="CJ166"/>
      <c r="CK166"/>
      <c r="CL166"/>
      <c r="CM166" s="20"/>
      <c r="CN166" s="20"/>
      <c r="CO166" s="20"/>
      <c r="CP166" s="20"/>
      <c r="CQ166" s="20"/>
      <c r="CR166" s="20"/>
      <c r="CS166" s="20"/>
      <c r="CT166" s="20"/>
      <c r="CU166" s="20"/>
      <c r="CV166" s="20"/>
      <c r="CW166" s="20"/>
      <c r="CX166" s="20"/>
      <c r="CY166" s="20"/>
    </row>
    <row r="167" spans="1:103" s="6" customFormat="1">
      <c r="A167"/>
      <c r="B167"/>
      <c r="C167"/>
      <c r="D167"/>
      <c r="E167"/>
      <c r="F167"/>
      <c r="G167"/>
      <c r="H167"/>
      <c r="I167"/>
      <c r="J167"/>
      <c r="N167" s="7"/>
      <c r="O167"/>
      <c r="P167" s="10"/>
      <c r="Q167" s="9"/>
      <c r="R167" s="10"/>
      <c r="S167" s="10"/>
      <c r="AA167" s="11"/>
      <c r="AD167"/>
      <c r="AE167"/>
      <c r="AF167"/>
      <c r="AG167"/>
      <c r="AH167" s="46"/>
      <c r="AI167"/>
      <c r="AJ167"/>
      <c r="AK167"/>
      <c r="AL167"/>
      <c r="AM167"/>
      <c r="AN167"/>
      <c r="AO167"/>
      <c r="AP167"/>
      <c r="AQ167"/>
      <c r="AR167"/>
      <c r="AS167"/>
      <c r="AT167" s="14"/>
      <c r="AU167"/>
      <c r="AV167"/>
      <c r="AW167"/>
      <c r="AX167" s="10"/>
      <c r="AY167" s="20"/>
      <c r="AZ167" s="16"/>
      <c r="BA167"/>
      <c r="BB167"/>
      <c r="BC167" s="16"/>
      <c r="BD167"/>
      <c r="BE167"/>
      <c r="BF167"/>
      <c r="BG167"/>
      <c r="BH167"/>
      <c r="BI167"/>
      <c r="BJ167"/>
      <c r="BK167"/>
      <c r="BL167"/>
      <c r="BM167"/>
      <c r="BN167" s="19"/>
      <c r="BO167"/>
      <c r="BP167"/>
      <c r="BQ167"/>
      <c r="BR167"/>
      <c r="BS167"/>
      <c r="BT167"/>
      <c r="BU167"/>
      <c r="BV167"/>
      <c r="BW167"/>
      <c r="BX167"/>
      <c r="BY167"/>
      <c r="BZ167"/>
      <c r="CA167"/>
      <c r="CB167"/>
      <c r="CC167"/>
      <c r="CD167"/>
      <c r="CE167"/>
      <c r="CF167"/>
      <c r="CG167"/>
      <c r="CH167"/>
      <c r="CI167"/>
      <c r="CJ167"/>
      <c r="CK167"/>
      <c r="CL167"/>
      <c r="CM167" s="20"/>
      <c r="CN167" s="20"/>
      <c r="CO167" s="20"/>
      <c r="CP167" s="20"/>
      <c r="CQ167" s="20"/>
      <c r="CR167" s="20"/>
      <c r="CS167" s="20"/>
      <c r="CT167" s="20"/>
      <c r="CU167" s="20"/>
      <c r="CV167" s="20"/>
      <c r="CW167" s="20"/>
      <c r="CX167" s="20"/>
      <c r="CY167" s="20"/>
    </row>
    <row r="168" spans="1:103" s="6" customFormat="1">
      <c r="A168"/>
      <c r="B168"/>
      <c r="C168"/>
      <c r="D168"/>
      <c r="E168"/>
      <c r="F168"/>
      <c r="G168"/>
      <c r="H168"/>
      <c r="I168"/>
      <c r="J168"/>
      <c r="N168" s="7"/>
      <c r="O168"/>
      <c r="P168" s="10"/>
      <c r="Q168" s="9"/>
      <c r="R168" s="10"/>
      <c r="S168" s="10"/>
      <c r="AA168" s="11"/>
      <c r="AD168"/>
      <c r="AE168"/>
      <c r="AF168"/>
      <c r="AG168"/>
      <c r="AH168" s="46"/>
      <c r="AI168"/>
      <c r="AJ168"/>
      <c r="AK168"/>
      <c r="AL168"/>
      <c r="AM168"/>
      <c r="AN168"/>
      <c r="AO168"/>
      <c r="AP168"/>
      <c r="AQ168"/>
      <c r="AR168"/>
      <c r="AS168"/>
      <c r="AT168" s="14"/>
      <c r="AU168"/>
      <c r="AV168"/>
      <c r="AW168"/>
      <c r="AX168" s="10"/>
      <c r="AY168" s="20"/>
      <c r="AZ168" s="16"/>
      <c r="BA168"/>
      <c r="BB168"/>
      <c r="BC168" s="16"/>
      <c r="BD168"/>
      <c r="BE168"/>
      <c r="BF168"/>
      <c r="BG168"/>
      <c r="BH168"/>
      <c r="BI168"/>
      <c r="BJ168"/>
      <c r="BK168"/>
      <c r="BL168"/>
      <c r="BM168"/>
      <c r="BN168" s="19"/>
      <c r="BO168"/>
      <c r="BP168"/>
      <c r="BQ168"/>
      <c r="BR168"/>
      <c r="BS168"/>
      <c r="BT168"/>
      <c r="BU168"/>
      <c r="BV168"/>
      <c r="BW168"/>
      <c r="BX168"/>
      <c r="BY168"/>
      <c r="BZ168"/>
      <c r="CA168"/>
      <c r="CB168"/>
      <c r="CC168"/>
      <c r="CD168"/>
      <c r="CE168"/>
      <c r="CF168"/>
      <c r="CG168"/>
      <c r="CH168"/>
      <c r="CI168"/>
      <c r="CJ168"/>
      <c r="CK168"/>
      <c r="CL168"/>
      <c r="CM168" s="20"/>
      <c r="CN168" s="20"/>
      <c r="CO168" s="20"/>
      <c r="CP168" s="20"/>
      <c r="CQ168" s="20"/>
      <c r="CR168" s="20"/>
      <c r="CS168" s="20"/>
      <c r="CT168" s="20"/>
      <c r="CU168" s="20"/>
      <c r="CV168" s="20"/>
      <c r="CW168" s="20"/>
      <c r="CX168" s="20"/>
      <c r="CY168" s="20"/>
    </row>
    <row r="169" spans="1:103" s="6" customFormat="1">
      <c r="A169"/>
      <c r="B169"/>
      <c r="C169"/>
      <c r="D169"/>
      <c r="E169"/>
      <c r="F169"/>
      <c r="G169"/>
      <c r="H169"/>
      <c r="I169"/>
      <c r="J169"/>
      <c r="N169" s="7"/>
      <c r="O169"/>
      <c r="P169" s="10"/>
      <c r="Q169" s="9"/>
      <c r="R169" s="10"/>
      <c r="S169" s="10"/>
      <c r="AA169" s="11"/>
      <c r="AD169"/>
      <c r="AE169"/>
      <c r="AF169"/>
      <c r="AG169"/>
      <c r="AH169" s="46"/>
      <c r="AI169"/>
      <c r="AJ169"/>
      <c r="AK169"/>
      <c r="AL169"/>
      <c r="AM169"/>
      <c r="AN169"/>
      <c r="AO169"/>
      <c r="AP169"/>
      <c r="AQ169"/>
      <c r="AR169"/>
      <c r="AS169"/>
      <c r="AT169" s="14"/>
      <c r="AU169"/>
      <c r="AV169"/>
      <c r="AW169"/>
      <c r="AX169" s="10"/>
      <c r="AY169" s="20"/>
      <c r="AZ169" s="16"/>
      <c r="BA169"/>
      <c r="BB169"/>
      <c r="BC169" s="16"/>
      <c r="BD169"/>
      <c r="BE169"/>
      <c r="BF169"/>
      <c r="BG169"/>
      <c r="BH169"/>
      <c r="BI169"/>
      <c r="BJ169"/>
      <c r="BK169"/>
      <c r="BL169"/>
      <c r="BM169"/>
      <c r="BN169" s="19"/>
      <c r="BO169"/>
      <c r="BP169"/>
      <c r="BQ169"/>
      <c r="BR169"/>
      <c r="BS169"/>
      <c r="BT169"/>
      <c r="BU169"/>
      <c r="BV169"/>
      <c r="BW169"/>
      <c r="BX169"/>
      <c r="BY169"/>
      <c r="BZ169"/>
      <c r="CA169"/>
      <c r="CB169"/>
      <c r="CC169"/>
      <c r="CD169"/>
      <c r="CE169"/>
      <c r="CF169"/>
      <c r="CG169"/>
      <c r="CH169"/>
      <c r="CI169"/>
      <c r="CJ169"/>
      <c r="CK169"/>
      <c r="CL169"/>
      <c r="CM169" s="20"/>
      <c r="CN169" s="20"/>
      <c r="CO169" s="20"/>
      <c r="CP169" s="20"/>
      <c r="CQ169" s="20"/>
      <c r="CR169" s="20"/>
      <c r="CS169" s="20"/>
      <c r="CT169" s="20"/>
      <c r="CU169" s="20"/>
      <c r="CV169" s="20"/>
      <c r="CW169" s="20"/>
      <c r="CX169" s="20"/>
      <c r="CY169" s="20"/>
    </row>
    <row r="170" spans="1:103" s="6" customFormat="1">
      <c r="A170"/>
      <c r="B170"/>
      <c r="C170"/>
      <c r="D170"/>
      <c r="E170"/>
      <c r="F170"/>
      <c r="G170"/>
      <c r="H170"/>
      <c r="I170"/>
      <c r="J170"/>
      <c r="N170" s="7"/>
      <c r="O170"/>
      <c r="P170" s="10"/>
      <c r="Q170" s="9"/>
      <c r="R170" s="10"/>
      <c r="S170" s="10"/>
      <c r="AA170" s="11"/>
      <c r="AD170"/>
      <c r="AE170"/>
      <c r="AF170"/>
      <c r="AG170"/>
      <c r="AH170" s="46"/>
      <c r="AI170"/>
      <c r="AJ170"/>
      <c r="AK170"/>
      <c r="AL170"/>
      <c r="AM170"/>
      <c r="AN170"/>
      <c r="AO170"/>
      <c r="AP170"/>
      <c r="AQ170"/>
      <c r="AR170"/>
      <c r="AS170"/>
      <c r="AT170" s="14"/>
      <c r="AU170"/>
      <c r="AV170"/>
      <c r="AW170"/>
      <c r="AX170" s="10"/>
      <c r="AY170" s="20"/>
      <c r="AZ170" s="16"/>
      <c r="BA170"/>
      <c r="BB170"/>
      <c r="BC170" s="16"/>
      <c r="BD170"/>
      <c r="BE170"/>
      <c r="BF170"/>
      <c r="BG170"/>
      <c r="BH170"/>
      <c r="BI170"/>
      <c r="BJ170"/>
      <c r="BK170"/>
      <c r="BL170"/>
      <c r="BM170"/>
      <c r="BN170" s="19"/>
      <c r="BO170"/>
      <c r="BP170"/>
      <c r="BQ170"/>
      <c r="BR170"/>
      <c r="BS170"/>
      <c r="BT170"/>
      <c r="BU170"/>
      <c r="BV170"/>
      <c r="BW170"/>
      <c r="BX170"/>
      <c r="BY170"/>
      <c r="BZ170"/>
      <c r="CA170"/>
      <c r="CB170"/>
      <c r="CC170"/>
      <c r="CD170"/>
      <c r="CE170"/>
      <c r="CF170"/>
      <c r="CG170"/>
      <c r="CH170"/>
      <c r="CI170"/>
      <c r="CJ170"/>
      <c r="CK170"/>
      <c r="CL170"/>
      <c r="CM170" s="20"/>
      <c r="CN170" s="20"/>
      <c r="CO170" s="20"/>
      <c r="CP170" s="20"/>
      <c r="CQ170" s="20"/>
      <c r="CR170" s="20"/>
      <c r="CS170" s="20"/>
      <c r="CT170" s="20"/>
      <c r="CU170" s="20"/>
      <c r="CV170" s="20"/>
      <c r="CW170" s="20"/>
      <c r="CX170" s="20"/>
      <c r="CY170" s="20"/>
    </row>
    <row r="171" spans="1:103" s="6" customFormat="1">
      <c r="A171"/>
      <c r="B171"/>
      <c r="C171"/>
      <c r="D171"/>
      <c r="E171"/>
      <c r="F171"/>
      <c r="G171"/>
      <c r="H171"/>
      <c r="I171"/>
      <c r="J171"/>
      <c r="N171" s="7"/>
      <c r="O171"/>
      <c r="P171" s="10"/>
      <c r="Q171" s="9"/>
      <c r="R171" s="10"/>
      <c r="S171" s="10"/>
      <c r="AA171" s="11"/>
      <c r="AD171"/>
      <c r="AE171"/>
      <c r="AF171"/>
      <c r="AG171"/>
      <c r="AH171" s="46"/>
      <c r="AI171"/>
      <c r="AJ171"/>
      <c r="AK171"/>
      <c r="AL171"/>
      <c r="AM171"/>
      <c r="AN171"/>
      <c r="AO171"/>
      <c r="AP171"/>
      <c r="AQ171"/>
      <c r="AR171"/>
      <c r="AS171"/>
      <c r="AT171" s="14"/>
      <c r="AU171"/>
      <c r="AV171"/>
      <c r="AW171"/>
      <c r="AX171" s="10"/>
      <c r="AY171" s="20"/>
      <c r="AZ171" s="16"/>
      <c r="BA171"/>
      <c r="BB171"/>
      <c r="BC171" s="16"/>
      <c r="BD171"/>
      <c r="BE171"/>
      <c r="BF171"/>
      <c r="BG171"/>
      <c r="BH171"/>
      <c r="BI171"/>
      <c r="BJ171"/>
      <c r="BK171"/>
      <c r="BL171"/>
      <c r="BM171"/>
      <c r="BN171" s="19"/>
      <c r="BO171"/>
      <c r="BP171"/>
      <c r="BQ171"/>
      <c r="BR171"/>
      <c r="BS171"/>
      <c r="BT171"/>
      <c r="BU171"/>
      <c r="BV171"/>
      <c r="BW171"/>
      <c r="BX171"/>
      <c r="BY171"/>
      <c r="BZ171"/>
      <c r="CA171"/>
      <c r="CB171"/>
      <c r="CC171"/>
      <c r="CD171"/>
      <c r="CE171"/>
      <c r="CF171"/>
      <c r="CG171"/>
      <c r="CH171"/>
      <c r="CI171"/>
      <c r="CJ171"/>
      <c r="CK171"/>
      <c r="CL171"/>
      <c r="CM171" s="20"/>
      <c r="CN171" s="20"/>
      <c r="CO171" s="20"/>
      <c r="CP171" s="20"/>
      <c r="CQ171" s="20"/>
      <c r="CR171" s="20"/>
      <c r="CS171" s="20"/>
      <c r="CT171" s="20"/>
      <c r="CU171" s="20"/>
      <c r="CV171" s="20"/>
      <c r="CW171" s="20"/>
      <c r="CX171" s="20"/>
      <c r="CY171" s="20"/>
    </row>
    <row r="172" spans="1:103" s="6" customFormat="1">
      <c r="A172"/>
      <c r="B172"/>
      <c r="C172"/>
      <c r="D172"/>
      <c r="E172"/>
      <c r="F172"/>
      <c r="G172"/>
      <c r="H172"/>
      <c r="I172"/>
      <c r="J172"/>
      <c r="N172" s="7"/>
      <c r="O172"/>
      <c r="P172" s="10"/>
      <c r="Q172" s="9"/>
      <c r="R172" s="10"/>
      <c r="S172" s="10"/>
      <c r="AA172" s="11"/>
      <c r="AD172"/>
      <c r="AE172"/>
      <c r="AF172"/>
      <c r="AG172"/>
      <c r="AH172" s="46"/>
      <c r="AI172"/>
      <c r="AJ172"/>
      <c r="AK172"/>
      <c r="AL172"/>
      <c r="AM172"/>
      <c r="AN172"/>
      <c r="AO172"/>
      <c r="AP172"/>
      <c r="AQ172"/>
      <c r="AR172"/>
      <c r="AS172"/>
      <c r="AT172" s="14"/>
      <c r="AU172"/>
      <c r="AV172"/>
      <c r="AW172"/>
      <c r="AX172" s="10"/>
      <c r="AY172" s="20"/>
      <c r="AZ172" s="16"/>
      <c r="BA172"/>
      <c r="BB172"/>
      <c r="BC172" s="16"/>
      <c r="BD172"/>
      <c r="BE172"/>
      <c r="BF172"/>
      <c r="BG172"/>
      <c r="BH172"/>
      <c r="BI172"/>
      <c r="BJ172"/>
      <c r="BK172"/>
      <c r="BL172"/>
      <c r="BM172"/>
      <c r="BN172" s="19"/>
      <c r="BO172"/>
      <c r="BP172"/>
      <c r="BQ172"/>
      <c r="BR172"/>
      <c r="BS172"/>
      <c r="BT172"/>
      <c r="BU172"/>
      <c r="BV172"/>
      <c r="BW172"/>
      <c r="BX172"/>
      <c r="BY172"/>
      <c r="BZ172"/>
      <c r="CA172"/>
      <c r="CB172"/>
      <c r="CC172"/>
      <c r="CD172"/>
      <c r="CE172"/>
      <c r="CF172"/>
      <c r="CG172"/>
      <c r="CH172"/>
      <c r="CI172"/>
      <c r="CJ172"/>
      <c r="CK172"/>
      <c r="CL172"/>
      <c r="CM172" s="20"/>
      <c r="CN172" s="20"/>
      <c r="CO172" s="20"/>
      <c r="CP172" s="20"/>
      <c r="CQ172" s="20"/>
      <c r="CR172" s="20"/>
      <c r="CS172" s="20"/>
      <c r="CT172" s="20"/>
      <c r="CU172" s="20"/>
      <c r="CV172" s="20"/>
      <c r="CW172" s="20"/>
      <c r="CX172" s="20"/>
      <c r="CY172" s="20"/>
    </row>
    <row r="173" spans="1:103" s="6" customFormat="1">
      <c r="A173"/>
      <c r="B173"/>
      <c r="C173"/>
      <c r="D173"/>
      <c r="E173"/>
      <c r="F173"/>
      <c r="G173"/>
      <c r="H173"/>
      <c r="I173"/>
      <c r="J173"/>
      <c r="N173" s="7"/>
      <c r="O173"/>
      <c r="P173" s="10"/>
      <c r="Q173" s="9"/>
      <c r="R173" s="10"/>
      <c r="S173" s="10"/>
      <c r="AA173" s="11"/>
      <c r="AD173"/>
      <c r="AE173"/>
      <c r="AF173"/>
      <c r="AG173"/>
      <c r="AH173" s="46"/>
      <c r="AI173"/>
      <c r="AJ173"/>
      <c r="AK173"/>
      <c r="AL173"/>
      <c r="AM173"/>
      <c r="AN173"/>
      <c r="AO173"/>
      <c r="AP173"/>
      <c r="AQ173"/>
      <c r="AR173"/>
      <c r="AS173"/>
      <c r="AT173" s="14"/>
      <c r="AU173"/>
      <c r="AV173"/>
      <c r="AW173"/>
      <c r="AX173" s="10"/>
      <c r="AY173" s="20"/>
      <c r="AZ173" s="16"/>
      <c r="BA173"/>
      <c r="BB173"/>
      <c r="BC173" s="16"/>
      <c r="BD173"/>
      <c r="BE173"/>
      <c r="BF173"/>
      <c r="BG173"/>
      <c r="BH173"/>
      <c r="BI173"/>
      <c r="BJ173"/>
      <c r="BK173"/>
      <c r="BL173"/>
      <c r="BM173"/>
      <c r="BN173" s="19"/>
      <c r="BO173"/>
      <c r="BP173"/>
      <c r="BQ173"/>
      <c r="BR173"/>
      <c r="BS173"/>
      <c r="BT173"/>
      <c r="BU173"/>
      <c r="BV173"/>
      <c r="BW173"/>
      <c r="BX173"/>
      <c r="BY173"/>
      <c r="BZ173"/>
      <c r="CA173"/>
      <c r="CB173"/>
      <c r="CC173"/>
      <c r="CD173"/>
      <c r="CE173"/>
      <c r="CF173"/>
      <c r="CG173"/>
      <c r="CH173"/>
      <c r="CI173"/>
      <c r="CJ173"/>
      <c r="CK173"/>
      <c r="CL173"/>
      <c r="CM173" s="20"/>
      <c r="CN173" s="20"/>
      <c r="CO173" s="20"/>
      <c r="CP173" s="20"/>
      <c r="CQ173" s="20"/>
      <c r="CR173" s="20"/>
      <c r="CS173" s="20"/>
      <c r="CT173" s="20"/>
      <c r="CU173" s="20"/>
      <c r="CV173" s="20"/>
      <c r="CW173" s="20"/>
      <c r="CX173" s="20"/>
      <c r="CY173" s="20"/>
    </row>
    <row r="174" spans="1:103" s="6" customFormat="1">
      <c r="A174"/>
      <c r="B174"/>
      <c r="C174"/>
      <c r="D174"/>
      <c r="E174"/>
      <c r="F174"/>
      <c r="G174"/>
      <c r="H174"/>
      <c r="I174"/>
      <c r="J174"/>
      <c r="N174" s="7"/>
      <c r="O174"/>
      <c r="P174" s="10"/>
      <c r="Q174" s="9"/>
      <c r="R174" s="10"/>
      <c r="S174" s="10"/>
      <c r="AA174" s="11"/>
      <c r="AD174"/>
      <c r="AE174"/>
      <c r="AF174"/>
      <c r="AG174"/>
      <c r="AH174" s="46"/>
      <c r="AI174"/>
      <c r="AJ174"/>
      <c r="AK174"/>
      <c r="AL174"/>
      <c r="AM174"/>
      <c r="AN174"/>
      <c r="AO174"/>
      <c r="AP174"/>
      <c r="AQ174"/>
      <c r="AR174"/>
      <c r="AS174"/>
      <c r="AT174" s="14"/>
      <c r="AU174"/>
      <c r="AV174"/>
      <c r="AW174"/>
      <c r="AX174" s="10"/>
      <c r="AY174" s="20"/>
      <c r="AZ174" s="16"/>
      <c r="BA174"/>
      <c r="BB174"/>
      <c r="BC174" s="16"/>
      <c r="BD174"/>
      <c r="BE174"/>
      <c r="BF174"/>
      <c r="BG174"/>
      <c r="BH174"/>
      <c r="BI174"/>
      <c r="BJ174"/>
      <c r="BK174"/>
      <c r="BL174"/>
      <c r="BM174"/>
      <c r="BN174" s="19"/>
      <c r="BO174"/>
      <c r="BP174"/>
      <c r="BQ174"/>
      <c r="BR174"/>
      <c r="BS174"/>
      <c r="BT174"/>
      <c r="BU174"/>
      <c r="BV174"/>
      <c r="BW174"/>
      <c r="BX174"/>
      <c r="BY174"/>
      <c r="BZ174"/>
      <c r="CA174"/>
      <c r="CB174"/>
      <c r="CC174"/>
      <c r="CD174"/>
      <c r="CE174"/>
      <c r="CF174"/>
      <c r="CG174"/>
      <c r="CH174"/>
      <c r="CI174"/>
      <c r="CJ174"/>
      <c r="CK174"/>
      <c r="CL174"/>
      <c r="CM174" s="20"/>
      <c r="CN174" s="20"/>
      <c r="CO174" s="20"/>
      <c r="CP174" s="20"/>
      <c r="CQ174" s="20"/>
      <c r="CR174" s="20"/>
      <c r="CS174" s="20"/>
      <c r="CT174" s="20"/>
      <c r="CU174" s="20"/>
      <c r="CV174" s="20"/>
      <c r="CW174" s="20"/>
      <c r="CX174" s="20"/>
      <c r="CY174" s="20"/>
    </row>
    <row r="175" spans="1:103" s="6" customFormat="1">
      <c r="A175"/>
      <c r="B175"/>
      <c r="C175"/>
      <c r="D175"/>
      <c r="E175"/>
      <c r="F175"/>
      <c r="G175"/>
      <c r="H175"/>
      <c r="I175"/>
      <c r="J175"/>
      <c r="N175" s="7"/>
      <c r="O175"/>
      <c r="P175" s="10"/>
      <c r="Q175" s="9"/>
      <c r="R175" s="10"/>
      <c r="S175" s="10"/>
      <c r="AA175" s="11"/>
      <c r="AD175"/>
      <c r="AE175"/>
      <c r="AF175"/>
      <c r="AG175"/>
      <c r="AH175" s="46"/>
      <c r="AI175"/>
      <c r="AJ175"/>
      <c r="AK175"/>
      <c r="AL175"/>
      <c r="AM175"/>
      <c r="AN175"/>
      <c r="AO175"/>
      <c r="AP175"/>
      <c r="AQ175"/>
      <c r="AR175"/>
      <c r="AS175"/>
      <c r="AT175" s="14"/>
      <c r="AU175"/>
      <c r="AV175"/>
      <c r="AW175"/>
      <c r="AX175" s="10"/>
      <c r="AY175" s="20"/>
      <c r="AZ175" s="16"/>
      <c r="BA175"/>
      <c r="BB175"/>
      <c r="BC175" s="16"/>
      <c r="BD175"/>
      <c r="BE175"/>
      <c r="BF175"/>
      <c r="BG175"/>
      <c r="BH175"/>
      <c r="BI175"/>
      <c r="BJ175"/>
      <c r="BK175"/>
      <c r="BL175"/>
      <c r="BM175"/>
      <c r="BN175" s="19"/>
      <c r="BO175"/>
      <c r="BP175"/>
      <c r="BQ175"/>
      <c r="BR175"/>
      <c r="BS175"/>
      <c r="BT175"/>
      <c r="BU175"/>
      <c r="BV175"/>
      <c r="BW175"/>
      <c r="BX175"/>
      <c r="BY175"/>
      <c r="BZ175"/>
      <c r="CA175"/>
      <c r="CB175"/>
      <c r="CC175"/>
      <c r="CD175"/>
      <c r="CE175"/>
      <c r="CF175"/>
      <c r="CG175"/>
      <c r="CH175"/>
      <c r="CI175"/>
      <c r="CJ175"/>
      <c r="CK175"/>
      <c r="CL175"/>
      <c r="CM175" s="20"/>
      <c r="CN175" s="20"/>
      <c r="CO175" s="20"/>
      <c r="CP175" s="20"/>
      <c r="CQ175" s="20"/>
      <c r="CR175" s="20"/>
      <c r="CS175" s="20"/>
      <c r="CT175" s="20"/>
      <c r="CU175" s="20"/>
      <c r="CV175" s="20"/>
      <c r="CW175" s="20"/>
      <c r="CX175" s="20"/>
      <c r="CY175" s="20"/>
    </row>
    <row r="176" spans="1:103" s="6" customFormat="1">
      <c r="A176"/>
      <c r="B176"/>
      <c r="C176"/>
      <c r="D176"/>
      <c r="E176"/>
      <c r="F176"/>
      <c r="G176"/>
      <c r="H176"/>
      <c r="I176"/>
      <c r="J176"/>
      <c r="N176" s="7"/>
      <c r="O176"/>
      <c r="P176" s="10"/>
      <c r="Q176" s="9"/>
      <c r="R176" s="10"/>
      <c r="S176" s="10"/>
      <c r="AA176" s="11"/>
      <c r="AD176"/>
      <c r="AE176"/>
      <c r="AF176"/>
      <c r="AG176"/>
      <c r="AH176" s="46"/>
      <c r="AI176"/>
      <c r="AJ176"/>
      <c r="AK176"/>
      <c r="AL176"/>
      <c r="AM176"/>
      <c r="AN176"/>
      <c r="AO176"/>
      <c r="AP176"/>
      <c r="AQ176"/>
      <c r="AR176"/>
      <c r="AS176"/>
      <c r="AT176" s="14"/>
      <c r="AU176"/>
      <c r="AV176"/>
      <c r="AW176"/>
      <c r="AX176" s="10"/>
      <c r="AY176" s="20"/>
      <c r="AZ176" s="16"/>
      <c r="BA176"/>
      <c r="BB176"/>
      <c r="BC176" s="16"/>
      <c r="BD176"/>
      <c r="BE176"/>
      <c r="BF176"/>
      <c r="BG176"/>
      <c r="BH176"/>
      <c r="BI176"/>
      <c r="BJ176"/>
      <c r="BK176"/>
      <c r="BL176"/>
      <c r="BM176"/>
      <c r="BN176" s="19"/>
      <c r="BO176"/>
      <c r="BP176"/>
      <c r="BQ176"/>
      <c r="BR176"/>
      <c r="BS176"/>
      <c r="BT176"/>
      <c r="BU176"/>
      <c r="BV176"/>
      <c r="BW176"/>
      <c r="BX176"/>
      <c r="BY176"/>
      <c r="BZ176"/>
      <c r="CA176"/>
      <c r="CB176"/>
      <c r="CC176"/>
      <c r="CD176"/>
      <c r="CE176"/>
      <c r="CF176"/>
      <c r="CG176"/>
      <c r="CH176"/>
      <c r="CI176"/>
      <c r="CJ176"/>
      <c r="CK176"/>
      <c r="CL176"/>
      <c r="CM176" s="20"/>
      <c r="CN176" s="20"/>
      <c r="CO176" s="20"/>
      <c r="CP176" s="20"/>
      <c r="CQ176" s="20"/>
      <c r="CR176" s="20"/>
      <c r="CS176" s="20"/>
      <c r="CT176" s="20"/>
      <c r="CU176" s="20"/>
      <c r="CV176" s="20"/>
      <c r="CW176" s="20"/>
      <c r="CX176" s="20"/>
      <c r="CY176" s="20"/>
    </row>
    <row r="177" spans="1:103" s="6" customFormat="1">
      <c r="A177"/>
      <c r="B177"/>
      <c r="C177"/>
      <c r="D177"/>
      <c r="E177"/>
      <c r="F177"/>
      <c r="G177"/>
      <c r="H177"/>
      <c r="I177"/>
      <c r="J177"/>
      <c r="N177" s="7"/>
      <c r="O177"/>
      <c r="P177" s="10"/>
      <c r="Q177" s="9"/>
      <c r="R177" s="10"/>
      <c r="S177" s="10"/>
      <c r="AA177" s="11"/>
      <c r="AD177"/>
      <c r="AE177"/>
      <c r="AF177"/>
      <c r="AG177"/>
      <c r="AH177" s="46"/>
      <c r="AI177"/>
      <c r="AJ177"/>
      <c r="AK177"/>
      <c r="AL177"/>
      <c r="AM177"/>
      <c r="AN177"/>
      <c r="AO177"/>
      <c r="AP177"/>
      <c r="AQ177"/>
      <c r="AR177"/>
      <c r="AS177"/>
      <c r="AT177" s="14"/>
      <c r="AU177"/>
      <c r="AV177"/>
      <c r="AW177"/>
      <c r="AX177" s="10"/>
      <c r="AY177" s="20"/>
      <c r="AZ177" s="16"/>
      <c r="BA177"/>
      <c r="BB177"/>
      <c r="BC177" s="16"/>
      <c r="BD177"/>
      <c r="BE177"/>
      <c r="BF177"/>
      <c r="BG177"/>
      <c r="BH177"/>
      <c r="BI177"/>
      <c r="BJ177"/>
      <c r="BK177"/>
      <c r="BL177"/>
      <c r="BM177"/>
      <c r="BN177" s="19"/>
      <c r="BO177"/>
      <c r="BP177"/>
      <c r="BQ177"/>
      <c r="BR177"/>
      <c r="BS177"/>
      <c r="BT177"/>
      <c r="BU177"/>
      <c r="BV177"/>
      <c r="BW177"/>
      <c r="BX177"/>
      <c r="BY177"/>
      <c r="BZ177"/>
      <c r="CA177"/>
      <c r="CB177"/>
      <c r="CC177"/>
      <c r="CD177"/>
      <c r="CE177"/>
      <c r="CF177"/>
      <c r="CG177"/>
      <c r="CH177"/>
      <c r="CI177"/>
      <c r="CJ177"/>
      <c r="CK177"/>
      <c r="CL177"/>
      <c r="CM177" s="20"/>
      <c r="CN177" s="20"/>
      <c r="CO177" s="20"/>
      <c r="CP177" s="20"/>
      <c r="CQ177" s="20"/>
      <c r="CR177" s="20"/>
      <c r="CS177" s="20"/>
      <c r="CT177" s="20"/>
      <c r="CU177" s="20"/>
      <c r="CV177" s="20"/>
      <c r="CW177" s="20"/>
      <c r="CX177" s="20"/>
      <c r="CY177" s="20"/>
    </row>
    <row r="178" spans="1:103" s="6" customFormat="1">
      <c r="A178"/>
      <c r="B178"/>
      <c r="C178"/>
      <c r="D178"/>
      <c r="E178"/>
      <c r="F178"/>
      <c r="G178"/>
      <c r="H178"/>
      <c r="I178"/>
      <c r="J178"/>
      <c r="N178" s="7"/>
      <c r="O178"/>
      <c r="P178" s="10"/>
      <c r="Q178" s="9"/>
      <c r="R178" s="10"/>
      <c r="S178" s="10"/>
      <c r="AA178" s="11"/>
      <c r="AD178"/>
      <c r="AE178"/>
      <c r="AF178"/>
      <c r="AG178"/>
      <c r="AH178" s="46"/>
      <c r="AI178"/>
      <c r="AJ178"/>
      <c r="AK178"/>
      <c r="AL178"/>
      <c r="AM178"/>
      <c r="AN178"/>
      <c r="AO178"/>
      <c r="AP178"/>
      <c r="AQ178"/>
      <c r="AR178"/>
      <c r="AS178"/>
      <c r="AT178" s="14"/>
      <c r="AU178"/>
      <c r="AV178"/>
      <c r="AW178"/>
      <c r="AX178" s="10"/>
      <c r="AY178" s="20"/>
      <c r="AZ178" s="16"/>
      <c r="BA178"/>
      <c r="BB178"/>
      <c r="BC178" s="16"/>
      <c r="BD178"/>
      <c r="BE178"/>
      <c r="BF178"/>
      <c r="BG178"/>
      <c r="BH178"/>
      <c r="BI178"/>
      <c r="BJ178"/>
      <c r="BK178"/>
      <c r="BL178"/>
      <c r="BM178"/>
      <c r="BN178" s="19"/>
      <c r="BO178"/>
      <c r="BP178"/>
      <c r="BQ178"/>
      <c r="BR178"/>
      <c r="BS178"/>
      <c r="BT178"/>
      <c r="BU178"/>
      <c r="BV178"/>
      <c r="BW178"/>
      <c r="BX178"/>
      <c r="BY178"/>
      <c r="BZ178"/>
      <c r="CA178"/>
      <c r="CB178"/>
      <c r="CC178"/>
      <c r="CD178"/>
      <c r="CE178"/>
      <c r="CF178"/>
      <c r="CG178"/>
      <c r="CH178"/>
      <c r="CI178"/>
      <c r="CJ178"/>
      <c r="CK178"/>
      <c r="CL178"/>
      <c r="CM178" s="20"/>
      <c r="CN178" s="20"/>
      <c r="CO178" s="20"/>
      <c r="CP178" s="20"/>
      <c r="CQ178" s="20"/>
      <c r="CR178" s="20"/>
      <c r="CS178" s="20"/>
      <c r="CT178" s="20"/>
      <c r="CU178" s="20"/>
      <c r="CV178" s="20"/>
      <c r="CW178" s="20"/>
      <c r="CX178" s="20"/>
      <c r="CY178" s="20"/>
    </row>
    <row r="179" spans="1:103" s="6" customFormat="1">
      <c r="A179"/>
      <c r="B179"/>
      <c r="C179"/>
      <c r="D179"/>
      <c r="E179"/>
      <c r="F179"/>
      <c r="G179"/>
      <c r="H179"/>
      <c r="I179"/>
      <c r="J179"/>
      <c r="N179" s="7"/>
      <c r="O179"/>
      <c r="P179" s="10"/>
      <c r="Q179" s="9"/>
      <c r="R179" s="10"/>
      <c r="S179" s="10"/>
      <c r="AA179" s="11"/>
      <c r="AD179"/>
      <c r="AE179"/>
      <c r="AF179"/>
      <c r="AG179"/>
      <c r="AH179" s="46"/>
      <c r="AI179"/>
      <c r="AJ179"/>
      <c r="AK179"/>
      <c r="AL179"/>
      <c r="AM179"/>
      <c r="AN179"/>
      <c r="AO179"/>
      <c r="AP179"/>
      <c r="AQ179"/>
      <c r="AR179"/>
      <c r="AS179"/>
      <c r="AT179" s="14"/>
      <c r="AU179"/>
      <c r="AV179"/>
      <c r="AW179"/>
      <c r="AX179" s="10"/>
      <c r="AY179" s="20"/>
      <c r="AZ179" s="16"/>
      <c r="BA179"/>
      <c r="BB179"/>
      <c r="BC179" s="16"/>
      <c r="BD179"/>
      <c r="BE179"/>
      <c r="BF179"/>
      <c r="BG179"/>
      <c r="BH179"/>
      <c r="BI179"/>
      <c r="BJ179"/>
      <c r="BK179"/>
      <c r="BL179"/>
      <c r="BM179"/>
      <c r="BN179" s="19"/>
      <c r="BO179"/>
      <c r="BP179"/>
      <c r="BQ179"/>
      <c r="BR179"/>
      <c r="BS179"/>
      <c r="BT179"/>
      <c r="BU179"/>
      <c r="BV179"/>
      <c r="BW179"/>
      <c r="BX179"/>
      <c r="BY179"/>
      <c r="BZ179"/>
      <c r="CA179"/>
      <c r="CB179"/>
      <c r="CC179"/>
      <c r="CD179"/>
      <c r="CE179"/>
      <c r="CF179"/>
      <c r="CG179"/>
      <c r="CH179"/>
      <c r="CI179"/>
      <c r="CJ179"/>
      <c r="CK179"/>
      <c r="CL179"/>
      <c r="CM179" s="20"/>
      <c r="CN179" s="20"/>
      <c r="CO179" s="20"/>
      <c r="CP179" s="20"/>
      <c r="CQ179" s="20"/>
      <c r="CR179" s="20"/>
      <c r="CS179" s="20"/>
      <c r="CT179" s="20"/>
      <c r="CU179" s="20"/>
      <c r="CV179" s="20"/>
      <c r="CW179" s="20"/>
      <c r="CX179" s="20"/>
      <c r="CY179" s="20"/>
    </row>
    <row r="180" spans="1:103" s="6" customFormat="1">
      <c r="A180"/>
      <c r="B180"/>
      <c r="C180"/>
      <c r="D180"/>
      <c r="E180"/>
      <c r="F180"/>
      <c r="G180"/>
      <c r="H180"/>
      <c r="I180"/>
      <c r="J180"/>
      <c r="N180" s="7"/>
      <c r="O180"/>
      <c r="P180" s="10"/>
      <c r="Q180" s="9"/>
      <c r="R180" s="10"/>
      <c r="S180" s="10"/>
      <c r="AA180" s="11"/>
      <c r="AD180"/>
      <c r="AE180"/>
      <c r="AF180"/>
      <c r="AG180"/>
      <c r="AH180" s="46"/>
      <c r="AI180"/>
      <c r="AJ180"/>
      <c r="AK180"/>
      <c r="AL180"/>
      <c r="AM180"/>
      <c r="AN180"/>
      <c r="AO180"/>
      <c r="AP180"/>
      <c r="AQ180"/>
      <c r="AR180"/>
      <c r="AS180"/>
      <c r="AT180" s="14"/>
      <c r="AU180"/>
      <c r="AV180"/>
      <c r="AW180"/>
      <c r="AX180" s="10"/>
      <c r="AY180" s="20"/>
      <c r="AZ180" s="16"/>
      <c r="BA180"/>
      <c r="BB180"/>
      <c r="BC180" s="16"/>
      <c r="BD180"/>
      <c r="BE180"/>
      <c r="BF180"/>
      <c r="BG180"/>
      <c r="BH180"/>
      <c r="BI180"/>
      <c r="BJ180"/>
      <c r="BK180"/>
      <c r="BL180"/>
      <c r="BM180"/>
      <c r="BN180" s="19"/>
      <c r="BO180"/>
      <c r="BP180"/>
      <c r="BQ180"/>
      <c r="BR180"/>
      <c r="BS180"/>
      <c r="BT180"/>
      <c r="BU180"/>
      <c r="BV180"/>
      <c r="BW180"/>
      <c r="BX180"/>
      <c r="BY180"/>
      <c r="BZ180"/>
      <c r="CA180"/>
      <c r="CB180"/>
      <c r="CC180"/>
      <c r="CD180"/>
      <c r="CE180"/>
      <c r="CF180"/>
      <c r="CG180"/>
      <c r="CH180"/>
      <c r="CI180"/>
      <c r="CJ180"/>
      <c r="CK180"/>
      <c r="CL180"/>
      <c r="CM180" s="20"/>
      <c r="CN180" s="20"/>
      <c r="CO180" s="20"/>
      <c r="CP180" s="20"/>
      <c r="CQ180" s="20"/>
      <c r="CR180" s="20"/>
      <c r="CS180" s="20"/>
      <c r="CT180" s="20"/>
      <c r="CU180" s="20"/>
      <c r="CV180" s="20"/>
      <c r="CW180" s="20"/>
      <c r="CX180" s="20"/>
      <c r="CY180" s="20"/>
    </row>
    <row r="181" spans="1:103" s="6" customFormat="1">
      <c r="A181"/>
      <c r="B181"/>
      <c r="C181"/>
      <c r="D181"/>
      <c r="E181"/>
      <c r="F181"/>
      <c r="G181"/>
      <c r="H181"/>
      <c r="I181"/>
      <c r="J181"/>
      <c r="N181" s="7"/>
      <c r="O181"/>
      <c r="P181" s="10"/>
      <c r="Q181" s="9"/>
      <c r="R181" s="10"/>
      <c r="S181" s="10"/>
      <c r="AA181" s="11"/>
      <c r="AD181"/>
      <c r="AE181"/>
      <c r="AF181"/>
      <c r="AG181"/>
      <c r="AH181" s="46"/>
      <c r="AI181"/>
      <c r="AJ181"/>
      <c r="AK181"/>
      <c r="AL181"/>
      <c r="AM181"/>
      <c r="AN181"/>
      <c r="AO181"/>
      <c r="AP181"/>
      <c r="AQ181"/>
      <c r="AR181"/>
      <c r="AS181"/>
      <c r="AT181" s="14"/>
      <c r="AU181"/>
      <c r="AV181"/>
      <c r="AW181"/>
      <c r="AX181" s="10"/>
      <c r="AY181" s="20"/>
      <c r="AZ181" s="16"/>
      <c r="BA181"/>
      <c r="BB181"/>
      <c r="BC181" s="16"/>
      <c r="BD181"/>
      <c r="BE181"/>
      <c r="BF181"/>
      <c r="BG181"/>
      <c r="BH181"/>
      <c r="BI181"/>
      <c r="BJ181"/>
      <c r="BK181"/>
      <c r="BL181"/>
      <c r="BM181"/>
      <c r="BN181" s="19"/>
      <c r="BO181"/>
      <c r="BP181"/>
      <c r="BQ181"/>
      <c r="BR181"/>
      <c r="BS181"/>
      <c r="BT181"/>
      <c r="BU181"/>
      <c r="BV181"/>
      <c r="BW181"/>
      <c r="BX181"/>
      <c r="BY181"/>
      <c r="BZ181"/>
      <c r="CA181"/>
      <c r="CB181"/>
      <c r="CC181"/>
      <c r="CD181"/>
      <c r="CE181"/>
      <c r="CF181"/>
      <c r="CG181"/>
      <c r="CH181"/>
      <c r="CI181"/>
      <c r="CJ181"/>
      <c r="CK181"/>
      <c r="CL181"/>
      <c r="CM181" s="20"/>
      <c r="CN181" s="20"/>
      <c r="CO181" s="20"/>
      <c r="CP181" s="20"/>
      <c r="CQ181" s="20"/>
      <c r="CR181" s="20"/>
      <c r="CS181" s="20"/>
      <c r="CT181" s="20"/>
      <c r="CU181" s="20"/>
      <c r="CV181" s="20"/>
      <c r="CW181" s="20"/>
      <c r="CX181" s="20"/>
      <c r="CY181" s="20"/>
    </row>
    <row r="182" spans="1:103" s="6" customFormat="1">
      <c r="A182"/>
      <c r="B182"/>
      <c r="C182"/>
      <c r="D182"/>
      <c r="E182"/>
      <c r="F182"/>
      <c r="G182"/>
      <c r="H182"/>
      <c r="I182"/>
      <c r="J182"/>
      <c r="N182" s="7"/>
      <c r="O182"/>
      <c r="P182" s="10"/>
      <c r="Q182" s="9"/>
      <c r="R182" s="10"/>
      <c r="S182" s="10"/>
      <c r="AA182" s="11"/>
      <c r="AD182"/>
      <c r="AE182"/>
      <c r="AF182"/>
      <c r="AG182"/>
      <c r="AH182" s="46"/>
      <c r="AI182"/>
      <c r="AJ182"/>
      <c r="AK182"/>
      <c r="AL182"/>
      <c r="AM182"/>
      <c r="AN182"/>
      <c r="AO182"/>
      <c r="AP182"/>
      <c r="AQ182"/>
      <c r="AR182"/>
      <c r="AS182"/>
      <c r="AT182" s="14"/>
      <c r="AU182"/>
      <c r="AV182"/>
      <c r="AW182"/>
      <c r="AX182" s="10"/>
      <c r="AY182" s="20"/>
      <c r="AZ182" s="16"/>
      <c r="BA182"/>
      <c r="BB182"/>
      <c r="BC182" s="16"/>
      <c r="BD182"/>
      <c r="BE182"/>
      <c r="BF182"/>
      <c r="BG182"/>
      <c r="BH182"/>
      <c r="BI182"/>
      <c r="BJ182"/>
      <c r="BK182"/>
      <c r="BL182"/>
      <c r="BM182"/>
      <c r="BN182" s="19"/>
      <c r="BO182"/>
      <c r="BP182"/>
      <c r="BQ182"/>
      <c r="BR182"/>
      <c r="BS182"/>
      <c r="BT182"/>
      <c r="BU182"/>
      <c r="BV182"/>
      <c r="BW182"/>
      <c r="BX182"/>
      <c r="BY182"/>
      <c r="BZ182"/>
      <c r="CA182"/>
      <c r="CB182"/>
      <c r="CC182"/>
      <c r="CD182"/>
      <c r="CE182"/>
      <c r="CF182"/>
      <c r="CG182"/>
      <c r="CH182"/>
      <c r="CI182"/>
      <c r="CJ182"/>
      <c r="CK182"/>
      <c r="CL182"/>
      <c r="CM182" s="20"/>
      <c r="CN182" s="20"/>
      <c r="CO182" s="20"/>
      <c r="CP182" s="20"/>
      <c r="CQ182" s="20"/>
      <c r="CR182" s="20"/>
      <c r="CS182" s="20"/>
      <c r="CT182" s="20"/>
      <c r="CU182" s="20"/>
      <c r="CV182" s="20"/>
      <c r="CW182" s="20"/>
      <c r="CX182" s="20"/>
      <c r="CY182" s="20"/>
    </row>
    <row r="183" spans="1:103" s="6" customFormat="1">
      <c r="A183"/>
      <c r="B183"/>
      <c r="C183"/>
      <c r="D183"/>
      <c r="E183"/>
      <c r="F183"/>
      <c r="G183"/>
      <c r="H183"/>
      <c r="I183"/>
      <c r="J183"/>
      <c r="N183" s="7"/>
      <c r="O183"/>
      <c r="P183" s="10"/>
      <c r="Q183" s="9"/>
      <c r="R183" s="10"/>
      <c r="S183" s="10"/>
      <c r="AA183" s="11"/>
      <c r="AD183"/>
      <c r="AE183"/>
      <c r="AF183"/>
      <c r="AG183"/>
      <c r="AH183" s="46"/>
      <c r="AI183"/>
      <c r="AJ183"/>
      <c r="AK183"/>
      <c r="AL183"/>
      <c r="AM183"/>
      <c r="AN183"/>
      <c r="AO183"/>
      <c r="AP183"/>
      <c r="AQ183"/>
      <c r="AR183"/>
      <c r="AS183"/>
      <c r="AT183" s="14"/>
      <c r="AU183"/>
      <c r="AV183"/>
      <c r="AW183"/>
      <c r="AX183" s="10"/>
      <c r="AY183" s="20"/>
      <c r="AZ183" s="16"/>
      <c r="BA183"/>
      <c r="BB183"/>
      <c r="BC183" s="16"/>
      <c r="BD183"/>
      <c r="BE183"/>
      <c r="BF183"/>
      <c r="BG183"/>
      <c r="BH183"/>
      <c r="BI183"/>
      <c r="BJ183"/>
      <c r="BK183"/>
      <c r="BL183"/>
      <c r="BM183"/>
      <c r="BN183" s="19"/>
      <c r="BO183"/>
      <c r="BP183"/>
      <c r="BQ183"/>
      <c r="BR183"/>
      <c r="BS183"/>
      <c r="BT183"/>
      <c r="BU183"/>
      <c r="BV183"/>
      <c r="BW183"/>
      <c r="BX183"/>
      <c r="BY183"/>
      <c r="BZ183"/>
      <c r="CA183"/>
      <c r="CB183"/>
      <c r="CC183"/>
      <c r="CD183"/>
      <c r="CE183"/>
      <c r="CF183"/>
      <c r="CG183"/>
      <c r="CH183"/>
      <c r="CI183"/>
      <c r="CJ183"/>
      <c r="CK183"/>
      <c r="CL183"/>
      <c r="CM183" s="20"/>
      <c r="CN183" s="20"/>
      <c r="CO183" s="20"/>
      <c r="CP183" s="20"/>
      <c r="CQ183" s="20"/>
      <c r="CR183" s="20"/>
      <c r="CS183" s="20"/>
      <c r="CT183" s="20"/>
      <c r="CU183" s="20"/>
      <c r="CV183" s="20"/>
      <c r="CW183" s="20"/>
      <c r="CX183" s="20"/>
      <c r="CY183" s="20"/>
    </row>
    <row r="184" spans="1:103" s="6" customFormat="1">
      <c r="A184"/>
      <c r="B184"/>
      <c r="C184"/>
      <c r="D184"/>
      <c r="E184"/>
      <c r="F184"/>
      <c r="G184"/>
      <c r="H184"/>
      <c r="I184"/>
      <c r="J184"/>
      <c r="N184" s="7"/>
      <c r="O184"/>
      <c r="P184" s="10"/>
      <c r="Q184" s="9"/>
      <c r="R184" s="10"/>
      <c r="S184" s="10"/>
      <c r="AA184" s="11"/>
      <c r="AD184"/>
      <c r="AE184"/>
      <c r="AF184"/>
      <c r="AG184"/>
      <c r="AH184" s="46"/>
      <c r="AI184"/>
      <c r="AJ184"/>
      <c r="AK184"/>
      <c r="AL184"/>
      <c r="AM184"/>
      <c r="AN184"/>
      <c r="AO184"/>
      <c r="AP184"/>
      <c r="AQ184"/>
      <c r="AR184"/>
      <c r="AS184"/>
      <c r="AT184" s="14"/>
      <c r="AU184"/>
      <c r="AV184"/>
      <c r="AW184"/>
      <c r="AX184" s="10"/>
      <c r="AY184" s="20"/>
      <c r="AZ184" s="16"/>
      <c r="BA184"/>
      <c r="BB184"/>
      <c r="BC184" s="16"/>
      <c r="BD184"/>
      <c r="BE184"/>
      <c r="BF184"/>
      <c r="BG184"/>
      <c r="BH184"/>
      <c r="BI184"/>
      <c r="BJ184"/>
      <c r="BK184"/>
      <c r="BL184"/>
      <c r="BM184"/>
      <c r="BN184" s="19"/>
      <c r="BO184"/>
      <c r="BP184"/>
      <c r="BQ184"/>
      <c r="BR184"/>
      <c r="BS184"/>
      <c r="BT184"/>
      <c r="BU184"/>
      <c r="BV184"/>
      <c r="BW184"/>
      <c r="BX184"/>
      <c r="BY184"/>
      <c r="BZ184"/>
      <c r="CA184"/>
      <c r="CB184"/>
      <c r="CC184"/>
      <c r="CD184"/>
      <c r="CE184"/>
      <c r="CF184"/>
      <c r="CG184"/>
      <c r="CH184"/>
      <c r="CI184"/>
      <c r="CJ184"/>
      <c r="CK184"/>
      <c r="CL184"/>
      <c r="CM184" s="20"/>
      <c r="CN184" s="20"/>
      <c r="CO184" s="20"/>
      <c r="CP184" s="20"/>
      <c r="CQ184" s="20"/>
      <c r="CR184" s="20"/>
      <c r="CS184" s="20"/>
      <c r="CT184" s="20"/>
      <c r="CU184" s="20"/>
      <c r="CV184" s="20"/>
      <c r="CW184" s="20"/>
      <c r="CX184" s="20"/>
      <c r="CY184" s="20"/>
    </row>
    <row r="185" spans="1:103" s="6" customFormat="1">
      <c r="A185"/>
      <c r="B185"/>
      <c r="C185"/>
      <c r="D185"/>
      <c r="E185"/>
      <c r="F185"/>
      <c r="G185"/>
      <c r="H185"/>
      <c r="I185"/>
      <c r="J185"/>
      <c r="N185" s="7"/>
      <c r="O185"/>
      <c r="P185" s="10"/>
      <c r="Q185" s="9"/>
      <c r="R185" s="10"/>
      <c r="S185" s="10"/>
      <c r="AA185" s="11"/>
      <c r="AD185"/>
      <c r="AE185"/>
      <c r="AF185"/>
      <c r="AG185"/>
      <c r="AH185" s="46"/>
      <c r="AI185"/>
      <c r="AJ185"/>
      <c r="AK185"/>
      <c r="AL185"/>
      <c r="AM185"/>
      <c r="AN185"/>
      <c r="AO185"/>
      <c r="AP185"/>
      <c r="AQ185"/>
      <c r="AR185"/>
      <c r="AS185"/>
      <c r="AT185" s="14"/>
      <c r="AU185"/>
      <c r="AV185"/>
      <c r="AW185"/>
      <c r="AX185" s="10"/>
      <c r="AY185" s="20"/>
      <c r="AZ185" s="16"/>
      <c r="BA185"/>
      <c r="BB185"/>
      <c r="BC185" s="16"/>
      <c r="BD185"/>
      <c r="BE185"/>
      <c r="BF185"/>
      <c r="BG185"/>
      <c r="BH185"/>
      <c r="BI185"/>
      <c r="BJ185"/>
      <c r="BK185"/>
      <c r="BL185"/>
      <c r="BM185"/>
      <c r="BN185" s="19"/>
      <c r="BO185"/>
      <c r="BP185"/>
      <c r="BQ185"/>
      <c r="BR185"/>
      <c r="BS185"/>
      <c r="BT185"/>
      <c r="BU185"/>
      <c r="BV185"/>
      <c r="BW185"/>
      <c r="BX185"/>
      <c r="BY185"/>
      <c r="BZ185"/>
      <c r="CA185"/>
      <c r="CB185"/>
      <c r="CC185"/>
      <c r="CD185"/>
      <c r="CE185"/>
      <c r="CF185"/>
      <c r="CG185"/>
      <c r="CH185"/>
      <c r="CI185"/>
      <c r="CJ185"/>
      <c r="CK185"/>
      <c r="CL185"/>
      <c r="CM185" s="20"/>
      <c r="CN185" s="20"/>
      <c r="CO185" s="20"/>
      <c r="CP185" s="20"/>
      <c r="CQ185" s="20"/>
      <c r="CR185" s="20"/>
      <c r="CS185" s="20"/>
      <c r="CT185" s="20"/>
      <c r="CU185" s="20"/>
      <c r="CV185" s="20"/>
      <c r="CW185" s="20"/>
      <c r="CX185" s="20"/>
      <c r="CY185" s="20"/>
    </row>
    <row r="186" spans="1:103" s="6" customFormat="1">
      <c r="A186"/>
      <c r="B186"/>
      <c r="C186"/>
      <c r="D186"/>
      <c r="E186"/>
      <c r="F186"/>
      <c r="G186"/>
      <c r="H186"/>
      <c r="I186"/>
      <c r="J186"/>
      <c r="N186" s="7"/>
      <c r="O186"/>
      <c r="P186" s="10"/>
      <c r="Q186" s="9"/>
      <c r="R186" s="10"/>
      <c r="S186" s="10"/>
      <c r="AA186" s="11"/>
      <c r="AD186"/>
      <c r="AE186"/>
      <c r="AF186"/>
      <c r="AG186"/>
      <c r="AH186" s="46"/>
      <c r="AI186"/>
      <c r="AJ186"/>
      <c r="AK186"/>
      <c r="AL186"/>
      <c r="AM186"/>
      <c r="AN186"/>
      <c r="AO186"/>
      <c r="AP186"/>
      <c r="AQ186"/>
      <c r="AR186"/>
      <c r="AS186"/>
      <c r="AT186" s="14"/>
      <c r="AU186"/>
      <c r="AV186"/>
      <c r="AW186"/>
      <c r="AX186" s="10"/>
      <c r="AY186" s="20"/>
      <c r="AZ186" s="16"/>
      <c r="BA186"/>
      <c r="BB186"/>
      <c r="BC186" s="16"/>
      <c r="BD186"/>
      <c r="BE186"/>
      <c r="BF186"/>
      <c r="BG186"/>
      <c r="BH186"/>
      <c r="BI186"/>
      <c r="BJ186"/>
      <c r="BK186"/>
      <c r="BL186"/>
      <c r="BM186"/>
      <c r="BN186" s="19"/>
      <c r="BO186"/>
      <c r="BP186"/>
      <c r="BQ186"/>
      <c r="BR186"/>
      <c r="BS186"/>
      <c r="BT186"/>
      <c r="BU186"/>
      <c r="BV186"/>
      <c r="BW186"/>
      <c r="BX186"/>
      <c r="BY186"/>
      <c r="BZ186"/>
      <c r="CA186"/>
      <c r="CB186"/>
      <c r="CC186"/>
      <c r="CD186"/>
      <c r="CE186"/>
      <c r="CF186"/>
      <c r="CG186"/>
      <c r="CH186"/>
      <c r="CI186"/>
      <c r="CJ186"/>
      <c r="CK186"/>
      <c r="CL186"/>
      <c r="CM186" s="20"/>
      <c r="CN186" s="20"/>
      <c r="CO186" s="20"/>
      <c r="CP186" s="20"/>
      <c r="CQ186" s="20"/>
      <c r="CR186" s="20"/>
      <c r="CS186" s="20"/>
      <c r="CT186" s="20"/>
      <c r="CU186" s="20"/>
      <c r="CV186" s="20"/>
      <c r="CW186" s="20"/>
      <c r="CX186" s="20"/>
      <c r="CY186" s="20"/>
    </row>
    <row r="187" spans="1:103" s="6" customFormat="1">
      <c r="A187"/>
      <c r="B187"/>
      <c r="C187"/>
      <c r="D187"/>
      <c r="E187"/>
      <c r="F187"/>
      <c r="G187"/>
      <c r="H187"/>
      <c r="I187"/>
      <c r="J187"/>
      <c r="N187" s="7"/>
      <c r="O187"/>
      <c r="P187" s="10"/>
      <c r="Q187" s="9"/>
      <c r="R187" s="10"/>
      <c r="S187" s="10"/>
      <c r="AA187" s="11"/>
      <c r="AD187"/>
      <c r="AE187"/>
      <c r="AF187"/>
      <c r="AG187"/>
      <c r="AH187" s="46"/>
      <c r="AI187"/>
      <c r="AJ187"/>
      <c r="AK187"/>
      <c r="AL187"/>
      <c r="AM187"/>
      <c r="AN187"/>
      <c r="AO187"/>
      <c r="AP187"/>
      <c r="AQ187"/>
      <c r="AR187"/>
      <c r="AS187"/>
      <c r="AT187" s="14"/>
      <c r="AU187"/>
      <c r="AV187"/>
      <c r="AW187"/>
      <c r="AX187" s="10"/>
      <c r="AY187" s="20"/>
      <c r="AZ187" s="16"/>
      <c r="BA187"/>
      <c r="BB187"/>
      <c r="BC187" s="16"/>
      <c r="BD187"/>
      <c r="BE187"/>
      <c r="BF187"/>
      <c r="BG187"/>
      <c r="BH187"/>
      <c r="BI187"/>
      <c r="BJ187"/>
      <c r="BK187"/>
      <c r="BL187"/>
      <c r="BM187"/>
      <c r="BN187" s="19"/>
      <c r="BO187"/>
      <c r="BP187"/>
      <c r="BQ187"/>
      <c r="BR187"/>
      <c r="BS187"/>
      <c r="BT187"/>
      <c r="BU187"/>
      <c r="BV187"/>
      <c r="BW187"/>
      <c r="BX187"/>
      <c r="BY187"/>
      <c r="BZ187"/>
      <c r="CA187"/>
      <c r="CB187"/>
      <c r="CC187"/>
      <c r="CD187"/>
      <c r="CE187"/>
      <c r="CF187"/>
      <c r="CG187"/>
      <c r="CH187"/>
      <c r="CI187"/>
      <c r="CJ187"/>
      <c r="CK187"/>
      <c r="CL187"/>
      <c r="CM187" s="20"/>
      <c r="CN187" s="20"/>
      <c r="CO187" s="20"/>
      <c r="CP187" s="20"/>
      <c r="CQ187" s="20"/>
      <c r="CR187" s="20"/>
      <c r="CS187" s="20"/>
      <c r="CT187" s="20"/>
      <c r="CU187" s="20"/>
      <c r="CV187" s="20"/>
      <c r="CW187" s="20"/>
      <c r="CX187" s="20"/>
      <c r="CY187" s="20"/>
    </row>
    <row r="188" spans="1:103" s="6" customFormat="1">
      <c r="A188"/>
      <c r="B188"/>
      <c r="C188"/>
      <c r="D188"/>
      <c r="E188"/>
      <c r="F188"/>
      <c r="G188"/>
      <c r="H188"/>
      <c r="I188"/>
      <c r="J188"/>
      <c r="N188" s="7"/>
      <c r="O188"/>
      <c r="P188" s="10"/>
      <c r="Q188" s="9"/>
      <c r="R188" s="10"/>
      <c r="S188" s="10"/>
      <c r="AA188" s="11"/>
      <c r="AD188"/>
      <c r="AE188"/>
      <c r="AF188"/>
      <c r="AG188"/>
      <c r="AH188" s="46"/>
      <c r="AI188"/>
      <c r="AJ188"/>
      <c r="AK188"/>
      <c r="AL188"/>
      <c r="AM188"/>
      <c r="AN188"/>
      <c r="AO188"/>
      <c r="AP188"/>
      <c r="AQ188"/>
      <c r="AR188"/>
      <c r="AS188"/>
      <c r="AT188" s="14"/>
      <c r="AU188"/>
      <c r="AV188"/>
      <c r="AW188"/>
      <c r="AX188" s="10"/>
      <c r="AY188" s="20"/>
      <c r="AZ188" s="16"/>
      <c r="BA188"/>
      <c r="BB188"/>
      <c r="BC188" s="16"/>
      <c r="BD188"/>
      <c r="BE188"/>
      <c r="BF188"/>
      <c r="BG188"/>
      <c r="BH188"/>
      <c r="BI188"/>
      <c r="BJ188"/>
      <c r="BK188"/>
      <c r="BL188"/>
      <c r="BM188"/>
      <c r="BN188" s="19"/>
      <c r="BO188"/>
      <c r="BP188"/>
      <c r="BQ188"/>
      <c r="BR188"/>
      <c r="BS188"/>
      <c r="BT188"/>
      <c r="BU188"/>
      <c r="BV188"/>
      <c r="BW188"/>
      <c r="BX188"/>
      <c r="BY188"/>
      <c r="BZ188"/>
      <c r="CA188"/>
      <c r="CB188"/>
      <c r="CC188"/>
      <c r="CD188"/>
      <c r="CE188"/>
      <c r="CF188"/>
      <c r="CG188"/>
      <c r="CH188"/>
      <c r="CI188"/>
      <c r="CJ188"/>
      <c r="CK188"/>
      <c r="CL188"/>
      <c r="CM188" s="20"/>
      <c r="CN188" s="20"/>
      <c r="CO188" s="20"/>
      <c r="CP188" s="20"/>
      <c r="CQ188" s="20"/>
      <c r="CR188" s="20"/>
      <c r="CS188" s="20"/>
      <c r="CT188" s="20"/>
      <c r="CU188" s="20"/>
      <c r="CV188" s="20"/>
      <c r="CW188" s="20"/>
      <c r="CX188" s="20"/>
      <c r="CY188" s="20"/>
    </row>
    <row r="189" spans="1:103" s="6" customFormat="1">
      <c r="A189"/>
      <c r="B189"/>
      <c r="C189"/>
      <c r="D189"/>
      <c r="E189"/>
      <c r="F189"/>
      <c r="G189"/>
      <c r="H189"/>
      <c r="I189"/>
      <c r="J189"/>
      <c r="N189" s="7"/>
      <c r="O189"/>
      <c r="P189" s="10"/>
      <c r="Q189" s="9"/>
      <c r="R189" s="10"/>
      <c r="S189" s="10"/>
      <c r="AA189" s="11"/>
      <c r="AD189"/>
      <c r="AE189"/>
      <c r="AF189"/>
      <c r="AG189"/>
      <c r="AH189" s="46"/>
      <c r="AI189"/>
      <c r="AJ189"/>
      <c r="AK189"/>
      <c r="AL189"/>
      <c r="AM189"/>
      <c r="AN189"/>
      <c r="AO189"/>
      <c r="AP189"/>
      <c r="AQ189"/>
      <c r="AR189"/>
      <c r="AS189"/>
      <c r="AT189" s="14"/>
      <c r="AU189"/>
      <c r="AV189"/>
      <c r="AW189"/>
      <c r="AX189" s="10"/>
      <c r="AY189" s="20"/>
      <c r="AZ189" s="16"/>
      <c r="BA189"/>
      <c r="BB189"/>
      <c r="BC189" s="16"/>
      <c r="BD189"/>
      <c r="BE189"/>
      <c r="BF189"/>
      <c r="BG189"/>
      <c r="BH189"/>
      <c r="BI189"/>
      <c r="BJ189"/>
      <c r="BK189"/>
      <c r="BL189"/>
      <c r="BM189"/>
      <c r="BN189" s="19"/>
      <c r="BO189"/>
      <c r="BP189"/>
      <c r="BQ189"/>
      <c r="BR189"/>
      <c r="BS189"/>
      <c r="BT189"/>
      <c r="BU189"/>
      <c r="BV189"/>
      <c r="BW189"/>
      <c r="BX189"/>
      <c r="BY189"/>
      <c r="BZ189"/>
      <c r="CA189"/>
      <c r="CB189"/>
      <c r="CC189"/>
      <c r="CD189"/>
      <c r="CE189"/>
      <c r="CF189"/>
      <c r="CG189"/>
      <c r="CH189"/>
      <c r="CI189"/>
      <c r="CJ189"/>
      <c r="CK189"/>
      <c r="CL189"/>
      <c r="CM189" s="20"/>
      <c r="CN189" s="20"/>
      <c r="CO189" s="20"/>
      <c r="CP189" s="20"/>
      <c r="CQ189" s="20"/>
      <c r="CR189" s="20"/>
      <c r="CS189" s="20"/>
      <c r="CT189" s="20"/>
      <c r="CU189" s="20"/>
      <c r="CV189" s="20"/>
      <c r="CW189" s="20"/>
      <c r="CX189" s="20"/>
      <c r="CY189" s="20"/>
    </row>
    <row r="190" spans="1:103" s="6" customFormat="1">
      <c r="A190"/>
      <c r="B190"/>
      <c r="C190"/>
      <c r="D190"/>
      <c r="E190"/>
      <c r="F190"/>
      <c r="G190"/>
      <c r="H190"/>
      <c r="I190"/>
      <c r="J190"/>
      <c r="N190" s="7"/>
      <c r="O190"/>
      <c r="P190" s="10"/>
      <c r="Q190" s="9"/>
      <c r="R190" s="10"/>
      <c r="S190" s="10"/>
      <c r="AA190" s="11"/>
      <c r="AD190"/>
      <c r="AE190"/>
      <c r="AF190"/>
      <c r="AG190"/>
      <c r="AH190" s="46"/>
      <c r="AI190"/>
      <c r="AJ190"/>
      <c r="AK190"/>
      <c r="AL190"/>
      <c r="AM190"/>
      <c r="AN190"/>
      <c r="AO190"/>
      <c r="AP190"/>
      <c r="AQ190"/>
      <c r="AR190"/>
      <c r="AS190"/>
      <c r="AT190" s="14"/>
      <c r="AU190"/>
      <c r="AV190"/>
      <c r="AW190"/>
      <c r="AX190" s="10"/>
      <c r="AY190" s="20"/>
      <c r="AZ190" s="16"/>
      <c r="BA190"/>
      <c r="BB190"/>
      <c r="BC190" s="16"/>
      <c r="BD190"/>
      <c r="BE190"/>
      <c r="BF190"/>
      <c r="BG190"/>
      <c r="BH190"/>
      <c r="BI190"/>
      <c r="BJ190"/>
      <c r="BK190"/>
      <c r="BL190"/>
      <c r="BM190"/>
      <c r="BN190" s="19"/>
      <c r="BO190"/>
      <c r="BP190"/>
      <c r="BQ190"/>
      <c r="BR190"/>
      <c r="BS190"/>
      <c r="BT190"/>
      <c r="BU190"/>
      <c r="BV190"/>
      <c r="BW190"/>
      <c r="BX190"/>
      <c r="BY190"/>
      <c r="BZ190"/>
      <c r="CA190"/>
      <c r="CB190"/>
      <c r="CC190"/>
      <c r="CD190"/>
      <c r="CE190"/>
      <c r="CF190"/>
      <c r="CG190"/>
      <c r="CH190"/>
      <c r="CI190"/>
      <c r="CJ190"/>
      <c r="CK190"/>
      <c r="CL190"/>
      <c r="CM190" s="20"/>
      <c r="CN190" s="20"/>
      <c r="CO190" s="20"/>
      <c r="CP190" s="20"/>
      <c r="CQ190" s="20"/>
      <c r="CR190" s="20"/>
      <c r="CS190" s="20"/>
      <c r="CT190" s="20"/>
      <c r="CU190" s="20"/>
      <c r="CV190" s="20"/>
      <c r="CW190" s="20"/>
      <c r="CX190" s="20"/>
      <c r="CY190" s="20"/>
    </row>
    <row r="191" spans="1:103" s="6" customFormat="1">
      <c r="A191"/>
      <c r="B191"/>
      <c r="C191"/>
      <c r="D191"/>
      <c r="E191"/>
      <c r="F191"/>
      <c r="G191"/>
      <c r="H191"/>
      <c r="I191"/>
      <c r="J191"/>
      <c r="N191" s="7"/>
      <c r="O191"/>
      <c r="P191" s="10"/>
      <c r="Q191" s="9"/>
      <c r="R191" s="10"/>
      <c r="S191" s="10"/>
      <c r="AA191" s="11"/>
      <c r="AD191"/>
      <c r="AE191"/>
      <c r="AF191"/>
      <c r="AG191"/>
      <c r="AH191" s="46"/>
      <c r="AI191"/>
      <c r="AJ191"/>
      <c r="AK191"/>
      <c r="AL191"/>
      <c r="AM191"/>
      <c r="AN191"/>
      <c r="AO191"/>
      <c r="AP191"/>
      <c r="AQ191"/>
      <c r="AR191"/>
      <c r="AS191"/>
      <c r="AT191" s="14"/>
      <c r="AU191"/>
      <c r="AV191"/>
      <c r="AW191"/>
      <c r="AX191" s="10"/>
      <c r="AY191" s="20"/>
      <c r="AZ191" s="16"/>
      <c r="BA191"/>
      <c r="BB191"/>
      <c r="BC191" s="16"/>
      <c r="BD191"/>
      <c r="BE191"/>
      <c r="BF191"/>
      <c r="BG191"/>
      <c r="BH191"/>
      <c r="BI191"/>
      <c r="BJ191"/>
      <c r="BK191"/>
      <c r="BL191"/>
      <c r="BM191"/>
      <c r="BN191" s="19"/>
      <c r="BO191"/>
      <c r="BP191"/>
      <c r="BQ191"/>
      <c r="BR191"/>
      <c r="BS191"/>
      <c r="BT191"/>
      <c r="BU191"/>
      <c r="BV191"/>
      <c r="BW191"/>
      <c r="BX191"/>
      <c r="BY191"/>
      <c r="BZ191"/>
      <c r="CA191"/>
      <c r="CB191"/>
      <c r="CC191"/>
      <c r="CD191"/>
      <c r="CE191"/>
      <c r="CF191"/>
      <c r="CG191"/>
      <c r="CH191"/>
      <c r="CI191"/>
      <c r="CJ191"/>
      <c r="CK191"/>
      <c r="CL191"/>
      <c r="CM191" s="20"/>
      <c r="CN191" s="20"/>
      <c r="CO191" s="20"/>
      <c r="CP191" s="20"/>
      <c r="CQ191" s="20"/>
      <c r="CR191" s="20"/>
      <c r="CS191" s="20"/>
      <c r="CT191" s="20"/>
      <c r="CU191" s="20"/>
      <c r="CV191" s="20"/>
      <c r="CW191" s="20"/>
      <c r="CX191" s="20"/>
      <c r="CY191" s="20"/>
    </row>
    <row r="192" spans="1:103" s="6" customFormat="1">
      <c r="A192"/>
      <c r="B192"/>
      <c r="C192"/>
      <c r="D192"/>
      <c r="E192"/>
      <c r="F192"/>
      <c r="G192"/>
      <c r="H192"/>
      <c r="I192"/>
      <c r="J192"/>
      <c r="N192" s="7"/>
      <c r="O192"/>
      <c r="P192" s="10"/>
      <c r="Q192" s="9"/>
      <c r="R192" s="10"/>
      <c r="S192" s="10"/>
      <c r="AA192" s="11"/>
      <c r="AD192"/>
      <c r="AE192"/>
      <c r="AF192"/>
      <c r="AG192"/>
      <c r="AH192" s="46"/>
      <c r="AI192"/>
      <c r="AJ192"/>
      <c r="AK192"/>
      <c r="AL192"/>
      <c r="AM192"/>
      <c r="AN192"/>
      <c r="AO192"/>
      <c r="AP192"/>
      <c r="AQ192"/>
      <c r="AR192"/>
      <c r="AS192"/>
      <c r="AT192" s="14"/>
      <c r="AU192"/>
      <c r="AV192"/>
      <c r="AW192"/>
      <c r="AX192" s="10"/>
      <c r="AY192" s="20"/>
      <c r="AZ192" s="16"/>
      <c r="BA192"/>
      <c r="BB192"/>
      <c r="BC192" s="16"/>
      <c r="BD192"/>
      <c r="BE192"/>
      <c r="BF192"/>
      <c r="BG192"/>
      <c r="BH192"/>
      <c r="BI192"/>
      <c r="BJ192"/>
      <c r="BK192"/>
      <c r="BL192"/>
      <c r="BM192"/>
      <c r="BN192" s="19"/>
      <c r="BO192"/>
      <c r="BP192"/>
      <c r="BQ192"/>
      <c r="BR192"/>
      <c r="BS192"/>
      <c r="BT192"/>
      <c r="BU192"/>
      <c r="BV192"/>
      <c r="BW192"/>
      <c r="BX192"/>
      <c r="BY192"/>
      <c r="BZ192"/>
      <c r="CA192"/>
      <c r="CB192"/>
      <c r="CC192"/>
      <c r="CD192"/>
      <c r="CE192"/>
      <c r="CF192"/>
      <c r="CG192"/>
      <c r="CH192"/>
      <c r="CI192"/>
      <c r="CJ192"/>
      <c r="CK192"/>
      <c r="CL192"/>
      <c r="CM192" s="20"/>
      <c r="CN192" s="20"/>
      <c r="CO192" s="20"/>
      <c r="CP192" s="20"/>
      <c r="CQ192" s="20"/>
      <c r="CR192" s="20"/>
      <c r="CS192" s="20"/>
      <c r="CT192" s="20"/>
      <c r="CU192" s="20"/>
      <c r="CV192" s="20"/>
      <c r="CW192" s="20"/>
      <c r="CX192" s="20"/>
      <c r="CY192" s="20"/>
    </row>
    <row r="193" spans="1:103" s="6" customFormat="1">
      <c r="A193"/>
      <c r="B193"/>
      <c r="C193"/>
      <c r="D193"/>
      <c r="E193"/>
      <c r="F193"/>
      <c r="G193"/>
      <c r="H193"/>
      <c r="I193"/>
      <c r="J193"/>
      <c r="N193" s="7"/>
      <c r="O193"/>
      <c r="P193" s="10"/>
      <c r="Q193" s="9"/>
      <c r="R193" s="10"/>
      <c r="S193" s="10"/>
      <c r="AA193" s="11"/>
      <c r="AD193"/>
      <c r="AE193"/>
      <c r="AF193"/>
      <c r="AG193"/>
      <c r="AH193" s="46"/>
      <c r="AI193"/>
      <c r="AJ193"/>
      <c r="AK193"/>
      <c r="AL193"/>
      <c r="AM193"/>
      <c r="AN193"/>
      <c r="AO193"/>
      <c r="AP193"/>
      <c r="AQ193"/>
      <c r="AR193"/>
      <c r="AS193"/>
      <c r="AT193" s="14"/>
      <c r="AU193"/>
      <c r="AV193"/>
      <c r="AW193"/>
      <c r="AX193" s="10"/>
      <c r="AY193" s="20"/>
      <c r="AZ193" s="16"/>
      <c r="BA193"/>
      <c r="BB193"/>
      <c r="BC193" s="16"/>
      <c r="BD193"/>
      <c r="BE193"/>
      <c r="BF193"/>
      <c r="BG193"/>
      <c r="BH193"/>
      <c r="BI193"/>
      <c r="BJ193"/>
      <c r="BK193"/>
      <c r="BL193"/>
      <c r="BM193"/>
      <c r="BN193" s="19"/>
      <c r="BO193"/>
      <c r="BP193"/>
      <c r="BQ193"/>
      <c r="BR193"/>
      <c r="BS193"/>
      <c r="BT193"/>
      <c r="BU193"/>
      <c r="BV193"/>
      <c r="BW193"/>
      <c r="BX193"/>
      <c r="BY193"/>
      <c r="BZ193"/>
      <c r="CA193"/>
      <c r="CB193"/>
      <c r="CC193"/>
      <c r="CD193"/>
      <c r="CE193"/>
      <c r="CF193"/>
      <c r="CG193"/>
      <c r="CH193"/>
      <c r="CI193"/>
      <c r="CJ193"/>
      <c r="CK193"/>
      <c r="CL193"/>
      <c r="CM193" s="20"/>
      <c r="CN193" s="20"/>
      <c r="CO193" s="20"/>
      <c r="CP193" s="20"/>
      <c r="CQ193" s="20"/>
      <c r="CR193" s="20"/>
      <c r="CS193" s="20"/>
      <c r="CT193" s="20"/>
      <c r="CU193" s="20"/>
      <c r="CV193" s="20"/>
      <c r="CW193" s="20"/>
      <c r="CX193" s="20"/>
      <c r="CY193" s="20"/>
    </row>
    <row r="194" spans="1:103" s="6" customFormat="1">
      <c r="A194"/>
      <c r="B194"/>
      <c r="C194"/>
      <c r="D194"/>
      <c r="E194"/>
      <c r="F194"/>
      <c r="G194"/>
      <c r="H194"/>
      <c r="I194"/>
      <c r="J194"/>
      <c r="N194" s="7"/>
      <c r="O194"/>
      <c r="P194" s="10"/>
      <c r="Q194" s="9"/>
      <c r="R194" s="10"/>
      <c r="S194" s="10"/>
      <c r="AA194" s="11"/>
      <c r="AD194"/>
      <c r="AE194"/>
      <c r="AF194"/>
      <c r="AG194"/>
      <c r="AH194" s="46"/>
      <c r="AI194"/>
      <c r="AJ194"/>
      <c r="AK194"/>
      <c r="AL194"/>
      <c r="AM194"/>
      <c r="AN194"/>
      <c r="AO194"/>
      <c r="AP194"/>
      <c r="AQ194"/>
      <c r="AR194"/>
      <c r="AS194"/>
      <c r="AT194" s="14"/>
      <c r="AU194"/>
      <c r="AV194"/>
      <c r="AW194"/>
      <c r="AX194" s="10"/>
      <c r="AY194" s="20"/>
      <c r="AZ194" s="16"/>
      <c r="BA194"/>
      <c r="BB194"/>
      <c r="BC194" s="16"/>
      <c r="BD194"/>
      <c r="BE194"/>
      <c r="BF194"/>
      <c r="BG194"/>
      <c r="BH194"/>
      <c r="BI194"/>
      <c r="BJ194"/>
      <c r="BK194"/>
      <c r="BL194"/>
      <c r="BM194"/>
      <c r="BN194" s="19"/>
      <c r="BO194"/>
      <c r="BP194"/>
      <c r="BQ194"/>
      <c r="BR194"/>
      <c r="BS194"/>
      <c r="BT194"/>
      <c r="BU194"/>
      <c r="BV194"/>
      <c r="BW194"/>
      <c r="BX194"/>
      <c r="BY194"/>
      <c r="BZ194"/>
      <c r="CA194"/>
      <c r="CB194"/>
      <c r="CC194"/>
      <c r="CD194"/>
      <c r="CE194"/>
      <c r="CF194"/>
      <c r="CG194"/>
      <c r="CH194"/>
      <c r="CI194"/>
      <c r="CJ194"/>
      <c r="CK194"/>
      <c r="CL194"/>
      <c r="CM194" s="20"/>
      <c r="CN194" s="20"/>
      <c r="CO194" s="20"/>
      <c r="CP194" s="20"/>
      <c r="CQ194" s="20"/>
      <c r="CR194" s="20"/>
      <c r="CS194" s="20"/>
      <c r="CT194" s="20"/>
      <c r="CU194" s="20"/>
      <c r="CV194" s="20"/>
      <c r="CW194" s="20"/>
      <c r="CX194" s="20"/>
      <c r="CY194" s="20"/>
    </row>
    <row r="195" spans="1:103" s="6" customFormat="1">
      <c r="A195"/>
      <c r="B195"/>
      <c r="C195"/>
      <c r="D195"/>
      <c r="E195"/>
      <c r="F195"/>
      <c r="G195"/>
      <c r="H195"/>
      <c r="I195"/>
      <c r="J195"/>
      <c r="N195" s="7"/>
      <c r="O195"/>
      <c r="P195" s="10"/>
      <c r="Q195" s="9"/>
      <c r="R195" s="10"/>
      <c r="S195" s="10"/>
      <c r="AA195" s="11"/>
      <c r="AD195"/>
      <c r="AE195"/>
      <c r="AF195"/>
      <c r="AG195"/>
      <c r="AH195" s="46"/>
      <c r="AI195"/>
      <c r="AJ195"/>
      <c r="AK195"/>
      <c r="AL195"/>
      <c r="AM195"/>
      <c r="AN195"/>
      <c r="AO195"/>
      <c r="AP195"/>
      <c r="AQ195"/>
      <c r="AR195"/>
      <c r="AS195"/>
      <c r="AT195" s="14"/>
      <c r="AU195"/>
      <c r="AV195"/>
      <c r="AW195"/>
      <c r="AX195" s="10"/>
      <c r="AY195" s="20"/>
      <c r="AZ195" s="16"/>
      <c r="BA195"/>
      <c r="BB195"/>
      <c r="BC195" s="16"/>
      <c r="BD195"/>
      <c r="BE195"/>
      <c r="BF195"/>
      <c r="BG195"/>
      <c r="BH195"/>
      <c r="BI195"/>
      <c r="BJ195"/>
      <c r="BK195"/>
      <c r="BL195"/>
      <c r="BM195"/>
      <c r="BN195" s="19"/>
      <c r="BO195"/>
      <c r="BP195"/>
      <c r="BQ195"/>
      <c r="BR195"/>
      <c r="BS195"/>
      <c r="BT195"/>
      <c r="BU195"/>
      <c r="BV195"/>
      <c r="BW195"/>
      <c r="BX195"/>
      <c r="BY195"/>
      <c r="BZ195"/>
      <c r="CA195"/>
      <c r="CB195"/>
      <c r="CC195"/>
      <c r="CD195"/>
      <c r="CE195"/>
      <c r="CF195"/>
      <c r="CG195"/>
      <c r="CH195"/>
      <c r="CI195"/>
      <c r="CJ195"/>
      <c r="CK195"/>
      <c r="CL195"/>
      <c r="CM195" s="20"/>
      <c r="CN195" s="20"/>
      <c r="CO195" s="20"/>
      <c r="CP195" s="20"/>
      <c r="CQ195" s="20"/>
      <c r="CR195" s="20"/>
      <c r="CS195" s="20"/>
      <c r="CT195" s="20"/>
      <c r="CU195" s="20"/>
      <c r="CV195" s="20"/>
      <c r="CW195" s="20"/>
      <c r="CX195" s="20"/>
      <c r="CY195" s="20"/>
    </row>
    <row r="196" spans="1:103" s="6" customFormat="1">
      <c r="A196"/>
      <c r="B196"/>
      <c r="C196"/>
      <c r="D196"/>
      <c r="E196"/>
      <c r="F196"/>
      <c r="G196"/>
      <c r="H196"/>
      <c r="I196"/>
      <c r="J196"/>
      <c r="N196" s="7"/>
      <c r="O196"/>
      <c r="P196" s="10"/>
      <c r="Q196" s="9"/>
      <c r="R196" s="10"/>
      <c r="S196" s="10"/>
      <c r="AA196" s="11"/>
      <c r="AD196"/>
      <c r="AE196"/>
      <c r="AF196"/>
      <c r="AG196"/>
      <c r="AH196" s="46"/>
      <c r="AI196"/>
      <c r="AJ196"/>
      <c r="AK196"/>
      <c r="AL196"/>
      <c r="AM196"/>
      <c r="AN196"/>
      <c r="AO196"/>
      <c r="AP196"/>
      <c r="AQ196"/>
      <c r="AR196"/>
      <c r="AS196"/>
      <c r="AT196" s="14"/>
      <c r="AU196"/>
      <c r="AV196"/>
      <c r="AW196"/>
      <c r="AX196" s="10"/>
      <c r="AY196" s="20"/>
      <c r="AZ196" s="16"/>
      <c r="BA196"/>
      <c r="BB196"/>
      <c r="BC196" s="16"/>
      <c r="BD196"/>
      <c r="BE196"/>
      <c r="BF196"/>
      <c r="BG196"/>
      <c r="BH196"/>
      <c r="BI196"/>
      <c r="BJ196"/>
      <c r="BK196"/>
      <c r="BL196"/>
      <c r="BM196"/>
      <c r="BN196" s="19"/>
      <c r="BO196"/>
      <c r="BP196"/>
      <c r="BQ196"/>
      <c r="BR196"/>
      <c r="BS196"/>
      <c r="BT196"/>
      <c r="BU196"/>
      <c r="BV196"/>
      <c r="BW196"/>
      <c r="BX196"/>
      <c r="BY196"/>
      <c r="BZ196"/>
      <c r="CA196"/>
      <c r="CB196"/>
      <c r="CC196"/>
      <c r="CD196"/>
      <c r="CE196"/>
      <c r="CF196"/>
      <c r="CG196"/>
      <c r="CH196"/>
      <c r="CI196"/>
      <c r="CJ196"/>
      <c r="CK196"/>
      <c r="CL196"/>
      <c r="CM196" s="20"/>
      <c r="CN196" s="20"/>
      <c r="CO196" s="20"/>
      <c r="CP196" s="20"/>
      <c r="CQ196" s="20"/>
      <c r="CR196" s="20"/>
      <c r="CS196" s="20"/>
      <c r="CT196" s="20"/>
      <c r="CU196" s="20"/>
      <c r="CV196" s="20"/>
      <c r="CW196" s="20"/>
      <c r="CX196" s="20"/>
      <c r="CY196" s="20"/>
    </row>
    <row r="197" spans="1:103" s="6" customFormat="1">
      <c r="A197"/>
      <c r="B197"/>
      <c r="C197"/>
      <c r="D197"/>
      <c r="E197"/>
      <c r="F197"/>
      <c r="G197"/>
      <c r="H197"/>
      <c r="I197"/>
      <c r="J197"/>
      <c r="N197" s="7"/>
      <c r="O197"/>
      <c r="P197" s="10"/>
      <c r="Q197" s="9"/>
      <c r="R197" s="10"/>
      <c r="S197" s="10"/>
      <c r="AA197" s="11"/>
      <c r="AD197"/>
      <c r="AE197"/>
      <c r="AF197"/>
      <c r="AG197"/>
      <c r="AH197" s="46"/>
      <c r="AI197"/>
      <c r="AJ197"/>
      <c r="AK197"/>
      <c r="AL197"/>
      <c r="AM197"/>
      <c r="AN197"/>
      <c r="AO197"/>
      <c r="AP197"/>
      <c r="AQ197"/>
      <c r="AR197"/>
      <c r="AS197"/>
      <c r="AT197" s="14"/>
      <c r="AU197"/>
      <c r="AV197"/>
      <c r="AW197"/>
      <c r="AX197" s="10"/>
      <c r="AY197" s="20"/>
      <c r="AZ197" s="16"/>
      <c r="BA197"/>
      <c r="BB197"/>
      <c r="BC197" s="16"/>
      <c r="BD197"/>
      <c r="BE197"/>
      <c r="BF197"/>
      <c r="BG197"/>
      <c r="BH197"/>
      <c r="BI197"/>
      <c r="BJ197"/>
      <c r="BK197"/>
      <c r="BL197"/>
      <c r="BM197"/>
      <c r="BN197" s="19"/>
      <c r="BO197"/>
      <c r="BP197"/>
      <c r="BQ197"/>
      <c r="BR197"/>
      <c r="BS197"/>
      <c r="BT197"/>
      <c r="BU197"/>
      <c r="BV197"/>
      <c r="BW197"/>
      <c r="BX197"/>
      <c r="BY197"/>
      <c r="BZ197"/>
      <c r="CA197"/>
      <c r="CB197"/>
      <c r="CC197"/>
      <c r="CD197"/>
      <c r="CE197"/>
      <c r="CF197"/>
      <c r="CG197"/>
      <c r="CH197"/>
      <c r="CI197"/>
      <c r="CJ197"/>
      <c r="CK197"/>
      <c r="CL197"/>
      <c r="CM197" s="20"/>
      <c r="CN197" s="20"/>
      <c r="CO197" s="20"/>
      <c r="CP197" s="20"/>
      <c r="CQ197" s="20"/>
      <c r="CR197" s="20"/>
      <c r="CS197" s="20"/>
      <c r="CT197" s="20"/>
      <c r="CU197" s="20"/>
      <c r="CV197" s="20"/>
      <c r="CW197" s="20"/>
      <c r="CX197" s="20"/>
      <c r="CY197" s="20"/>
    </row>
    <row r="198" spans="1:103" s="6" customFormat="1">
      <c r="A198"/>
      <c r="B198"/>
      <c r="C198"/>
      <c r="D198"/>
      <c r="E198"/>
      <c r="F198"/>
      <c r="G198"/>
      <c r="H198"/>
      <c r="I198"/>
      <c r="J198"/>
      <c r="N198" s="7"/>
      <c r="O198"/>
      <c r="P198" s="10"/>
      <c r="Q198" s="9"/>
      <c r="R198" s="10"/>
      <c r="S198" s="10"/>
      <c r="AA198" s="11"/>
      <c r="AD198"/>
      <c r="AE198"/>
      <c r="AF198"/>
      <c r="AG198"/>
      <c r="AH198" s="46"/>
      <c r="AI198"/>
      <c r="AJ198"/>
      <c r="AK198"/>
      <c r="AL198"/>
      <c r="AM198"/>
      <c r="AN198"/>
      <c r="AO198"/>
      <c r="AP198"/>
      <c r="AQ198"/>
      <c r="AR198"/>
      <c r="AS198"/>
      <c r="AT198" s="14"/>
      <c r="AU198"/>
      <c r="AV198"/>
      <c r="AW198"/>
      <c r="AX198" s="10"/>
      <c r="AY198" s="20"/>
      <c r="AZ198" s="16"/>
      <c r="BA198"/>
      <c r="BB198"/>
      <c r="BC198" s="16"/>
      <c r="BD198"/>
      <c r="BE198"/>
      <c r="BF198"/>
      <c r="BG198"/>
      <c r="BH198"/>
      <c r="BI198"/>
      <c r="BJ198"/>
      <c r="BK198"/>
      <c r="BL198"/>
      <c r="BM198"/>
      <c r="BN198" s="19"/>
      <c r="BO198"/>
      <c r="BP198"/>
      <c r="BQ198"/>
      <c r="BR198"/>
      <c r="BS198"/>
      <c r="BT198"/>
      <c r="BU198"/>
      <c r="BV198"/>
      <c r="BW198"/>
      <c r="BX198"/>
      <c r="BY198"/>
      <c r="BZ198"/>
      <c r="CA198"/>
      <c r="CB198"/>
      <c r="CC198"/>
      <c r="CD198"/>
      <c r="CE198"/>
      <c r="CF198"/>
      <c r="CG198"/>
      <c r="CH198"/>
      <c r="CI198"/>
      <c r="CJ198"/>
      <c r="CK198"/>
      <c r="CL198"/>
      <c r="CM198" s="20"/>
      <c r="CN198" s="20"/>
      <c r="CO198" s="20"/>
      <c r="CP198" s="20"/>
      <c r="CQ198" s="20"/>
      <c r="CR198" s="20"/>
      <c r="CS198" s="20"/>
      <c r="CT198" s="20"/>
      <c r="CU198" s="20"/>
      <c r="CV198" s="20"/>
      <c r="CW198" s="20"/>
      <c r="CX198" s="20"/>
      <c r="CY198" s="20"/>
    </row>
    <row r="199" spans="1:103" s="6" customFormat="1">
      <c r="A199"/>
      <c r="B199"/>
      <c r="C199"/>
      <c r="D199"/>
      <c r="E199"/>
      <c r="F199"/>
      <c r="G199"/>
      <c r="H199"/>
      <c r="I199"/>
      <c r="J199"/>
      <c r="N199" s="7"/>
      <c r="O199"/>
      <c r="P199" s="10"/>
      <c r="Q199" s="9"/>
      <c r="R199" s="10"/>
      <c r="S199" s="10"/>
      <c r="AA199" s="11"/>
      <c r="AD199"/>
      <c r="AE199"/>
      <c r="AF199"/>
      <c r="AG199"/>
      <c r="AH199" s="46"/>
      <c r="AI199"/>
      <c r="AJ199"/>
      <c r="AK199"/>
      <c r="AL199"/>
      <c r="AM199"/>
      <c r="AN199"/>
      <c r="AO199"/>
      <c r="AP199"/>
      <c r="AQ199"/>
      <c r="AR199"/>
      <c r="AS199"/>
      <c r="AT199" s="14"/>
      <c r="AU199"/>
      <c r="AV199"/>
      <c r="AW199"/>
      <c r="AX199" s="10"/>
      <c r="AY199" s="20"/>
      <c r="AZ199" s="16"/>
      <c r="BA199"/>
      <c r="BB199"/>
      <c r="BC199" s="16"/>
      <c r="BD199"/>
      <c r="BE199"/>
      <c r="BF199"/>
      <c r="BG199"/>
      <c r="BH199"/>
      <c r="BI199"/>
      <c r="BJ199"/>
      <c r="BK199"/>
      <c r="BL199"/>
      <c r="BM199"/>
      <c r="BN199" s="19"/>
      <c r="BO199"/>
      <c r="BP199"/>
      <c r="BQ199"/>
      <c r="BR199"/>
      <c r="BS199"/>
      <c r="BT199"/>
      <c r="BU199"/>
      <c r="BV199"/>
      <c r="BW199"/>
      <c r="BX199"/>
      <c r="BY199"/>
      <c r="BZ199"/>
      <c r="CA199"/>
      <c r="CB199"/>
      <c r="CC199"/>
      <c r="CD199"/>
      <c r="CE199"/>
      <c r="CF199"/>
      <c r="CG199"/>
      <c r="CH199"/>
      <c r="CI199"/>
      <c r="CJ199"/>
      <c r="CK199"/>
      <c r="CL199"/>
      <c r="CM199" s="20"/>
      <c r="CN199" s="20"/>
      <c r="CO199" s="20"/>
      <c r="CP199" s="20"/>
      <c r="CQ199" s="20"/>
      <c r="CR199" s="20"/>
      <c r="CS199" s="20"/>
      <c r="CT199" s="20"/>
      <c r="CU199" s="20"/>
      <c r="CV199" s="20"/>
      <c r="CW199" s="20"/>
      <c r="CX199" s="20"/>
      <c r="CY199" s="20"/>
    </row>
    <row r="200" spans="1:103" s="6" customFormat="1">
      <c r="A200"/>
      <c r="B200"/>
      <c r="C200"/>
      <c r="D200"/>
      <c r="E200"/>
      <c r="F200"/>
      <c r="G200"/>
      <c r="H200"/>
      <c r="I200"/>
      <c r="J200"/>
      <c r="N200" s="7"/>
      <c r="O200"/>
      <c r="P200" s="10"/>
      <c r="Q200" s="9"/>
      <c r="R200" s="10"/>
      <c r="S200" s="10"/>
      <c r="AA200" s="11"/>
      <c r="AD200"/>
      <c r="AE200"/>
      <c r="AF200"/>
      <c r="AG200"/>
      <c r="AH200" s="46"/>
      <c r="AI200"/>
      <c r="AJ200"/>
      <c r="AK200"/>
      <c r="AL200"/>
      <c r="AM200"/>
      <c r="AN200"/>
      <c r="AO200"/>
      <c r="AP200"/>
      <c r="AQ200"/>
      <c r="AR200"/>
      <c r="AS200"/>
      <c r="AT200" s="14"/>
      <c r="AU200"/>
      <c r="AV200"/>
      <c r="AW200"/>
      <c r="AX200" s="10"/>
      <c r="AY200" s="20"/>
      <c r="AZ200" s="16"/>
      <c r="BA200"/>
      <c r="BB200"/>
      <c r="BC200" s="16"/>
      <c r="BD200"/>
      <c r="BE200"/>
      <c r="BF200"/>
      <c r="BG200"/>
      <c r="BH200"/>
      <c r="BI200"/>
      <c r="BJ200"/>
      <c r="BK200"/>
      <c r="BL200"/>
      <c r="BM200"/>
      <c r="BN200" s="19"/>
      <c r="BO200"/>
      <c r="BP200"/>
      <c r="BQ200"/>
      <c r="BR200"/>
      <c r="BS200"/>
      <c r="BT200"/>
      <c r="BU200"/>
      <c r="BV200"/>
      <c r="BW200"/>
      <c r="BX200"/>
      <c r="BY200"/>
      <c r="BZ200"/>
      <c r="CA200"/>
      <c r="CB200"/>
      <c r="CC200"/>
      <c r="CD200"/>
      <c r="CE200"/>
      <c r="CF200"/>
      <c r="CG200"/>
      <c r="CH200"/>
      <c r="CI200"/>
      <c r="CJ200"/>
      <c r="CK200"/>
      <c r="CL200"/>
      <c r="CM200" s="20"/>
      <c r="CN200" s="20"/>
      <c r="CO200" s="20"/>
      <c r="CP200" s="20"/>
      <c r="CQ200" s="20"/>
      <c r="CR200" s="20"/>
      <c r="CS200" s="20"/>
      <c r="CT200" s="20"/>
      <c r="CU200" s="20"/>
      <c r="CV200" s="20"/>
      <c r="CW200" s="20"/>
      <c r="CX200" s="20"/>
      <c r="CY200" s="20"/>
    </row>
    <row r="201" spans="1:103" s="6" customFormat="1">
      <c r="A201"/>
      <c r="B201"/>
      <c r="C201"/>
      <c r="D201"/>
      <c r="E201"/>
      <c r="F201"/>
      <c r="G201"/>
      <c r="H201"/>
      <c r="I201"/>
      <c r="J201"/>
      <c r="N201" s="7"/>
      <c r="O201"/>
      <c r="P201" s="10"/>
      <c r="Q201" s="9"/>
      <c r="R201" s="10"/>
      <c r="S201" s="10"/>
      <c r="AA201" s="11"/>
      <c r="AD201"/>
      <c r="AE201"/>
      <c r="AF201"/>
      <c r="AG201"/>
      <c r="AH201" s="46"/>
      <c r="AI201"/>
      <c r="AJ201"/>
      <c r="AK201"/>
      <c r="AL201"/>
      <c r="AM201"/>
      <c r="AN201"/>
      <c r="AO201"/>
      <c r="AP201"/>
      <c r="AQ201"/>
      <c r="AR201"/>
      <c r="AS201"/>
      <c r="AT201" s="14"/>
      <c r="AU201"/>
      <c r="AV201"/>
      <c r="AW201"/>
      <c r="AX201" s="10"/>
      <c r="AY201" s="20"/>
      <c r="AZ201" s="16"/>
      <c r="BA201"/>
      <c r="BB201"/>
      <c r="BC201" s="16"/>
      <c r="BD201"/>
      <c r="BE201"/>
      <c r="BF201"/>
      <c r="BG201"/>
      <c r="BH201"/>
      <c r="BI201"/>
      <c r="BJ201"/>
      <c r="BK201"/>
      <c r="BL201"/>
      <c r="BM201"/>
      <c r="BN201" s="19"/>
      <c r="BO201"/>
      <c r="BP201"/>
      <c r="BQ201"/>
      <c r="BR201"/>
      <c r="BS201"/>
      <c r="BT201"/>
      <c r="BU201"/>
      <c r="BV201"/>
      <c r="BW201"/>
      <c r="BX201"/>
      <c r="BY201"/>
      <c r="BZ201"/>
      <c r="CA201"/>
      <c r="CB201"/>
      <c r="CC201"/>
      <c r="CD201"/>
      <c r="CE201"/>
      <c r="CF201"/>
      <c r="CG201"/>
      <c r="CH201"/>
      <c r="CI201"/>
      <c r="CJ201"/>
      <c r="CK201"/>
      <c r="CL201"/>
      <c r="CM201" s="20"/>
      <c r="CN201" s="20"/>
      <c r="CO201" s="20"/>
      <c r="CP201" s="20"/>
      <c r="CQ201" s="20"/>
      <c r="CR201" s="20"/>
      <c r="CS201" s="20"/>
      <c r="CT201" s="20"/>
      <c r="CU201" s="20"/>
      <c r="CV201" s="20"/>
      <c r="CW201" s="20"/>
      <c r="CX201" s="20"/>
      <c r="CY201" s="20"/>
    </row>
    <row r="202" spans="1:103" s="6" customFormat="1">
      <c r="A202"/>
      <c r="B202"/>
      <c r="C202"/>
      <c r="D202"/>
      <c r="E202"/>
      <c r="F202"/>
      <c r="G202"/>
      <c r="H202"/>
      <c r="I202"/>
      <c r="J202"/>
      <c r="N202" s="7"/>
      <c r="O202"/>
      <c r="P202" s="10"/>
      <c r="Q202" s="9"/>
      <c r="R202" s="10"/>
      <c r="S202" s="10"/>
      <c r="AA202" s="11"/>
      <c r="AD202"/>
      <c r="AE202"/>
      <c r="AF202"/>
      <c r="AG202"/>
      <c r="AH202" s="46"/>
      <c r="AI202"/>
      <c r="AJ202"/>
      <c r="AK202"/>
      <c r="AL202"/>
      <c r="AM202"/>
      <c r="AN202"/>
      <c r="AO202"/>
      <c r="AP202"/>
      <c r="AQ202"/>
      <c r="AR202"/>
      <c r="AS202"/>
      <c r="AT202" s="14"/>
      <c r="AU202"/>
      <c r="AV202"/>
      <c r="AW202"/>
      <c r="AX202" s="10"/>
      <c r="AY202" s="20"/>
      <c r="AZ202" s="16"/>
      <c r="BA202"/>
      <c r="BB202"/>
      <c r="BC202" s="16"/>
      <c r="BD202"/>
      <c r="BE202"/>
      <c r="BF202"/>
      <c r="BG202"/>
      <c r="BH202"/>
      <c r="BI202"/>
      <c r="BJ202"/>
      <c r="BK202"/>
      <c r="BL202"/>
      <c r="BM202"/>
      <c r="BN202" s="19"/>
      <c r="BO202"/>
      <c r="BP202"/>
      <c r="BQ202"/>
      <c r="BR202"/>
      <c r="BS202"/>
      <c r="BT202"/>
      <c r="BU202"/>
      <c r="BV202"/>
      <c r="BW202"/>
      <c r="BX202"/>
      <c r="BY202"/>
      <c r="BZ202"/>
      <c r="CA202"/>
      <c r="CB202"/>
      <c r="CC202"/>
      <c r="CD202"/>
      <c r="CE202"/>
      <c r="CF202"/>
      <c r="CG202"/>
      <c r="CH202"/>
      <c r="CI202"/>
      <c r="CJ202"/>
      <c r="CK202"/>
      <c r="CL202"/>
      <c r="CM202" s="20"/>
      <c r="CN202" s="20"/>
      <c r="CO202" s="20"/>
      <c r="CP202" s="20"/>
      <c r="CQ202" s="20"/>
      <c r="CR202" s="20"/>
      <c r="CS202" s="20"/>
      <c r="CT202" s="20"/>
      <c r="CU202" s="20"/>
      <c r="CV202" s="20"/>
      <c r="CW202" s="20"/>
      <c r="CX202" s="20"/>
      <c r="CY202" s="20"/>
    </row>
    <row r="203" spans="1:103" s="6" customFormat="1">
      <c r="A203"/>
      <c r="B203"/>
      <c r="C203"/>
      <c r="D203"/>
      <c r="E203"/>
      <c r="F203"/>
      <c r="G203"/>
      <c r="H203"/>
      <c r="I203"/>
      <c r="J203"/>
      <c r="N203" s="7"/>
      <c r="O203"/>
      <c r="P203" s="10"/>
      <c r="Q203" s="9"/>
      <c r="R203" s="10"/>
      <c r="S203" s="10"/>
      <c r="AA203" s="11"/>
      <c r="AD203"/>
      <c r="AE203"/>
      <c r="AF203"/>
      <c r="AG203"/>
      <c r="AH203" s="46"/>
      <c r="AI203"/>
      <c r="AJ203"/>
      <c r="AK203"/>
      <c r="AL203"/>
      <c r="AM203"/>
      <c r="AN203"/>
      <c r="AO203"/>
      <c r="AP203"/>
      <c r="AQ203"/>
      <c r="AR203"/>
      <c r="AS203"/>
      <c r="AT203" s="14"/>
      <c r="AU203"/>
      <c r="AV203"/>
      <c r="AW203"/>
      <c r="AX203" s="10"/>
      <c r="AY203" s="20"/>
      <c r="AZ203" s="16"/>
      <c r="BA203"/>
      <c r="BB203"/>
      <c r="BC203" s="16"/>
      <c r="BD203"/>
      <c r="BE203"/>
      <c r="BF203"/>
      <c r="BG203"/>
      <c r="BH203"/>
      <c r="BI203"/>
      <c r="BJ203"/>
      <c r="BK203"/>
      <c r="BL203"/>
      <c r="BM203"/>
      <c r="BN203" s="19"/>
      <c r="BO203"/>
      <c r="BP203"/>
      <c r="BQ203"/>
      <c r="BR203"/>
      <c r="BS203"/>
      <c r="BT203"/>
      <c r="BU203"/>
      <c r="BV203"/>
      <c r="BW203"/>
      <c r="BX203"/>
      <c r="BY203"/>
      <c r="BZ203"/>
      <c r="CA203"/>
      <c r="CB203"/>
      <c r="CC203"/>
      <c r="CD203"/>
      <c r="CE203"/>
      <c r="CF203"/>
      <c r="CG203"/>
      <c r="CH203"/>
      <c r="CI203"/>
      <c r="CJ203"/>
      <c r="CK203"/>
      <c r="CL203"/>
      <c r="CM203" s="20"/>
      <c r="CN203" s="20"/>
      <c r="CO203" s="20"/>
      <c r="CP203" s="20"/>
      <c r="CQ203" s="20"/>
      <c r="CR203" s="20"/>
      <c r="CS203" s="20"/>
      <c r="CT203" s="20"/>
      <c r="CU203" s="20"/>
      <c r="CV203" s="20"/>
      <c r="CW203" s="20"/>
      <c r="CX203" s="20"/>
      <c r="CY203" s="20"/>
    </row>
    <row r="204" spans="1:103" s="6" customFormat="1">
      <c r="A204"/>
      <c r="B204"/>
      <c r="C204"/>
      <c r="D204"/>
      <c r="E204"/>
      <c r="F204"/>
      <c r="G204"/>
      <c r="H204"/>
      <c r="I204"/>
      <c r="J204"/>
      <c r="N204" s="7"/>
      <c r="O204"/>
      <c r="P204" s="10"/>
      <c r="Q204" s="9"/>
      <c r="R204" s="10"/>
      <c r="S204" s="10"/>
      <c r="AA204" s="11"/>
      <c r="AD204"/>
      <c r="AE204"/>
      <c r="AF204"/>
      <c r="AG204"/>
      <c r="AH204" s="46"/>
      <c r="AI204"/>
      <c r="AJ204"/>
      <c r="AK204"/>
      <c r="AL204"/>
      <c r="AM204"/>
      <c r="AN204"/>
      <c r="AO204"/>
      <c r="AP204"/>
      <c r="AQ204"/>
      <c r="AR204"/>
      <c r="AS204"/>
      <c r="AT204" s="14"/>
      <c r="AU204"/>
      <c r="AV204"/>
      <c r="AW204"/>
      <c r="AX204" s="10"/>
      <c r="AY204" s="20"/>
      <c r="AZ204" s="16"/>
      <c r="BA204"/>
      <c r="BB204"/>
      <c r="BC204" s="16"/>
      <c r="BD204"/>
      <c r="BE204"/>
      <c r="BF204"/>
      <c r="BG204"/>
      <c r="BH204"/>
      <c r="BI204"/>
      <c r="BJ204"/>
      <c r="BK204"/>
      <c r="BL204"/>
      <c r="BM204"/>
      <c r="BN204" s="19"/>
      <c r="BO204"/>
      <c r="BP204"/>
      <c r="BQ204"/>
      <c r="BR204"/>
      <c r="BS204"/>
      <c r="BT204"/>
      <c r="BU204"/>
      <c r="BV204"/>
      <c r="BW204"/>
      <c r="BX204"/>
      <c r="BY204"/>
      <c r="BZ204"/>
      <c r="CA204"/>
      <c r="CB204"/>
      <c r="CC204"/>
      <c r="CD204"/>
      <c r="CE204"/>
      <c r="CF204"/>
      <c r="CG204"/>
      <c r="CH204"/>
      <c r="CI204"/>
      <c r="CJ204"/>
      <c r="CK204"/>
      <c r="CL204"/>
      <c r="CM204" s="20"/>
      <c r="CN204" s="20"/>
      <c r="CO204" s="20"/>
      <c r="CP204" s="20"/>
      <c r="CQ204" s="20"/>
      <c r="CR204" s="20"/>
      <c r="CS204" s="20"/>
      <c r="CT204" s="20"/>
      <c r="CU204" s="20"/>
      <c r="CV204" s="20"/>
      <c r="CW204" s="20"/>
      <c r="CX204" s="20"/>
      <c r="CY204" s="20"/>
    </row>
    <row r="205" spans="1:103" s="6" customFormat="1">
      <c r="A205"/>
      <c r="B205"/>
      <c r="C205"/>
      <c r="D205"/>
      <c r="E205"/>
      <c r="F205"/>
      <c r="G205"/>
      <c r="H205"/>
      <c r="I205"/>
      <c r="J205"/>
      <c r="N205" s="7"/>
      <c r="O205"/>
      <c r="P205" s="10"/>
      <c r="Q205" s="9"/>
      <c r="R205" s="10"/>
      <c r="S205" s="10"/>
      <c r="AA205" s="11"/>
      <c r="AD205"/>
      <c r="AE205"/>
      <c r="AF205"/>
      <c r="AG205"/>
      <c r="AH205" s="46"/>
      <c r="AI205"/>
      <c r="AJ205"/>
      <c r="AK205"/>
      <c r="AL205"/>
      <c r="AM205"/>
      <c r="AN205"/>
      <c r="AO205"/>
      <c r="AP205"/>
      <c r="AQ205"/>
      <c r="AR205"/>
      <c r="AS205"/>
      <c r="AT205" s="14"/>
      <c r="AU205"/>
      <c r="AV205"/>
      <c r="AW205"/>
      <c r="AX205" s="10"/>
      <c r="AY205" s="20"/>
      <c r="AZ205" s="16"/>
      <c r="BA205"/>
      <c r="BB205"/>
      <c r="BC205" s="16"/>
      <c r="BD205"/>
      <c r="BE205"/>
      <c r="BF205"/>
      <c r="BG205"/>
      <c r="BH205"/>
      <c r="BI205"/>
      <c r="BJ205"/>
      <c r="BK205"/>
      <c r="BL205"/>
      <c r="BM205"/>
      <c r="BN205" s="19"/>
      <c r="BO205"/>
      <c r="BP205"/>
      <c r="BQ205"/>
      <c r="BR205"/>
      <c r="BS205"/>
      <c r="BT205"/>
      <c r="BU205"/>
      <c r="BV205"/>
      <c r="BW205"/>
      <c r="BX205"/>
      <c r="BY205"/>
      <c r="BZ205"/>
      <c r="CA205"/>
      <c r="CB205"/>
      <c r="CC205"/>
      <c r="CD205"/>
      <c r="CE205"/>
      <c r="CF205"/>
      <c r="CG205"/>
      <c r="CH205"/>
      <c r="CI205"/>
      <c r="CJ205"/>
      <c r="CK205"/>
      <c r="CL205"/>
      <c r="CM205" s="20"/>
      <c r="CN205" s="20"/>
      <c r="CO205" s="20"/>
      <c r="CP205" s="20"/>
      <c r="CQ205" s="20"/>
      <c r="CR205" s="20"/>
      <c r="CS205" s="20"/>
      <c r="CT205" s="20"/>
      <c r="CU205" s="20"/>
      <c r="CV205" s="20"/>
      <c r="CW205" s="20"/>
      <c r="CX205" s="20"/>
      <c r="CY205" s="20"/>
    </row>
    <row r="206" spans="1:103" s="6" customFormat="1">
      <c r="A206"/>
      <c r="B206"/>
      <c r="C206"/>
      <c r="D206"/>
      <c r="E206"/>
      <c r="F206"/>
      <c r="G206"/>
      <c r="H206"/>
      <c r="I206"/>
      <c r="J206"/>
      <c r="N206" s="7"/>
      <c r="O206"/>
      <c r="P206" s="10"/>
      <c r="Q206" s="9"/>
      <c r="R206" s="10"/>
      <c r="S206" s="10"/>
      <c r="AA206" s="11"/>
      <c r="AD206"/>
      <c r="AE206"/>
      <c r="AF206"/>
      <c r="AG206"/>
      <c r="AH206" s="46"/>
      <c r="AI206"/>
      <c r="AJ206"/>
      <c r="AK206"/>
      <c r="AL206"/>
      <c r="AM206"/>
      <c r="AN206"/>
      <c r="AO206"/>
      <c r="AP206"/>
      <c r="AQ206"/>
      <c r="AR206"/>
      <c r="AS206"/>
      <c r="AT206" s="14"/>
      <c r="AU206"/>
      <c r="AV206"/>
      <c r="AW206"/>
      <c r="AX206" s="10"/>
      <c r="AY206" s="20"/>
      <c r="AZ206" s="16"/>
      <c r="BA206"/>
      <c r="BB206"/>
      <c r="BC206" s="16"/>
      <c r="BD206"/>
      <c r="BE206"/>
      <c r="BF206"/>
      <c r="BG206"/>
      <c r="BH206"/>
      <c r="BI206"/>
      <c r="BJ206"/>
      <c r="BK206"/>
      <c r="BL206"/>
      <c r="BM206"/>
      <c r="BN206" s="19"/>
      <c r="BO206"/>
      <c r="BP206"/>
      <c r="BQ206"/>
      <c r="BR206"/>
      <c r="BS206"/>
      <c r="BT206"/>
      <c r="BU206"/>
      <c r="BV206"/>
      <c r="BW206"/>
      <c r="BX206"/>
      <c r="BY206"/>
      <c r="BZ206"/>
      <c r="CA206"/>
      <c r="CB206"/>
      <c r="CC206"/>
      <c r="CD206"/>
      <c r="CE206"/>
      <c r="CF206"/>
      <c r="CG206"/>
      <c r="CH206"/>
      <c r="CI206"/>
      <c r="CJ206"/>
      <c r="CK206"/>
      <c r="CL206"/>
      <c r="CM206" s="20"/>
      <c r="CN206" s="20"/>
      <c r="CO206" s="20"/>
      <c r="CP206" s="20"/>
      <c r="CQ206" s="20"/>
      <c r="CR206" s="20"/>
      <c r="CS206" s="20"/>
      <c r="CT206" s="20"/>
      <c r="CU206" s="20"/>
      <c r="CV206" s="20"/>
      <c r="CW206" s="20"/>
      <c r="CX206" s="20"/>
      <c r="CY206" s="20"/>
    </row>
    <row r="207" spans="1:103" s="6" customFormat="1">
      <c r="A207"/>
      <c r="B207"/>
      <c r="C207"/>
      <c r="D207"/>
      <c r="E207"/>
      <c r="F207"/>
      <c r="G207"/>
      <c r="H207"/>
      <c r="I207"/>
      <c r="J207"/>
      <c r="N207" s="7"/>
      <c r="O207"/>
      <c r="P207" s="10"/>
      <c r="Q207" s="9"/>
      <c r="R207" s="10"/>
      <c r="S207" s="10"/>
      <c r="AA207" s="11"/>
      <c r="AD207"/>
      <c r="AE207"/>
      <c r="AF207"/>
      <c r="AG207"/>
      <c r="AH207" s="46"/>
      <c r="AI207"/>
      <c r="AJ207"/>
      <c r="AK207"/>
      <c r="AL207"/>
      <c r="AM207"/>
      <c r="AN207"/>
      <c r="AO207"/>
      <c r="AP207"/>
      <c r="AQ207"/>
      <c r="AR207"/>
      <c r="AS207"/>
      <c r="AT207" s="14"/>
      <c r="AU207"/>
      <c r="AV207"/>
      <c r="AW207"/>
      <c r="AX207" s="10"/>
      <c r="AY207" s="20"/>
      <c r="AZ207" s="16"/>
      <c r="BA207"/>
      <c r="BB207"/>
      <c r="BC207" s="16"/>
      <c r="BD207"/>
      <c r="BE207"/>
      <c r="BF207"/>
      <c r="BG207"/>
      <c r="BH207"/>
      <c r="BI207"/>
      <c r="BJ207"/>
      <c r="BK207"/>
      <c r="BL207"/>
      <c r="BM207"/>
      <c r="BN207" s="19"/>
      <c r="BO207"/>
      <c r="BP207"/>
      <c r="BQ207"/>
      <c r="BR207"/>
      <c r="BS207"/>
      <c r="BT207"/>
      <c r="BU207"/>
      <c r="BV207"/>
      <c r="BW207"/>
      <c r="BX207"/>
      <c r="BY207"/>
      <c r="BZ207"/>
      <c r="CA207"/>
      <c r="CB207"/>
      <c r="CC207"/>
      <c r="CD207"/>
      <c r="CE207"/>
      <c r="CF207"/>
      <c r="CG207"/>
      <c r="CH207"/>
      <c r="CI207"/>
      <c r="CJ207"/>
      <c r="CK207"/>
      <c r="CL207"/>
      <c r="CM207" s="20"/>
      <c r="CN207" s="20"/>
      <c r="CO207" s="20"/>
      <c r="CP207" s="20"/>
      <c r="CQ207" s="20"/>
      <c r="CR207" s="20"/>
      <c r="CS207" s="20"/>
      <c r="CT207" s="20"/>
      <c r="CU207" s="20"/>
      <c r="CV207" s="20"/>
      <c r="CW207" s="20"/>
      <c r="CX207" s="20"/>
      <c r="CY207" s="20"/>
    </row>
    <row r="208" spans="1:103" s="6" customFormat="1">
      <c r="A208"/>
      <c r="B208"/>
      <c r="C208"/>
      <c r="D208"/>
      <c r="E208"/>
      <c r="F208"/>
      <c r="G208"/>
      <c r="H208"/>
      <c r="I208"/>
      <c r="J208"/>
      <c r="N208" s="7"/>
      <c r="O208"/>
      <c r="P208" s="10"/>
      <c r="Q208" s="9"/>
      <c r="R208" s="10"/>
      <c r="S208" s="10"/>
      <c r="AA208" s="11"/>
      <c r="AD208"/>
      <c r="AE208"/>
      <c r="AF208"/>
      <c r="AG208"/>
      <c r="AH208" s="46"/>
      <c r="AI208"/>
      <c r="AJ208"/>
      <c r="AK208"/>
      <c r="AL208"/>
      <c r="AM208"/>
      <c r="AN208"/>
      <c r="AO208"/>
      <c r="AP208"/>
      <c r="AQ208"/>
      <c r="AR208"/>
      <c r="AS208"/>
      <c r="AT208" s="14"/>
      <c r="AU208"/>
      <c r="AV208"/>
      <c r="AW208"/>
      <c r="AX208" s="10"/>
      <c r="AY208" s="20"/>
      <c r="AZ208" s="16"/>
      <c r="BA208"/>
      <c r="BB208"/>
      <c r="BC208" s="16"/>
      <c r="BD208"/>
      <c r="BE208"/>
      <c r="BF208"/>
      <c r="BG208"/>
      <c r="BH208"/>
      <c r="BI208"/>
      <c r="BJ208"/>
      <c r="BK208"/>
      <c r="BL208"/>
      <c r="BM208"/>
      <c r="BN208" s="19"/>
      <c r="BO208"/>
      <c r="BP208"/>
      <c r="BQ208"/>
      <c r="BR208"/>
      <c r="BS208"/>
      <c r="BT208"/>
      <c r="BU208"/>
      <c r="BV208"/>
      <c r="BW208"/>
      <c r="BX208"/>
      <c r="BY208"/>
      <c r="BZ208"/>
      <c r="CA208"/>
      <c r="CB208"/>
      <c r="CC208"/>
      <c r="CD208"/>
      <c r="CE208"/>
      <c r="CF208"/>
      <c r="CG208"/>
      <c r="CH208"/>
      <c r="CI208"/>
      <c r="CJ208"/>
      <c r="CK208"/>
      <c r="CL208"/>
      <c r="CM208" s="20"/>
      <c r="CN208" s="20"/>
      <c r="CO208" s="20"/>
      <c r="CP208" s="20"/>
      <c r="CQ208" s="20"/>
      <c r="CR208" s="20"/>
      <c r="CS208" s="20"/>
      <c r="CT208" s="20"/>
      <c r="CU208" s="20"/>
      <c r="CV208" s="20"/>
      <c r="CW208" s="20"/>
      <c r="CX208" s="20"/>
      <c r="CY208" s="20"/>
    </row>
    <row r="209" spans="1:103" s="6" customFormat="1">
      <c r="A209"/>
      <c r="B209"/>
      <c r="C209"/>
      <c r="D209"/>
      <c r="E209"/>
      <c r="F209"/>
      <c r="G209"/>
      <c r="H209"/>
      <c r="I209"/>
      <c r="J209"/>
      <c r="N209" s="7"/>
      <c r="O209"/>
      <c r="P209" s="10"/>
      <c r="Q209" s="9"/>
      <c r="R209" s="10"/>
      <c r="S209" s="10"/>
      <c r="AA209" s="11"/>
      <c r="AD209"/>
      <c r="AE209"/>
      <c r="AF209"/>
      <c r="AG209"/>
      <c r="AH209" s="46"/>
      <c r="AI209"/>
      <c r="AJ209"/>
      <c r="AK209"/>
      <c r="AL209"/>
      <c r="AM209"/>
      <c r="AN209"/>
      <c r="AO209"/>
      <c r="AP209"/>
      <c r="AQ209"/>
      <c r="AR209"/>
      <c r="AS209"/>
      <c r="AT209" s="14"/>
      <c r="AU209"/>
      <c r="AV209"/>
      <c r="AW209"/>
      <c r="AX209" s="10"/>
      <c r="AY209" s="20"/>
      <c r="AZ209" s="16"/>
      <c r="BA209"/>
      <c r="BB209"/>
      <c r="BC209" s="16"/>
      <c r="BD209"/>
      <c r="BE209"/>
      <c r="BF209"/>
      <c r="BG209"/>
      <c r="BH209"/>
      <c r="BI209"/>
      <c r="BJ209"/>
      <c r="BK209"/>
      <c r="BL209"/>
      <c r="BM209"/>
      <c r="BN209" s="19"/>
      <c r="BO209"/>
      <c r="BP209"/>
      <c r="BQ209"/>
      <c r="BR209"/>
      <c r="BS209"/>
      <c r="BT209"/>
      <c r="BU209"/>
      <c r="BV209"/>
      <c r="BW209"/>
      <c r="BX209"/>
      <c r="BY209"/>
      <c r="BZ209"/>
      <c r="CA209"/>
      <c r="CB209"/>
      <c r="CC209"/>
      <c r="CD209"/>
      <c r="CE209"/>
      <c r="CF209"/>
      <c r="CG209"/>
      <c r="CH209"/>
      <c r="CI209"/>
      <c r="CJ209"/>
      <c r="CK209"/>
      <c r="CL209"/>
      <c r="CM209" s="20"/>
      <c r="CN209" s="20"/>
      <c r="CO209" s="20"/>
      <c r="CP209" s="20"/>
      <c r="CQ209" s="20"/>
      <c r="CR209" s="20"/>
      <c r="CS209" s="20"/>
      <c r="CT209" s="20"/>
      <c r="CU209" s="20"/>
      <c r="CV209" s="20"/>
      <c r="CW209" s="20"/>
      <c r="CX209" s="20"/>
      <c r="CY209" s="20"/>
    </row>
    <row r="210" spans="1:103" s="6" customFormat="1">
      <c r="A210"/>
      <c r="B210"/>
      <c r="C210"/>
      <c r="D210"/>
      <c r="E210"/>
      <c r="F210"/>
      <c r="G210"/>
      <c r="H210"/>
      <c r="I210"/>
      <c r="J210"/>
      <c r="N210" s="7"/>
      <c r="O210"/>
      <c r="P210" s="10"/>
      <c r="Q210" s="9"/>
      <c r="R210" s="10"/>
      <c r="S210" s="10"/>
      <c r="AA210" s="11"/>
      <c r="AD210"/>
      <c r="AE210"/>
      <c r="AF210"/>
      <c r="AG210"/>
      <c r="AH210" s="46"/>
      <c r="AI210"/>
      <c r="AJ210"/>
      <c r="AK210"/>
      <c r="AL210"/>
      <c r="AM210"/>
      <c r="AN210"/>
      <c r="AO210"/>
      <c r="AP210"/>
      <c r="AQ210"/>
      <c r="AR210"/>
      <c r="AS210"/>
      <c r="AT210" s="14"/>
      <c r="AU210"/>
      <c r="AV210"/>
      <c r="AW210"/>
      <c r="AX210" s="10"/>
      <c r="AY210" s="20"/>
      <c r="AZ210" s="16"/>
      <c r="BA210"/>
      <c r="BB210"/>
      <c r="BC210" s="16"/>
      <c r="BD210"/>
      <c r="BE210"/>
      <c r="BF210"/>
      <c r="BG210"/>
      <c r="BH210"/>
      <c r="BI210"/>
      <c r="BJ210"/>
      <c r="BK210"/>
      <c r="BL210"/>
      <c r="BM210"/>
      <c r="BN210" s="19"/>
      <c r="BO210"/>
      <c r="BP210"/>
      <c r="BQ210"/>
      <c r="BR210"/>
      <c r="BS210"/>
      <c r="BT210"/>
      <c r="BU210"/>
      <c r="BV210"/>
      <c r="BW210"/>
      <c r="BX210"/>
      <c r="BY210"/>
      <c r="BZ210"/>
      <c r="CA210"/>
      <c r="CB210"/>
      <c r="CC210"/>
      <c r="CD210"/>
      <c r="CE210"/>
      <c r="CF210"/>
      <c r="CG210"/>
      <c r="CH210"/>
      <c r="CI210"/>
      <c r="CJ210"/>
      <c r="CK210"/>
      <c r="CL210"/>
      <c r="CM210" s="20"/>
      <c r="CN210" s="20"/>
      <c r="CO210" s="20"/>
      <c r="CP210" s="20"/>
      <c r="CQ210" s="20"/>
      <c r="CR210" s="20"/>
      <c r="CS210" s="20"/>
      <c r="CT210" s="20"/>
      <c r="CU210" s="20"/>
      <c r="CV210" s="20"/>
      <c r="CW210" s="20"/>
      <c r="CX210" s="20"/>
      <c r="CY210" s="20"/>
    </row>
    <row r="211" spans="1:103" s="6" customFormat="1">
      <c r="A211"/>
      <c r="B211"/>
      <c r="C211"/>
      <c r="D211"/>
      <c r="E211"/>
      <c r="F211"/>
      <c r="G211"/>
      <c r="H211"/>
      <c r="I211"/>
      <c r="J211"/>
      <c r="N211" s="7"/>
      <c r="O211"/>
      <c r="P211" s="10"/>
      <c r="Q211" s="9"/>
      <c r="R211" s="10"/>
      <c r="S211" s="10"/>
      <c r="AA211" s="11"/>
      <c r="AD211"/>
      <c r="AE211"/>
      <c r="AF211"/>
      <c r="AG211"/>
      <c r="AH211" s="46"/>
      <c r="AI211"/>
      <c r="AJ211"/>
      <c r="AK211"/>
      <c r="AL211"/>
      <c r="AM211"/>
      <c r="AN211"/>
      <c r="AO211"/>
      <c r="AP211"/>
      <c r="AQ211"/>
      <c r="AR211"/>
      <c r="AS211"/>
      <c r="AT211" s="14"/>
      <c r="AU211"/>
      <c r="AV211"/>
      <c r="AW211"/>
      <c r="AX211" s="10"/>
      <c r="AY211" s="20"/>
      <c r="AZ211" s="16"/>
      <c r="BA211"/>
      <c r="BB211"/>
      <c r="BC211" s="16"/>
      <c r="BD211"/>
      <c r="BE211"/>
      <c r="BF211"/>
      <c r="BG211"/>
      <c r="BH211"/>
      <c r="BI211"/>
      <c r="BJ211"/>
      <c r="BK211"/>
      <c r="BL211"/>
      <c r="BM211"/>
      <c r="BN211" s="19"/>
      <c r="BO211"/>
      <c r="BP211"/>
      <c r="BQ211"/>
      <c r="BR211"/>
      <c r="BS211"/>
      <c r="BT211"/>
      <c r="BU211"/>
      <c r="BV211"/>
      <c r="BW211"/>
      <c r="BX211"/>
      <c r="BY211"/>
      <c r="BZ211"/>
      <c r="CA211"/>
      <c r="CB211"/>
      <c r="CC211"/>
      <c r="CD211"/>
      <c r="CE211"/>
      <c r="CF211"/>
      <c r="CG211"/>
      <c r="CH211"/>
      <c r="CI211"/>
      <c r="CJ211"/>
      <c r="CK211"/>
      <c r="CL211"/>
      <c r="CM211" s="20"/>
      <c r="CN211" s="20"/>
      <c r="CO211" s="20"/>
      <c r="CP211" s="20"/>
      <c r="CQ211" s="20"/>
      <c r="CR211" s="20"/>
      <c r="CS211" s="20"/>
      <c r="CT211" s="20"/>
      <c r="CU211" s="20"/>
      <c r="CV211" s="20"/>
      <c r="CW211" s="20"/>
      <c r="CX211" s="20"/>
      <c r="CY211" s="20"/>
    </row>
    <row r="212" spans="1:103" s="6" customFormat="1">
      <c r="A212"/>
      <c r="B212"/>
      <c r="C212"/>
      <c r="D212"/>
      <c r="E212"/>
      <c r="F212"/>
      <c r="G212"/>
      <c r="H212"/>
      <c r="I212"/>
      <c r="J212"/>
      <c r="N212" s="7"/>
      <c r="O212"/>
      <c r="P212" s="10"/>
      <c r="Q212" s="9"/>
      <c r="R212" s="10"/>
      <c r="S212" s="10"/>
      <c r="AA212" s="11"/>
      <c r="AD212"/>
      <c r="AE212"/>
      <c r="AF212"/>
      <c r="AG212"/>
      <c r="AH212" s="46"/>
      <c r="AI212"/>
      <c r="AJ212"/>
      <c r="AK212"/>
      <c r="AL212"/>
      <c r="AM212"/>
      <c r="AN212"/>
      <c r="AO212"/>
      <c r="AP212"/>
      <c r="AQ212"/>
      <c r="AR212"/>
      <c r="AS212"/>
      <c r="AT212" s="14"/>
      <c r="AU212"/>
      <c r="AV212"/>
      <c r="AW212"/>
      <c r="AX212" s="10"/>
      <c r="AY212" s="20"/>
      <c r="AZ212" s="16"/>
      <c r="BA212"/>
      <c r="BB212"/>
      <c r="BC212" s="16"/>
      <c r="BD212"/>
      <c r="BE212"/>
      <c r="BF212"/>
      <c r="BG212"/>
      <c r="BH212"/>
      <c r="BI212"/>
      <c r="BJ212"/>
      <c r="BK212"/>
      <c r="BL212"/>
      <c r="BM212"/>
      <c r="BN212" s="19"/>
      <c r="BO212"/>
      <c r="BP212"/>
      <c r="BQ212"/>
      <c r="BR212"/>
      <c r="BS212"/>
      <c r="BT212"/>
      <c r="BU212"/>
      <c r="BV212"/>
      <c r="BW212"/>
      <c r="BX212"/>
      <c r="BY212"/>
      <c r="BZ212"/>
      <c r="CA212"/>
      <c r="CB212"/>
      <c r="CC212"/>
      <c r="CD212"/>
      <c r="CE212"/>
      <c r="CF212"/>
      <c r="CG212"/>
      <c r="CH212"/>
      <c r="CI212"/>
      <c r="CJ212"/>
      <c r="CK212"/>
      <c r="CL212"/>
      <c r="CM212" s="20"/>
      <c r="CN212" s="20"/>
      <c r="CO212" s="20"/>
      <c r="CP212" s="20"/>
      <c r="CQ212" s="20"/>
      <c r="CR212" s="20"/>
      <c r="CS212" s="20"/>
      <c r="CT212" s="20"/>
      <c r="CU212" s="20"/>
      <c r="CV212" s="20"/>
      <c r="CW212" s="20"/>
      <c r="CX212" s="20"/>
      <c r="CY212" s="20"/>
    </row>
    <row r="213" spans="1:103" s="6" customFormat="1">
      <c r="A213"/>
      <c r="B213"/>
      <c r="C213"/>
      <c r="D213"/>
      <c r="E213"/>
      <c r="F213"/>
      <c r="G213"/>
      <c r="H213"/>
      <c r="I213"/>
      <c r="J213"/>
      <c r="N213" s="7"/>
      <c r="O213"/>
      <c r="P213" s="10"/>
      <c r="Q213" s="9"/>
      <c r="R213" s="10"/>
      <c r="S213" s="10"/>
      <c r="AA213" s="11"/>
      <c r="AD213"/>
      <c r="AE213"/>
      <c r="AF213"/>
      <c r="AG213"/>
      <c r="AH213" s="46"/>
      <c r="AI213"/>
      <c r="AJ213"/>
      <c r="AK213"/>
      <c r="AL213"/>
      <c r="AM213"/>
      <c r="AN213"/>
      <c r="AO213"/>
      <c r="AP213"/>
      <c r="AQ213"/>
      <c r="AR213"/>
      <c r="AS213"/>
      <c r="AT213" s="14"/>
      <c r="AU213"/>
      <c r="AV213"/>
      <c r="AW213"/>
      <c r="AX213" s="10"/>
      <c r="AY213" s="20"/>
      <c r="AZ213" s="16"/>
      <c r="BA213"/>
      <c r="BB213"/>
      <c r="BC213" s="16"/>
      <c r="BD213"/>
      <c r="BE213"/>
      <c r="BF213"/>
      <c r="BG213"/>
      <c r="BH213"/>
      <c r="BI213"/>
      <c r="BJ213"/>
      <c r="BK213"/>
      <c r="BL213"/>
      <c r="BM213"/>
      <c r="BN213" s="19"/>
      <c r="BO213"/>
      <c r="BP213"/>
      <c r="BQ213"/>
      <c r="BR213"/>
      <c r="BS213"/>
      <c r="BT213"/>
      <c r="BU213"/>
      <c r="BV213"/>
      <c r="BW213"/>
      <c r="BX213"/>
      <c r="BY213"/>
      <c r="BZ213"/>
      <c r="CA213"/>
      <c r="CB213"/>
      <c r="CC213"/>
      <c r="CD213"/>
      <c r="CE213"/>
      <c r="CF213"/>
      <c r="CG213"/>
      <c r="CH213"/>
      <c r="CI213"/>
      <c r="CJ213"/>
      <c r="CK213"/>
      <c r="CL213"/>
      <c r="CM213" s="20"/>
      <c r="CN213" s="20"/>
      <c r="CO213" s="20"/>
      <c r="CP213" s="20"/>
      <c r="CQ213" s="20"/>
      <c r="CR213" s="20"/>
      <c r="CS213" s="20"/>
      <c r="CT213" s="20"/>
      <c r="CU213" s="20"/>
      <c r="CV213" s="20"/>
      <c r="CW213" s="20"/>
      <c r="CX213" s="20"/>
      <c r="CY213" s="20"/>
    </row>
    <row r="214" spans="1:103" s="6" customFormat="1">
      <c r="A214"/>
      <c r="B214"/>
      <c r="C214"/>
      <c r="D214"/>
      <c r="E214"/>
      <c r="F214"/>
      <c r="G214"/>
      <c r="H214"/>
      <c r="I214"/>
      <c r="J214"/>
      <c r="N214" s="7"/>
      <c r="O214"/>
      <c r="P214" s="10"/>
      <c r="Q214" s="9"/>
      <c r="R214" s="10"/>
      <c r="S214" s="10"/>
      <c r="AA214" s="11"/>
      <c r="AD214"/>
      <c r="AE214"/>
      <c r="AF214"/>
      <c r="AG214"/>
      <c r="AH214" s="46"/>
      <c r="AI214"/>
      <c r="AJ214"/>
      <c r="AK214"/>
      <c r="AL214"/>
      <c r="AM214"/>
      <c r="AN214"/>
      <c r="AO214"/>
      <c r="AP214"/>
      <c r="AQ214"/>
      <c r="AR214"/>
      <c r="AS214"/>
      <c r="AT214" s="14"/>
      <c r="AU214"/>
      <c r="AV214"/>
      <c r="AW214"/>
      <c r="AX214" s="10"/>
      <c r="AY214" s="20"/>
      <c r="AZ214" s="16"/>
      <c r="BA214"/>
      <c r="BB214"/>
      <c r="BC214" s="16"/>
      <c r="BD214"/>
      <c r="BE214"/>
      <c r="BF214"/>
      <c r="BG214"/>
      <c r="BH214"/>
      <c r="BI214"/>
      <c r="BJ214"/>
      <c r="BK214"/>
      <c r="BL214"/>
      <c r="BM214"/>
      <c r="BN214" s="19"/>
      <c r="BO214"/>
      <c r="BP214"/>
      <c r="BQ214"/>
      <c r="BR214"/>
      <c r="BS214"/>
      <c r="BT214"/>
      <c r="BU214"/>
      <c r="BV214"/>
      <c r="BW214"/>
      <c r="BX214"/>
      <c r="BY214"/>
      <c r="BZ214"/>
      <c r="CA214"/>
      <c r="CB214"/>
      <c r="CC214"/>
      <c r="CD214"/>
      <c r="CE214"/>
      <c r="CF214"/>
      <c r="CG214"/>
      <c r="CH214"/>
      <c r="CI214"/>
      <c r="CJ214"/>
      <c r="CK214"/>
      <c r="CL214"/>
      <c r="CM214" s="20"/>
      <c r="CN214" s="20"/>
      <c r="CO214" s="20"/>
      <c r="CP214" s="20"/>
      <c r="CQ214" s="20"/>
      <c r="CR214" s="20"/>
      <c r="CS214" s="20"/>
      <c r="CT214" s="20"/>
      <c r="CU214" s="20"/>
      <c r="CV214" s="20"/>
      <c r="CW214" s="20"/>
      <c r="CX214" s="20"/>
      <c r="CY214" s="20"/>
    </row>
    <row r="215" spans="1:103" s="6" customFormat="1">
      <c r="A215"/>
      <c r="B215"/>
      <c r="C215"/>
      <c r="D215"/>
      <c r="E215"/>
      <c r="F215"/>
      <c r="G215"/>
      <c r="H215"/>
      <c r="I215"/>
      <c r="J215"/>
      <c r="N215" s="7"/>
      <c r="O215"/>
      <c r="P215" s="10"/>
      <c r="Q215" s="9"/>
      <c r="R215" s="10"/>
      <c r="S215" s="10"/>
      <c r="AA215" s="11"/>
      <c r="AD215"/>
      <c r="AE215"/>
      <c r="AF215"/>
      <c r="AG215"/>
      <c r="AH215" s="46"/>
      <c r="AI215"/>
      <c r="AJ215"/>
      <c r="AK215"/>
      <c r="AL215"/>
      <c r="AM215"/>
      <c r="AN215"/>
      <c r="AO215"/>
      <c r="AP215"/>
      <c r="AQ215"/>
      <c r="AR215"/>
      <c r="AS215"/>
      <c r="AT215" s="14"/>
      <c r="AU215"/>
      <c r="AV215"/>
      <c r="AW215"/>
      <c r="AX215" s="10"/>
      <c r="AY215" s="20"/>
      <c r="AZ215" s="16"/>
      <c r="BA215"/>
      <c r="BB215"/>
      <c r="BC215" s="16"/>
      <c r="BD215"/>
      <c r="BE215"/>
      <c r="BF215"/>
      <c r="BG215"/>
      <c r="BH215"/>
      <c r="BI215"/>
      <c r="BJ215"/>
      <c r="BK215"/>
      <c r="BL215"/>
      <c r="BM215"/>
      <c r="BN215" s="19"/>
      <c r="BO215"/>
      <c r="BP215"/>
      <c r="BQ215"/>
      <c r="BR215"/>
      <c r="BS215"/>
      <c r="BT215"/>
      <c r="BU215"/>
      <c r="BV215"/>
      <c r="BW215"/>
      <c r="BX215"/>
      <c r="BY215"/>
      <c r="BZ215"/>
      <c r="CA215"/>
      <c r="CB215"/>
      <c r="CC215"/>
      <c r="CD215"/>
      <c r="CE215"/>
      <c r="CF215"/>
      <c r="CG215"/>
      <c r="CH215"/>
      <c r="CI215"/>
      <c r="CJ215"/>
      <c r="CK215"/>
      <c r="CL215"/>
      <c r="CM215" s="20"/>
      <c r="CN215" s="20"/>
      <c r="CO215" s="20"/>
      <c r="CP215" s="20"/>
      <c r="CQ215" s="20"/>
      <c r="CR215" s="20"/>
      <c r="CS215" s="20"/>
      <c r="CT215" s="20"/>
      <c r="CU215" s="20"/>
      <c r="CV215" s="20"/>
      <c r="CW215" s="20"/>
      <c r="CX215" s="20"/>
      <c r="CY215" s="20"/>
    </row>
    <row r="216" spans="1:103" s="6" customFormat="1">
      <c r="A216"/>
      <c r="B216"/>
      <c r="C216"/>
      <c r="D216"/>
      <c r="E216"/>
      <c r="F216"/>
      <c r="G216"/>
      <c r="H216"/>
      <c r="I216"/>
      <c r="J216"/>
      <c r="N216" s="7"/>
      <c r="O216"/>
      <c r="P216" s="10"/>
      <c r="Q216" s="9"/>
      <c r="R216" s="10"/>
      <c r="S216" s="10"/>
      <c r="AA216" s="11"/>
      <c r="AD216"/>
      <c r="AE216"/>
      <c r="AF216"/>
      <c r="AG216"/>
      <c r="AH216" s="46"/>
      <c r="AI216"/>
      <c r="AJ216"/>
      <c r="AK216"/>
      <c r="AL216"/>
      <c r="AM216"/>
      <c r="AN216"/>
      <c r="AO216"/>
      <c r="AP216"/>
      <c r="AQ216"/>
      <c r="AR216"/>
      <c r="AS216"/>
      <c r="AT216" s="14"/>
      <c r="AU216"/>
      <c r="AV216"/>
      <c r="AW216"/>
      <c r="AX216" s="10"/>
      <c r="AY216" s="20"/>
      <c r="AZ216" s="16"/>
      <c r="BA216"/>
      <c r="BB216"/>
      <c r="BC216" s="16"/>
      <c r="BD216"/>
      <c r="BE216"/>
      <c r="BF216"/>
      <c r="BG216"/>
      <c r="BH216"/>
      <c r="BI216"/>
      <c r="BJ216"/>
      <c r="BK216"/>
      <c r="BL216"/>
      <c r="BM216"/>
      <c r="BN216" s="19"/>
      <c r="BO216"/>
      <c r="BP216"/>
      <c r="BQ216"/>
      <c r="BR216"/>
      <c r="BS216"/>
      <c r="BT216"/>
      <c r="BU216"/>
      <c r="BV216"/>
      <c r="BW216"/>
      <c r="BX216"/>
      <c r="BY216"/>
      <c r="BZ216"/>
      <c r="CA216"/>
      <c r="CB216"/>
      <c r="CC216"/>
      <c r="CD216"/>
      <c r="CE216"/>
      <c r="CF216"/>
      <c r="CG216"/>
      <c r="CH216"/>
      <c r="CI216"/>
      <c r="CJ216"/>
      <c r="CK216"/>
      <c r="CL216"/>
      <c r="CM216" s="20"/>
      <c r="CN216" s="20"/>
      <c r="CO216" s="20"/>
      <c r="CP216" s="20"/>
      <c r="CQ216" s="20"/>
      <c r="CR216" s="20"/>
      <c r="CS216" s="20"/>
      <c r="CT216" s="20"/>
      <c r="CU216" s="20"/>
      <c r="CV216" s="20"/>
      <c r="CW216" s="20"/>
      <c r="CX216" s="20"/>
      <c r="CY216" s="20"/>
    </row>
    <row r="217" spans="1:103" s="6" customFormat="1">
      <c r="A217"/>
      <c r="B217"/>
      <c r="C217"/>
      <c r="D217"/>
      <c r="E217"/>
      <c r="F217"/>
      <c r="G217"/>
      <c r="H217"/>
      <c r="I217"/>
      <c r="J217"/>
      <c r="N217" s="7"/>
      <c r="O217"/>
      <c r="P217" s="10"/>
      <c r="Q217" s="9"/>
      <c r="R217" s="10"/>
      <c r="S217" s="10"/>
      <c r="AA217" s="11"/>
      <c r="AD217"/>
      <c r="AE217"/>
      <c r="AF217"/>
      <c r="AG217"/>
      <c r="AH217" s="46"/>
      <c r="AI217"/>
      <c r="AJ217"/>
      <c r="AK217"/>
      <c r="AL217"/>
      <c r="AM217"/>
      <c r="AN217"/>
      <c r="AO217"/>
      <c r="AP217"/>
      <c r="AQ217"/>
      <c r="AR217"/>
      <c r="AS217"/>
      <c r="AT217" s="14"/>
      <c r="AU217"/>
      <c r="AV217"/>
      <c r="AW217"/>
      <c r="AX217" s="10"/>
      <c r="AY217" s="20"/>
      <c r="AZ217" s="16"/>
      <c r="BA217"/>
      <c r="BB217"/>
      <c r="BC217" s="16"/>
      <c r="BD217"/>
      <c r="BE217"/>
      <c r="BF217"/>
      <c r="BG217"/>
      <c r="BH217"/>
      <c r="BI217"/>
      <c r="BJ217"/>
      <c r="BK217"/>
      <c r="BL217"/>
      <c r="BM217"/>
      <c r="BN217" s="19"/>
      <c r="BO217"/>
      <c r="BP217"/>
      <c r="BQ217"/>
      <c r="BR217"/>
      <c r="BS217"/>
      <c r="BT217"/>
      <c r="BU217"/>
      <c r="BV217"/>
      <c r="BW217"/>
      <c r="BX217"/>
      <c r="BY217"/>
      <c r="BZ217"/>
      <c r="CA217"/>
      <c r="CB217"/>
      <c r="CC217"/>
      <c r="CD217"/>
      <c r="CE217"/>
      <c r="CF217"/>
      <c r="CG217"/>
      <c r="CH217"/>
      <c r="CI217"/>
      <c r="CJ217"/>
      <c r="CK217"/>
      <c r="CL217"/>
      <c r="CM217" s="20"/>
      <c r="CN217" s="20"/>
      <c r="CO217" s="20"/>
      <c r="CP217" s="20"/>
      <c r="CQ217" s="20"/>
      <c r="CR217" s="20"/>
      <c r="CS217" s="20"/>
      <c r="CT217" s="20"/>
      <c r="CU217" s="20"/>
      <c r="CV217" s="20"/>
      <c r="CW217" s="20"/>
      <c r="CX217" s="20"/>
      <c r="CY217" s="20"/>
    </row>
    <row r="218" spans="1:103" s="6" customFormat="1">
      <c r="A218"/>
      <c r="B218"/>
      <c r="C218"/>
      <c r="D218"/>
      <c r="E218"/>
      <c r="F218"/>
      <c r="G218"/>
      <c r="H218"/>
      <c r="I218"/>
      <c r="J218"/>
      <c r="N218" s="7"/>
      <c r="O218"/>
      <c r="P218" s="10"/>
      <c r="Q218" s="9"/>
      <c r="R218" s="10"/>
      <c r="S218" s="10"/>
      <c r="AA218" s="11"/>
      <c r="AD218"/>
      <c r="AE218"/>
      <c r="AF218"/>
      <c r="AG218"/>
      <c r="AH218" s="46"/>
      <c r="AI218"/>
      <c r="AJ218"/>
      <c r="AK218"/>
      <c r="AL218"/>
      <c r="AM218"/>
      <c r="AN218"/>
      <c r="AO218"/>
      <c r="AP218"/>
      <c r="AQ218"/>
      <c r="AR218"/>
      <c r="AS218"/>
      <c r="AT218" s="14"/>
      <c r="AU218"/>
      <c r="AV218"/>
      <c r="AW218"/>
      <c r="AX218" s="10"/>
      <c r="AY218" s="20"/>
      <c r="AZ218" s="16"/>
      <c r="BA218"/>
      <c r="BB218"/>
      <c r="BC218" s="16"/>
      <c r="BD218"/>
      <c r="BE218"/>
      <c r="BF218"/>
      <c r="BG218"/>
      <c r="BH218"/>
      <c r="BI218"/>
      <c r="BJ218"/>
      <c r="BK218"/>
      <c r="BL218"/>
      <c r="BM218"/>
      <c r="BN218" s="19"/>
      <c r="BO218"/>
      <c r="BP218"/>
      <c r="BQ218"/>
      <c r="BR218"/>
      <c r="BS218"/>
      <c r="BT218"/>
      <c r="BU218"/>
      <c r="BV218"/>
      <c r="BW218"/>
      <c r="BX218"/>
      <c r="BY218"/>
      <c r="BZ218"/>
      <c r="CA218"/>
      <c r="CB218"/>
      <c r="CC218"/>
      <c r="CD218"/>
      <c r="CE218"/>
      <c r="CF218"/>
      <c r="CG218"/>
      <c r="CH218"/>
      <c r="CI218"/>
      <c r="CJ218"/>
      <c r="CK218"/>
      <c r="CL218"/>
      <c r="CM218" s="20"/>
      <c r="CN218" s="20"/>
      <c r="CO218" s="20"/>
      <c r="CP218" s="20"/>
      <c r="CQ218" s="20"/>
      <c r="CR218" s="20"/>
      <c r="CS218" s="20"/>
      <c r="CT218" s="20"/>
      <c r="CU218" s="20"/>
      <c r="CV218" s="20"/>
      <c r="CW218" s="20"/>
      <c r="CX218" s="20"/>
      <c r="CY218" s="20"/>
    </row>
    <row r="219" spans="1:103" s="6" customFormat="1">
      <c r="A219"/>
      <c r="B219"/>
      <c r="C219"/>
      <c r="D219"/>
      <c r="E219"/>
      <c r="F219"/>
      <c r="G219"/>
      <c r="H219"/>
      <c r="I219"/>
      <c r="J219"/>
      <c r="N219" s="7"/>
      <c r="O219"/>
      <c r="P219" s="10"/>
      <c r="Q219" s="9"/>
      <c r="R219" s="10"/>
      <c r="S219" s="10"/>
      <c r="AA219" s="11"/>
      <c r="AD219"/>
      <c r="AE219"/>
      <c r="AF219"/>
      <c r="AG219"/>
      <c r="AH219" s="46"/>
      <c r="AI219"/>
      <c r="AJ219"/>
      <c r="AK219"/>
      <c r="AL219"/>
      <c r="AM219"/>
      <c r="AN219"/>
      <c r="AO219"/>
      <c r="AP219"/>
      <c r="AQ219"/>
      <c r="AR219"/>
      <c r="AS219"/>
      <c r="AT219" s="14"/>
      <c r="AU219"/>
      <c r="AV219"/>
      <c r="AW219"/>
      <c r="AX219" s="10"/>
      <c r="AY219" s="20"/>
      <c r="AZ219" s="16"/>
      <c r="BA219"/>
      <c r="BB219"/>
      <c r="BC219" s="16"/>
      <c r="BD219"/>
      <c r="BE219"/>
      <c r="BF219"/>
      <c r="BG219"/>
      <c r="BH219"/>
      <c r="BI219"/>
      <c r="BJ219"/>
      <c r="BK219"/>
      <c r="BL219"/>
      <c r="BM219"/>
      <c r="BN219" s="19"/>
      <c r="BO219"/>
      <c r="BP219"/>
      <c r="BQ219"/>
      <c r="BR219"/>
      <c r="BS219"/>
      <c r="BT219"/>
      <c r="BU219"/>
      <c r="BV219"/>
      <c r="BW219"/>
      <c r="BX219"/>
      <c r="BY219"/>
      <c r="BZ219"/>
      <c r="CA219"/>
      <c r="CB219"/>
      <c r="CC219"/>
      <c r="CD219"/>
      <c r="CE219"/>
      <c r="CF219"/>
      <c r="CG219"/>
      <c r="CH219"/>
      <c r="CI219"/>
      <c r="CJ219"/>
      <c r="CK219"/>
      <c r="CL219"/>
      <c r="CM219" s="20"/>
      <c r="CN219" s="20"/>
      <c r="CO219" s="20"/>
      <c r="CP219" s="20"/>
      <c r="CQ219" s="20"/>
      <c r="CR219" s="20"/>
      <c r="CS219" s="20"/>
      <c r="CT219" s="20"/>
      <c r="CU219" s="20"/>
      <c r="CV219" s="20"/>
      <c r="CW219" s="20"/>
      <c r="CX219" s="20"/>
      <c r="CY219" s="20"/>
    </row>
    <row r="220" spans="1:103" s="6" customFormat="1">
      <c r="A220"/>
      <c r="B220"/>
      <c r="C220"/>
      <c r="D220"/>
      <c r="E220"/>
      <c r="F220"/>
      <c r="G220"/>
      <c r="H220"/>
      <c r="I220"/>
      <c r="J220"/>
      <c r="N220" s="7"/>
      <c r="O220"/>
      <c r="P220" s="10"/>
      <c r="Q220" s="9"/>
      <c r="R220" s="10"/>
      <c r="S220" s="10"/>
      <c r="AA220" s="11"/>
      <c r="AD220"/>
      <c r="AE220"/>
      <c r="AF220"/>
      <c r="AG220"/>
      <c r="AH220" s="46"/>
      <c r="AI220"/>
      <c r="AJ220"/>
      <c r="AK220"/>
      <c r="AL220"/>
      <c r="AM220"/>
      <c r="AN220"/>
      <c r="AO220"/>
      <c r="AP220"/>
      <c r="AQ220"/>
      <c r="AR220"/>
      <c r="AS220"/>
      <c r="AT220" s="14"/>
      <c r="AU220"/>
      <c r="AV220"/>
      <c r="AW220"/>
      <c r="AX220" s="10"/>
      <c r="AY220" s="20"/>
      <c r="AZ220" s="16"/>
      <c r="BA220"/>
      <c r="BB220"/>
      <c r="BC220" s="16"/>
      <c r="BD220"/>
      <c r="BE220"/>
      <c r="BF220"/>
      <c r="BG220"/>
      <c r="BH220"/>
      <c r="BI220"/>
      <c r="BJ220"/>
      <c r="BK220"/>
      <c r="BL220"/>
      <c r="BM220"/>
      <c r="BN220" s="19"/>
      <c r="BO220"/>
      <c r="BP220"/>
      <c r="BQ220"/>
      <c r="BR220"/>
      <c r="BS220"/>
      <c r="BT220"/>
      <c r="BU220"/>
      <c r="BV220"/>
      <c r="BW220"/>
      <c r="BX220"/>
      <c r="BY220"/>
      <c r="BZ220"/>
      <c r="CA220"/>
      <c r="CB220"/>
      <c r="CC220"/>
      <c r="CD220"/>
      <c r="CE220"/>
      <c r="CF220"/>
      <c r="CG220"/>
      <c r="CH220"/>
      <c r="CI220"/>
      <c r="CJ220"/>
      <c r="CK220"/>
      <c r="CL220"/>
      <c r="CM220" s="20"/>
      <c r="CN220" s="20"/>
      <c r="CO220" s="20"/>
      <c r="CP220" s="20"/>
      <c r="CQ220" s="20"/>
      <c r="CR220" s="20"/>
      <c r="CS220" s="20"/>
      <c r="CT220" s="20"/>
      <c r="CU220" s="20"/>
      <c r="CV220" s="20"/>
      <c r="CW220" s="20"/>
      <c r="CX220" s="20"/>
      <c r="CY220" s="20"/>
    </row>
    <row r="221" spans="1:103" s="6" customFormat="1">
      <c r="A221"/>
      <c r="B221"/>
      <c r="C221"/>
      <c r="D221"/>
      <c r="E221"/>
      <c r="F221"/>
      <c r="G221"/>
      <c r="H221"/>
      <c r="I221"/>
      <c r="J221"/>
      <c r="N221" s="7"/>
      <c r="O221"/>
      <c r="P221" s="10"/>
      <c r="Q221" s="9"/>
      <c r="R221" s="10"/>
      <c r="S221" s="10"/>
      <c r="AA221" s="11"/>
      <c r="AD221"/>
      <c r="AE221"/>
      <c r="AF221"/>
      <c r="AG221"/>
      <c r="AH221" s="46"/>
      <c r="AI221"/>
      <c r="AJ221"/>
      <c r="AK221"/>
      <c r="AL221"/>
      <c r="AM221"/>
      <c r="AN221"/>
      <c r="AO221"/>
      <c r="AP221"/>
      <c r="AQ221"/>
      <c r="AR221"/>
      <c r="AS221"/>
      <c r="AT221" s="14"/>
      <c r="AU221"/>
      <c r="AV221"/>
      <c r="AW221"/>
      <c r="AX221" s="10"/>
      <c r="AY221" s="20"/>
      <c r="AZ221" s="16"/>
      <c r="BA221"/>
      <c r="BB221"/>
      <c r="BC221" s="16"/>
      <c r="BD221"/>
      <c r="BE221"/>
      <c r="BF221"/>
      <c r="BG221"/>
      <c r="BH221"/>
      <c r="BI221"/>
      <c r="BJ221"/>
      <c r="BK221"/>
      <c r="BL221"/>
      <c r="BM221"/>
      <c r="BN221" s="19"/>
      <c r="BO221"/>
      <c r="BP221"/>
      <c r="BQ221"/>
      <c r="BR221"/>
      <c r="BS221"/>
      <c r="BT221"/>
      <c r="BU221"/>
      <c r="BV221"/>
      <c r="BW221"/>
      <c r="BX221"/>
      <c r="BY221"/>
      <c r="BZ221"/>
      <c r="CA221"/>
      <c r="CB221"/>
      <c r="CC221"/>
      <c r="CD221"/>
      <c r="CE221"/>
      <c r="CF221"/>
      <c r="CG221"/>
      <c r="CH221"/>
      <c r="CI221"/>
      <c r="CJ221"/>
      <c r="CK221"/>
      <c r="CL221"/>
      <c r="CM221" s="20"/>
      <c r="CN221" s="20"/>
      <c r="CO221" s="20"/>
      <c r="CP221" s="20"/>
      <c r="CQ221" s="20"/>
      <c r="CR221" s="20"/>
      <c r="CS221" s="20"/>
      <c r="CT221" s="20"/>
      <c r="CU221" s="20"/>
      <c r="CV221" s="20"/>
      <c r="CW221" s="20"/>
      <c r="CX221" s="20"/>
      <c r="CY221" s="20"/>
    </row>
    <row r="222" spans="1:103" s="6" customFormat="1">
      <c r="A222"/>
      <c r="B222"/>
      <c r="C222"/>
      <c r="D222"/>
      <c r="E222"/>
      <c r="F222"/>
      <c r="G222"/>
      <c r="H222"/>
      <c r="I222"/>
      <c r="J222"/>
      <c r="N222" s="7"/>
      <c r="O222"/>
      <c r="P222" s="10"/>
      <c r="Q222" s="9"/>
      <c r="R222" s="10"/>
      <c r="S222" s="10"/>
      <c r="AA222" s="11"/>
      <c r="AD222"/>
      <c r="AE222"/>
      <c r="AF222"/>
      <c r="AG222"/>
      <c r="AH222" s="46"/>
      <c r="AI222"/>
      <c r="AJ222"/>
      <c r="AK222"/>
      <c r="AL222"/>
      <c r="AM222"/>
      <c r="AN222"/>
      <c r="AO222"/>
      <c r="AP222"/>
      <c r="AQ222"/>
      <c r="AR222"/>
      <c r="AS222"/>
      <c r="AT222" s="14"/>
      <c r="AU222"/>
      <c r="AV222"/>
      <c r="AW222"/>
      <c r="AX222" s="10"/>
      <c r="AY222" s="20"/>
      <c r="AZ222" s="16"/>
      <c r="BA222"/>
      <c r="BB222"/>
      <c r="BC222" s="16"/>
      <c r="BD222"/>
      <c r="BE222"/>
      <c r="BF222"/>
      <c r="BG222"/>
      <c r="BH222"/>
      <c r="BI222"/>
      <c r="BJ222"/>
      <c r="BK222"/>
      <c r="BL222"/>
      <c r="BM222"/>
      <c r="BN222" s="19"/>
      <c r="BO222"/>
      <c r="BP222"/>
      <c r="BQ222"/>
      <c r="BR222"/>
      <c r="BS222"/>
      <c r="BT222"/>
      <c r="BU222"/>
      <c r="BV222"/>
      <c r="BW222"/>
      <c r="BX222"/>
      <c r="BY222"/>
      <c r="BZ222"/>
      <c r="CA222"/>
      <c r="CB222"/>
      <c r="CC222"/>
      <c r="CD222"/>
      <c r="CE222"/>
      <c r="CF222"/>
      <c r="CG222"/>
      <c r="CH222"/>
      <c r="CI222"/>
      <c r="CJ222"/>
      <c r="CK222"/>
      <c r="CL222"/>
      <c r="CM222" s="20"/>
      <c r="CN222" s="20"/>
      <c r="CO222" s="20"/>
      <c r="CP222" s="20"/>
      <c r="CQ222" s="20"/>
      <c r="CR222" s="20"/>
      <c r="CS222" s="20"/>
      <c r="CT222" s="20"/>
      <c r="CU222" s="20"/>
      <c r="CV222" s="20"/>
      <c r="CW222" s="20"/>
      <c r="CX222" s="20"/>
      <c r="CY222" s="20"/>
    </row>
    <row r="223" spans="1:103" s="6" customFormat="1">
      <c r="A223"/>
      <c r="B223"/>
      <c r="C223"/>
      <c r="D223"/>
      <c r="E223"/>
      <c r="F223"/>
      <c r="G223"/>
      <c r="H223"/>
      <c r="I223"/>
      <c r="J223"/>
      <c r="N223" s="7"/>
      <c r="O223"/>
      <c r="P223" s="10"/>
      <c r="Q223" s="9"/>
      <c r="R223" s="10"/>
      <c r="S223" s="10"/>
      <c r="AA223" s="11"/>
      <c r="AD223"/>
      <c r="AE223"/>
      <c r="AF223"/>
      <c r="AG223"/>
      <c r="AH223" s="46"/>
      <c r="AI223"/>
      <c r="AJ223"/>
      <c r="AK223"/>
      <c r="AL223"/>
      <c r="AM223"/>
      <c r="AN223"/>
      <c r="AO223"/>
      <c r="AP223"/>
      <c r="AQ223"/>
      <c r="AR223"/>
      <c r="AS223"/>
      <c r="AT223" s="14"/>
      <c r="AU223"/>
      <c r="AV223"/>
      <c r="AW223"/>
      <c r="AX223" s="10"/>
      <c r="AY223" s="20"/>
      <c r="AZ223" s="16"/>
      <c r="BA223"/>
      <c r="BB223"/>
      <c r="BC223" s="16"/>
      <c r="BD223"/>
      <c r="BE223"/>
      <c r="BF223"/>
      <c r="BG223"/>
      <c r="BH223"/>
      <c r="BI223"/>
      <c r="BJ223"/>
      <c r="BK223"/>
      <c r="BL223"/>
      <c r="BM223"/>
      <c r="BN223" s="19"/>
      <c r="BO223"/>
      <c r="BP223"/>
      <c r="BQ223"/>
      <c r="BR223"/>
      <c r="BS223"/>
      <c r="BT223"/>
      <c r="BU223"/>
      <c r="BV223"/>
      <c r="BW223"/>
      <c r="BX223"/>
      <c r="BY223"/>
      <c r="BZ223"/>
      <c r="CA223"/>
      <c r="CB223"/>
      <c r="CC223"/>
      <c r="CD223"/>
      <c r="CE223"/>
      <c r="CF223"/>
      <c r="CG223"/>
      <c r="CH223"/>
      <c r="CI223"/>
      <c r="CJ223"/>
      <c r="CK223"/>
      <c r="CL223"/>
      <c r="CM223" s="20"/>
      <c r="CN223" s="20"/>
      <c r="CO223" s="20"/>
      <c r="CP223" s="20"/>
      <c r="CQ223" s="20"/>
      <c r="CR223" s="20"/>
      <c r="CS223" s="20"/>
      <c r="CT223" s="20"/>
      <c r="CU223" s="20"/>
      <c r="CV223" s="20"/>
      <c r="CW223" s="20"/>
      <c r="CX223" s="20"/>
      <c r="CY223" s="20"/>
    </row>
    <row r="224" spans="1:103" s="6" customFormat="1">
      <c r="A224"/>
      <c r="B224"/>
      <c r="C224"/>
      <c r="D224"/>
      <c r="E224"/>
      <c r="F224"/>
      <c r="G224"/>
      <c r="H224"/>
      <c r="I224"/>
      <c r="J224"/>
      <c r="N224" s="7"/>
      <c r="O224"/>
      <c r="P224" s="10"/>
      <c r="Q224" s="9"/>
      <c r="R224" s="10"/>
      <c r="S224" s="10"/>
      <c r="AA224" s="11"/>
      <c r="AD224"/>
      <c r="AE224"/>
      <c r="AF224"/>
      <c r="AG224"/>
      <c r="AH224" s="46"/>
      <c r="AI224"/>
      <c r="AJ224"/>
      <c r="AK224"/>
      <c r="AL224"/>
      <c r="AM224"/>
      <c r="AN224"/>
      <c r="AO224"/>
      <c r="AP224"/>
      <c r="AQ224"/>
      <c r="AR224"/>
      <c r="AS224"/>
      <c r="AT224" s="14"/>
      <c r="AU224"/>
      <c r="AV224"/>
      <c r="AW224"/>
      <c r="AX224" s="10"/>
      <c r="AY224" s="20"/>
      <c r="AZ224" s="16"/>
      <c r="BA224"/>
      <c r="BB224"/>
      <c r="BC224" s="16"/>
      <c r="BD224"/>
      <c r="BE224"/>
      <c r="BF224"/>
      <c r="BG224"/>
      <c r="BH224"/>
      <c r="BI224"/>
      <c r="BJ224"/>
      <c r="BK224"/>
      <c r="BL224"/>
      <c r="BM224"/>
      <c r="BN224" s="19"/>
      <c r="BO224"/>
      <c r="BP224"/>
      <c r="BQ224"/>
      <c r="BR224"/>
      <c r="BS224"/>
      <c r="BT224"/>
      <c r="BU224"/>
      <c r="BV224"/>
      <c r="BW224"/>
      <c r="BX224"/>
      <c r="BY224"/>
      <c r="BZ224"/>
      <c r="CA224"/>
      <c r="CB224"/>
      <c r="CC224"/>
      <c r="CD224"/>
      <c r="CE224"/>
      <c r="CF224"/>
      <c r="CG224"/>
      <c r="CH224"/>
      <c r="CI224"/>
      <c r="CJ224"/>
      <c r="CK224"/>
      <c r="CL224"/>
      <c r="CM224" s="20"/>
      <c r="CN224" s="20"/>
      <c r="CO224" s="20"/>
      <c r="CP224" s="20"/>
      <c r="CQ224" s="20"/>
      <c r="CR224" s="20"/>
      <c r="CS224" s="20"/>
      <c r="CT224" s="20"/>
      <c r="CU224" s="20"/>
      <c r="CV224" s="20"/>
      <c r="CW224" s="20"/>
      <c r="CX224" s="20"/>
      <c r="CY224" s="20"/>
    </row>
    <row r="225" spans="1:103" s="6" customFormat="1">
      <c r="A225"/>
      <c r="B225"/>
      <c r="C225"/>
      <c r="D225"/>
      <c r="E225"/>
      <c r="F225"/>
      <c r="G225"/>
      <c r="H225"/>
      <c r="I225"/>
      <c r="J225"/>
      <c r="N225" s="7"/>
      <c r="O225"/>
      <c r="P225" s="10"/>
      <c r="Q225" s="9"/>
      <c r="R225" s="10"/>
      <c r="S225" s="10"/>
      <c r="AA225" s="11"/>
      <c r="AD225"/>
      <c r="AE225"/>
      <c r="AF225"/>
      <c r="AG225"/>
      <c r="AH225" s="46"/>
      <c r="AI225"/>
      <c r="AJ225"/>
      <c r="AK225"/>
      <c r="AL225"/>
      <c r="AM225"/>
      <c r="AN225"/>
      <c r="AO225"/>
      <c r="AP225"/>
      <c r="AQ225"/>
      <c r="AR225"/>
      <c r="AS225"/>
      <c r="AT225" s="14"/>
      <c r="AU225"/>
      <c r="AV225"/>
      <c r="AW225"/>
      <c r="AX225" s="10"/>
      <c r="AY225" s="20"/>
      <c r="AZ225" s="16"/>
      <c r="BA225"/>
      <c r="BB225"/>
      <c r="BC225" s="16"/>
      <c r="BD225"/>
      <c r="BE225"/>
      <c r="BF225"/>
      <c r="BG225"/>
      <c r="BH225"/>
      <c r="BI225"/>
      <c r="BJ225"/>
      <c r="BK225"/>
      <c r="BL225"/>
      <c r="BM225"/>
      <c r="BN225" s="19"/>
      <c r="BO225"/>
      <c r="BP225"/>
      <c r="BQ225"/>
      <c r="BR225"/>
      <c r="BS225"/>
      <c r="BT225"/>
      <c r="BU225"/>
      <c r="BV225"/>
      <c r="BW225"/>
      <c r="BX225"/>
      <c r="BY225"/>
      <c r="BZ225"/>
      <c r="CA225"/>
      <c r="CB225"/>
      <c r="CC225"/>
      <c r="CD225"/>
      <c r="CE225"/>
      <c r="CF225"/>
      <c r="CG225"/>
      <c r="CH225"/>
      <c r="CI225"/>
      <c r="CJ225"/>
      <c r="CK225"/>
      <c r="CL225"/>
      <c r="CM225" s="20"/>
      <c r="CN225" s="20"/>
      <c r="CO225" s="20"/>
      <c r="CP225" s="20"/>
      <c r="CQ225" s="20"/>
      <c r="CR225" s="20"/>
      <c r="CS225" s="20"/>
      <c r="CT225" s="20"/>
      <c r="CU225" s="20"/>
      <c r="CV225" s="20"/>
      <c r="CW225" s="20"/>
      <c r="CX225" s="20"/>
      <c r="CY225" s="20"/>
    </row>
    <row r="226" spans="1:103" s="6" customFormat="1">
      <c r="A226"/>
      <c r="B226"/>
      <c r="C226"/>
      <c r="D226"/>
      <c r="E226"/>
      <c r="F226"/>
      <c r="G226"/>
      <c r="H226"/>
      <c r="I226"/>
      <c r="J226"/>
      <c r="N226" s="7"/>
      <c r="O226"/>
      <c r="P226" s="10"/>
      <c r="Q226" s="9"/>
      <c r="R226" s="10"/>
      <c r="S226" s="10"/>
      <c r="AA226" s="11"/>
      <c r="AD226"/>
      <c r="AE226"/>
      <c r="AF226"/>
      <c r="AG226"/>
      <c r="AH226" s="46"/>
      <c r="AI226"/>
      <c r="AJ226"/>
      <c r="AK226"/>
      <c r="AL226"/>
      <c r="AM226"/>
      <c r="AN226"/>
      <c r="AO226"/>
      <c r="AP226"/>
      <c r="AQ226"/>
      <c r="AR226"/>
      <c r="AS226"/>
      <c r="AT226" s="14"/>
      <c r="AU226"/>
      <c r="AV226"/>
      <c r="AW226"/>
      <c r="AX226" s="10"/>
      <c r="AY226" s="20"/>
      <c r="AZ226" s="16"/>
      <c r="BA226"/>
      <c r="BB226"/>
      <c r="BC226" s="16"/>
      <c r="BD226"/>
      <c r="BE226"/>
      <c r="BF226"/>
      <c r="BG226"/>
      <c r="BH226"/>
      <c r="BI226"/>
      <c r="BJ226"/>
      <c r="BK226"/>
      <c r="BL226"/>
      <c r="BM226"/>
      <c r="BN226" s="19"/>
      <c r="BO226"/>
      <c r="BP226"/>
      <c r="BQ226"/>
      <c r="BR226"/>
      <c r="BS226"/>
      <c r="BT226"/>
      <c r="BU226"/>
      <c r="BV226"/>
      <c r="BW226"/>
      <c r="BX226"/>
      <c r="BY226"/>
      <c r="BZ226"/>
      <c r="CA226"/>
      <c r="CB226"/>
      <c r="CC226"/>
      <c r="CD226"/>
      <c r="CE226"/>
      <c r="CF226"/>
      <c r="CG226"/>
      <c r="CH226"/>
      <c r="CI226"/>
      <c r="CJ226"/>
      <c r="CK226"/>
      <c r="CL226"/>
      <c r="CM226" s="20"/>
      <c r="CN226" s="20"/>
      <c r="CO226" s="20"/>
      <c r="CP226" s="20"/>
      <c r="CQ226" s="20"/>
      <c r="CR226" s="20"/>
      <c r="CS226" s="20"/>
      <c r="CT226" s="20"/>
      <c r="CU226" s="20"/>
      <c r="CV226" s="20"/>
      <c r="CW226" s="20"/>
      <c r="CX226" s="20"/>
      <c r="CY226" s="20"/>
    </row>
    <row r="227" spans="1:103" s="6" customFormat="1">
      <c r="A227"/>
      <c r="B227"/>
      <c r="C227"/>
      <c r="D227"/>
      <c r="E227"/>
      <c r="F227"/>
      <c r="G227"/>
      <c r="H227"/>
      <c r="I227"/>
      <c r="J227"/>
      <c r="N227" s="7"/>
      <c r="O227"/>
      <c r="P227" s="10"/>
      <c r="Q227" s="9"/>
      <c r="R227" s="10"/>
      <c r="S227" s="10"/>
      <c r="AA227" s="11"/>
      <c r="AD227"/>
      <c r="AE227"/>
      <c r="AF227"/>
      <c r="AG227"/>
      <c r="AH227" s="46"/>
      <c r="AI227"/>
      <c r="AJ227"/>
      <c r="AK227"/>
      <c r="AL227"/>
      <c r="AM227"/>
      <c r="AN227"/>
      <c r="AO227"/>
      <c r="AP227"/>
      <c r="AQ227"/>
      <c r="AR227"/>
      <c r="AS227"/>
      <c r="AT227" s="14"/>
      <c r="AU227"/>
      <c r="AV227"/>
      <c r="AW227"/>
      <c r="AX227" s="10"/>
      <c r="AY227" s="20"/>
      <c r="AZ227" s="16"/>
      <c r="BA227"/>
      <c r="BB227"/>
      <c r="BC227" s="16"/>
      <c r="BD227"/>
      <c r="BE227"/>
      <c r="BF227"/>
      <c r="BG227"/>
      <c r="BH227"/>
      <c r="BI227"/>
      <c r="BJ227"/>
      <c r="BK227"/>
      <c r="BL227"/>
      <c r="BM227"/>
      <c r="BN227" s="19"/>
      <c r="BO227"/>
      <c r="BP227"/>
      <c r="BQ227"/>
      <c r="BR227"/>
      <c r="BS227"/>
      <c r="BT227"/>
      <c r="BU227"/>
      <c r="BV227"/>
      <c r="BW227"/>
      <c r="BX227"/>
      <c r="BY227"/>
      <c r="BZ227"/>
      <c r="CA227"/>
      <c r="CB227"/>
      <c r="CC227"/>
      <c r="CD227"/>
      <c r="CE227"/>
      <c r="CF227"/>
      <c r="CG227"/>
      <c r="CH227"/>
      <c r="CI227"/>
      <c r="CJ227"/>
      <c r="CK227"/>
      <c r="CL227"/>
      <c r="CM227" s="20"/>
      <c r="CN227" s="20"/>
      <c r="CO227" s="20"/>
      <c r="CP227" s="20"/>
      <c r="CQ227" s="20"/>
      <c r="CR227" s="20"/>
      <c r="CS227" s="20"/>
      <c r="CT227" s="20"/>
      <c r="CU227" s="20"/>
      <c r="CV227" s="20"/>
      <c r="CW227" s="20"/>
      <c r="CX227" s="20"/>
      <c r="CY227" s="20"/>
    </row>
    <row r="228" spans="1:103" s="6" customFormat="1">
      <c r="A228"/>
      <c r="B228"/>
      <c r="C228"/>
      <c r="D228"/>
      <c r="E228"/>
      <c r="F228"/>
      <c r="G228"/>
      <c r="H228"/>
      <c r="I228"/>
      <c r="J228"/>
      <c r="N228" s="7"/>
      <c r="O228"/>
      <c r="P228" s="10"/>
      <c r="Q228" s="9"/>
      <c r="R228" s="10"/>
      <c r="S228" s="10"/>
      <c r="AA228" s="11"/>
      <c r="AD228"/>
      <c r="AE228"/>
      <c r="AF228"/>
      <c r="AG228"/>
      <c r="AH228" s="46"/>
      <c r="AI228"/>
      <c r="AJ228"/>
      <c r="AK228"/>
      <c r="AL228"/>
      <c r="AM228"/>
      <c r="AN228"/>
      <c r="AO228"/>
      <c r="AP228"/>
      <c r="AQ228"/>
      <c r="AR228"/>
      <c r="AS228"/>
      <c r="AT228" s="14"/>
      <c r="AU228"/>
      <c r="AV228"/>
      <c r="AW228"/>
      <c r="AX228" s="10"/>
      <c r="AY228" s="20"/>
      <c r="AZ228" s="16"/>
      <c r="BA228"/>
      <c r="BB228"/>
      <c r="BC228" s="16"/>
      <c r="BD228"/>
      <c r="BE228"/>
      <c r="BF228"/>
      <c r="BG228"/>
      <c r="BH228"/>
      <c r="BI228"/>
      <c r="BJ228"/>
      <c r="BK228"/>
      <c r="BL228"/>
      <c r="BM228"/>
      <c r="BN228" s="19"/>
      <c r="BO228"/>
      <c r="BP228"/>
      <c r="BQ228"/>
      <c r="BR228"/>
      <c r="BS228"/>
      <c r="BT228"/>
      <c r="BU228"/>
      <c r="BV228"/>
      <c r="BW228"/>
      <c r="BX228"/>
      <c r="BY228"/>
      <c r="BZ228"/>
      <c r="CA228"/>
      <c r="CB228"/>
      <c r="CC228"/>
      <c r="CD228"/>
      <c r="CE228"/>
      <c r="CF228"/>
      <c r="CG228"/>
      <c r="CH228"/>
      <c r="CI228"/>
      <c r="CJ228"/>
      <c r="CK228"/>
      <c r="CL228"/>
      <c r="CM228" s="20"/>
      <c r="CN228" s="20"/>
      <c r="CO228" s="20"/>
      <c r="CP228" s="20"/>
      <c r="CQ228" s="20"/>
      <c r="CR228" s="20"/>
      <c r="CS228" s="20"/>
      <c r="CT228" s="20"/>
      <c r="CU228" s="20"/>
      <c r="CV228" s="20"/>
      <c r="CW228" s="20"/>
      <c r="CX228" s="20"/>
      <c r="CY228" s="20"/>
    </row>
    <row r="229" spans="1:103" s="6" customFormat="1">
      <c r="A229"/>
      <c r="B229"/>
      <c r="C229"/>
      <c r="D229"/>
      <c r="E229"/>
      <c r="F229"/>
      <c r="G229"/>
      <c r="H229"/>
      <c r="I229"/>
      <c r="J229"/>
      <c r="N229" s="7"/>
      <c r="O229"/>
      <c r="P229" s="10"/>
      <c r="Q229" s="9"/>
      <c r="R229" s="10"/>
      <c r="S229" s="10"/>
      <c r="AA229" s="11"/>
      <c r="AD229"/>
      <c r="AE229"/>
      <c r="AF229"/>
      <c r="AG229"/>
      <c r="AH229" s="46"/>
      <c r="AI229"/>
      <c r="AJ229"/>
      <c r="AK229"/>
      <c r="AL229"/>
      <c r="AM229"/>
      <c r="AN229"/>
      <c r="AO229"/>
      <c r="AP229"/>
      <c r="AQ229"/>
      <c r="AR229"/>
      <c r="AS229"/>
      <c r="AT229" s="14"/>
      <c r="AU229"/>
      <c r="AV229"/>
      <c r="AW229"/>
      <c r="AX229" s="10"/>
      <c r="AY229" s="20"/>
      <c r="AZ229" s="16"/>
      <c r="BA229"/>
      <c r="BB229"/>
      <c r="BC229" s="16"/>
      <c r="BD229"/>
      <c r="BE229"/>
      <c r="BF229"/>
      <c r="BG229"/>
      <c r="BH229"/>
      <c r="BI229"/>
      <c r="BJ229"/>
      <c r="BK229"/>
      <c r="BL229"/>
      <c r="BM229"/>
      <c r="BN229" s="19"/>
      <c r="BO229"/>
      <c r="BP229"/>
      <c r="BQ229"/>
      <c r="BR229"/>
      <c r="BS229"/>
      <c r="BT229"/>
      <c r="BU229"/>
      <c r="BV229"/>
      <c r="BW229"/>
      <c r="BX229"/>
      <c r="BY229"/>
      <c r="BZ229"/>
      <c r="CA229"/>
      <c r="CB229"/>
      <c r="CC229"/>
      <c r="CD229"/>
      <c r="CE229"/>
      <c r="CF229"/>
      <c r="CG229"/>
      <c r="CH229"/>
      <c r="CI229"/>
      <c r="CJ229"/>
      <c r="CK229"/>
      <c r="CL229"/>
      <c r="CM229" s="20"/>
      <c r="CN229" s="20"/>
      <c r="CO229" s="20"/>
      <c r="CP229" s="20"/>
      <c r="CQ229" s="20"/>
      <c r="CR229" s="20"/>
      <c r="CS229" s="20"/>
      <c r="CT229" s="20"/>
      <c r="CU229" s="20"/>
      <c r="CV229" s="20"/>
      <c r="CW229" s="20"/>
      <c r="CX229" s="20"/>
      <c r="CY229" s="20"/>
    </row>
    <row r="230" spans="1:103" s="6" customFormat="1">
      <c r="A230"/>
      <c r="B230"/>
      <c r="C230"/>
      <c r="D230"/>
      <c r="E230"/>
      <c r="F230"/>
      <c r="G230"/>
      <c r="H230"/>
      <c r="I230"/>
      <c r="J230"/>
      <c r="N230" s="7"/>
      <c r="O230"/>
      <c r="P230" s="10"/>
      <c r="Q230" s="9"/>
      <c r="R230" s="10"/>
      <c r="S230" s="10"/>
      <c r="AA230" s="11"/>
      <c r="AD230"/>
      <c r="AE230"/>
      <c r="AF230"/>
      <c r="AG230"/>
      <c r="AH230" s="46"/>
      <c r="AI230"/>
      <c r="AJ230"/>
      <c r="AK230"/>
      <c r="AL230"/>
      <c r="AM230"/>
      <c r="AN230"/>
      <c r="AO230"/>
      <c r="AP230"/>
      <c r="AQ230"/>
      <c r="AR230"/>
      <c r="AS230"/>
      <c r="AT230" s="14"/>
      <c r="AU230"/>
      <c r="AV230"/>
      <c r="AW230"/>
      <c r="AX230" s="10"/>
      <c r="AY230" s="20"/>
      <c r="AZ230" s="16"/>
      <c r="BA230"/>
      <c r="BB230"/>
      <c r="BC230" s="16"/>
      <c r="BD230"/>
      <c r="BE230"/>
      <c r="BF230"/>
      <c r="BG230"/>
      <c r="BH230"/>
      <c r="BI230"/>
      <c r="BJ230"/>
      <c r="BK230"/>
      <c r="BL230"/>
      <c r="BM230"/>
      <c r="BN230" s="19"/>
      <c r="BO230"/>
      <c r="BP230"/>
      <c r="BQ230"/>
      <c r="BR230"/>
      <c r="BS230"/>
      <c r="BT230"/>
      <c r="BU230"/>
      <c r="BV230"/>
      <c r="BW230"/>
      <c r="BX230"/>
      <c r="BY230"/>
      <c r="BZ230"/>
      <c r="CA230"/>
      <c r="CB230"/>
      <c r="CC230"/>
      <c r="CD230"/>
      <c r="CE230"/>
      <c r="CF230"/>
      <c r="CG230"/>
      <c r="CH230"/>
      <c r="CI230"/>
      <c r="CJ230"/>
      <c r="CK230"/>
      <c r="CL230"/>
      <c r="CM230" s="20"/>
      <c r="CN230" s="20"/>
      <c r="CO230" s="20"/>
      <c r="CP230" s="20"/>
      <c r="CQ230" s="20"/>
      <c r="CR230" s="20"/>
      <c r="CS230" s="20"/>
      <c r="CT230" s="20"/>
      <c r="CU230" s="20"/>
      <c r="CV230" s="20"/>
      <c r="CW230" s="20"/>
      <c r="CX230" s="20"/>
      <c r="CY230" s="20"/>
    </row>
    <row r="231" spans="1:103" s="6" customFormat="1">
      <c r="A231"/>
      <c r="B231"/>
      <c r="C231"/>
      <c r="D231"/>
      <c r="E231"/>
      <c r="F231"/>
      <c r="G231"/>
      <c r="H231"/>
      <c r="I231"/>
      <c r="J231"/>
      <c r="N231" s="7"/>
      <c r="O231"/>
      <c r="P231" s="10"/>
      <c r="Q231" s="9"/>
      <c r="R231" s="10"/>
      <c r="S231" s="10"/>
      <c r="AA231" s="11"/>
      <c r="AD231"/>
      <c r="AE231"/>
      <c r="AF231"/>
      <c r="AG231"/>
      <c r="AH231" s="46"/>
      <c r="AI231"/>
      <c r="AJ231"/>
      <c r="AK231"/>
      <c r="AL231"/>
      <c r="AM231"/>
      <c r="AN231"/>
      <c r="AO231"/>
      <c r="AP231"/>
      <c r="AQ231"/>
      <c r="AR231"/>
      <c r="AS231"/>
      <c r="AT231" s="14"/>
      <c r="AU231"/>
      <c r="AV231"/>
      <c r="AW231"/>
      <c r="AX231" s="10"/>
      <c r="AY231" s="20"/>
      <c r="AZ231" s="16"/>
      <c r="BA231"/>
      <c r="BB231"/>
      <c r="BC231" s="16"/>
      <c r="BD231"/>
      <c r="BE231"/>
      <c r="BF231"/>
      <c r="BG231"/>
      <c r="BH231"/>
      <c r="BI231"/>
      <c r="BJ231"/>
      <c r="BK231"/>
      <c r="BL231"/>
      <c r="BM231"/>
      <c r="BN231" s="19"/>
      <c r="BO231"/>
      <c r="BP231"/>
      <c r="BQ231"/>
      <c r="BR231"/>
      <c r="BS231"/>
      <c r="BT231"/>
      <c r="BU231"/>
      <c r="BV231"/>
      <c r="BW231"/>
      <c r="BX231"/>
      <c r="BY231"/>
      <c r="BZ231"/>
      <c r="CA231"/>
      <c r="CB231"/>
      <c r="CC231"/>
      <c r="CD231"/>
      <c r="CE231"/>
      <c r="CF231"/>
      <c r="CG231"/>
      <c r="CH231"/>
      <c r="CI231"/>
      <c r="CJ231"/>
      <c r="CK231"/>
      <c r="CL231"/>
      <c r="CM231" s="20"/>
      <c r="CN231" s="20"/>
      <c r="CO231" s="20"/>
      <c r="CP231" s="20"/>
      <c r="CQ231" s="20"/>
      <c r="CR231" s="20"/>
      <c r="CS231" s="20"/>
      <c r="CT231" s="20"/>
      <c r="CU231" s="20"/>
      <c r="CV231" s="20"/>
      <c r="CW231" s="20"/>
      <c r="CX231" s="20"/>
      <c r="CY231" s="20"/>
    </row>
    <row r="232" spans="1:103" s="6" customFormat="1">
      <c r="A232"/>
      <c r="B232"/>
      <c r="C232"/>
      <c r="D232"/>
      <c r="E232"/>
      <c r="F232"/>
      <c r="G232"/>
      <c r="H232"/>
      <c r="I232"/>
      <c r="J232"/>
      <c r="N232" s="7"/>
      <c r="O232"/>
      <c r="P232" s="10"/>
      <c r="Q232" s="9"/>
      <c r="R232" s="10"/>
      <c r="S232" s="10"/>
      <c r="AA232" s="11"/>
      <c r="AD232"/>
      <c r="AE232"/>
      <c r="AF232"/>
      <c r="AG232"/>
      <c r="AH232" s="46"/>
      <c r="AI232"/>
      <c r="AJ232"/>
      <c r="AK232"/>
      <c r="AL232"/>
      <c r="AM232"/>
      <c r="AN232"/>
      <c r="AO232"/>
      <c r="AP232"/>
      <c r="AQ232"/>
      <c r="AR232"/>
      <c r="AS232"/>
      <c r="AT232" s="14"/>
      <c r="AU232"/>
      <c r="AV232"/>
      <c r="AW232"/>
      <c r="AX232" s="10"/>
      <c r="AY232" s="20"/>
      <c r="AZ232" s="16"/>
      <c r="BA232"/>
      <c r="BB232"/>
      <c r="BC232" s="16"/>
      <c r="BD232"/>
      <c r="BE232"/>
      <c r="BF232"/>
      <c r="BG232"/>
      <c r="BH232"/>
      <c r="BI232"/>
      <c r="BJ232"/>
      <c r="BK232"/>
      <c r="BL232"/>
      <c r="BM232"/>
      <c r="BN232" s="19"/>
      <c r="BO232"/>
      <c r="BP232"/>
      <c r="BQ232"/>
      <c r="BR232"/>
      <c r="BS232"/>
      <c r="BT232"/>
      <c r="BU232"/>
      <c r="BV232"/>
      <c r="BW232"/>
      <c r="BX232"/>
      <c r="BY232"/>
      <c r="BZ232"/>
      <c r="CA232"/>
      <c r="CB232"/>
      <c r="CC232"/>
      <c r="CD232"/>
      <c r="CE232"/>
      <c r="CF232"/>
      <c r="CG232"/>
      <c r="CH232"/>
      <c r="CI232"/>
      <c r="CJ232"/>
      <c r="CK232"/>
      <c r="CL232"/>
      <c r="CM232" s="20"/>
      <c r="CN232" s="20"/>
      <c r="CO232" s="20"/>
      <c r="CP232" s="20"/>
      <c r="CQ232" s="20"/>
      <c r="CR232" s="20"/>
      <c r="CS232" s="20"/>
      <c r="CT232" s="20"/>
      <c r="CU232" s="20"/>
      <c r="CV232" s="20"/>
      <c r="CW232" s="20"/>
      <c r="CX232" s="20"/>
      <c r="CY232" s="20"/>
    </row>
    <row r="233" spans="1:103" s="6" customFormat="1">
      <c r="A233"/>
      <c r="B233"/>
      <c r="C233"/>
      <c r="D233"/>
      <c r="E233"/>
      <c r="F233"/>
      <c r="G233"/>
      <c r="H233"/>
      <c r="I233"/>
      <c r="J233"/>
      <c r="N233" s="7"/>
      <c r="O233"/>
      <c r="P233" s="10"/>
      <c r="Q233" s="9"/>
      <c r="R233" s="10"/>
      <c r="S233" s="10"/>
      <c r="AA233" s="11"/>
      <c r="AD233"/>
      <c r="AE233"/>
      <c r="AF233"/>
      <c r="AG233"/>
      <c r="AH233" s="46"/>
      <c r="AI233"/>
      <c r="AJ233"/>
      <c r="AK233"/>
      <c r="AL233"/>
      <c r="AM233"/>
      <c r="AN233"/>
      <c r="AO233"/>
      <c r="AP233"/>
      <c r="AQ233"/>
      <c r="AR233"/>
      <c r="AS233"/>
      <c r="AT233" s="14"/>
      <c r="AU233"/>
      <c r="AV233"/>
      <c r="AW233"/>
      <c r="AX233" s="10"/>
      <c r="AY233" s="20"/>
      <c r="AZ233" s="16"/>
      <c r="BA233"/>
      <c r="BB233"/>
      <c r="BC233" s="16"/>
      <c r="BD233"/>
      <c r="BE233"/>
      <c r="BF233"/>
      <c r="BG233"/>
      <c r="BH233"/>
      <c r="BI233"/>
      <c r="BJ233"/>
      <c r="BK233"/>
      <c r="BL233"/>
      <c r="BM233"/>
      <c r="BN233" s="19"/>
      <c r="BO233"/>
      <c r="BP233"/>
      <c r="BQ233"/>
      <c r="BR233"/>
      <c r="BS233"/>
      <c r="BT233"/>
      <c r="BU233"/>
      <c r="BV233"/>
      <c r="BW233"/>
      <c r="BX233"/>
      <c r="BY233"/>
      <c r="BZ233"/>
      <c r="CA233"/>
      <c r="CB233"/>
      <c r="CC233"/>
      <c r="CD233"/>
      <c r="CE233"/>
      <c r="CF233"/>
      <c r="CG233"/>
      <c r="CH233"/>
      <c r="CI233"/>
      <c r="CJ233"/>
      <c r="CK233"/>
      <c r="CL233"/>
      <c r="CM233" s="20"/>
      <c r="CN233" s="20"/>
      <c r="CO233" s="20"/>
      <c r="CP233" s="20"/>
      <c r="CQ233" s="20"/>
      <c r="CR233" s="20"/>
      <c r="CS233" s="20"/>
      <c r="CT233" s="20"/>
      <c r="CU233" s="20"/>
      <c r="CV233" s="20"/>
      <c r="CW233" s="20"/>
      <c r="CX233" s="20"/>
      <c r="CY233" s="20"/>
    </row>
    <row r="234" spans="1:103" s="6" customFormat="1">
      <c r="A234"/>
      <c r="B234"/>
      <c r="C234"/>
      <c r="D234"/>
      <c r="E234"/>
      <c r="F234"/>
      <c r="G234"/>
      <c r="H234"/>
      <c r="I234"/>
      <c r="J234"/>
      <c r="N234" s="7"/>
      <c r="O234"/>
      <c r="P234" s="10"/>
      <c r="Q234" s="9"/>
      <c r="R234" s="10"/>
      <c r="S234" s="10"/>
      <c r="AA234" s="11"/>
      <c r="AD234"/>
      <c r="AE234"/>
      <c r="AF234"/>
      <c r="AG234"/>
      <c r="AH234" s="46"/>
      <c r="AI234"/>
      <c r="AJ234"/>
      <c r="AK234"/>
      <c r="AL234"/>
      <c r="AM234"/>
      <c r="AN234"/>
      <c r="AO234"/>
      <c r="AP234"/>
      <c r="AQ234"/>
      <c r="AR234"/>
      <c r="AS234"/>
      <c r="AT234" s="14"/>
      <c r="AU234"/>
      <c r="AV234"/>
      <c r="AW234"/>
      <c r="AX234" s="10"/>
      <c r="AY234" s="20"/>
      <c r="AZ234" s="16"/>
      <c r="BA234"/>
      <c r="BB234"/>
      <c r="BC234" s="16"/>
      <c r="BD234"/>
      <c r="BE234"/>
      <c r="BF234"/>
      <c r="BG234"/>
      <c r="BH234"/>
      <c r="BI234"/>
      <c r="BJ234"/>
      <c r="BK234"/>
      <c r="BL234"/>
      <c r="BM234"/>
      <c r="BN234" s="19"/>
      <c r="BO234"/>
      <c r="BP234"/>
      <c r="BQ234"/>
      <c r="BR234"/>
      <c r="BS234"/>
      <c r="BT234"/>
      <c r="BU234"/>
      <c r="BV234"/>
      <c r="BW234"/>
      <c r="BX234"/>
      <c r="BY234"/>
      <c r="BZ234"/>
      <c r="CA234"/>
      <c r="CB234"/>
      <c r="CC234"/>
      <c r="CD234"/>
      <c r="CE234"/>
      <c r="CF234"/>
      <c r="CG234"/>
      <c r="CH234"/>
      <c r="CI234"/>
      <c r="CJ234"/>
      <c r="CK234"/>
      <c r="CL234"/>
      <c r="CM234" s="20"/>
      <c r="CN234" s="20"/>
      <c r="CO234" s="20"/>
      <c r="CP234" s="20"/>
      <c r="CQ234" s="20"/>
      <c r="CR234" s="20"/>
      <c r="CS234" s="20"/>
      <c r="CT234" s="20"/>
      <c r="CU234" s="20"/>
      <c r="CV234" s="20"/>
      <c r="CW234" s="20"/>
      <c r="CX234" s="20"/>
      <c r="CY234" s="20"/>
    </row>
    <row r="235" spans="1:103" s="6" customFormat="1">
      <c r="A235"/>
      <c r="B235"/>
      <c r="C235"/>
      <c r="D235"/>
      <c r="E235"/>
      <c r="F235"/>
      <c r="G235"/>
      <c r="H235"/>
      <c r="I235"/>
      <c r="J235"/>
      <c r="N235" s="7"/>
      <c r="O235"/>
      <c r="P235" s="10"/>
      <c r="Q235" s="9"/>
      <c r="R235" s="10"/>
      <c r="S235" s="10"/>
      <c r="AA235" s="11"/>
      <c r="AD235"/>
      <c r="AE235"/>
      <c r="AF235"/>
      <c r="AG235"/>
      <c r="AH235" s="46"/>
      <c r="AI235"/>
      <c r="AJ235"/>
      <c r="AK235"/>
      <c r="AL235"/>
      <c r="AM235"/>
      <c r="AN235"/>
      <c r="AO235"/>
      <c r="AP235"/>
      <c r="AQ235"/>
      <c r="AR235"/>
      <c r="AS235"/>
      <c r="AT235" s="14"/>
      <c r="AU235"/>
      <c r="AV235"/>
      <c r="AW235"/>
      <c r="AX235" s="10"/>
      <c r="AY235" s="20"/>
      <c r="AZ235" s="16"/>
      <c r="BA235"/>
      <c r="BB235"/>
      <c r="BC235" s="16"/>
      <c r="BD235"/>
      <c r="BE235"/>
      <c r="BF235"/>
      <c r="BG235"/>
      <c r="BH235"/>
      <c r="BI235"/>
      <c r="BJ235"/>
      <c r="BK235"/>
      <c r="BL235"/>
      <c r="BM235"/>
      <c r="BN235" s="19"/>
      <c r="BO235"/>
      <c r="BP235"/>
      <c r="BQ235"/>
      <c r="BR235"/>
      <c r="BS235"/>
      <c r="BT235"/>
      <c r="BU235"/>
      <c r="BV235"/>
      <c r="BW235"/>
      <c r="BX235"/>
      <c r="BY235"/>
      <c r="BZ235"/>
      <c r="CA235"/>
      <c r="CB235"/>
      <c r="CC235"/>
      <c r="CD235"/>
      <c r="CE235"/>
      <c r="CF235"/>
      <c r="CG235"/>
      <c r="CH235"/>
      <c r="CI235"/>
      <c r="CJ235"/>
      <c r="CK235"/>
      <c r="CL235"/>
      <c r="CM235" s="20"/>
      <c r="CN235" s="20"/>
      <c r="CO235" s="20"/>
      <c r="CP235" s="20"/>
      <c r="CQ235" s="20"/>
      <c r="CR235" s="20"/>
      <c r="CS235" s="20"/>
      <c r="CT235" s="20"/>
      <c r="CU235" s="20"/>
      <c r="CV235" s="20"/>
      <c r="CW235" s="20"/>
      <c r="CX235" s="20"/>
      <c r="CY235" s="20"/>
    </row>
    <row r="236" spans="1:103" s="6" customFormat="1">
      <c r="A236"/>
      <c r="B236"/>
      <c r="C236"/>
      <c r="D236"/>
      <c r="E236"/>
      <c r="F236"/>
      <c r="G236"/>
      <c r="H236"/>
      <c r="I236"/>
      <c r="J236"/>
      <c r="N236" s="7"/>
      <c r="O236"/>
      <c r="P236" s="10"/>
      <c r="Q236" s="9"/>
      <c r="R236" s="10"/>
      <c r="S236" s="10"/>
      <c r="AA236" s="11"/>
      <c r="AD236"/>
      <c r="AE236"/>
      <c r="AF236"/>
      <c r="AG236"/>
      <c r="AH236" s="46"/>
      <c r="AI236"/>
      <c r="AJ236"/>
      <c r="AK236"/>
      <c r="AL236"/>
      <c r="AM236"/>
      <c r="AN236"/>
      <c r="AO236"/>
      <c r="AP236"/>
      <c r="AQ236"/>
      <c r="AR236"/>
      <c r="AS236"/>
      <c r="AT236" s="14"/>
      <c r="AU236"/>
      <c r="AV236"/>
      <c r="AW236"/>
      <c r="AX236" s="10"/>
      <c r="AY236" s="20"/>
      <c r="AZ236" s="16"/>
      <c r="BA236"/>
      <c r="BB236"/>
      <c r="BC236" s="16"/>
      <c r="BD236"/>
      <c r="BE236"/>
      <c r="BF236"/>
      <c r="BG236"/>
      <c r="BH236"/>
      <c r="BI236"/>
      <c r="BJ236"/>
      <c r="BK236"/>
      <c r="BL236"/>
      <c r="BM236"/>
      <c r="BN236" s="19"/>
      <c r="BO236"/>
      <c r="BP236"/>
      <c r="BQ236"/>
      <c r="BR236"/>
      <c r="BS236"/>
      <c r="BT236"/>
      <c r="BU236"/>
      <c r="BV236"/>
      <c r="BW236"/>
      <c r="BX236"/>
      <c r="BY236"/>
      <c r="BZ236"/>
      <c r="CA236"/>
      <c r="CB236"/>
      <c r="CC236"/>
      <c r="CD236"/>
      <c r="CE236"/>
      <c r="CF236"/>
      <c r="CG236"/>
      <c r="CH236"/>
      <c r="CI236"/>
      <c r="CJ236"/>
      <c r="CK236"/>
      <c r="CL236"/>
      <c r="CM236" s="20"/>
      <c r="CN236" s="20"/>
      <c r="CO236" s="20"/>
      <c r="CP236" s="20"/>
      <c r="CQ236" s="20"/>
      <c r="CR236" s="20"/>
      <c r="CS236" s="20"/>
      <c r="CT236" s="20"/>
      <c r="CU236" s="20"/>
      <c r="CV236" s="20"/>
      <c r="CW236" s="20"/>
      <c r="CX236" s="20"/>
      <c r="CY236" s="20"/>
    </row>
    <row r="237" spans="1:103" s="6" customFormat="1">
      <c r="A237"/>
      <c r="B237"/>
      <c r="C237"/>
      <c r="D237"/>
      <c r="E237"/>
      <c r="F237"/>
      <c r="G237"/>
      <c r="H237"/>
      <c r="I237"/>
      <c r="J237"/>
      <c r="N237" s="7"/>
      <c r="O237"/>
      <c r="P237" s="10"/>
      <c r="Q237" s="9"/>
      <c r="R237" s="10"/>
      <c r="S237" s="10"/>
      <c r="AA237" s="11"/>
      <c r="AD237"/>
      <c r="AE237"/>
      <c r="AF237"/>
      <c r="AG237"/>
      <c r="AH237" s="46"/>
      <c r="AI237"/>
      <c r="AJ237"/>
      <c r="AK237"/>
      <c r="AL237"/>
      <c r="AM237"/>
      <c r="AN237"/>
      <c r="AO237"/>
      <c r="AP237"/>
      <c r="AQ237"/>
      <c r="AR237"/>
      <c r="AS237"/>
      <c r="AT237" s="14"/>
      <c r="AU237"/>
      <c r="AV237"/>
      <c r="AW237"/>
      <c r="AX237" s="10"/>
      <c r="AY237" s="20"/>
      <c r="AZ237" s="16"/>
      <c r="BA237"/>
      <c r="BB237"/>
      <c r="BC237" s="16"/>
      <c r="BD237"/>
      <c r="BE237"/>
      <c r="BF237"/>
      <c r="BG237"/>
      <c r="BH237"/>
      <c r="BI237"/>
      <c r="BJ237"/>
      <c r="BK237"/>
      <c r="BL237"/>
      <c r="BM237"/>
      <c r="BN237" s="19"/>
      <c r="BO237"/>
      <c r="BP237"/>
      <c r="BQ237"/>
      <c r="BR237"/>
      <c r="BS237"/>
      <c r="BT237"/>
      <c r="BU237"/>
      <c r="BV237"/>
      <c r="BW237"/>
      <c r="BX237"/>
      <c r="BY237"/>
      <c r="BZ237"/>
      <c r="CA237"/>
      <c r="CB237"/>
      <c r="CC237"/>
      <c r="CD237"/>
      <c r="CE237"/>
      <c r="CF237"/>
      <c r="CG237"/>
      <c r="CH237"/>
      <c r="CI237"/>
      <c r="CJ237"/>
      <c r="CK237"/>
      <c r="CL237"/>
      <c r="CM237" s="20"/>
      <c r="CN237" s="20"/>
      <c r="CO237" s="20"/>
      <c r="CP237" s="20"/>
      <c r="CQ237" s="20"/>
      <c r="CR237" s="20"/>
      <c r="CS237" s="20"/>
      <c r="CT237" s="20"/>
      <c r="CU237" s="20"/>
      <c r="CV237" s="20"/>
      <c r="CW237" s="20"/>
      <c r="CX237" s="20"/>
      <c r="CY237" s="20"/>
    </row>
    <row r="238" spans="1:103" s="6" customFormat="1">
      <c r="A238"/>
      <c r="B238"/>
      <c r="C238"/>
      <c r="D238"/>
      <c r="E238"/>
      <c r="F238"/>
      <c r="G238"/>
      <c r="H238"/>
      <c r="I238"/>
      <c r="J238"/>
      <c r="N238" s="7"/>
      <c r="O238"/>
      <c r="P238" s="10"/>
      <c r="Q238" s="9"/>
      <c r="R238" s="10"/>
      <c r="S238" s="10"/>
      <c r="AA238" s="11"/>
      <c r="AD238"/>
      <c r="AE238"/>
      <c r="AF238"/>
      <c r="AG238"/>
      <c r="AH238" s="46"/>
      <c r="AI238"/>
      <c r="AJ238"/>
      <c r="AK238"/>
      <c r="AL238"/>
      <c r="AM238"/>
      <c r="AN238"/>
      <c r="AO238"/>
      <c r="AP238"/>
      <c r="AQ238"/>
      <c r="AR238"/>
      <c r="AS238"/>
      <c r="AT238" s="14"/>
      <c r="AU238"/>
      <c r="AV238"/>
      <c r="AW238"/>
      <c r="AX238" s="10"/>
      <c r="AY238" s="20"/>
      <c r="AZ238" s="16"/>
      <c r="BA238"/>
      <c r="BB238"/>
      <c r="BC238" s="16"/>
      <c r="BD238"/>
      <c r="BE238"/>
      <c r="BF238"/>
      <c r="BG238"/>
      <c r="BH238"/>
      <c r="BI238"/>
      <c r="BJ238"/>
      <c r="BK238"/>
      <c r="BL238"/>
      <c r="BM238"/>
      <c r="BN238" s="19"/>
      <c r="BO238"/>
      <c r="BP238"/>
      <c r="BQ238"/>
      <c r="BR238"/>
      <c r="BS238"/>
      <c r="BT238"/>
      <c r="BU238"/>
      <c r="BV238"/>
      <c r="BW238"/>
      <c r="BX238"/>
      <c r="BY238"/>
      <c r="BZ238"/>
      <c r="CA238"/>
      <c r="CB238"/>
      <c r="CC238"/>
      <c r="CD238"/>
      <c r="CE238"/>
      <c r="CF238"/>
      <c r="CG238"/>
      <c r="CH238"/>
      <c r="CI238"/>
      <c r="CJ238"/>
      <c r="CK238"/>
      <c r="CL238"/>
      <c r="CM238" s="20"/>
      <c r="CN238" s="20"/>
      <c r="CO238" s="20"/>
      <c r="CP238" s="20"/>
      <c r="CQ238" s="20"/>
      <c r="CR238" s="20"/>
      <c r="CS238" s="20"/>
      <c r="CT238" s="20"/>
      <c r="CU238" s="20"/>
      <c r="CV238" s="20"/>
      <c r="CW238" s="20"/>
      <c r="CX238" s="20"/>
      <c r="CY238" s="20"/>
    </row>
    <row r="239" spans="1:103" s="6" customFormat="1">
      <c r="A239"/>
      <c r="B239"/>
      <c r="C239"/>
      <c r="D239"/>
      <c r="E239"/>
      <c r="F239"/>
      <c r="G239"/>
      <c r="H239"/>
      <c r="I239"/>
      <c r="J239"/>
      <c r="N239" s="7"/>
      <c r="O239"/>
      <c r="P239" s="10"/>
      <c r="Q239" s="9"/>
      <c r="R239" s="10"/>
      <c r="S239" s="10"/>
      <c r="AA239" s="11"/>
      <c r="AD239"/>
      <c r="AE239"/>
      <c r="AF239"/>
      <c r="AG239"/>
      <c r="AH239" s="46"/>
      <c r="AI239"/>
      <c r="AJ239"/>
      <c r="AK239"/>
      <c r="AL239"/>
      <c r="AM239"/>
      <c r="AN239"/>
      <c r="AO239"/>
      <c r="AP239"/>
      <c r="AQ239"/>
      <c r="AR239"/>
      <c r="AS239"/>
      <c r="AT239" s="14"/>
      <c r="AU239"/>
      <c r="AV239"/>
      <c r="AW239"/>
      <c r="AX239" s="10"/>
      <c r="AY239" s="20"/>
      <c r="AZ239" s="16"/>
      <c r="BA239"/>
      <c r="BB239"/>
      <c r="BC239" s="16"/>
      <c r="BD239"/>
      <c r="BE239"/>
      <c r="BF239"/>
      <c r="BG239"/>
      <c r="BH239"/>
      <c r="BI239"/>
      <c r="BJ239"/>
      <c r="BK239"/>
      <c r="BL239"/>
      <c r="BM239"/>
      <c r="BN239" s="19"/>
      <c r="BO239"/>
      <c r="BP239"/>
      <c r="BQ239"/>
      <c r="BR239"/>
      <c r="BS239"/>
      <c r="BT239"/>
      <c r="BU239"/>
      <c r="BV239"/>
      <c r="BW239"/>
      <c r="BX239"/>
      <c r="BY239"/>
      <c r="BZ239"/>
      <c r="CA239"/>
      <c r="CB239"/>
      <c r="CC239"/>
      <c r="CD239"/>
      <c r="CE239"/>
      <c r="CF239"/>
      <c r="CG239"/>
      <c r="CH239"/>
      <c r="CI239"/>
      <c r="CJ239"/>
      <c r="CK239"/>
      <c r="CL239"/>
      <c r="CM239" s="20"/>
      <c r="CN239" s="20"/>
      <c r="CO239" s="20"/>
      <c r="CP239" s="20"/>
      <c r="CQ239" s="20"/>
      <c r="CR239" s="20"/>
      <c r="CS239" s="20"/>
      <c r="CT239" s="20"/>
      <c r="CU239" s="20"/>
      <c r="CV239" s="20"/>
      <c r="CW239" s="20"/>
      <c r="CX239" s="20"/>
      <c r="CY239" s="20"/>
    </row>
    <row r="240" spans="1:103" s="6" customFormat="1">
      <c r="A240"/>
      <c r="B240"/>
      <c r="C240"/>
      <c r="D240"/>
      <c r="E240"/>
      <c r="F240"/>
      <c r="G240"/>
      <c r="H240"/>
      <c r="I240"/>
      <c r="J240"/>
      <c r="N240" s="7"/>
      <c r="O240"/>
      <c r="P240" s="10"/>
      <c r="Q240" s="9"/>
      <c r="R240" s="10"/>
      <c r="S240" s="10"/>
      <c r="AA240" s="11"/>
      <c r="AD240"/>
      <c r="AE240"/>
      <c r="AF240"/>
      <c r="AG240"/>
      <c r="AH240" s="46"/>
      <c r="AI240"/>
      <c r="AJ240"/>
      <c r="AK240"/>
      <c r="AL240"/>
      <c r="AM240"/>
      <c r="AN240"/>
      <c r="AO240"/>
      <c r="AP240"/>
      <c r="AQ240"/>
      <c r="AR240"/>
      <c r="AS240"/>
      <c r="AT240" s="14"/>
      <c r="AU240"/>
      <c r="AV240"/>
      <c r="AW240"/>
      <c r="AX240" s="10"/>
      <c r="AY240" s="20"/>
      <c r="AZ240" s="16"/>
      <c r="BA240"/>
      <c r="BB240"/>
      <c r="BC240" s="16"/>
      <c r="BD240"/>
      <c r="BE240"/>
      <c r="BF240"/>
      <c r="BG240"/>
      <c r="BH240"/>
      <c r="BI240"/>
      <c r="BJ240"/>
      <c r="BK240"/>
      <c r="BL240"/>
      <c r="BM240"/>
      <c r="BN240" s="19"/>
      <c r="BO240"/>
      <c r="BP240"/>
      <c r="BQ240"/>
      <c r="BR240"/>
      <c r="BS240"/>
      <c r="BT240"/>
      <c r="BU240"/>
      <c r="BV240"/>
      <c r="BW240"/>
      <c r="BX240"/>
      <c r="BY240"/>
      <c r="BZ240"/>
      <c r="CA240"/>
      <c r="CB240"/>
      <c r="CC240"/>
      <c r="CD240"/>
      <c r="CE240"/>
      <c r="CF240"/>
      <c r="CG240"/>
      <c r="CH240"/>
      <c r="CI240"/>
      <c r="CJ240"/>
      <c r="CK240"/>
      <c r="CL240"/>
      <c r="CM240" s="20"/>
      <c r="CN240" s="20"/>
      <c r="CO240" s="20"/>
      <c r="CP240" s="20"/>
      <c r="CQ240" s="20"/>
      <c r="CR240" s="20"/>
      <c r="CS240" s="20"/>
      <c r="CT240" s="20"/>
      <c r="CU240" s="20"/>
      <c r="CV240" s="20"/>
      <c r="CW240" s="20"/>
      <c r="CX240" s="20"/>
      <c r="CY240" s="20"/>
    </row>
    <row r="241" spans="1:103" s="6" customFormat="1">
      <c r="A241"/>
      <c r="B241"/>
      <c r="C241"/>
      <c r="D241"/>
      <c r="E241"/>
      <c r="F241"/>
      <c r="G241"/>
      <c r="H241"/>
      <c r="I241"/>
      <c r="J241"/>
      <c r="N241" s="7"/>
      <c r="O241"/>
      <c r="P241" s="10"/>
      <c r="Q241" s="9"/>
      <c r="R241" s="10"/>
      <c r="S241" s="10"/>
      <c r="AA241" s="11"/>
      <c r="AD241"/>
      <c r="AE241"/>
      <c r="AF241"/>
      <c r="AG241"/>
      <c r="AH241" s="46"/>
      <c r="AI241"/>
      <c r="AJ241"/>
      <c r="AK241"/>
      <c r="AL241"/>
      <c r="AM241"/>
      <c r="AN241"/>
      <c r="AO241"/>
      <c r="AP241"/>
      <c r="AQ241"/>
      <c r="AR241"/>
      <c r="AS241"/>
      <c r="AT241" s="14"/>
      <c r="AU241"/>
      <c r="AV241"/>
      <c r="AW241"/>
      <c r="AX241" s="10"/>
      <c r="AY241" s="20"/>
      <c r="AZ241" s="16"/>
      <c r="BA241"/>
      <c r="BB241"/>
      <c r="BC241" s="16"/>
      <c r="BD241"/>
      <c r="BE241"/>
      <c r="BF241"/>
      <c r="BG241"/>
      <c r="BH241"/>
      <c r="BI241"/>
      <c r="BJ241"/>
      <c r="BK241"/>
      <c r="BL241"/>
      <c r="BM241"/>
      <c r="BN241" s="19"/>
      <c r="BO241"/>
      <c r="BP241"/>
      <c r="BQ241"/>
      <c r="BR241"/>
      <c r="BS241"/>
      <c r="BT241"/>
      <c r="BU241"/>
      <c r="BV241"/>
      <c r="BW241"/>
      <c r="BX241"/>
      <c r="BY241"/>
      <c r="BZ241"/>
      <c r="CA241"/>
      <c r="CB241"/>
      <c r="CC241"/>
      <c r="CD241"/>
      <c r="CE241"/>
      <c r="CF241"/>
      <c r="CG241"/>
      <c r="CH241"/>
      <c r="CI241"/>
      <c r="CJ241"/>
      <c r="CK241"/>
      <c r="CL241"/>
      <c r="CM241" s="20"/>
      <c r="CN241" s="20"/>
      <c r="CO241" s="20"/>
      <c r="CP241" s="20"/>
      <c r="CQ241" s="20"/>
      <c r="CR241" s="20"/>
      <c r="CS241" s="20"/>
      <c r="CT241" s="20"/>
      <c r="CU241" s="20"/>
      <c r="CV241" s="20"/>
      <c r="CW241" s="20"/>
      <c r="CX241" s="20"/>
      <c r="CY241" s="20"/>
    </row>
    <row r="242" spans="1:103" s="6" customFormat="1">
      <c r="A242"/>
      <c r="B242"/>
      <c r="C242"/>
      <c r="D242"/>
      <c r="E242"/>
      <c r="F242"/>
      <c r="G242"/>
      <c r="H242"/>
      <c r="I242"/>
      <c r="J242"/>
      <c r="N242" s="7"/>
      <c r="O242"/>
      <c r="P242" s="10"/>
      <c r="Q242" s="9"/>
      <c r="R242" s="10"/>
      <c r="S242" s="10"/>
      <c r="AA242" s="11"/>
      <c r="AD242"/>
      <c r="AE242"/>
      <c r="AF242"/>
      <c r="AG242"/>
      <c r="AH242" s="46"/>
      <c r="AI242"/>
      <c r="AJ242"/>
      <c r="AK242"/>
      <c r="AL242"/>
      <c r="AM242"/>
      <c r="AN242"/>
      <c r="AO242"/>
      <c r="AP242"/>
      <c r="AQ242"/>
      <c r="AR242"/>
      <c r="AS242"/>
      <c r="AT242" s="14"/>
      <c r="AU242"/>
      <c r="AV242"/>
      <c r="AW242"/>
      <c r="AX242" s="10"/>
      <c r="AY242" s="20"/>
      <c r="AZ242" s="16"/>
      <c r="BA242"/>
      <c r="BB242"/>
      <c r="BC242" s="16"/>
      <c r="BD242"/>
      <c r="BE242"/>
      <c r="BF242"/>
      <c r="BG242"/>
      <c r="BH242"/>
      <c r="BI242"/>
      <c r="BJ242"/>
      <c r="BK242"/>
      <c r="BL242"/>
      <c r="BM242"/>
      <c r="BN242" s="19"/>
      <c r="BO242"/>
      <c r="BP242"/>
      <c r="BQ242"/>
      <c r="BR242"/>
      <c r="BS242"/>
      <c r="BT242"/>
      <c r="BU242"/>
      <c r="BV242"/>
      <c r="BW242"/>
      <c r="BX242"/>
      <c r="BY242"/>
      <c r="BZ242"/>
      <c r="CA242"/>
      <c r="CB242"/>
      <c r="CC242"/>
      <c r="CD242"/>
      <c r="CE242"/>
      <c r="CF242"/>
      <c r="CG242"/>
      <c r="CH242"/>
      <c r="CI242"/>
      <c r="CJ242"/>
      <c r="CK242"/>
      <c r="CL242"/>
      <c r="CM242" s="20"/>
      <c r="CN242" s="20"/>
      <c r="CO242" s="20"/>
      <c r="CP242" s="20"/>
      <c r="CQ242" s="20"/>
      <c r="CR242" s="20"/>
      <c r="CS242" s="20"/>
      <c r="CT242" s="20"/>
      <c r="CU242" s="20"/>
      <c r="CV242" s="20"/>
      <c r="CW242" s="20"/>
      <c r="CX242" s="20"/>
      <c r="CY242" s="20"/>
    </row>
    <row r="243" spans="1:103" s="6" customFormat="1">
      <c r="A243"/>
      <c r="B243"/>
      <c r="C243"/>
      <c r="D243"/>
      <c r="E243"/>
      <c r="F243"/>
      <c r="G243"/>
      <c r="H243"/>
      <c r="I243"/>
      <c r="J243"/>
      <c r="N243" s="7"/>
      <c r="O243"/>
      <c r="P243" s="10"/>
      <c r="Q243" s="9"/>
      <c r="R243" s="10"/>
      <c r="S243" s="10"/>
      <c r="AA243" s="11"/>
      <c r="AD243"/>
      <c r="AE243"/>
      <c r="AF243"/>
      <c r="AG243"/>
      <c r="AH243" s="46"/>
      <c r="AI243"/>
      <c r="AJ243"/>
      <c r="AK243"/>
      <c r="AL243"/>
      <c r="AM243"/>
      <c r="AN243"/>
      <c r="AO243"/>
      <c r="AP243"/>
      <c r="AQ243"/>
      <c r="AR243"/>
      <c r="AS243"/>
      <c r="AT243" s="14"/>
      <c r="AU243"/>
      <c r="AV243"/>
      <c r="AW243"/>
      <c r="AX243" s="10"/>
      <c r="AY243" s="20"/>
      <c r="AZ243" s="16"/>
      <c r="BA243"/>
      <c r="BB243"/>
      <c r="BC243" s="16"/>
      <c r="BD243"/>
      <c r="BE243"/>
      <c r="BF243"/>
      <c r="BG243"/>
      <c r="BH243"/>
      <c r="BI243"/>
      <c r="BJ243"/>
      <c r="BK243"/>
      <c r="BL243"/>
      <c r="BM243"/>
      <c r="BN243" s="19"/>
      <c r="BO243"/>
      <c r="BP243"/>
      <c r="BQ243"/>
      <c r="BR243"/>
      <c r="BS243"/>
      <c r="BT243"/>
      <c r="BU243"/>
      <c r="BV243"/>
      <c r="BW243"/>
      <c r="BX243"/>
      <c r="BY243"/>
      <c r="BZ243"/>
      <c r="CA243"/>
      <c r="CB243"/>
      <c r="CC243"/>
      <c r="CD243"/>
      <c r="CE243"/>
      <c r="CF243"/>
      <c r="CG243"/>
      <c r="CH243"/>
      <c r="CI243"/>
      <c r="CJ243"/>
      <c r="CK243"/>
      <c r="CL243"/>
      <c r="CM243" s="20"/>
      <c r="CN243" s="20"/>
      <c r="CO243" s="20"/>
      <c r="CP243" s="20"/>
      <c r="CQ243" s="20"/>
      <c r="CR243" s="20"/>
      <c r="CS243" s="20"/>
      <c r="CT243" s="20"/>
      <c r="CU243" s="20"/>
      <c r="CV243" s="20"/>
      <c r="CW243" s="20"/>
      <c r="CX243" s="20"/>
      <c r="CY243" s="20"/>
    </row>
    <row r="244" spans="1:103" s="6" customFormat="1">
      <c r="A244"/>
      <c r="B244"/>
      <c r="C244"/>
      <c r="D244"/>
      <c r="E244"/>
      <c r="F244"/>
      <c r="G244"/>
      <c r="H244"/>
      <c r="I244"/>
      <c r="J244"/>
      <c r="N244" s="7"/>
      <c r="O244"/>
      <c r="P244" s="10"/>
      <c r="Q244" s="9"/>
      <c r="R244" s="10"/>
      <c r="S244" s="10"/>
      <c r="AA244" s="11"/>
      <c r="AD244"/>
      <c r="AE244"/>
      <c r="AF244"/>
      <c r="AG244"/>
      <c r="AH244" s="46"/>
      <c r="AI244"/>
      <c r="AJ244"/>
      <c r="AK244"/>
      <c r="AL244"/>
      <c r="AM244"/>
      <c r="AN244"/>
      <c r="AO244"/>
      <c r="AP244"/>
      <c r="AQ244"/>
      <c r="AR244"/>
      <c r="AS244"/>
      <c r="AT244" s="14"/>
      <c r="AU244"/>
      <c r="AV244"/>
      <c r="AW244"/>
      <c r="AX244" s="10"/>
      <c r="AY244" s="20"/>
      <c r="AZ244" s="16"/>
      <c r="BA244"/>
      <c r="BB244"/>
      <c r="BC244" s="16"/>
      <c r="BD244"/>
      <c r="BE244"/>
      <c r="BF244"/>
      <c r="BG244"/>
      <c r="BH244"/>
      <c r="BI244"/>
      <c r="BJ244"/>
      <c r="BK244"/>
      <c r="BL244"/>
      <c r="BM244"/>
      <c r="BN244" s="19"/>
      <c r="BO244"/>
      <c r="BP244"/>
      <c r="BQ244"/>
      <c r="BR244"/>
      <c r="BS244"/>
      <c r="BT244"/>
      <c r="BU244"/>
      <c r="BV244"/>
      <c r="BW244"/>
      <c r="BX244"/>
      <c r="BY244"/>
      <c r="BZ244"/>
      <c r="CA244"/>
      <c r="CB244"/>
      <c r="CC244"/>
      <c r="CD244"/>
      <c r="CE244"/>
      <c r="CF244"/>
      <c r="CG244"/>
      <c r="CH244"/>
      <c r="CI244"/>
      <c r="CJ244"/>
      <c r="CK244"/>
      <c r="CL244"/>
      <c r="CM244" s="20"/>
      <c r="CN244" s="20"/>
      <c r="CO244" s="20"/>
      <c r="CP244" s="20"/>
      <c r="CQ244" s="20"/>
      <c r="CR244" s="20"/>
      <c r="CS244" s="20"/>
      <c r="CT244" s="20"/>
      <c r="CU244" s="20"/>
      <c r="CV244" s="20"/>
      <c r="CW244" s="20"/>
      <c r="CX244" s="20"/>
      <c r="CY244" s="20"/>
    </row>
    <row r="245" spans="1:103" s="6" customFormat="1">
      <c r="A245"/>
      <c r="B245"/>
      <c r="C245"/>
      <c r="D245"/>
      <c r="E245"/>
      <c r="F245"/>
      <c r="G245"/>
      <c r="H245"/>
      <c r="I245"/>
      <c r="J245"/>
      <c r="N245" s="7"/>
      <c r="O245"/>
      <c r="P245" s="10"/>
      <c r="Q245" s="9"/>
      <c r="R245" s="10"/>
      <c r="S245" s="10"/>
      <c r="AA245" s="11"/>
      <c r="AD245"/>
      <c r="AE245"/>
      <c r="AF245"/>
      <c r="AG245"/>
      <c r="AH245" s="46"/>
      <c r="AI245"/>
      <c r="AJ245"/>
      <c r="AK245"/>
      <c r="AL245"/>
      <c r="AM245"/>
      <c r="AN245"/>
      <c r="AO245"/>
      <c r="AP245"/>
      <c r="AQ245"/>
      <c r="AR245"/>
      <c r="AS245"/>
      <c r="AT245" s="14"/>
      <c r="AU245"/>
      <c r="AV245"/>
      <c r="AW245"/>
      <c r="AX245" s="10"/>
      <c r="AY245" s="20"/>
      <c r="AZ245" s="16"/>
      <c r="BA245"/>
      <c r="BB245"/>
      <c r="BC245" s="16"/>
      <c r="BD245"/>
      <c r="BE245"/>
      <c r="BF245"/>
      <c r="BG245"/>
      <c r="BH245"/>
      <c r="BI245"/>
      <c r="BJ245"/>
      <c r="BK245"/>
      <c r="BL245"/>
      <c r="BM245"/>
      <c r="BN245" s="19"/>
      <c r="BO245"/>
      <c r="BP245"/>
      <c r="BQ245"/>
      <c r="BR245"/>
      <c r="BS245"/>
      <c r="BT245"/>
      <c r="BU245"/>
      <c r="BV245"/>
      <c r="BW245"/>
      <c r="BX245"/>
      <c r="BY245"/>
      <c r="BZ245"/>
      <c r="CA245"/>
      <c r="CB245"/>
      <c r="CC245"/>
      <c r="CD245"/>
      <c r="CE245"/>
      <c r="CF245"/>
      <c r="CG245"/>
      <c r="CH245"/>
      <c r="CI245"/>
      <c r="CJ245"/>
      <c r="CK245"/>
      <c r="CL245"/>
      <c r="CM245" s="20"/>
      <c r="CN245" s="20"/>
      <c r="CO245" s="20"/>
      <c r="CP245" s="20"/>
      <c r="CQ245" s="20"/>
      <c r="CR245" s="20"/>
      <c r="CS245" s="20"/>
      <c r="CT245" s="20"/>
      <c r="CU245" s="20"/>
      <c r="CV245" s="20"/>
      <c r="CW245" s="20"/>
      <c r="CX245" s="20"/>
      <c r="CY245" s="20"/>
    </row>
    <row r="246" spans="1:103" s="6" customFormat="1">
      <c r="A246"/>
      <c r="B246"/>
      <c r="C246"/>
      <c r="D246"/>
      <c r="E246"/>
      <c r="F246"/>
      <c r="G246"/>
      <c r="H246"/>
      <c r="I246"/>
      <c r="J246"/>
      <c r="N246" s="7"/>
      <c r="O246"/>
      <c r="P246" s="10"/>
      <c r="Q246" s="9"/>
      <c r="R246" s="10"/>
      <c r="S246" s="10"/>
      <c r="AA246" s="11"/>
      <c r="AD246"/>
      <c r="AE246"/>
      <c r="AF246"/>
      <c r="AG246"/>
      <c r="AH246" s="46"/>
      <c r="AI246"/>
      <c r="AJ246"/>
      <c r="AK246"/>
      <c r="AL246"/>
      <c r="AM246"/>
      <c r="AN246"/>
      <c r="AO246"/>
      <c r="AP246"/>
      <c r="AQ246"/>
      <c r="AR246"/>
      <c r="AS246"/>
      <c r="AT246" s="14"/>
      <c r="AU246"/>
      <c r="AV246"/>
      <c r="AW246"/>
      <c r="AX246" s="10"/>
      <c r="AY246" s="20"/>
      <c r="AZ246" s="16"/>
      <c r="BA246"/>
      <c r="BB246"/>
      <c r="BC246" s="16"/>
      <c r="BD246"/>
      <c r="BE246"/>
      <c r="BF246"/>
      <c r="BG246"/>
      <c r="BH246"/>
      <c r="BI246"/>
      <c r="BJ246"/>
      <c r="BK246"/>
      <c r="BL246"/>
      <c r="BM246"/>
      <c r="BN246" s="19"/>
      <c r="BO246"/>
      <c r="BP246"/>
      <c r="BQ246"/>
      <c r="BR246"/>
      <c r="BS246"/>
      <c r="BT246"/>
      <c r="BU246"/>
      <c r="BV246"/>
      <c r="BW246"/>
      <c r="BX246"/>
      <c r="BY246"/>
      <c r="BZ246"/>
      <c r="CA246"/>
      <c r="CB246"/>
      <c r="CC246"/>
      <c r="CD246"/>
      <c r="CE246"/>
      <c r="CF246"/>
      <c r="CG246"/>
      <c r="CH246"/>
      <c r="CI246"/>
      <c r="CJ246"/>
      <c r="CK246"/>
      <c r="CL246"/>
      <c r="CM246" s="20"/>
      <c r="CN246" s="20"/>
      <c r="CO246" s="20"/>
      <c r="CP246" s="20"/>
      <c r="CQ246" s="20"/>
      <c r="CR246" s="20"/>
      <c r="CS246" s="20"/>
      <c r="CT246" s="20"/>
      <c r="CU246" s="20"/>
      <c r="CV246" s="20"/>
      <c r="CW246" s="20"/>
      <c r="CX246" s="20"/>
      <c r="CY246" s="20"/>
    </row>
    <row r="247" spans="1:103" s="6" customFormat="1">
      <c r="A247"/>
      <c r="B247"/>
      <c r="C247"/>
      <c r="D247"/>
      <c r="E247"/>
      <c r="F247"/>
      <c r="G247"/>
      <c r="H247"/>
      <c r="I247"/>
      <c r="J247"/>
      <c r="N247" s="7"/>
      <c r="O247"/>
      <c r="P247" s="10"/>
      <c r="Q247" s="9"/>
      <c r="R247" s="10"/>
      <c r="S247" s="10"/>
      <c r="AA247" s="11"/>
      <c r="AD247"/>
      <c r="AE247"/>
      <c r="AF247"/>
      <c r="AG247"/>
      <c r="AH247" s="46"/>
      <c r="AI247"/>
      <c r="AJ247"/>
      <c r="AK247"/>
      <c r="AL247"/>
      <c r="AM247"/>
      <c r="AN247"/>
      <c r="AO247"/>
      <c r="AP247"/>
      <c r="AQ247"/>
      <c r="AR247"/>
      <c r="AS247"/>
      <c r="AT247" s="14"/>
      <c r="AU247"/>
      <c r="AV247"/>
      <c r="AW247"/>
      <c r="AX247" s="10"/>
      <c r="AY247" s="20"/>
      <c r="AZ247" s="16"/>
      <c r="BA247"/>
      <c r="BB247"/>
      <c r="BC247" s="16"/>
      <c r="BD247"/>
      <c r="BE247"/>
      <c r="BF247"/>
      <c r="BG247"/>
      <c r="BH247"/>
      <c r="BI247"/>
      <c r="BJ247"/>
      <c r="BK247"/>
      <c r="BL247"/>
      <c r="BM247"/>
      <c r="BN247" s="19"/>
      <c r="BO247"/>
      <c r="BP247"/>
      <c r="BQ247"/>
      <c r="BR247"/>
      <c r="BS247"/>
      <c r="BT247"/>
      <c r="BU247"/>
      <c r="BV247"/>
      <c r="BW247"/>
      <c r="BX247"/>
      <c r="BY247"/>
      <c r="BZ247"/>
      <c r="CA247"/>
      <c r="CB247"/>
      <c r="CC247"/>
      <c r="CD247"/>
      <c r="CE247"/>
      <c r="CF247"/>
      <c r="CG247"/>
      <c r="CH247"/>
      <c r="CI247"/>
      <c r="CJ247"/>
      <c r="CK247"/>
      <c r="CL247"/>
      <c r="CM247" s="20"/>
      <c r="CN247" s="20"/>
      <c r="CO247" s="20"/>
      <c r="CP247" s="20"/>
      <c r="CQ247" s="20"/>
      <c r="CR247" s="20"/>
      <c r="CS247" s="20"/>
      <c r="CT247" s="20"/>
      <c r="CU247" s="20"/>
      <c r="CV247" s="20"/>
      <c r="CW247" s="20"/>
      <c r="CX247" s="20"/>
      <c r="CY247" s="20"/>
    </row>
    <row r="248" spans="1:103" s="6" customFormat="1">
      <c r="A248"/>
      <c r="B248"/>
      <c r="C248"/>
      <c r="D248"/>
      <c r="E248"/>
      <c r="F248"/>
      <c r="G248"/>
      <c r="H248"/>
      <c r="I248"/>
      <c r="J248"/>
      <c r="N248" s="7"/>
      <c r="O248"/>
      <c r="P248" s="10"/>
      <c r="Q248" s="9"/>
      <c r="R248" s="10"/>
      <c r="S248" s="10"/>
      <c r="AA248" s="11"/>
      <c r="AD248"/>
      <c r="AE248"/>
      <c r="AF248"/>
      <c r="AG248"/>
      <c r="AH248" s="46"/>
      <c r="AI248"/>
      <c r="AJ248"/>
      <c r="AK248"/>
      <c r="AL248"/>
      <c r="AM248"/>
      <c r="AN248"/>
      <c r="AO248"/>
      <c r="AP248"/>
      <c r="AQ248"/>
      <c r="AR248"/>
      <c r="AS248"/>
      <c r="AT248" s="14"/>
      <c r="AU248"/>
      <c r="AV248"/>
      <c r="AW248"/>
      <c r="AX248" s="10"/>
      <c r="AY248" s="20"/>
      <c r="AZ248" s="16"/>
      <c r="BA248"/>
      <c r="BB248"/>
      <c r="BC248" s="16"/>
      <c r="BD248"/>
      <c r="BE248"/>
      <c r="BF248"/>
      <c r="BG248"/>
      <c r="BH248"/>
      <c r="BI248"/>
      <c r="BJ248"/>
      <c r="BK248"/>
      <c r="BL248"/>
      <c r="BM248"/>
      <c r="BN248" s="19"/>
      <c r="BO248"/>
      <c r="BP248"/>
      <c r="BQ248"/>
      <c r="BR248"/>
      <c r="BS248"/>
      <c r="BT248"/>
      <c r="BU248"/>
      <c r="BV248"/>
      <c r="BW248"/>
      <c r="BX248"/>
      <c r="BY248"/>
      <c r="BZ248"/>
      <c r="CA248"/>
      <c r="CB248"/>
      <c r="CC248"/>
      <c r="CD248"/>
      <c r="CE248"/>
      <c r="CF248"/>
      <c r="CG248"/>
      <c r="CH248"/>
      <c r="CI248"/>
      <c r="CJ248"/>
      <c r="CK248"/>
      <c r="CL248"/>
      <c r="CM248" s="20"/>
      <c r="CN248" s="20"/>
      <c r="CO248" s="20"/>
      <c r="CP248" s="20"/>
      <c r="CQ248" s="20"/>
      <c r="CR248" s="20"/>
      <c r="CS248" s="20"/>
      <c r="CT248" s="20"/>
      <c r="CU248" s="20"/>
      <c r="CV248" s="20"/>
      <c r="CW248" s="20"/>
      <c r="CX248" s="20"/>
      <c r="CY248" s="20"/>
    </row>
    <row r="249" spans="1:103" s="6" customFormat="1">
      <c r="A249"/>
      <c r="B249"/>
      <c r="C249"/>
      <c r="D249"/>
      <c r="E249"/>
      <c r="F249"/>
      <c r="G249"/>
      <c r="H249"/>
      <c r="I249"/>
      <c r="J249"/>
      <c r="N249" s="7"/>
      <c r="O249"/>
      <c r="P249" s="10"/>
      <c r="Q249" s="9"/>
      <c r="R249" s="10"/>
      <c r="S249" s="10"/>
      <c r="AA249" s="11"/>
      <c r="AD249"/>
      <c r="AE249"/>
      <c r="AF249"/>
      <c r="AG249"/>
      <c r="AH249" s="46"/>
      <c r="AI249"/>
      <c r="AJ249"/>
      <c r="AK249"/>
      <c r="AL249"/>
      <c r="AM249"/>
      <c r="AN249"/>
      <c r="AO249"/>
      <c r="AP249"/>
      <c r="AQ249"/>
      <c r="AR249"/>
      <c r="AS249"/>
      <c r="AT249" s="14"/>
      <c r="AU249"/>
      <c r="AV249"/>
      <c r="AW249"/>
      <c r="AX249" s="10"/>
      <c r="AY249" s="20"/>
      <c r="AZ249" s="16"/>
      <c r="BA249"/>
      <c r="BB249"/>
      <c r="BC249" s="16"/>
      <c r="BD249"/>
      <c r="BE249"/>
      <c r="BF249"/>
      <c r="BG249"/>
      <c r="BH249"/>
      <c r="BI249"/>
      <c r="BJ249"/>
      <c r="BK249"/>
      <c r="BL249"/>
      <c r="BM249"/>
      <c r="BN249" s="19"/>
      <c r="BO249"/>
      <c r="BP249"/>
      <c r="BQ249"/>
      <c r="BR249"/>
      <c r="BS249"/>
      <c r="BT249"/>
      <c r="BU249"/>
      <c r="BV249"/>
      <c r="BW249"/>
      <c r="BX249"/>
      <c r="BY249"/>
      <c r="BZ249"/>
      <c r="CA249"/>
      <c r="CB249"/>
      <c r="CC249"/>
      <c r="CD249"/>
      <c r="CE249"/>
      <c r="CF249"/>
      <c r="CG249"/>
      <c r="CH249"/>
      <c r="CI249"/>
      <c r="CJ249"/>
      <c r="CK249"/>
      <c r="CL249"/>
      <c r="CM249" s="20"/>
      <c r="CN249" s="20"/>
      <c r="CO249" s="20"/>
      <c r="CP249" s="20"/>
      <c r="CQ249" s="20"/>
      <c r="CR249" s="20"/>
      <c r="CS249" s="20"/>
      <c r="CT249" s="20"/>
      <c r="CU249" s="20"/>
      <c r="CV249" s="20"/>
      <c r="CW249" s="20"/>
      <c r="CX249" s="20"/>
      <c r="CY249" s="20"/>
    </row>
    <row r="250" spans="1:103" s="6" customFormat="1">
      <c r="A250"/>
      <c r="B250"/>
      <c r="C250"/>
      <c r="D250"/>
      <c r="E250"/>
      <c r="F250"/>
      <c r="G250"/>
      <c r="H250"/>
      <c r="I250"/>
      <c r="J250"/>
      <c r="N250" s="7"/>
      <c r="O250"/>
      <c r="P250" s="10"/>
      <c r="Q250" s="9"/>
      <c r="R250" s="10"/>
      <c r="S250" s="10"/>
      <c r="AA250" s="11"/>
      <c r="AD250"/>
      <c r="AE250"/>
      <c r="AF250"/>
      <c r="AG250"/>
      <c r="AH250" s="46"/>
      <c r="AI250"/>
      <c r="AJ250"/>
      <c r="AK250"/>
      <c r="AL250"/>
      <c r="AM250"/>
      <c r="AN250"/>
      <c r="AO250"/>
      <c r="AP250"/>
      <c r="AQ250"/>
      <c r="AR250"/>
      <c r="AS250"/>
      <c r="AT250" s="14"/>
      <c r="AU250"/>
      <c r="AV250"/>
      <c r="AW250"/>
      <c r="AX250" s="10"/>
      <c r="AY250" s="20"/>
      <c r="AZ250" s="16"/>
      <c r="BA250"/>
      <c r="BB250"/>
      <c r="BC250" s="16"/>
      <c r="BD250"/>
      <c r="BE250"/>
      <c r="BF250"/>
      <c r="BG250"/>
      <c r="BH250"/>
      <c r="BI250"/>
      <c r="BJ250"/>
      <c r="BK250"/>
      <c r="BL250"/>
      <c r="BM250"/>
      <c r="BN250" s="19"/>
      <c r="BO250"/>
      <c r="BP250"/>
      <c r="BQ250"/>
      <c r="BR250"/>
      <c r="BS250"/>
      <c r="BT250"/>
      <c r="BU250"/>
      <c r="BV250"/>
      <c r="BW250"/>
      <c r="BX250"/>
      <c r="BY250"/>
      <c r="BZ250"/>
      <c r="CA250"/>
      <c r="CB250"/>
      <c r="CC250"/>
      <c r="CD250"/>
      <c r="CE250"/>
      <c r="CF250"/>
      <c r="CG250"/>
      <c r="CH250"/>
      <c r="CI250"/>
      <c r="CJ250"/>
      <c r="CK250"/>
      <c r="CL250"/>
      <c r="CM250" s="20"/>
      <c r="CN250" s="20"/>
      <c r="CO250" s="20"/>
      <c r="CP250" s="20"/>
      <c r="CQ250" s="20"/>
      <c r="CR250" s="20"/>
      <c r="CS250" s="20"/>
      <c r="CT250" s="20"/>
      <c r="CU250" s="20"/>
      <c r="CV250" s="20"/>
      <c r="CW250" s="20"/>
      <c r="CX250" s="20"/>
      <c r="CY250" s="20"/>
    </row>
    <row r="251" spans="1:103" s="6" customFormat="1">
      <c r="A251"/>
      <c r="B251"/>
      <c r="C251"/>
      <c r="D251"/>
      <c r="E251"/>
      <c r="F251"/>
      <c r="G251"/>
      <c r="H251"/>
      <c r="I251"/>
      <c r="J251"/>
      <c r="N251" s="7"/>
      <c r="O251"/>
      <c r="P251" s="10"/>
      <c r="Q251" s="9"/>
      <c r="R251" s="10"/>
      <c r="S251" s="10"/>
      <c r="AA251" s="11"/>
      <c r="AD251"/>
      <c r="AE251"/>
      <c r="AF251"/>
      <c r="AG251"/>
      <c r="AH251" s="46"/>
      <c r="AI251"/>
      <c r="AJ251"/>
      <c r="AK251"/>
      <c r="AL251"/>
      <c r="AM251"/>
      <c r="AN251"/>
      <c r="AO251"/>
      <c r="AP251"/>
      <c r="AQ251"/>
      <c r="AR251"/>
      <c r="AS251"/>
      <c r="AT251" s="14"/>
      <c r="AU251"/>
      <c r="AV251"/>
      <c r="AW251"/>
      <c r="AX251" s="10"/>
      <c r="AY251" s="20"/>
      <c r="AZ251" s="16"/>
      <c r="BA251"/>
      <c r="BB251"/>
      <c r="BC251" s="16"/>
      <c r="BD251"/>
      <c r="BE251"/>
      <c r="BF251"/>
      <c r="BG251"/>
      <c r="BH251"/>
      <c r="BI251"/>
      <c r="BJ251"/>
      <c r="BK251"/>
      <c r="BL251"/>
      <c r="BM251"/>
      <c r="BN251" s="19"/>
      <c r="BO251"/>
      <c r="BP251"/>
      <c r="BQ251"/>
      <c r="BR251"/>
      <c r="BS251"/>
      <c r="BT251"/>
      <c r="BU251"/>
      <c r="BV251"/>
      <c r="BW251"/>
      <c r="BX251"/>
      <c r="BY251"/>
      <c r="BZ251"/>
      <c r="CA251"/>
      <c r="CB251"/>
      <c r="CC251"/>
      <c r="CD251"/>
      <c r="CE251"/>
      <c r="CF251"/>
      <c r="CG251"/>
      <c r="CH251"/>
      <c r="CI251"/>
      <c r="CJ251"/>
      <c r="CK251"/>
      <c r="CL251"/>
      <c r="CM251" s="20"/>
      <c r="CN251" s="20"/>
      <c r="CO251" s="20"/>
      <c r="CP251" s="20"/>
      <c r="CQ251" s="20"/>
      <c r="CR251" s="20"/>
      <c r="CS251" s="20"/>
      <c r="CT251" s="20"/>
      <c r="CU251" s="20"/>
      <c r="CV251" s="20"/>
      <c r="CW251" s="20"/>
      <c r="CX251" s="20"/>
      <c r="CY251" s="20"/>
    </row>
    <row r="252" spans="1:103" s="6" customFormat="1">
      <c r="A252"/>
      <c r="B252"/>
      <c r="C252"/>
      <c r="D252"/>
      <c r="E252"/>
      <c r="F252"/>
      <c r="G252"/>
      <c r="H252"/>
      <c r="I252"/>
      <c r="J252"/>
      <c r="N252" s="7"/>
      <c r="O252"/>
      <c r="P252" s="10"/>
      <c r="Q252" s="9"/>
      <c r="R252" s="10"/>
      <c r="S252" s="10"/>
      <c r="AA252" s="11"/>
      <c r="AD252"/>
      <c r="AE252"/>
      <c r="AF252"/>
      <c r="AG252"/>
      <c r="AH252" s="46"/>
      <c r="AI252"/>
      <c r="AJ252"/>
      <c r="AK252"/>
      <c r="AL252"/>
      <c r="AM252"/>
      <c r="AN252"/>
      <c r="AO252"/>
      <c r="AP252"/>
      <c r="AQ252"/>
      <c r="AR252"/>
      <c r="AS252"/>
      <c r="AT252" s="14"/>
      <c r="AU252"/>
      <c r="AV252"/>
      <c r="AW252"/>
      <c r="AX252" s="10"/>
      <c r="AY252" s="20"/>
      <c r="AZ252" s="16"/>
      <c r="BA252"/>
      <c r="BB252"/>
      <c r="BC252" s="16"/>
      <c r="BD252"/>
      <c r="BE252"/>
      <c r="BF252"/>
      <c r="BG252"/>
      <c r="BH252"/>
      <c r="BI252"/>
      <c r="BJ252"/>
      <c r="BK252"/>
      <c r="BL252"/>
      <c r="BM252"/>
      <c r="BN252" s="19"/>
      <c r="BO252"/>
      <c r="BP252"/>
      <c r="BQ252"/>
      <c r="BR252"/>
      <c r="BS252"/>
      <c r="BT252"/>
      <c r="BU252"/>
      <c r="BV252"/>
      <c r="BW252"/>
      <c r="BX252"/>
      <c r="BY252"/>
      <c r="BZ252"/>
      <c r="CA252"/>
      <c r="CB252"/>
      <c r="CC252"/>
      <c r="CD252"/>
      <c r="CE252"/>
      <c r="CF252"/>
      <c r="CG252"/>
      <c r="CH252"/>
      <c r="CI252"/>
      <c r="CJ252"/>
      <c r="CK252"/>
      <c r="CL252"/>
      <c r="CM252" s="20"/>
      <c r="CN252" s="20"/>
      <c r="CO252" s="20"/>
      <c r="CP252" s="20"/>
      <c r="CQ252" s="20"/>
      <c r="CR252" s="20"/>
      <c r="CS252" s="20"/>
      <c r="CT252" s="20"/>
      <c r="CU252" s="20"/>
      <c r="CV252" s="20"/>
      <c r="CW252" s="20"/>
      <c r="CX252" s="20"/>
      <c r="CY252" s="20"/>
    </row>
    <row r="253" spans="1:103" s="6" customFormat="1">
      <c r="A253"/>
      <c r="B253"/>
      <c r="C253"/>
      <c r="D253"/>
      <c r="E253"/>
      <c r="F253"/>
      <c r="G253"/>
      <c r="H253"/>
      <c r="I253"/>
      <c r="J253"/>
      <c r="N253" s="7"/>
      <c r="O253"/>
      <c r="P253" s="10"/>
      <c r="Q253" s="9"/>
      <c r="R253" s="10"/>
      <c r="S253" s="10"/>
      <c r="AA253" s="11"/>
      <c r="AD253"/>
      <c r="AE253"/>
      <c r="AF253"/>
      <c r="AG253"/>
      <c r="AH253" s="46"/>
      <c r="AI253"/>
      <c r="AJ253"/>
      <c r="AK253"/>
      <c r="AL253"/>
      <c r="AM253"/>
      <c r="AN253"/>
      <c r="AO253"/>
      <c r="AP253"/>
      <c r="AQ253"/>
      <c r="AR253"/>
      <c r="AS253"/>
      <c r="AT253" s="14"/>
      <c r="AU253"/>
      <c r="AV253"/>
      <c r="AW253"/>
      <c r="AX253" s="10"/>
      <c r="AY253" s="20"/>
      <c r="AZ253" s="16"/>
      <c r="BA253"/>
      <c r="BB253"/>
      <c r="BC253" s="16"/>
      <c r="BD253"/>
      <c r="BE253"/>
      <c r="BF253"/>
      <c r="BG253"/>
      <c r="BH253"/>
      <c r="BI253"/>
      <c r="BJ253"/>
      <c r="BK253"/>
      <c r="BL253"/>
      <c r="BM253"/>
      <c r="BN253" s="19"/>
      <c r="BO253"/>
      <c r="BP253"/>
      <c r="BQ253"/>
      <c r="BR253"/>
      <c r="BS253"/>
      <c r="BT253"/>
      <c r="BU253"/>
      <c r="BV253"/>
      <c r="BW253"/>
      <c r="BX253"/>
      <c r="BY253"/>
      <c r="BZ253"/>
      <c r="CA253"/>
      <c r="CB253"/>
      <c r="CC253"/>
      <c r="CD253"/>
      <c r="CE253"/>
      <c r="CF253"/>
      <c r="CG253"/>
      <c r="CH253"/>
      <c r="CI253"/>
      <c r="CJ253"/>
      <c r="CK253"/>
      <c r="CL253"/>
      <c r="CM253" s="20"/>
      <c r="CN253" s="20"/>
      <c r="CO253" s="20"/>
      <c r="CP253" s="20"/>
      <c r="CQ253" s="20"/>
      <c r="CR253" s="20"/>
      <c r="CS253" s="20"/>
      <c r="CT253" s="20"/>
      <c r="CU253" s="20"/>
      <c r="CV253" s="20"/>
      <c r="CW253" s="20"/>
      <c r="CX253" s="20"/>
      <c r="CY253" s="20"/>
    </row>
    <row r="254" spans="1:103" s="6" customFormat="1">
      <c r="A254"/>
      <c r="B254"/>
      <c r="C254"/>
      <c r="D254"/>
      <c r="E254"/>
      <c r="F254"/>
      <c r="G254"/>
      <c r="H254"/>
      <c r="I254"/>
      <c r="J254"/>
      <c r="N254" s="7"/>
      <c r="O254"/>
      <c r="P254" s="10"/>
      <c r="Q254" s="9"/>
      <c r="R254" s="10"/>
      <c r="S254" s="10"/>
      <c r="AA254" s="11"/>
      <c r="AD254"/>
      <c r="AE254"/>
      <c r="AF254"/>
      <c r="AG254"/>
      <c r="AH254" s="46"/>
      <c r="AI254"/>
      <c r="AJ254"/>
      <c r="AK254"/>
      <c r="AL254"/>
      <c r="AM254"/>
      <c r="AN254"/>
      <c r="AO254"/>
      <c r="AP254"/>
      <c r="AQ254"/>
      <c r="AR254"/>
      <c r="AS254"/>
      <c r="AT254" s="14"/>
      <c r="AU254"/>
      <c r="AV254"/>
      <c r="AW254"/>
      <c r="AX254" s="10"/>
      <c r="AY254" s="20"/>
      <c r="AZ254" s="16"/>
      <c r="BA254"/>
      <c r="BB254"/>
      <c r="BC254" s="16"/>
      <c r="BD254"/>
      <c r="BE254"/>
      <c r="BF254"/>
      <c r="BG254"/>
      <c r="BH254"/>
      <c r="BI254"/>
      <c r="BJ254"/>
      <c r="BK254"/>
      <c r="BL254"/>
      <c r="BM254"/>
      <c r="BN254" s="19"/>
      <c r="BO254"/>
      <c r="BP254"/>
      <c r="BQ254"/>
      <c r="BR254"/>
      <c r="BS254"/>
      <c r="BT254"/>
      <c r="BU254"/>
      <c r="BV254"/>
      <c r="BW254"/>
      <c r="BX254"/>
      <c r="BY254"/>
      <c r="BZ254"/>
      <c r="CA254"/>
      <c r="CB254"/>
      <c r="CC254"/>
      <c r="CD254"/>
      <c r="CE254"/>
      <c r="CF254"/>
      <c r="CG254"/>
      <c r="CH254"/>
      <c r="CI254"/>
      <c r="CJ254"/>
      <c r="CK254"/>
      <c r="CL254"/>
      <c r="CM254" s="20"/>
      <c r="CN254" s="20"/>
      <c r="CO254" s="20"/>
      <c r="CP254" s="20"/>
      <c r="CQ254" s="20"/>
      <c r="CR254" s="20"/>
      <c r="CS254" s="20"/>
      <c r="CT254" s="20"/>
      <c r="CU254" s="20"/>
      <c r="CV254" s="20"/>
      <c r="CW254" s="20"/>
      <c r="CX254" s="20"/>
      <c r="CY254" s="20"/>
    </row>
    <row r="255" spans="1:103" s="6" customFormat="1">
      <c r="A255"/>
      <c r="B255"/>
      <c r="C255"/>
      <c r="D255"/>
      <c r="E255"/>
      <c r="F255"/>
      <c r="G255"/>
      <c r="H255"/>
      <c r="I255"/>
      <c r="J255"/>
      <c r="N255" s="7"/>
      <c r="O255"/>
      <c r="P255" s="10"/>
      <c r="Q255" s="9"/>
      <c r="R255" s="10"/>
      <c r="S255" s="10"/>
      <c r="AA255" s="11"/>
      <c r="AD255"/>
      <c r="AE255"/>
      <c r="AF255"/>
      <c r="AG255"/>
      <c r="AH255" s="46"/>
      <c r="AI255"/>
      <c r="AJ255"/>
      <c r="AK255"/>
      <c r="AL255"/>
      <c r="AM255"/>
      <c r="AN255"/>
      <c r="AO255"/>
      <c r="AP255"/>
      <c r="AQ255"/>
      <c r="AR255"/>
      <c r="AS255"/>
      <c r="AT255" s="14"/>
      <c r="AU255"/>
      <c r="AV255"/>
      <c r="AW255"/>
      <c r="AX255" s="10"/>
      <c r="AY255" s="20"/>
      <c r="AZ255" s="16"/>
      <c r="BA255"/>
      <c r="BB255"/>
      <c r="BC255" s="16"/>
      <c r="BD255"/>
      <c r="BE255"/>
      <c r="BF255"/>
      <c r="BG255"/>
      <c r="BH255"/>
      <c r="BI255"/>
      <c r="BJ255"/>
      <c r="BK255"/>
      <c r="BL255"/>
      <c r="BM255"/>
      <c r="BN255" s="19"/>
      <c r="BO255"/>
      <c r="BP255"/>
      <c r="BQ255"/>
      <c r="BR255"/>
      <c r="BS255"/>
      <c r="BT255"/>
      <c r="BU255"/>
      <c r="BV255"/>
      <c r="BW255"/>
      <c r="BX255"/>
      <c r="BY255"/>
      <c r="BZ255"/>
      <c r="CA255"/>
      <c r="CB255"/>
      <c r="CC255"/>
      <c r="CD255"/>
      <c r="CE255"/>
      <c r="CF255"/>
      <c r="CG255"/>
      <c r="CH255"/>
      <c r="CI255"/>
      <c r="CJ255"/>
      <c r="CK255"/>
      <c r="CL255"/>
      <c r="CM255" s="20"/>
      <c r="CN255" s="20"/>
      <c r="CO255" s="20"/>
      <c r="CP255" s="20"/>
      <c r="CQ255" s="20"/>
      <c r="CR255" s="20"/>
      <c r="CS255" s="20"/>
      <c r="CT255" s="20"/>
      <c r="CU255" s="20"/>
      <c r="CV255" s="20"/>
      <c r="CW255" s="20"/>
      <c r="CX255" s="20"/>
      <c r="CY255" s="20"/>
    </row>
    <row r="256" spans="1:103" s="6" customFormat="1">
      <c r="A256"/>
      <c r="B256"/>
      <c r="C256"/>
      <c r="D256"/>
      <c r="E256"/>
      <c r="F256"/>
      <c r="G256"/>
      <c r="H256"/>
      <c r="I256"/>
      <c r="J256"/>
      <c r="N256" s="7"/>
      <c r="O256"/>
      <c r="P256" s="10"/>
      <c r="Q256" s="9"/>
      <c r="R256" s="10"/>
      <c r="S256" s="10"/>
      <c r="AA256" s="11"/>
      <c r="AD256"/>
      <c r="AE256"/>
      <c r="AF256"/>
      <c r="AG256"/>
      <c r="AH256" s="46"/>
      <c r="AI256"/>
      <c r="AJ256"/>
      <c r="AK256"/>
      <c r="AL256"/>
      <c r="AM256"/>
      <c r="AN256"/>
      <c r="AO256"/>
      <c r="AP256"/>
      <c r="AQ256"/>
      <c r="AR256"/>
      <c r="AS256"/>
      <c r="AT256" s="14"/>
      <c r="AU256"/>
      <c r="AV256"/>
      <c r="AW256"/>
      <c r="AX256" s="10"/>
      <c r="AY256" s="20"/>
      <c r="AZ256" s="16"/>
      <c r="BA256"/>
      <c r="BB256"/>
      <c r="BC256" s="16"/>
      <c r="BD256"/>
      <c r="BE256"/>
      <c r="BF256"/>
      <c r="BG256"/>
      <c r="BH256"/>
      <c r="BI256"/>
      <c r="BJ256"/>
      <c r="BK256"/>
      <c r="BL256"/>
      <c r="BM256"/>
      <c r="BN256" s="19"/>
      <c r="BO256"/>
      <c r="BP256"/>
      <c r="BQ256"/>
      <c r="BR256"/>
      <c r="BS256"/>
      <c r="BT256"/>
      <c r="BU256"/>
      <c r="BV256"/>
      <c r="BW256"/>
      <c r="BX256"/>
      <c r="BY256"/>
      <c r="BZ256"/>
      <c r="CA256"/>
      <c r="CB256"/>
      <c r="CC256"/>
      <c r="CD256"/>
      <c r="CE256"/>
      <c r="CF256"/>
      <c r="CG256"/>
      <c r="CH256"/>
      <c r="CI256"/>
      <c r="CJ256"/>
      <c r="CK256"/>
      <c r="CL256"/>
      <c r="CM256" s="20"/>
      <c r="CN256" s="20"/>
      <c r="CO256" s="20"/>
      <c r="CP256" s="20"/>
      <c r="CQ256" s="20"/>
      <c r="CR256" s="20"/>
      <c r="CS256" s="20"/>
      <c r="CT256" s="20"/>
      <c r="CU256" s="20"/>
      <c r="CV256" s="20"/>
      <c r="CW256" s="20"/>
      <c r="CX256" s="20"/>
      <c r="CY256" s="20"/>
    </row>
    <row r="257" spans="1:103" s="6" customFormat="1">
      <c r="A257"/>
      <c r="B257"/>
      <c r="C257"/>
      <c r="D257"/>
      <c r="E257"/>
      <c r="F257"/>
      <c r="G257"/>
      <c r="H257"/>
      <c r="I257"/>
      <c r="J257"/>
      <c r="N257" s="7"/>
      <c r="O257"/>
      <c r="P257" s="10"/>
      <c r="Q257" s="9"/>
      <c r="R257" s="10"/>
      <c r="S257" s="10"/>
      <c r="AA257" s="11"/>
      <c r="AD257"/>
      <c r="AE257"/>
      <c r="AF257"/>
      <c r="AG257"/>
      <c r="AH257" s="46"/>
      <c r="AI257"/>
      <c r="AJ257"/>
      <c r="AK257"/>
      <c r="AL257"/>
      <c r="AM257"/>
      <c r="AN257"/>
      <c r="AO257"/>
      <c r="AP257"/>
      <c r="AQ257"/>
      <c r="AR257"/>
      <c r="AS257"/>
      <c r="AT257" s="14"/>
      <c r="AU257"/>
      <c r="AV257"/>
      <c r="AW257"/>
      <c r="AX257" s="10"/>
      <c r="AY257" s="20"/>
      <c r="AZ257" s="16"/>
      <c r="BA257"/>
      <c r="BB257"/>
      <c r="BC257" s="16"/>
      <c r="BD257"/>
      <c r="BE257"/>
      <c r="BF257"/>
      <c r="BG257"/>
      <c r="BH257"/>
      <c r="BI257"/>
      <c r="BJ257"/>
      <c r="BK257"/>
      <c r="BL257"/>
      <c r="BM257"/>
      <c r="BN257" s="19"/>
      <c r="BO257"/>
      <c r="BP257"/>
      <c r="BQ257"/>
      <c r="BR257"/>
      <c r="BS257"/>
      <c r="BT257"/>
      <c r="BU257"/>
      <c r="BV257"/>
      <c r="BW257"/>
      <c r="BX257"/>
      <c r="BY257"/>
      <c r="BZ257"/>
      <c r="CA257"/>
      <c r="CB257"/>
      <c r="CC257"/>
      <c r="CD257"/>
      <c r="CE257"/>
      <c r="CF257"/>
      <c r="CG257"/>
      <c r="CH257"/>
      <c r="CI257"/>
      <c r="CJ257"/>
      <c r="CK257"/>
      <c r="CL257"/>
      <c r="CM257" s="20"/>
      <c r="CN257" s="20"/>
      <c r="CO257" s="20"/>
      <c r="CP257" s="20"/>
      <c r="CQ257" s="20"/>
      <c r="CR257" s="20"/>
      <c r="CS257" s="20"/>
      <c r="CT257" s="20"/>
      <c r="CU257" s="20"/>
      <c r="CV257" s="20"/>
      <c r="CW257" s="20"/>
      <c r="CX257" s="20"/>
      <c r="CY257" s="20"/>
    </row>
    <row r="258" spans="1:103" s="6" customFormat="1">
      <c r="A258"/>
      <c r="B258"/>
      <c r="C258"/>
      <c r="D258"/>
      <c r="E258"/>
      <c r="F258"/>
      <c r="G258"/>
      <c r="H258"/>
      <c r="I258"/>
      <c r="J258"/>
      <c r="N258" s="7"/>
      <c r="O258"/>
      <c r="P258" s="10"/>
      <c r="Q258" s="9"/>
      <c r="R258" s="10"/>
      <c r="S258" s="10"/>
      <c r="AA258" s="11"/>
      <c r="AD258"/>
      <c r="AE258"/>
      <c r="AF258"/>
      <c r="AG258"/>
      <c r="AH258" s="46"/>
      <c r="AI258"/>
      <c r="AJ258"/>
      <c r="AK258"/>
      <c r="AL258"/>
      <c r="AM258"/>
      <c r="AN258"/>
      <c r="AO258"/>
      <c r="AP258"/>
      <c r="AQ258"/>
      <c r="AR258"/>
      <c r="AS258"/>
      <c r="AT258" s="14"/>
      <c r="AU258"/>
      <c r="AV258"/>
      <c r="AW258"/>
      <c r="AX258" s="10"/>
      <c r="AY258" s="20"/>
      <c r="AZ258" s="16"/>
      <c r="BA258"/>
      <c r="BB258"/>
      <c r="BC258" s="16"/>
      <c r="BD258"/>
      <c r="BE258"/>
      <c r="BF258"/>
      <c r="BG258"/>
      <c r="BH258"/>
      <c r="BI258"/>
      <c r="BJ258"/>
      <c r="BK258"/>
      <c r="BL258"/>
      <c r="BM258"/>
      <c r="BN258" s="19"/>
      <c r="BO258"/>
      <c r="BP258"/>
      <c r="BQ258"/>
      <c r="BR258"/>
      <c r="BS258"/>
      <c r="BT258"/>
      <c r="BU258"/>
      <c r="BV258"/>
      <c r="BW258"/>
      <c r="BX258"/>
      <c r="BY258"/>
      <c r="BZ258"/>
      <c r="CA258"/>
      <c r="CB258"/>
      <c r="CC258"/>
      <c r="CD258"/>
      <c r="CE258"/>
      <c r="CF258"/>
      <c r="CG258"/>
      <c r="CH258"/>
      <c r="CI258"/>
      <c r="CJ258"/>
      <c r="CK258"/>
      <c r="CL258"/>
      <c r="CM258" s="20"/>
      <c r="CN258" s="20"/>
      <c r="CO258" s="20"/>
      <c r="CP258" s="20"/>
      <c r="CQ258" s="20"/>
      <c r="CR258" s="20"/>
      <c r="CS258" s="20"/>
      <c r="CT258" s="20"/>
      <c r="CU258" s="20"/>
      <c r="CV258" s="20"/>
      <c r="CW258" s="20"/>
      <c r="CX258" s="20"/>
      <c r="CY258" s="20"/>
    </row>
    <row r="259" spans="1:103" s="6" customFormat="1">
      <c r="A259"/>
      <c r="B259"/>
      <c r="C259"/>
      <c r="D259"/>
      <c r="E259"/>
      <c r="F259"/>
      <c r="G259"/>
      <c r="H259"/>
      <c r="I259"/>
      <c r="J259"/>
      <c r="N259" s="7"/>
      <c r="O259"/>
      <c r="P259" s="10"/>
      <c r="Q259" s="9"/>
      <c r="R259" s="10"/>
      <c r="S259" s="10"/>
      <c r="AA259" s="11"/>
      <c r="AD259"/>
      <c r="AE259"/>
      <c r="AF259"/>
      <c r="AG259"/>
      <c r="AH259" s="46"/>
      <c r="AI259"/>
      <c r="AJ259"/>
      <c r="AK259"/>
      <c r="AL259"/>
      <c r="AM259"/>
      <c r="AN259"/>
      <c r="AO259"/>
      <c r="AP259"/>
      <c r="AQ259"/>
      <c r="AR259"/>
      <c r="AS259"/>
      <c r="AT259" s="14"/>
      <c r="AU259"/>
      <c r="AV259"/>
      <c r="AW259"/>
      <c r="AX259" s="10"/>
      <c r="AY259" s="20"/>
      <c r="AZ259" s="16"/>
      <c r="BA259"/>
      <c r="BB259"/>
      <c r="BC259" s="16"/>
      <c r="BD259"/>
      <c r="BE259"/>
      <c r="BF259"/>
      <c r="BG259"/>
      <c r="BH259"/>
      <c r="BI259"/>
      <c r="BJ259"/>
      <c r="BK259"/>
      <c r="BL259"/>
      <c r="BM259"/>
      <c r="BN259" s="19"/>
      <c r="BO259"/>
      <c r="BP259"/>
      <c r="BQ259"/>
      <c r="BR259"/>
      <c r="BS259"/>
      <c r="BT259"/>
      <c r="BU259"/>
      <c r="BV259"/>
      <c r="BW259"/>
      <c r="BX259"/>
      <c r="BY259"/>
      <c r="BZ259"/>
      <c r="CA259"/>
      <c r="CB259"/>
      <c r="CC259"/>
      <c r="CD259"/>
      <c r="CE259"/>
      <c r="CF259"/>
      <c r="CG259"/>
      <c r="CH259"/>
      <c r="CI259"/>
      <c r="CJ259"/>
      <c r="CK259"/>
      <c r="CL259"/>
      <c r="CM259" s="20"/>
      <c r="CN259" s="20"/>
      <c r="CO259" s="20"/>
      <c r="CP259" s="20"/>
      <c r="CQ259" s="20"/>
      <c r="CR259" s="20"/>
      <c r="CS259" s="20"/>
      <c r="CT259" s="20"/>
      <c r="CU259" s="20"/>
      <c r="CV259" s="20"/>
      <c r="CW259" s="20"/>
      <c r="CX259" s="20"/>
      <c r="CY259" s="20"/>
    </row>
    <row r="260" spans="1:103" s="6" customFormat="1">
      <c r="A260"/>
      <c r="B260"/>
      <c r="C260"/>
      <c r="D260"/>
      <c r="E260"/>
      <c r="F260"/>
      <c r="G260"/>
      <c r="H260"/>
      <c r="I260"/>
      <c r="J260"/>
      <c r="N260" s="7"/>
      <c r="O260"/>
      <c r="P260" s="10"/>
      <c r="Q260" s="9"/>
      <c r="R260" s="10"/>
      <c r="S260" s="10"/>
      <c r="AA260" s="11"/>
      <c r="AD260"/>
      <c r="AE260"/>
      <c r="AF260"/>
      <c r="AG260"/>
      <c r="AH260" s="46"/>
      <c r="AI260"/>
      <c r="AJ260"/>
      <c r="AK260"/>
      <c r="AL260"/>
      <c r="AM260"/>
      <c r="AN260"/>
      <c r="AO260"/>
      <c r="AP260"/>
      <c r="AQ260"/>
      <c r="AR260"/>
      <c r="AS260"/>
      <c r="AT260" s="14"/>
      <c r="AU260"/>
      <c r="AV260"/>
      <c r="AW260"/>
      <c r="AX260" s="10"/>
      <c r="AY260" s="20"/>
      <c r="AZ260" s="16"/>
      <c r="BA260"/>
      <c r="BB260"/>
      <c r="BC260" s="16"/>
      <c r="BD260"/>
      <c r="BE260"/>
      <c r="BF260"/>
      <c r="BG260"/>
      <c r="BH260"/>
      <c r="BI260"/>
      <c r="BJ260"/>
      <c r="BK260"/>
      <c r="BL260"/>
      <c r="BM260"/>
      <c r="BN260" s="19"/>
      <c r="BO260"/>
      <c r="BP260"/>
      <c r="BQ260"/>
      <c r="BR260"/>
      <c r="BS260"/>
      <c r="BT260"/>
      <c r="BU260"/>
      <c r="BV260"/>
      <c r="BW260"/>
      <c r="BX260"/>
      <c r="BY260"/>
      <c r="BZ260"/>
      <c r="CA260"/>
      <c r="CB260"/>
      <c r="CC260"/>
      <c r="CD260"/>
      <c r="CE260"/>
      <c r="CF260"/>
      <c r="CG260"/>
      <c r="CH260"/>
      <c r="CI260"/>
      <c r="CJ260"/>
      <c r="CK260"/>
      <c r="CL260"/>
      <c r="CM260" s="20"/>
      <c r="CN260" s="20"/>
      <c r="CO260" s="20"/>
      <c r="CP260" s="20"/>
      <c r="CQ260" s="20"/>
      <c r="CR260" s="20"/>
      <c r="CS260" s="20"/>
      <c r="CT260" s="20"/>
      <c r="CU260" s="20"/>
      <c r="CV260" s="20"/>
      <c r="CW260" s="20"/>
      <c r="CX260" s="20"/>
      <c r="CY260" s="20"/>
    </row>
    <row r="261" spans="1:103" s="6" customFormat="1">
      <c r="A261"/>
      <c r="B261"/>
      <c r="C261"/>
      <c r="D261"/>
      <c r="E261"/>
      <c r="F261"/>
      <c r="G261"/>
      <c r="H261"/>
      <c r="I261"/>
      <c r="J261"/>
      <c r="N261" s="7"/>
      <c r="O261"/>
      <c r="P261" s="10"/>
      <c r="Q261" s="9"/>
      <c r="R261" s="10"/>
      <c r="S261" s="10"/>
      <c r="AA261" s="11"/>
      <c r="AD261"/>
      <c r="AE261"/>
      <c r="AF261"/>
      <c r="AG261"/>
      <c r="AH261" s="46"/>
      <c r="AI261"/>
      <c r="AJ261"/>
      <c r="AK261"/>
      <c r="AL261"/>
      <c r="AM261"/>
      <c r="AN261"/>
      <c r="AO261"/>
      <c r="AP261"/>
      <c r="AQ261"/>
      <c r="AR261"/>
      <c r="AS261"/>
      <c r="AT261" s="14"/>
      <c r="AU261"/>
      <c r="AV261"/>
      <c r="AW261"/>
      <c r="AX261" s="10"/>
      <c r="AY261" s="20"/>
      <c r="AZ261" s="16"/>
      <c r="BA261"/>
      <c r="BB261"/>
      <c r="BC261" s="16"/>
      <c r="BD261"/>
      <c r="BE261"/>
      <c r="BF261"/>
      <c r="BG261"/>
      <c r="BH261"/>
      <c r="BI261"/>
      <c r="BJ261"/>
      <c r="BK261"/>
      <c r="BL261"/>
      <c r="BM261"/>
      <c r="BN261" s="19"/>
      <c r="BO261"/>
      <c r="BP261"/>
      <c r="BQ261"/>
      <c r="BR261"/>
      <c r="BS261"/>
      <c r="BT261"/>
      <c r="BU261"/>
      <c r="BV261"/>
      <c r="BW261"/>
      <c r="BX261"/>
      <c r="BY261"/>
      <c r="BZ261"/>
      <c r="CA261"/>
      <c r="CB261"/>
      <c r="CC261"/>
      <c r="CD261"/>
      <c r="CE261"/>
      <c r="CF261"/>
      <c r="CG261"/>
      <c r="CH261"/>
      <c r="CI261"/>
      <c r="CJ261"/>
      <c r="CK261"/>
      <c r="CL261"/>
      <c r="CM261" s="20"/>
      <c r="CN261" s="20"/>
      <c r="CO261" s="20"/>
      <c r="CP261" s="20"/>
      <c r="CQ261" s="20"/>
      <c r="CR261" s="20"/>
      <c r="CS261" s="20"/>
      <c r="CT261" s="20"/>
      <c r="CU261" s="20"/>
      <c r="CV261" s="20"/>
      <c r="CW261" s="20"/>
      <c r="CX261" s="20"/>
      <c r="CY261" s="20"/>
    </row>
    <row r="262" spans="1:103" s="6" customFormat="1">
      <c r="A262"/>
      <c r="B262"/>
      <c r="C262"/>
      <c r="D262"/>
      <c r="E262"/>
      <c r="F262"/>
      <c r="G262"/>
      <c r="H262"/>
      <c r="I262"/>
      <c r="J262"/>
      <c r="N262" s="7"/>
      <c r="O262"/>
      <c r="P262" s="10"/>
      <c r="Q262" s="9"/>
      <c r="R262" s="10"/>
      <c r="S262" s="10"/>
      <c r="AA262" s="11"/>
      <c r="AD262"/>
      <c r="AE262"/>
      <c r="AF262"/>
      <c r="AG262"/>
      <c r="AH262" s="46"/>
      <c r="AI262"/>
      <c r="AJ262"/>
      <c r="AK262"/>
      <c r="AL262"/>
      <c r="AM262"/>
      <c r="AN262"/>
      <c r="AO262"/>
      <c r="AP262"/>
      <c r="AQ262"/>
      <c r="AR262"/>
      <c r="AS262"/>
      <c r="AT262" s="14"/>
      <c r="AU262"/>
      <c r="AV262"/>
      <c r="AW262"/>
      <c r="AX262" s="10"/>
      <c r="AY262" s="20"/>
      <c r="AZ262" s="16"/>
      <c r="BA262"/>
      <c r="BB262"/>
      <c r="BC262" s="16"/>
      <c r="BD262"/>
      <c r="BE262"/>
      <c r="BF262"/>
      <c r="BG262"/>
      <c r="BH262"/>
      <c r="BI262"/>
      <c r="BJ262"/>
      <c r="BK262"/>
      <c r="BL262"/>
      <c r="BM262"/>
      <c r="BN262" s="19"/>
      <c r="BO262"/>
      <c r="BP262"/>
      <c r="BQ262"/>
      <c r="BR262"/>
      <c r="BS262"/>
      <c r="BT262"/>
      <c r="BU262"/>
      <c r="BV262"/>
      <c r="BW262"/>
      <c r="BX262"/>
      <c r="BY262"/>
      <c r="BZ262"/>
      <c r="CA262"/>
      <c r="CB262"/>
      <c r="CC262"/>
      <c r="CD262"/>
      <c r="CE262"/>
      <c r="CF262"/>
      <c r="CG262"/>
      <c r="CH262"/>
      <c r="CI262"/>
      <c r="CJ262"/>
      <c r="CK262"/>
      <c r="CL262"/>
      <c r="CM262" s="20"/>
      <c r="CN262" s="20"/>
      <c r="CO262" s="20"/>
      <c r="CP262" s="20"/>
      <c r="CQ262" s="20"/>
      <c r="CR262" s="20"/>
      <c r="CS262" s="20"/>
      <c r="CT262" s="20"/>
      <c r="CU262" s="20"/>
      <c r="CV262" s="20"/>
      <c r="CW262" s="20"/>
      <c r="CX262" s="20"/>
      <c r="CY262" s="20"/>
    </row>
    <row r="263" spans="1:103" s="6" customFormat="1">
      <c r="A263"/>
      <c r="B263"/>
      <c r="C263"/>
      <c r="D263"/>
      <c r="E263"/>
      <c r="F263"/>
      <c r="G263"/>
      <c r="H263"/>
      <c r="I263"/>
      <c r="J263"/>
      <c r="N263" s="7"/>
      <c r="O263"/>
      <c r="P263" s="10"/>
      <c r="Q263" s="9"/>
      <c r="R263" s="10"/>
      <c r="S263" s="10"/>
      <c r="AA263" s="11"/>
      <c r="AD263"/>
      <c r="AE263"/>
      <c r="AF263"/>
      <c r="AG263"/>
      <c r="AH263" s="46"/>
      <c r="AI263"/>
      <c r="AJ263"/>
      <c r="AK263"/>
      <c r="AL263"/>
      <c r="AM263"/>
      <c r="AN263"/>
      <c r="AO263"/>
      <c r="AP263"/>
      <c r="AQ263"/>
      <c r="AR263"/>
      <c r="AS263"/>
      <c r="AT263" s="14"/>
      <c r="AU263"/>
      <c r="AV263"/>
      <c r="AW263"/>
      <c r="AX263" s="10"/>
      <c r="AY263" s="20"/>
      <c r="AZ263" s="16"/>
      <c r="BA263"/>
      <c r="BB263"/>
      <c r="BC263" s="16"/>
      <c r="BD263"/>
      <c r="BE263"/>
      <c r="BF263"/>
      <c r="BG263"/>
      <c r="BH263"/>
      <c r="BI263"/>
      <c r="BJ263"/>
      <c r="BK263"/>
      <c r="BL263"/>
      <c r="BM263"/>
      <c r="BN263" s="19"/>
      <c r="BO263"/>
      <c r="BP263"/>
      <c r="BQ263"/>
      <c r="BR263"/>
      <c r="BS263"/>
      <c r="BT263"/>
      <c r="BU263"/>
      <c r="BV263"/>
      <c r="BW263"/>
      <c r="BX263"/>
      <c r="BY263"/>
      <c r="BZ263"/>
      <c r="CA263"/>
      <c r="CB263"/>
      <c r="CC263"/>
      <c r="CD263"/>
      <c r="CE263"/>
      <c r="CF263"/>
      <c r="CG263"/>
      <c r="CH263"/>
      <c r="CI263"/>
      <c r="CJ263"/>
      <c r="CK263"/>
      <c r="CL263"/>
      <c r="CM263" s="20"/>
      <c r="CN263" s="20"/>
      <c r="CO263" s="20"/>
      <c r="CP263" s="20"/>
      <c r="CQ263" s="20"/>
      <c r="CR263" s="20"/>
      <c r="CS263" s="20"/>
      <c r="CT263" s="20"/>
      <c r="CU263" s="20"/>
      <c r="CV263" s="20"/>
      <c r="CW263" s="20"/>
      <c r="CX263" s="20"/>
      <c r="CY263" s="20"/>
    </row>
    <row r="264" spans="1:103" s="6" customFormat="1">
      <c r="A264"/>
      <c r="B264"/>
      <c r="C264"/>
      <c r="D264"/>
      <c r="E264"/>
      <c r="F264"/>
      <c r="G264"/>
      <c r="H264"/>
      <c r="I264"/>
      <c r="J264"/>
      <c r="N264" s="7"/>
      <c r="O264"/>
      <c r="P264" s="10"/>
      <c r="Q264" s="9"/>
      <c r="R264" s="10"/>
      <c r="S264" s="10"/>
      <c r="AA264" s="11"/>
      <c r="AD264"/>
      <c r="AE264"/>
      <c r="AF264"/>
      <c r="AG264"/>
      <c r="AH264" s="46"/>
      <c r="AI264"/>
      <c r="AJ264"/>
      <c r="AK264"/>
      <c r="AL264"/>
      <c r="AM264"/>
      <c r="AN264"/>
      <c r="AO264"/>
      <c r="AP264"/>
      <c r="AQ264"/>
      <c r="AR264"/>
      <c r="AS264"/>
      <c r="AT264" s="14"/>
      <c r="AU264"/>
      <c r="AV264"/>
      <c r="AW264"/>
      <c r="AX264" s="10"/>
      <c r="AY264" s="20"/>
      <c r="AZ264" s="16"/>
      <c r="BA264"/>
      <c r="BB264"/>
      <c r="BC264" s="16"/>
      <c r="BD264"/>
      <c r="BE264"/>
      <c r="BF264"/>
      <c r="BG264"/>
      <c r="BH264"/>
      <c r="BI264"/>
      <c r="BJ264"/>
      <c r="BK264"/>
      <c r="BL264"/>
      <c r="BM264"/>
      <c r="BN264" s="19"/>
      <c r="BO264"/>
      <c r="BP264"/>
      <c r="BQ264"/>
      <c r="BR264"/>
      <c r="BS264"/>
      <c r="BT264"/>
      <c r="BU264"/>
      <c r="BV264"/>
      <c r="BW264"/>
      <c r="BX264"/>
      <c r="BY264"/>
      <c r="BZ264"/>
      <c r="CA264"/>
      <c r="CB264"/>
      <c r="CC264"/>
      <c r="CD264"/>
      <c r="CE264"/>
      <c r="CF264"/>
      <c r="CG264"/>
      <c r="CH264"/>
      <c r="CI264"/>
      <c r="CJ264"/>
      <c r="CK264"/>
      <c r="CL264"/>
      <c r="CM264" s="20"/>
      <c r="CN264" s="20"/>
      <c r="CO264" s="20"/>
      <c r="CP264" s="20"/>
      <c r="CQ264" s="20"/>
      <c r="CR264" s="20"/>
      <c r="CS264" s="20"/>
      <c r="CT264" s="20"/>
      <c r="CU264" s="20"/>
      <c r="CV264" s="20"/>
      <c r="CW264" s="20"/>
      <c r="CX264" s="20"/>
      <c r="CY264" s="20"/>
    </row>
    <row r="265" spans="1:103" s="6" customFormat="1">
      <c r="A265"/>
      <c r="B265"/>
      <c r="C265"/>
      <c r="D265"/>
      <c r="E265"/>
      <c r="F265"/>
      <c r="G265"/>
      <c r="H265"/>
      <c r="I265"/>
      <c r="J265"/>
      <c r="N265" s="7"/>
      <c r="O265"/>
      <c r="P265" s="10"/>
      <c r="Q265" s="9"/>
      <c r="R265" s="10"/>
      <c r="S265" s="10"/>
      <c r="AA265" s="11"/>
      <c r="AD265"/>
      <c r="AE265"/>
      <c r="AF265"/>
      <c r="AG265"/>
      <c r="AH265" s="46"/>
      <c r="AI265"/>
      <c r="AJ265"/>
      <c r="AK265"/>
      <c r="AL265"/>
      <c r="AM265"/>
      <c r="AN265"/>
      <c r="AO265"/>
      <c r="AP265"/>
      <c r="AQ265"/>
      <c r="AR265"/>
      <c r="AS265"/>
      <c r="AT265" s="14"/>
      <c r="AU265"/>
      <c r="AV265"/>
      <c r="AW265"/>
      <c r="AX265" s="10"/>
      <c r="AY265" s="20"/>
      <c r="AZ265" s="16"/>
      <c r="BA265"/>
      <c r="BB265"/>
      <c r="BC265" s="16"/>
      <c r="BD265"/>
      <c r="BE265"/>
      <c r="BF265"/>
      <c r="BG265"/>
      <c r="BH265"/>
      <c r="BI265"/>
      <c r="BJ265"/>
      <c r="BK265"/>
      <c r="BL265"/>
      <c r="BM265"/>
      <c r="BN265" s="19"/>
      <c r="BO265"/>
      <c r="BP265"/>
      <c r="BQ265"/>
      <c r="BR265"/>
      <c r="BS265"/>
      <c r="BT265"/>
      <c r="BU265"/>
      <c r="BV265"/>
      <c r="BW265"/>
      <c r="BX265"/>
      <c r="BY265"/>
      <c r="BZ265"/>
      <c r="CA265"/>
      <c r="CB265"/>
      <c r="CC265"/>
      <c r="CD265"/>
      <c r="CE265"/>
      <c r="CF265"/>
      <c r="CG265"/>
      <c r="CH265"/>
      <c r="CI265"/>
      <c r="CJ265"/>
      <c r="CK265"/>
      <c r="CL265"/>
      <c r="CM265" s="20"/>
      <c r="CN265" s="20"/>
      <c r="CO265" s="20"/>
      <c r="CP265" s="20"/>
      <c r="CQ265" s="20"/>
      <c r="CR265" s="20"/>
      <c r="CS265" s="20"/>
      <c r="CT265" s="20"/>
      <c r="CU265" s="20"/>
      <c r="CV265" s="20"/>
      <c r="CW265" s="20"/>
      <c r="CX265" s="20"/>
      <c r="CY265" s="20"/>
    </row>
    <row r="266" spans="1:103" s="6" customFormat="1">
      <c r="A266"/>
      <c r="B266"/>
      <c r="C266"/>
      <c r="D266"/>
      <c r="E266"/>
      <c r="F266"/>
      <c r="G266"/>
      <c r="H266"/>
      <c r="I266"/>
      <c r="J266"/>
      <c r="N266" s="7"/>
      <c r="O266"/>
      <c r="P266" s="10"/>
      <c r="Q266" s="9"/>
      <c r="R266" s="10"/>
      <c r="S266" s="10"/>
      <c r="AA266" s="11"/>
      <c r="AD266"/>
      <c r="AE266"/>
      <c r="AF266"/>
      <c r="AG266"/>
      <c r="AH266" s="46"/>
      <c r="AI266"/>
      <c r="AJ266"/>
      <c r="AK266"/>
      <c r="AL266"/>
      <c r="AM266"/>
      <c r="AN266"/>
      <c r="AO266"/>
      <c r="AP266"/>
      <c r="AQ266"/>
      <c r="AR266"/>
      <c r="AS266"/>
      <c r="AT266" s="14"/>
      <c r="AU266"/>
      <c r="AV266"/>
      <c r="AW266"/>
      <c r="AX266" s="10"/>
      <c r="AY266" s="20"/>
      <c r="AZ266" s="16"/>
      <c r="BA266"/>
      <c r="BB266"/>
      <c r="BC266" s="16"/>
      <c r="BD266"/>
      <c r="BE266"/>
      <c r="BF266"/>
      <c r="BG266"/>
      <c r="BH266"/>
      <c r="BI266"/>
      <c r="BJ266"/>
      <c r="BK266"/>
      <c r="BL266"/>
      <c r="BM266"/>
      <c r="BN266" s="19"/>
      <c r="BO266"/>
      <c r="BP266"/>
      <c r="BQ266"/>
      <c r="BR266"/>
      <c r="BS266"/>
      <c r="BT266"/>
      <c r="BU266"/>
      <c r="BV266"/>
      <c r="BW266"/>
      <c r="BX266"/>
      <c r="BY266"/>
      <c r="BZ266"/>
      <c r="CA266"/>
      <c r="CB266"/>
      <c r="CC266"/>
      <c r="CD266"/>
      <c r="CE266"/>
      <c r="CF266"/>
      <c r="CG266"/>
      <c r="CH266"/>
      <c r="CI266"/>
      <c r="CJ266"/>
      <c r="CK266"/>
      <c r="CL266"/>
      <c r="CM266" s="20"/>
      <c r="CN266" s="20"/>
      <c r="CO266" s="20"/>
      <c r="CP266" s="20"/>
      <c r="CQ266" s="20"/>
      <c r="CR266" s="20"/>
      <c r="CS266" s="20"/>
      <c r="CT266" s="20"/>
      <c r="CU266" s="20"/>
      <c r="CV266" s="20"/>
      <c r="CW266" s="20"/>
      <c r="CX266" s="20"/>
      <c r="CY266" s="20"/>
    </row>
    <row r="267" spans="1:103" s="6" customFormat="1">
      <c r="A267"/>
      <c r="B267"/>
      <c r="C267"/>
      <c r="D267"/>
      <c r="E267"/>
      <c r="F267"/>
      <c r="G267"/>
      <c r="H267"/>
      <c r="I267"/>
      <c r="J267"/>
      <c r="N267" s="7"/>
      <c r="O267"/>
      <c r="P267" s="10"/>
      <c r="Q267" s="9"/>
      <c r="R267" s="10"/>
      <c r="S267" s="10"/>
      <c r="AA267" s="11"/>
      <c r="AD267"/>
      <c r="AE267"/>
      <c r="AF267"/>
      <c r="AG267"/>
      <c r="AH267" s="46"/>
      <c r="AI267"/>
      <c r="AJ267"/>
      <c r="AK267"/>
      <c r="AL267"/>
      <c r="AM267"/>
      <c r="AN267"/>
      <c r="AO267"/>
      <c r="AP267"/>
      <c r="AQ267"/>
      <c r="AR267"/>
      <c r="AS267"/>
      <c r="AT267" s="14"/>
      <c r="AU267"/>
      <c r="AV267"/>
      <c r="AW267"/>
      <c r="AX267" s="10"/>
      <c r="AY267" s="20"/>
      <c r="AZ267" s="16"/>
      <c r="BA267"/>
      <c r="BB267"/>
      <c r="BC267" s="16"/>
      <c r="BD267"/>
      <c r="BE267"/>
      <c r="BF267"/>
      <c r="BG267"/>
      <c r="BH267"/>
      <c r="BI267"/>
      <c r="BJ267"/>
      <c r="BK267"/>
      <c r="BL267"/>
      <c r="BM267"/>
      <c r="BN267" s="19"/>
      <c r="BO267"/>
      <c r="BP267"/>
      <c r="BQ267"/>
      <c r="BR267"/>
      <c r="BS267"/>
      <c r="BT267"/>
      <c r="BU267"/>
      <c r="BV267"/>
      <c r="BW267"/>
      <c r="BX267"/>
      <c r="BY267"/>
      <c r="BZ267"/>
      <c r="CA267"/>
      <c r="CB267"/>
      <c r="CC267"/>
      <c r="CD267"/>
      <c r="CE267"/>
      <c r="CF267"/>
      <c r="CG267"/>
      <c r="CH267"/>
      <c r="CI267"/>
      <c r="CJ267"/>
      <c r="CK267"/>
      <c r="CL267"/>
      <c r="CM267" s="20"/>
      <c r="CN267" s="20"/>
      <c r="CO267" s="20"/>
      <c r="CP267" s="20"/>
      <c r="CQ267" s="20"/>
      <c r="CR267" s="20"/>
      <c r="CS267" s="20"/>
      <c r="CT267" s="20"/>
      <c r="CU267" s="20"/>
      <c r="CV267" s="20"/>
      <c r="CW267" s="20"/>
      <c r="CX267" s="20"/>
      <c r="CY267" s="20"/>
    </row>
    <row r="268" spans="1:103" s="6" customFormat="1">
      <c r="A268"/>
      <c r="B268"/>
      <c r="C268"/>
      <c r="D268"/>
      <c r="E268"/>
      <c r="F268"/>
      <c r="G268"/>
      <c r="H268"/>
      <c r="I268"/>
      <c r="J268"/>
      <c r="N268" s="7"/>
      <c r="O268"/>
      <c r="P268" s="10"/>
      <c r="Q268" s="9"/>
      <c r="R268" s="10"/>
      <c r="S268" s="10"/>
      <c r="AA268" s="11"/>
      <c r="AD268"/>
      <c r="AE268"/>
      <c r="AF268"/>
      <c r="AG268"/>
      <c r="AH268" s="46"/>
      <c r="AI268"/>
      <c r="AJ268"/>
      <c r="AK268"/>
      <c r="AL268"/>
      <c r="AM268"/>
      <c r="AN268"/>
      <c r="AO268"/>
      <c r="AP268"/>
      <c r="AQ268"/>
      <c r="AR268"/>
      <c r="AS268"/>
      <c r="AT268" s="14"/>
      <c r="AU268"/>
      <c r="AV268"/>
      <c r="AW268"/>
      <c r="AX268" s="10"/>
      <c r="AY268" s="20"/>
      <c r="AZ268" s="16"/>
      <c r="BA268"/>
      <c r="BB268"/>
      <c r="BC268" s="16"/>
      <c r="BD268"/>
      <c r="BE268"/>
      <c r="BF268"/>
      <c r="BG268"/>
      <c r="BH268"/>
      <c r="BI268"/>
      <c r="BJ268"/>
      <c r="BK268"/>
      <c r="BL268"/>
      <c r="BM268"/>
      <c r="BN268" s="19"/>
      <c r="BO268"/>
      <c r="BP268"/>
      <c r="BQ268"/>
      <c r="BR268"/>
      <c r="BS268"/>
      <c r="BT268"/>
      <c r="BU268"/>
      <c r="BV268"/>
      <c r="BW268"/>
      <c r="BX268"/>
      <c r="BY268"/>
      <c r="BZ268"/>
      <c r="CA268"/>
      <c r="CB268"/>
      <c r="CC268"/>
      <c r="CD268"/>
      <c r="CE268"/>
      <c r="CF268"/>
      <c r="CG268"/>
      <c r="CH268"/>
      <c r="CI268"/>
      <c r="CJ268"/>
      <c r="CK268"/>
      <c r="CL268"/>
      <c r="CM268" s="20"/>
      <c r="CN268" s="20"/>
      <c r="CO268" s="20"/>
      <c r="CP268" s="20"/>
      <c r="CQ268" s="20"/>
      <c r="CR268" s="20"/>
      <c r="CS268" s="20"/>
      <c r="CT268" s="20"/>
      <c r="CU268" s="20"/>
      <c r="CV268" s="20"/>
      <c r="CW268" s="20"/>
      <c r="CX268" s="20"/>
      <c r="CY268" s="20"/>
    </row>
    <row r="269" spans="1:103" s="6" customFormat="1">
      <c r="A269"/>
      <c r="B269"/>
      <c r="C269"/>
      <c r="D269"/>
      <c r="E269"/>
      <c r="F269"/>
      <c r="G269"/>
      <c r="H269"/>
      <c r="I269"/>
      <c r="J269"/>
      <c r="N269" s="7"/>
      <c r="O269"/>
      <c r="P269" s="10"/>
      <c r="Q269" s="9"/>
      <c r="R269" s="10"/>
      <c r="S269" s="10"/>
      <c r="AA269" s="11"/>
      <c r="AD269"/>
      <c r="AE269"/>
      <c r="AF269"/>
      <c r="AG269"/>
      <c r="AH269" s="46"/>
      <c r="AI269"/>
      <c r="AJ269"/>
      <c r="AK269"/>
      <c r="AL269"/>
      <c r="AM269"/>
      <c r="AN269"/>
      <c r="AO269"/>
      <c r="AP269"/>
      <c r="AQ269"/>
      <c r="AR269"/>
      <c r="AS269"/>
      <c r="AT269" s="14"/>
      <c r="AU269"/>
      <c r="AV269"/>
      <c r="AW269"/>
      <c r="AX269" s="10"/>
      <c r="AY269" s="20"/>
      <c r="AZ269" s="16"/>
      <c r="BA269"/>
      <c r="BB269"/>
      <c r="BC269" s="16"/>
      <c r="BD269"/>
      <c r="BE269"/>
      <c r="BF269"/>
      <c r="BG269"/>
      <c r="BH269"/>
      <c r="BI269"/>
      <c r="BJ269"/>
      <c r="BK269"/>
      <c r="BL269"/>
      <c r="BM269"/>
      <c r="BN269" s="19"/>
      <c r="BO269"/>
      <c r="BP269"/>
      <c r="BQ269"/>
      <c r="BR269"/>
      <c r="BS269"/>
      <c r="BT269"/>
      <c r="BU269"/>
      <c r="BV269"/>
      <c r="BW269"/>
      <c r="BX269"/>
      <c r="BY269"/>
      <c r="BZ269"/>
      <c r="CA269"/>
      <c r="CB269"/>
      <c r="CC269"/>
      <c r="CD269"/>
      <c r="CE269"/>
      <c r="CF269"/>
      <c r="CG269"/>
      <c r="CH269"/>
      <c r="CI269"/>
      <c r="CJ269"/>
      <c r="CK269"/>
      <c r="CL269"/>
      <c r="CM269" s="20"/>
      <c r="CN269" s="20"/>
      <c r="CO269" s="20"/>
      <c r="CP269" s="20"/>
      <c r="CQ269" s="20"/>
      <c r="CR269" s="20"/>
      <c r="CS269" s="20"/>
      <c r="CT269" s="20"/>
      <c r="CU269" s="20"/>
      <c r="CV269" s="20"/>
      <c r="CW269" s="20"/>
      <c r="CX269" s="20"/>
      <c r="CY269" s="20"/>
    </row>
    <row r="270" spans="1:103" s="6" customFormat="1">
      <c r="A270"/>
      <c r="B270"/>
      <c r="C270"/>
      <c r="D270"/>
      <c r="E270"/>
      <c r="F270"/>
      <c r="G270"/>
      <c r="H270"/>
      <c r="I270"/>
      <c r="J270"/>
      <c r="N270" s="7"/>
      <c r="O270"/>
      <c r="P270" s="10"/>
      <c r="Q270" s="9"/>
      <c r="R270" s="10"/>
      <c r="S270" s="10"/>
      <c r="AA270" s="11"/>
      <c r="AD270"/>
      <c r="AE270"/>
      <c r="AF270"/>
      <c r="AG270"/>
      <c r="AH270" s="46"/>
      <c r="AI270"/>
      <c r="AJ270"/>
      <c r="AK270"/>
      <c r="AL270"/>
      <c r="AM270"/>
      <c r="AN270"/>
      <c r="AO270"/>
      <c r="AP270"/>
      <c r="AQ270"/>
      <c r="AR270"/>
      <c r="AS270"/>
      <c r="AT270" s="14"/>
      <c r="AU270"/>
      <c r="AV270"/>
      <c r="AW270"/>
      <c r="AX270" s="10"/>
      <c r="AY270" s="20"/>
      <c r="AZ270" s="16"/>
      <c r="BA270"/>
      <c r="BB270"/>
      <c r="BC270" s="16"/>
      <c r="BD270"/>
      <c r="BE270"/>
      <c r="BF270"/>
      <c r="BG270"/>
      <c r="BH270"/>
      <c r="BI270"/>
      <c r="BJ270"/>
      <c r="BK270"/>
      <c r="BL270"/>
      <c r="BM270"/>
      <c r="BN270" s="19"/>
      <c r="BO270"/>
      <c r="BP270"/>
      <c r="BQ270"/>
      <c r="BR270"/>
      <c r="BS270"/>
      <c r="BT270"/>
      <c r="BU270"/>
      <c r="BV270"/>
      <c r="BW270"/>
      <c r="BX270"/>
      <c r="BY270"/>
      <c r="BZ270"/>
      <c r="CA270"/>
      <c r="CB270"/>
      <c r="CC270"/>
      <c r="CD270"/>
      <c r="CE270"/>
      <c r="CF270"/>
      <c r="CG270"/>
      <c r="CH270"/>
      <c r="CI270"/>
      <c r="CJ270"/>
      <c r="CK270"/>
      <c r="CL270"/>
      <c r="CM270" s="20"/>
      <c r="CN270" s="20"/>
      <c r="CO270" s="20"/>
      <c r="CP270" s="20"/>
      <c r="CQ270" s="20"/>
      <c r="CR270" s="20"/>
      <c r="CS270" s="20"/>
      <c r="CT270" s="20"/>
      <c r="CU270" s="20"/>
      <c r="CV270" s="20"/>
      <c r="CW270" s="20"/>
      <c r="CX270" s="20"/>
      <c r="CY270" s="20"/>
    </row>
    <row r="271" spans="1:103" s="6" customFormat="1">
      <c r="A271"/>
      <c r="B271"/>
      <c r="C271"/>
      <c r="D271"/>
      <c r="E271"/>
      <c r="F271"/>
      <c r="G271"/>
      <c r="H271"/>
      <c r="I271"/>
      <c r="J271"/>
      <c r="N271" s="7"/>
      <c r="O271"/>
      <c r="P271" s="10"/>
      <c r="Q271" s="9"/>
      <c r="R271" s="10"/>
      <c r="S271" s="10"/>
      <c r="AA271" s="11"/>
      <c r="AD271"/>
      <c r="AE271"/>
      <c r="AF271"/>
      <c r="AG271"/>
      <c r="AH271" s="46"/>
      <c r="AI271"/>
      <c r="AJ271"/>
      <c r="AK271"/>
      <c r="AL271"/>
      <c r="AM271"/>
      <c r="AN271"/>
      <c r="AO271"/>
      <c r="AP271"/>
      <c r="AQ271"/>
      <c r="AR271"/>
      <c r="AS271"/>
      <c r="AT271" s="14"/>
      <c r="AU271"/>
      <c r="AV271"/>
      <c r="AW271"/>
      <c r="AX271" s="10"/>
      <c r="AY271" s="20"/>
      <c r="AZ271" s="16"/>
      <c r="BA271"/>
      <c r="BB271"/>
      <c r="BC271" s="16"/>
      <c r="BD271"/>
      <c r="BE271"/>
      <c r="BF271"/>
      <c r="BG271"/>
      <c r="BH271"/>
      <c r="BI271"/>
      <c r="BJ271"/>
      <c r="BK271"/>
      <c r="BL271"/>
      <c r="BM271"/>
      <c r="BN271" s="19"/>
      <c r="BO271"/>
      <c r="BP271"/>
      <c r="BQ271"/>
      <c r="BR271"/>
      <c r="BS271"/>
      <c r="BT271"/>
      <c r="BU271"/>
      <c r="BV271"/>
      <c r="BW271"/>
      <c r="BX271"/>
      <c r="BY271"/>
      <c r="BZ271"/>
      <c r="CA271"/>
      <c r="CB271"/>
      <c r="CC271"/>
      <c r="CD271"/>
      <c r="CE271"/>
      <c r="CF271"/>
      <c r="CG271"/>
      <c r="CH271"/>
      <c r="CI271"/>
      <c r="CJ271"/>
      <c r="CK271"/>
      <c r="CL271"/>
      <c r="CM271" s="20"/>
      <c r="CN271" s="20"/>
      <c r="CO271" s="20"/>
      <c r="CP271" s="20"/>
      <c r="CQ271" s="20"/>
      <c r="CR271" s="20"/>
      <c r="CS271" s="20"/>
      <c r="CT271" s="20"/>
      <c r="CU271" s="20"/>
      <c r="CV271" s="20"/>
      <c r="CW271" s="20"/>
      <c r="CX271" s="20"/>
      <c r="CY271" s="20"/>
    </row>
    <row r="272" spans="1:103" s="6" customFormat="1">
      <c r="A272"/>
      <c r="B272"/>
      <c r="C272"/>
      <c r="D272"/>
      <c r="E272"/>
      <c r="F272"/>
      <c r="G272"/>
      <c r="H272"/>
      <c r="I272"/>
      <c r="J272"/>
      <c r="N272" s="7"/>
      <c r="O272"/>
      <c r="P272" s="10"/>
      <c r="Q272" s="9"/>
      <c r="R272" s="10"/>
      <c r="S272" s="10"/>
      <c r="AA272" s="11"/>
      <c r="AD272"/>
      <c r="AE272"/>
      <c r="AF272"/>
      <c r="AG272"/>
      <c r="AH272" s="46"/>
      <c r="AI272"/>
      <c r="AJ272"/>
      <c r="AK272"/>
      <c r="AL272"/>
      <c r="AM272"/>
      <c r="AN272"/>
      <c r="AO272"/>
      <c r="AP272"/>
      <c r="AQ272"/>
      <c r="AR272"/>
      <c r="AS272"/>
      <c r="AT272" s="14"/>
      <c r="AU272"/>
      <c r="AV272"/>
      <c r="AW272"/>
      <c r="AX272" s="10"/>
      <c r="AY272" s="20"/>
      <c r="AZ272" s="16"/>
      <c r="BA272"/>
      <c r="BB272"/>
      <c r="BC272" s="16"/>
      <c r="BD272"/>
      <c r="BE272"/>
      <c r="BF272"/>
      <c r="BG272"/>
      <c r="BH272"/>
      <c r="BI272"/>
      <c r="BJ272"/>
      <c r="BK272"/>
      <c r="BL272"/>
      <c r="BM272"/>
      <c r="BN272" s="19"/>
      <c r="BO272"/>
      <c r="BP272"/>
      <c r="BQ272"/>
      <c r="BR272"/>
      <c r="BS272"/>
      <c r="BT272"/>
      <c r="BU272"/>
      <c r="BV272"/>
      <c r="BW272"/>
      <c r="BX272"/>
      <c r="BY272"/>
      <c r="BZ272"/>
      <c r="CA272"/>
      <c r="CB272"/>
      <c r="CC272"/>
      <c r="CD272"/>
      <c r="CE272"/>
      <c r="CF272"/>
      <c r="CG272"/>
      <c r="CH272"/>
      <c r="CI272"/>
      <c r="CJ272"/>
      <c r="CK272"/>
      <c r="CL272"/>
      <c r="CM272" s="20"/>
      <c r="CN272" s="20"/>
      <c r="CO272" s="20"/>
      <c r="CP272" s="20"/>
      <c r="CQ272" s="20"/>
      <c r="CR272" s="20"/>
      <c r="CS272" s="20"/>
      <c r="CT272" s="20"/>
      <c r="CU272" s="20"/>
      <c r="CV272" s="20"/>
      <c r="CW272" s="20"/>
      <c r="CX272" s="20"/>
      <c r="CY272" s="20"/>
    </row>
    <row r="273" spans="1:103" s="6" customFormat="1">
      <c r="A273"/>
      <c r="B273"/>
      <c r="C273"/>
      <c r="D273"/>
      <c r="E273"/>
      <c r="F273"/>
      <c r="G273"/>
      <c r="H273"/>
      <c r="I273"/>
      <c r="J273"/>
      <c r="N273" s="7"/>
      <c r="O273"/>
      <c r="P273" s="10"/>
      <c r="Q273" s="9"/>
      <c r="R273" s="10"/>
      <c r="S273" s="10"/>
      <c r="AA273" s="11"/>
      <c r="AD273"/>
      <c r="AE273"/>
      <c r="AF273"/>
      <c r="AG273"/>
      <c r="AH273" s="46"/>
      <c r="AI273"/>
      <c r="AJ273"/>
      <c r="AK273"/>
      <c r="AL273"/>
      <c r="AM273"/>
      <c r="AN273"/>
      <c r="AO273"/>
      <c r="AP273"/>
      <c r="AQ273"/>
      <c r="AR273"/>
      <c r="AS273"/>
      <c r="AT273" s="14"/>
      <c r="AU273"/>
      <c r="AV273"/>
      <c r="AW273"/>
      <c r="AX273" s="10"/>
      <c r="AY273" s="20"/>
      <c r="AZ273" s="16"/>
      <c r="BA273"/>
      <c r="BB273"/>
      <c r="BC273" s="16"/>
      <c r="BD273"/>
      <c r="BE273"/>
      <c r="BF273"/>
      <c r="BG273"/>
      <c r="BH273"/>
      <c r="BI273"/>
      <c r="BJ273"/>
      <c r="BK273"/>
      <c r="BL273"/>
      <c r="BM273"/>
      <c r="BN273" s="19"/>
      <c r="BO273"/>
      <c r="BP273"/>
      <c r="BQ273"/>
      <c r="BR273"/>
      <c r="BS273"/>
      <c r="BT273"/>
      <c r="BU273"/>
      <c r="BV273"/>
      <c r="BW273"/>
      <c r="BX273"/>
      <c r="BY273"/>
      <c r="BZ273"/>
      <c r="CA273"/>
      <c r="CB273"/>
      <c r="CC273"/>
      <c r="CD273"/>
      <c r="CE273"/>
      <c r="CF273"/>
      <c r="CG273"/>
      <c r="CH273"/>
      <c r="CI273"/>
      <c r="CJ273"/>
      <c r="CK273"/>
      <c r="CL273"/>
      <c r="CM273" s="20"/>
      <c r="CN273" s="20"/>
      <c r="CO273" s="20"/>
      <c r="CP273" s="20"/>
      <c r="CQ273" s="20"/>
      <c r="CR273" s="20"/>
      <c r="CS273" s="20"/>
      <c r="CT273" s="20"/>
      <c r="CU273" s="20"/>
      <c r="CV273" s="20"/>
      <c r="CW273" s="20"/>
      <c r="CX273" s="20"/>
      <c r="CY273" s="20"/>
    </row>
    <row r="274" spans="1:103" s="6" customFormat="1">
      <c r="A274"/>
      <c r="B274"/>
      <c r="C274"/>
      <c r="D274"/>
      <c r="E274"/>
      <c r="F274"/>
      <c r="G274"/>
      <c r="H274"/>
      <c r="I274"/>
      <c r="J274"/>
      <c r="N274" s="7"/>
      <c r="O274"/>
      <c r="P274" s="10"/>
      <c r="Q274" s="9"/>
      <c r="R274" s="10"/>
      <c r="S274" s="10"/>
      <c r="AA274" s="11"/>
      <c r="AD274"/>
      <c r="AE274"/>
      <c r="AF274"/>
      <c r="AG274"/>
      <c r="AH274" s="46"/>
      <c r="AI274"/>
      <c r="AJ274"/>
      <c r="AK274"/>
      <c r="AL274"/>
      <c r="AM274"/>
      <c r="AN274"/>
      <c r="AO274"/>
      <c r="AP274"/>
      <c r="AQ274"/>
      <c r="AR274"/>
      <c r="AS274"/>
      <c r="AT274" s="14"/>
      <c r="AU274"/>
      <c r="AV274"/>
      <c r="AW274"/>
      <c r="AX274" s="10"/>
      <c r="AY274" s="20"/>
      <c r="AZ274" s="16"/>
      <c r="BA274"/>
      <c r="BB274"/>
      <c r="BC274" s="16"/>
      <c r="BD274"/>
      <c r="BE274"/>
      <c r="BF274"/>
      <c r="BG274"/>
      <c r="BH274"/>
      <c r="BI274"/>
      <c r="BJ274"/>
      <c r="BK274"/>
      <c r="BL274"/>
      <c r="BM274"/>
      <c r="BN274" s="19"/>
      <c r="BO274"/>
      <c r="BP274"/>
      <c r="BQ274"/>
      <c r="BR274"/>
      <c r="BS274"/>
      <c r="BT274"/>
      <c r="BU274"/>
      <c r="BV274"/>
      <c r="BW274"/>
      <c r="BX274"/>
      <c r="BY274"/>
      <c r="BZ274"/>
      <c r="CA274"/>
      <c r="CB274"/>
      <c r="CC274"/>
      <c r="CD274"/>
      <c r="CE274"/>
      <c r="CF274"/>
      <c r="CG274"/>
      <c r="CH274"/>
      <c r="CI274"/>
      <c r="CJ274"/>
      <c r="CK274"/>
      <c r="CL274"/>
      <c r="CM274" s="20"/>
      <c r="CN274" s="20"/>
      <c r="CO274" s="20"/>
      <c r="CP274" s="20"/>
      <c r="CQ274" s="20"/>
      <c r="CR274" s="20"/>
      <c r="CS274" s="20"/>
      <c r="CT274" s="20"/>
      <c r="CU274" s="20"/>
      <c r="CV274" s="20"/>
      <c r="CW274" s="20"/>
      <c r="CX274" s="20"/>
      <c r="CY274" s="20"/>
    </row>
    <row r="275" spans="1:103" s="6" customFormat="1">
      <c r="A275"/>
      <c r="B275"/>
      <c r="C275"/>
      <c r="D275"/>
      <c r="E275"/>
      <c r="F275"/>
      <c r="G275"/>
      <c r="H275"/>
      <c r="I275"/>
      <c r="J275"/>
      <c r="N275" s="7"/>
      <c r="O275"/>
      <c r="P275" s="10"/>
      <c r="Q275" s="9"/>
      <c r="R275" s="10"/>
      <c r="S275" s="10"/>
      <c r="AA275" s="11"/>
      <c r="AD275"/>
      <c r="AE275"/>
      <c r="AF275"/>
      <c r="AG275"/>
      <c r="AH275" s="46"/>
      <c r="AI275"/>
      <c r="AJ275"/>
      <c r="AK275"/>
      <c r="AL275"/>
      <c r="AM275"/>
      <c r="AN275"/>
      <c r="AO275"/>
      <c r="AP275"/>
      <c r="AQ275"/>
      <c r="AR275"/>
      <c r="AS275"/>
      <c r="AT275" s="14"/>
      <c r="AU275"/>
      <c r="AV275"/>
      <c r="AW275"/>
      <c r="AX275" s="10"/>
      <c r="AY275" s="20"/>
      <c r="AZ275" s="16"/>
      <c r="BA275"/>
      <c r="BB275"/>
      <c r="BC275" s="16"/>
      <c r="BD275"/>
      <c r="BE275"/>
      <c r="BF275"/>
      <c r="BG275"/>
      <c r="BH275"/>
      <c r="BI275"/>
      <c r="BJ275"/>
      <c r="BK275"/>
      <c r="BL275"/>
      <c r="BM275"/>
      <c r="BN275" s="19"/>
      <c r="BO275"/>
      <c r="BP275"/>
      <c r="BQ275"/>
      <c r="BR275"/>
      <c r="BS275"/>
      <c r="BT275"/>
      <c r="BU275"/>
      <c r="BV275"/>
      <c r="BW275"/>
      <c r="BX275"/>
      <c r="BY275"/>
      <c r="BZ275"/>
      <c r="CA275"/>
      <c r="CB275"/>
      <c r="CC275"/>
      <c r="CD275"/>
      <c r="CE275"/>
      <c r="CF275"/>
      <c r="CG275"/>
      <c r="CH275"/>
      <c r="CI275"/>
      <c r="CJ275"/>
      <c r="CK275"/>
      <c r="CL275"/>
      <c r="CM275" s="20"/>
      <c r="CN275" s="20"/>
      <c r="CO275" s="20"/>
      <c r="CP275" s="20"/>
      <c r="CQ275" s="20"/>
      <c r="CR275" s="20"/>
      <c r="CS275" s="20"/>
      <c r="CT275" s="20"/>
      <c r="CU275" s="20"/>
      <c r="CV275" s="20"/>
      <c r="CW275" s="20"/>
      <c r="CX275" s="20"/>
      <c r="CY275" s="20"/>
    </row>
    <row r="276" spans="1:103" s="6" customFormat="1">
      <c r="A276"/>
      <c r="B276"/>
      <c r="C276"/>
      <c r="D276"/>
      <c r="E276"/>
      <c r="F276"/>
      <c r="G276"/>
      <c r="H276"/>
      <c r="I276"/>
      <c r="J276"/>
      <c r="N276" s="7"/>
      <c r="O276"/>
      <c r="P276" s="10"/>
      <c r="Q276" s="9"/>
      <c r="R276" s="10"/>
      <c r="S276" s="10"/>
      <c r="AA276" s="11"/>
      <c r="AD276"/>
      <c r="AE276"/>
      <c r="AF276"/>
      <c r="AG276"/>
      <c r="AH276" s="46"/>
      <c r="AI276"/>
      <c r="AJ276"/>
      <c r="AK276"/>
      <c r="AL276"/>
      <c r="AM276"/>
      <c r="AN276"/>
      <c r="AO276"/>
      <c r="AP276"/>
      <c r="AQ276"/>
      <c r="AR276"/>
      <c r="AS276"/>
      <c r="AT276" s="14"/>
      <c r="AU276"/>
      <c r="AV276"/>
      <c r="AW276"/>
      <c r="AX276" s="10"/>
      <c r="AY276" s="20"/>
      <c r="AZ276" s="16"/>
      <c r="BA276"/>
      <c r="BB276"/>
      <c r="BC276" s="16"/>
      <c r="BD276"/>
      <c r="BE276"/>
      <c r="BF276"/>
      <c r="BG276"/>
      <c r="BH276"/>
      <c r="BI276"/>
      <c r="BJ276"/>
      <c r="BK276"/>
      <c r="BL276"/>
      <c r="BM276"/>
      <c r="BN276" s="19"/>
      <c r="BO276"/>
      <c r="BP276"/>
      <c r="BQ276"/>
      <c r="BR276"/>
      <c r="BS276"/>
      <c r="BT276"/>
      <c r="BU276"/>
      <c r="BV276"/>
      <c r="BW276"/>
      <c r="BX276"/>
      <c r="BY276"/>
      <c r="BZ276"/>
      <c r="CA276"/>
      <c r="CB276"/>
      <c r="CC276"/>
      <c r="CD276"/>
      <c r="CE276"/>
      <c r="CF276"/>
      <c r="CG276"/>
      <c r="CH276"/>
      <c r="CI276"/>
      <c r="CJ276"/>
      <c r="CK276"/>
      <c r="CL276"/>
      <c r="CM276" s="20"/>
      <c r="CN276" s="20"/>
      <c r="CO276" s="20"/>
      <c r="CP276" s="20"/>
      <c r="CQ276" s="20"/>
      <c r="CR276" s="20"/>
      <c r="CS276" s="20"/>
      <c r="CT276" s="20"/>
      <c r="CU276" s="20"/>
      <c r="CV276" s="20"/>
      <c r="CW276" s="20"/>
      <c r="CX276" s="20"/>
      <c r="CY276" s="20"/>
    </row>
    <row r="277" spans="1:103" s="6" customFormat="1">
      <c r="A277"/>
      <c r="B277"/>
      <c r="C277"/>
      <c r="D277"/>
      <c r="E277"/>
      <c r="F277"/>
      <c r="G277"/>
      <c r="H277"/>
      <c r="I277"/>
      <c r="J277"/>
      <c r="N277" s="7"/>
      <c r="O277"/>
      <c r="P277" s="10"/>
      <c r="Q277" s="9"/>
      <c r="R277" s="10"/>
      <c r="S277" s="10"/>
      <c r="AA277" s="11"/>
      <c r="AD277"/>
      <c r="AE277"/>
      <c r="AF277"/>
      <c r="AG277"/>
      <c r="AH277" s="46"/>
      <c r="AI277"/>
      <c r="AJ277"/>
      <c r="AK277"/>
      <c r="AL277"/>
      <c r="AM277"/>
      <c r="AN277"/>
      <c r="AO277"/>
      <c r="AP277"/>
      <c r="AQ277"/>
      <c r="AR277"/>
      <c r="AS277"/>
      <c r="AT277" s="14"/>
      <c r="AU277"/>
      <c r="AV277"/>
      <c r="AW277"/>
      <c r="AX277" s="10"/>
      <c r="AY277" s="20"/>
      <c r="AZ277" s="16"/>
      <c r="BA277"/>
      <c r="BB277"/>
      <c r="BC277" s="16"/>
      <c r="BD277"/>
      <c r="BE277"/>
      <c r="BF277"/>
      <c r="BG277"/>
      <c r="BH277"/>
      <c r="BI277"/>
      <c r="BJ277"/>
      <c r="BK277"/>
      <c r="BL277"/>
      <c r="BM277"/>
      <c r="BN277" s="19"/>
      <c r="BO277"/>
      <c r="BP277"/>
      <c r="BQ277"/>
      <c r="BR277"/>
      <c r="BS277"/>
      <c r="BT277"/>
      <c r="BU277"/>
      <c r="BV277"/>
      <c r="BW277"/>
      <c r="BX277"/>
      <c r="BY277"/>
      <c r="BZ277"/>
      <c r="CA277"/>
      <c r="CB277"/>
      <c r="CC277"/>
      <c r="CD277"/>
      <c r="CE277"/>
      <c r="CF277"/>
      <c r="CG277"/>
      <c r="CH277"/>
      <c r="CI277"/>
      <c r="CJ277"/>
      <c r="CK277"/>
      <c r="CL277"/>
      <c r="CM277" s="20"/>
      <c r="CN277" s="20"/>
      <c r="CO277" s="20"/>
      <c r="CP277" s="20"/>
      <c r="CQ277" s="20"/>
      <c r="CR277" s="20"/>
      <c r="CS277" s="20"/>
      <c r="CT277" s="20"/>
      <c r="CU277" s="20"/>
      <c r="CV277" s="20"/>
      <c r="CW277" s="20"/>
      <c r="CX277" s="20"/>
      <c r="CY277" s="20"/>
    </row>
    <row r="278" spans="1:103" s="6" customFormat="1">
      <c r="A278"/>
      <c r="B278"/>
      <c r="C278"/>
      <c r="D278"/>
      <c r="E278"/>
      <c r="F278"/>
      <c r="G278"/>
      <c r="H278"/>
      <c r="I278"/>
      <c r="J278"/>
      <c r="N278" s="7"/>
      <c r="O278"/>
      <c r="P278" s="10"/>
      <c r="Q278" s="9"/>
      <c r="R278" s="10"/>
      <c r="S278" s="10"/>
      <c r="AA278" s="11"/>
      <c r="AD278"/>
      <c r="AE278"/>
      <c r="AF278"/>
      <c r="AG278"/>
      <c r="AH278" s="46"/>
      <c r="AI278"/>
      <c r="AJ278"/>
      <c r="AK278"/>
      <c r="AL278"/>
      <c r="AM278"/>
      <c r="AN278"/>
      <c r="AO278"/>
      <c r="AP278"/>
      <c r="AQ278"/>
      <c r="AR278"/>
      <c r="AS278"/>
      <c r="AT278" s="14"/>
      <c r="AU278"/>
      <c r="AV278"/>
      <c r="AW278"/>
      <c r="AX278" s="10"/>
      <c r="AY278" s="20"/>
      <c r="AZ278" s="16"/>
      <c r="BA278"/>
      <c r="BB278"/>
      <c r="BC278" s="16"/>
      <c r="BD278"/>
      <c r="BE278"/>
      <c r="BF278"/>
      <c r="BG278"/>
      <c r="BH278"/>
      <c r="BI278"/>
      <c r="BJ278"/>
      <c r="BK278"/>
      <c r="BL278"/>
      <c r="BM278"/>
      <c r="BN278" s="19"/>
      <c r="BO278"/>
      <c r="BP278"/>
      <c r="BQ278"/>
      <c r="BR278"/>
      <c r="BS278"/>
      <c r="BT278"/>
      <c r="BU278"/>
      <c r="BV278"/>
      <c r="BW278"/>
      <c r="BX278"/>
      <c r="BY278"/>
      <c r="BZ278"/>
      <c r="CA278"/>
      <c r="CB278"/>
      <c r="CC278"/>
      <c r="CD278"/>
      <c r="CE278"/>
      <c r="CF278"/>
      <c r="CG278"/>
      <c r="CH278"/>
      <c r="CI278"/>
      <c r="CJ278"/>
      <c r="CK278"/>
      <c r="CL278"/>
      <c r="CM278" s="20"/>
      <c r="CN278" s="20"/>
      <c r="CO278" s="20"/>
      <c r="CP278" s="20"/>
      <c r="CQ278" s="20"/>
      <c r="CR278" s="20"/>
      <c r="CS278" s="20"/>
      <c r="CT278" s="20"/>
      <c r="CU278" s="20"/>
      <c r="CV278" s="20"/>
      <c r="CW278" s="20"/>
      <c r="CX278" s="20"/>
      <c r="CY278" s="20"/>
    </row>
    <row r="279" spans="1:103" s="6" customFormat="1">
      <c r="A279"/>
      <c r="B279"/>
      <c r="C279"/>
      <c r="D279"/>
      <c r="E279"/>
      <c r="F279"/>
      <c r="G279"/>
      <c r="H279"/>
      <c r="I279"/>
      <c r="J279"/>
      <c r="N279" s="7"/>
      <c r="O279"/>
      <c r="P279" s="10"/>
      <c r="Q279" s="9"/>
      <c r="R279" s="10"/>
      <c r="S279" s="10"/>
      <c r="AA279" s="11"/>
      <c r="AD279"/>
      <c r="AE279"/>
      <c r="AF279"/>
      <c r="AG279"/>
      <c r="AH279" s="46"/>
      <c r="AI279"/>
      <c r="AJ279"/>
      <c r="AK279"/>
      <c r="AL279"/>
      <c r="AM279"/>
      <c r="AN279"/>
      <c r="AO279"/>
      <c r="AP279"/>
      <c r="AQ279"/>
      <c r="AR279"/>
      <c r="AS279"/>
      <c r="AT279" s="14"/>
      <c r="AU279"/>
      <c r="AV279"/>
      <c r="AW279"/>
      <c r="AX279" s="10"/>
      <c r="AY279" s="20"/>
      <c r="AZ279" s="16"/>
      <c r="BA279"/>
      <c r="BB279"/>
      <c r="BC279" s="16"/>
      <c r="BD279"/>
      <c r="BE279"/>
      <c r="BF279"/>
      <c r="BG279"/>
      <c r="BH279"/>
      <c r="BI279"/>
      <c r="BJ279"/>
      <c r="BK279"/>
      <c r="BL279"/>
      <c r="BM279"/>
      <c r="BN279" s="19"/>
      <c r="BO279"/>
      <c r="BP279"/>
      <c r="BQ279"/>
      <c r="BR279"/>
      <c r="BS279"/>
      <c r="BT279"/>
      <c r="BU279"/>
      <c r="BV279"/>
      <c r="BW279"/>
      <c r="BX279"/>
      <c r="BY279"/>
      <c r="BZ279"/>
      <c r="CA279"/>
      <c r="CB279"/>
      <c r="CC279"/>
      <c r="CD279"/>
      <c r="CE279"/>
      <c r="CF279"/>
      <c r="CG279"/>
      <c r="CH279"/>
      <c r="CI279"/>
      <c r="CJ279"/>
      <c r="CK279"/>
      <c r="CL279"/>
      <c r="CM279" s="20"/>
      <c r="CN279" s="20"/>
      <c r="CO279" s="20"/>
      <c r="CP279" s="20"/>
      <c r="CQ279" s="20"/>
      <c r="CR279" s="20"/>
      <c r="CS279" s="20"/>
      <c r="CT279" s="20"/>
      <c r="CU279" s="20"/>
      <c r="CV279" s="20"/>
      <c r="CW279" s="20"/>
      <c r="CX279" s="20"/>
      <c r="CY279" s="20"/>
    </row>
    <row r="280" spans="1:103" s="6" customFormat="1">
      <c r="A280"/>
      <c r="B280"/>
      <c r="C280"/>
      <c r="D280"/>
      <c r="E280"/>
      <c r="F280"/>
      <c r="G280"/>
      <c r="H280"/>
      <c r="I280"/>
      <c r="J280"/>
      <c r="N280" s="7"/>
      <c r="O280"/>
      <c r="P280" s="10"/>
      <c r="Q280" s="9"/>
      <c r="R280" s="10"/>
      <c r="S280" s="10"/>
      <c r="AA280" s="11"/>
      <c r="AD280"/>
      <c r="AE280"/>
      <c r="AF280"/>
      <c r="AG280"/>
      <c r="AH280" s="46"/>
      <c r="AI280"/>
      <c r="AJ280"/>
      <c r="AK280"/>
      <c r="AL280"/>
      <c r="AM280"/>
      <c r="AN280"/>
      <c r="AO280"/>
      <c r="AP280"/>
      <c r="AQ280"/>
      <c r="AR280"/>
      <c r="AS280"/>
      <c r="AT280" s="14"/>
      <c r="AU280"/>
      <c r="AV280"/>
      <c r="AW280"/>
      <c r="AX280" s="10"/>
      <c r="AY280" s="20"/>
      <c r="AZ280" s="16"/>
      <c r="BA280"/>
      <c r="BB280"/>
      <c r="BC280" s="16"/>
      <c r="BD280"/>
      <c r="BE280"/>
      <c r="BF280"/>
      <c r="BG280"/>
      <c r="BH280"/>
      <c r="BI280"/>
      <c r="BJ280"/>
      <c r="BK280"/>
      <c r="BL280"/>
      <c r="BM280"/>
      <c r="BN280" s="19"/>
      <c r="BO280"/>
      <c r="BP280"/>
      <c r="BQ280"/>
      <c r="BR280"/>
      <c r="BS280"/>
      <c r="BT280"/>
      <c r="BU280"/>
      <c r="BV280"/>
      <c r="BW280"/>
      <c r="BX280"/>
      <c r="BY280"/>
      <c r="BZ280"/>
      <c r="CA280"/>
      <c r="CB280"/>
      <c r="CC280"/>
      <c r="CD280"/>
      <c r="CE280"/>
      <c r="CF280"/>
      <c r="CG280"/>
      <c r="CH280"/>
      <c r="CI280"/>
      <c r="CJ280"/>
      <c r="CK280"/>
      <c r="CL280"/>
      <c r="CM280" s="20"/>
      <c r="CN280" s="20"/>
      <c r="CO280" s="20"/>
      <c r="CP280" s="20"/>
      <c r="CQ280" s="20"/>
      <c r="CR280" s="20"/>
      <c r="CS280" s="20"/>
      <c r="CT280" s="20"/>
      <c r="CU280" s="20"/>
      <c r="CV280" s="20"/>
      <c r="CW280" s="20"/>
      <c r="CX280" s="20"/>
      <c r="CY280" s="20"/>
    </row>
    <row r="281" spans="1:103" s="6" customFormat="1">
      <c r="A281"/>
      <c r="B281"/>
      <c r="C281"/>
      <c r="D281"/>
      <c r="E281"/>
      <c r="F281"/>
      <c r="G281"/>
      <c r="H281"/>
      <c r="I281"/>
      <c r="J281"/>
      <c r="N281" s="7"/>
      <c r="O281"/>
      <c r="P281" s="10"/>
      <c r="Q281" s="9"/>
      <c r="R281" s="10"/>
      <c r="S281" s="10"/>
      <c r="AA281" s="11"/>
      <c r="AD281"/>
      <c r="AE281"/>
      <c r="AF281"/>
      <c r="AG281"/>
      <c r="AH281" s="46"/>
      <c r="AI281"/>
      <c r="AJ281"/>
      <c r="AK281"/>
      <c r="AL281"/>
      <c r="AM281"/>
      <c r="AN281"/>
      <c r="AO281"/>
      <c r="AP281"/>
      <c r="AQ281"/>
      <c r="AR281"/>
      <c r="AS281"/>
      <c r="AT281" s="14"/>
      <c r="AU281"/>
      <c r="AV281"/>
      <c r="AW281"/>
      <c r="AX281" s="10"/>
      <c r="AY281" s="20"/>
      <c r="AZ281" s="16"/>
      <c r="BA281"/>
      <c r="BB281"/>
      <c r="BC281" s="16"/>
      <c r="BD281"/>
      <c r="BE281"/>
      <c r="BF281"/>
      <c r="BG281"/>
      <c r="BH281"/>
      <c r="BI281"/>
      <c r="BJ281"/>
      <c r="BK281"/>
      <c r="BL281"/>
      <c r="BM281"/>
      <c r="BN281" s="19"/>
      <c r="BO281"/>
      <c r="BP281"/>
      <c r="BQ281"/>
      <c r="BR281"/>
      <c r="BS281"/>
      <c r="BT281"/>
      <c r="BU281"/>
      <c r="BV281"/>
      <c r="BW281"/>
      <c r="BX281"/>
      <c r="BY281"/>
      <c r="BZ281"/>
      <c r="CA281"/>
      <c r="CB281"/>
      <c r="CC281"/>
      <c r="CD281"/>
      <c r="CE281"/>
      <c r="CF281"/>
      <c r="CG281"/>
      <c r="CH281"/>
      <c r="CI281"/>
      <c r="CJ281"/>
      <c r="CK281"/>
      <c r="CL281"/>
      <c r="CM281" s="20"/>
      <c r="CN281" s="20"/>
      <c r="CO281" s="20"/>
      <c r="CP281" s="20"/>
      <c r="CQ281" s="20"/>
      <c r="CR281" s="20"/>
      <c r="CS281" s="20"/>
      <c r="CT281" s="20"/>
      <c r="CU281" s="20"/>
      <c r="CV281" s="20"/>
      <c r="CW281" s="20"/>
      <c r="CX281" s="20"/>
      <c r="CY281" s="20"/>
    </row>
    <row r="282" spans="1:103" s="6" customFormat="1">
      <c r="A282"/>
      <c r="B282"/>
      <c r="C282"/>
      <c r="D282"/>
      <c r="E282"/>
      <c r="F282"/>
      <c r="G282"/>
      <c r="H282"/>
      <c r="I282"/>
      <c r="J282"/>
      <c r="N282" s="7"/>
      <c r="O282"/>
      <c r="P282" s="10"/>
      <c r="Q282" s="9"/>
      <c r="R282" s="10"/>
      <c r="S282" s="10"/>
      <c r="AA282" s="11"/>
      <c r="AD282"/>
      <c r="AE282"/>
      <c r="AF282"/>
      <c r="AG282"/>
      <c r="AH282" s="46"/>
      <c r="AI282"/>
      <c r="AJ282"/>
      <c r="AK282"/>
      <c r="AL282"/>
      <c r="AM282"/>
      <c r="AN282"/>
      <c r="AO282"/>
      <c r="AP282"/>
      <c r="AQ282"/>
      <c r="AR282"/>
      <c r="AS282"/>
      <c r="AT282" s="14"/>
      <c r="AU282"/>
      <c r="AV282"/>
      <c r="AW282"/>
      <c r="AX282" s="10"/>
      <c r="AY282" s="20"/>
      <c r="AZ282" s="16"/>
      <c r="BA282"/>
      <c r="BB282"/>
      <c r="BC282" s="16"/>
      <c r="BD282"/>
      <c r="BE282"/>
      <c r="BF282"/>
      <c r="BG282"/>
      <c r="BH282"/>
      <c r="BI282"/>
      <c r="BJ282"/>
      <c r="BK282"/>
      <c r="BL282"/>
      <c r="BM282"/>
      <c r="BN282" s="19"/>
      <c r="BO282"/>
      <c r="BP282"/>
      <c r="BQ282"/>
      <c r="BR282"/>
      <c r="BS282"/>
      <c r="BT282"/>
      <c r="BU282"/>
      <c r="BV282"/>
      <c r="BW282"/>
      <c r="BX282"/>
      <c r="BY282"/>
      <c r="BZ282"/>
      <c r="CA282"/>
      <c r="CB282"/>
      <c r="CC282"/>
      <c r="CD282"/>
      <c r="CE282"/>
      <c r="CF282"/>
      <c r="CG282"/>
      <c r="CH282"/>
      <c r="CI282"/>
      <c r="CJ282"/>
      <c r="CK282"/>
      <c r="CL282"/>
      <c r="CM282" s="20"/>
      <c r="CN282" s="20"/>
      <c r="CO282" s="20"/>
      <c r="CP282" s="20"/>
      <c r="CQ282" s="20"/>
      <c r="CR282" s="20"/>
      <c r="CS282" s="20"/>
      <c r="CT282" s="20"/>
      <c r="CU282" s="20"/>
      <c r="CV282" s="20"/>
      <c r="CW282" s="20"/>
      <c r="CX282" s="20"/>
      <c r="CY282" s="20"/>
    </row>
    <row r="283" spans="1:103" s="6" customFormat="1">
      <c r="A283"/>
      <c r="B283"/>
      <c r="C283"/>
      <c r="D283"/>
      <c r="E283"/>
      <c r="F283"/>
      <c r="G283"/>
      <c r="H283"/>
      <c r="I283"/>
      <c r="J283"/>
      <c r="N283" s="7"/>
      <c r="O283"/>
      <c r="P283" s="10"/>
      <c r="Q283" s="9"/>
      <c r="R283" s="10"/>
      <c r="S283" s="10"/>
      <c r="AA283" s="11"/>
      <c r="AD283"/>
      <c r="AE283"/>
      <c r="AF283"/>
      <c r="AG283"/>
      <c r="AH283" s="46"/>
      <c r="AI283"/>
      <c r="AJ283"/>
      <c r="AK283"/>
      <c r="AL283"/>
      <c r="AM283"/>
      <c r="AN283"/>
      <c r="AO283"/>
      <c r="AP283"/>
      <c r="AQ283"/>
      <c r="AR283"/>
      <c r="AS283"/>
      <c r="AT283" s="14"/>
      <c r="AU283"/>
      <c r="AV283"/>
      <c r="AW283"/>
      <c r="AX283" s="10"/>
      <c r="AY283" s="20"/>
      <c r="AZ283" s="16"/>
      <c r="BA283"/>
      <c r="BB283"/>
      <c r="BC283" s="16"/>
      <c r="BD283"/>
      <c r="BE283"/>
      <c r="BF283"/>
      <c r="BG283"/>
      <c r="BH283"/>
      <c r="BI283"/>
      <c r="BJ283"/>
      <c r="BK283"/>
      <c r="BL283"/>
      <c r="BM283"/>
      <c r="BN283" s="19"/>
      <c r="BO283"/>
      <c r="BP283"/>
      <c r="BQ283"/>
      <c r="BR283"/>
      <c r="BS283"/>
      <c r="BT283"/>
      <c r="BU283"/>
      <c r="BV283"/>
      <c r="BW283"/>
      <c r="BX283"/>
      <c r="BY283"/>
      <c r="BZ283"/>
      <c r="CA283"/>
      <c r="CB283"/>
      <c r="CC283"/>
      <c r="CD283"/>
      <c r="CE283"/>
      <c r="CF283"/>
      <c r="CG283"/>
      <c r="CH283"/>
      <c r="CI283"/>
      <c r="CJ283"/>
      <c r="CK283"/>
      <c r="CL283"/>
      <c r="CM283" s="20"/>
      <c r="CN283" s="20"/>
      <c r="CO283" s="20"/>
      <c r="CP283" s="20"/>
      <c r="CQ283" s="20"/>
      <c r="CR283" s="20"/>
      <c r="CS283" s="20"/>
      <c r="CT283" s="20"/>
      <c r="CU283" s="20"/>
      <c r="CV283" s="20"/>
      <c r="CW283" s="20"/>
      <c r="CX283" s="20"/>
      <c r="CY283" s="20"/>
    </row>
    <row r="284" spans="1:103" s="6" customFormat="1">
      <c r="A284"/>
      <c r="B284"/>
      <c r="C284"/>
      <c r="D284"/>
      <c r="E284"/>
      <c r="F284"/>
      <c r="G284"/>
      <c r="H284"/>
      <c r="I284"/>
      <c r="J284"/>
      <c r="N284" s="7"/>
      <c r="O284"/>
      <c r="P284" s="10"/>
      <c r="Q284" s="9"/>
      <c r="R284" s="10"/>
      <c r="S284" s="10"/>
      <c r="AA284" s="11"/>
      <c r="AD284"/>
      <c r="AE284"/>
      <c r="AF284"/>
      <c r="AG284"/>
      <c r="AH284" s="46"/>
      <c r="AI284"/>
      <c r="AJ284"/>
      <c r="AK284"/>
      <c r="AL284"/>
      <c r="AM284"/>
      <c r="AN284"/>
      <c r="AO284"/>
      <c r="AP284"/>
      <c r="AQ284"/>
      <c r="AR284"/>
      <c r="AS284"/>
      <c r="AT284" s="14"/>
      <c r="AU284"/>
      <c r="AV284"/>
      <c r="AW284"/>
      <c r="AX284" s="10"/>
      <c r="AY284" s="20"/>
      <c r="AZ284" s="16"/>
      <c r="BA284"/>
      <c r="BB284"/>
      <c r="BC284" s="16"/>
      <c r="BD284"/>
      <c r="BE284"/>
      <c r="BF284"/>
      <c r="BG284"/>
      <c r="BH284"/>
      <c r="BI284"/>
      <c r="BJ284"/>
      <c r="BK284"/>
      <c r="BL284"/>
      <c r="BM284"/>
      <c r="BN284" s="19"/>
      <c r="BO284"/>
      <c r="BP284"/>
      <c r="BQ284"/>
      <c r="BR284"/>
      <c r="BS284"/>
      <c r="BT284"/>
      <c r="BU284"/>
      <c r="BV284"/>
      <c r="BW284"/>
      <c r="BX284"/>
      <c r="BY284"/>
      <c r="BZ284"/>
      <c r="CA284"/>
      <c r="CB284"/>
      <c r="CC284"/>
      <c r="CD284"/>
      <c r="CE284"/>
      <c r="CF284"/>
      <c r="CG284"/>
      <c r="CH284"/>
      <c r="CI284"/>
      <c r="CJ284"/>
      <c r="CK284"/>
      <c r="CL284"/>
      <c r="CM284" s="20"/>
      <c r="CN284" s="20"/>
      <c r="CO284" s="20"/>
      <c r="CP284" s="20"/>
      <c r="CQ284" s="20"/>
      <c r="CR284" s="20"/>
      <c r="CS284" s="20"/>
      <c r="CT284" s="20"/>
      <c r="CU284" s="20"/>
      <c r="CV284" s="20"/>
      <c r="CW284" s="20"/>
      <c r="CX284" s="20"/>
      <c r="CY284" s="20"/>
    </row>
    <row r="285" spans="1:103" s="6" customFormat="1">
      <c r="A285"/>
      <c r="B285"/>
      <c r="C285"/>
      <c r="D285"/>
      <c r="E285"/>
      <c r="F285"/>
      <c r="G285"/>
      <c r="H285"/>
      <c r="I285"/>
      <c r="J285"/>
      <c r="N285" s="7"/>
      <c r="O285"/>
      <c r="P285" s="10"/>
      <c r="Q285" s="9"/>
      <c r="R285" s="10"/>
      <c r="S285" s="10"/>
      <c r="AA285" s="11"/>
      <c r="AD285"/>
      <c r="AE285"/>
      <c r="AF285"/>
      <c r="AG285"/>
      <c r="AH285" s="46"/>
      <c r="AI285"/>
      <c r="AJ285"/>
      <c r="AK285"/>
      <c r="AL285"/>
      <c r="AM285"/>
      <c r="AN285"/>
      <c r="AO285"/>
      <c r="AP285"/>
      <c r="AQ285"/>
      <c r="AR285"/>
      <c r="AS285"/>
      <c r="AT285" s="14"/>
      <c r="AU285"/>
      <c r="AV285"/>
      <c r="AW285"/>
      <c r="AX285" s="10"/>
      <c r="AY285" s="20"/>
      <c r="AZ285" s="16"/>
      <c r="BA285"/>
      <c r="BB285"/>
      <c r="BC285" s="16"/>
      <c r="BD285"/>
      <c r="BE285"/>
      <c r="BF285"/>
      <c r="BG285"/>
      <c r="BH285"/>
      <c r="BI285"/>
      <c r="BJ285"/>
      <c r="BK285"/>
      <c r="BL285"/>
      <c r="BM285"/>
      <c r="BN285" s="19"/>
      <c r="BO285"/>
      <c r="BP285"/>
      <c r="BQ285"/>
      <c r="BR285"/>
      <c r="BS285"/>
      <c r="BT285"/>
      <c r="BU285"/>
      <c r="BV285"/>
      <c r="BW285"/>
      <c r="BX285"/>
      <c r="BY285"/>
      <c r="BZ285"/>
      <c r="CA285"/>
      <c r="CB285"/>
      <c r="CC285"/>
      <c r="CD285"/>
      <c r="CE285"/>
      <c r="CF285"/>
      <c r="CG285"/>
      <c r="CH285"/>
      <c r="CI285"/>
      <c r="CJ285"/>
      <c r="CK285"/>
      <c r="CL285"/>
      <c r="CM285" s="20"/>
      <c r="CN285" s="20"/>
      <c r="CO285" s="20"/>
      <c r="CP285" s="20"/>
      <c r="CQ285" s="20"/>
      <c r="CR285" s="20"/>
      <c r="CS285" s="20"/>
      <c r="CT285" s="20"/>
      <c r="CU285" s="20"/>
      <c r="CV285" s="20"/>
      <c r="CW285" s="20"/>
      <c r="CX285" s="20"/>
      <c r="CY285" s="20"/>
    </row>
    <row r="286" spans="1:103" s="6" customFormat="1">
      <c r="A286"/>
      <c r="B286"/>
      <c r="C286"/>
      <c r="D286"/>
      <c r="E286"/>
      <c r="F286"/>
      <c r="G286"/>
      <c r="H286"/>
      <c r="I286"/>
      <c r="J286"/>
      <c r="N286" s="7"/>
      <c r="O286"/>
      <c r="P286" s="10"/>
      <c r="Q286" s="9"/>
      <c r="R286" s="10"/>
      <c r="S286" s="10"/>
      <c r="AA286" s="11"/>
      <c r="AD286"/>
      <c r="AE286"/>
      <c r="AF286"/>
      <c r="AG286"/>
      <c r="AH286" s="46"/>
      <c r="AI286"/>
      <c r="AJ286"/>
      <c r="AK286"/>
      <c r="AL286"/>
      <c r="AM286"/>
      <c r="AN286"/>
      <c r="AO286"/>
      <c r="AP286"/>
      <c r="AQ286"/>
      <c r="AR286"/>
      <c r="AS286"/>
      <c r="AT286" s="14"/>
      <c r="AU286"/>
      <c r="AV286"/>
      <c r="AW286"/>
      <c r="AX286" s="10"/>
      <c r="AY286" s="20"/>
      <c r="AZ286" s="16"/>
      <c r="BA286"/>
      <c r="BB286"/>
      <c r="BC286" s="16"/>
      <c r="BD286"/>
      <c r="BE286"/>
      <c r="BF286"/>
      <c r="BG286"/>
      <c r="BH286"/>
      <c r="BI286"/>
      <c r="BJ286"/>
      <c r="BK286"/>
      <c r="BL286"/>
      <c r="BM286"/>
      <c r="BN286" s="19"/>
      <c r="BO286"/>
      <c r="BP286"/>
      <c r="BQ286"/>
      <c r="BR286"/>
      <c r="BS286"/>
      <c r="BT286"/>
      <c r="BU286"/>
      <c r="BV286"/>
      <c r="BW286"/>
      <c r="BX286"/>
      <c r="BY286"/>
      <c r="BZ286"/>
      <c r="CA286"/>
      <c r="CB286"/>
      <c r="CC286"/>
      <c r="CD286"/>
      <c r="CE286"/>
      <c r="CF286"/>
      <c r="CG286"/>
      <c r="CH286"/>
      <c r="CI286"/>
      <c r="CJ286"/>
      <c r="CK286"/>
      <c r="CL286"/>
      <c r="CM286" s="20"/>
      <c r="CN286" s="20"/>
      <c r="CO286" s="20"/>
      <c r="CP286" s="20"/>
      <c r="CQ286" s="20"/>
      <c r="CR286" s="20"/>
      <c r="CS286" s="20"/>
      <c r="CT286" s="20"/>
      <c r="CU286" s="20"/>
      <c r="CV286" s="20"/>
      <c r="CW286" s="20"/>
      <c r="CX286" s="20"/>
      <c r="CY286" s="20"/>
    </row>
    <row r="287" spans="1:103" s="6" customFormat="1">
      <c r="A287"/>
      <c r="B287"/>
      <c r="C287"/>
      <c r="D287"/>
      <c r="E287"/>
      <c r="F287"/>
      <c r="G287"/>
      <c r="H287"/>
      <c r="I287"/>
      <c r="J287"/>
      <c r="N287" s="7"/>
      <c r="O287"/>
      <c r="P287" s="10"/>
      <c r="Q287" s="9"/>
      <c r="R287" s="10"/>
      <c r="S287" s="10"/>
      <c r="AA287" s="11"/>
      <c r="AD287"/>
      <c r="AE287"/>
      <c r="AF287"/>
      <c r="AG287"/>
      <c r="AH287" s="46"/>
      <c r="AI287"/>
      <c r="AJ287"/>
      <c r="AK287"/>
      <c r="AL287"/>
      <c r="AM287"/>
      <c r="AN287"/>
      <c r="AO287"/>
      <c r="AP287"/>
      <c r="AQ287"/>
      <c r="AR287"/>
      <c r="AS287"/>
      <c r="AT287" s="14"/>
      <c r="AU287"/>
      <c r="AV287"/>
      <c r="AW287"/>
      <c r="AX287" s="10"/>
      <c r="AY287" s="20"/>
      <c r="AZ287" s="16"/>
      <c r="BA287"/>
      <c r="BB287"/>
      <c r="BC287" s="16"/>
      <c r="BD287"/>
      <c r="BE287"/>
      <c r="BF287"/>
      <c r="BG287"/>
      <c r="BH287"/>
      <c r="BI287"/>
      <c r="BJ287"/>
      <c r="BK287"/>
      <c r="BL287"/>
      <c r="BM287"/>
      <c r="BN287" s="19"/>
      <c r="BO287"/>
      <c r="BP287"/>
      <c r="BQ287"/>
      <c r="BR287"/>
      <c r="BS287"/>
      <c r="BT287"/>
      <c r="BU287"/>
      <c r="BV287"/>
      <c r="BW287"/>
      <c r="BX287"/>
      <c r="BY287"/>
      <c r="BZ287"/>
      <c r="CA287"/>
      <c r="CB287"/>
      <c r="CC287"/>
      <c r="CD287"/>
      <c r="CE287"/>
      <c r="CF287"/>
      <c r="CG287"/>
      <c r="CH287"/>
      <c r="CI287"/>
      <c r="CJ287"/>
      <c r="CK287"/>
      <c r="CL287"/>
      <c r="CM287" s="20"/>
      <c r="CN287" s="20"/>
      <c r="CO287" s="20"/>
      <c r="CP287" s="20"/>
      <c r="CQ287" s="20"/>
      <c r="CR287" s="20"/>
      <c r="CS287" s="20"/>
      <c r="CT287" s="20"/>
      <c r="CU287" s="20"/>
      <c r="CV287" s="20"/>
      <c r="CW287" s="20"/>
      <c r="CX287" s="20"/>
      <c r="CY287" s="20"/>
    </row>
    <row r="288" spans="1:103" s="6" customFormat="1">
      <c r="A288"/>
      <c r="B288"/>
      <c r="C288"/>
      <c r="D288"/>
      <c r="E288"/>
      <c r="F288"/>
      <c r="G288"/>
      <c r="H288"/>
      <c r="I288"/>
      <c r="J288"/>
      <c r="N288" s="7"/>
      <c r="O288"/>
      <c r="P288" s="10"/>
      <c r="Q288" s="9"/>
      <c r="R288" s="10"/>
      <c r="S288" s="10"/>
      <c r="AA288" s="11"/>
      <c r="AD288"/>
      <c r="AE288"/>
      <c r="AF288"/>
      <c r="AG288"/>
      <c r="AH288" s="46"/>
      <c r="AI288"/>
      <c r="AJ288"/>
      <c r="AK288"/>
      <c r="AL288"/>
      <c r="AM288"/>
      <c r="AN288"/>
      <c r="AO288"/>
      <c r="AP288"/>
      <c r="AQ288"/>
      <c r="AR288"/>
      <c r="AS288"/>
      <c r="AT288" s="14"/>
      <c r="AU288"/>
      <c r="AV288"/>
      <c r="AW288"/>
      <c r="AX288" s="10"/>
      <c r="AY288" s="20"/>
      <c r="AZ288" s="16"/>
      <c r="BA288"/>
      <c r="BB288"/>
      <c r="BC288" s="16"/>
      <c r="BD288"/>
      <c r="BE288"/>
      <c r="BF288"/>
      <c r="BG288"/>
      <c r="BH288"/>
      <c r="BI288"/>
      <c r="BJ288"/>
      <c r="BK288"/>
      <c r="BL288"/>
      <c r="BM288"/>
      <c r="BN288" s="19"/>
      <c r="BO288"/>
      <c r="BP288"/>
      <c r="BQ288"/>
      <c r="BR288"/>
      <c r="BS288"/>
      <c r="BT288"/>
      <c r="BU288"/>
      <c r="BV288"/>
      <c r="BW288"/>
      <c r="BX288"/>
      <c r="BY288"/>
      <c r="BZ288"/>
      <c r="CA288"/>
      <c r="CB288"/>
      <c r="CC288"/>
      <c r="CD288"/>
      <c r="CE288"/>
      <c r="CF288"/>
      <c r="CG288"/>
      <c r="CH288"/>
      <c r="CI288"/>
      <c r="CJ288"/>
      <c r="CK288"/>
      <c r="CL288"/>
      <c r="CM288" s="20"/>
      <c r="CN288" s="20"/>
      <c r="CO288" s="20"/>
      <c r="CP288" s="20"/>
      <c r="CQ288" s="20"/>
      <c r="CR288" s="20"/>
      <c r="CS288" s="20"/>
      <c r="CT288" s="20"/>
      <c r="CU288" s="20"/>
      <c r="CV288" s="20"/>
      <c r="CW288" s="20"/>
      <c r="CX288" s="20"/>
      <c r="CY288" s="20"/>
    </row>
    <row r="289" spans="1:103" s="6" customFormat="1">
      <c r="A289"/>
      <c r="B289"/>
      <c r="C289"/>
      <c r="D289"/>
      <c r="E289"/>
      <c r="F289"/>
      <c r="G289"/>
      <c r="H289"/>
      <c r="I289"/>
      <c r="J289"/>
      <c r="N289" s="7"/>
      <c r="O289"/>
      <c r="P289" s="10"/>
      <c r="Q289" s="9"/>
      <c r="R289" s="10"/>
      <c r="S289" s="10"/>
      <c r="AA289" s="11"/>
      <c r="AD289"/>
      <c r="AE289"/>
      <c r="AF289"/>
      <c r="AG289"/>
      <c r="AH289" s="46"/>
      <c r="AI289"/>
      <c r="AJ289"/>
      <c r="AK289"/>
      <c r="AL289"/>
      <c r="AM289"/>
      <c r="AN289"/>
      <c r="AO289"/>
      <c r="AP289"/>
      <c r="AQ289"/>
      <c r="AR289"/>
      <c r="AS289"/>
      <c r="AT289" s="14"/>
      <c r="AU289"/>
      <c r="AV289"/>
      <c r="AW289"/>
      <c r="AX289" s="10"/>
      <c r="AY289" s="20"/>
      <c r="AZ289" s="16"/>
      <c r="BA289"/>
      <c r="BB289"/>
      <c r="BC289" s="16"/>
      <c r="BD289"/>
      <c r="BE289"/>
      <c r="BF289"/>
      <c r="BG289"/>
      <c r="BH289"/>
      <c r="BI289"/>
      <c r="BJ289"/>
      <c r="BK289"/>
      <c r="BL289"/>
      <c r="BM289"/>
      <c r="BN289" s="19"/>
      <c r="BO289"/>
      <c r="BP289"/>
      <c r="BQ289"/>
      <c r="BR289"/>
      <c r="BS289"/>
      <c r="BT289"/>
      <c r="BU289"/>
      <c r="BV289"/>
      <c r="BW289"/>
      <c r="BX289"/>
      <c r="BY289"/>
      <c r="BZ289"/>
      <c r="CA289"/>
      <c r="CB289"/>
      <c r="CC289"/>
      <c r="CD289"/>
      <c r="CE289"/>
      <c r="CF289"/>
      <c r="CG289"/>
      <c r="CH289"/>
      <c r="CI289"/>
      <c r="CJ289"/>
      <c r="CK289"/>
      <c r="CL289"/>
      <c r="CM289" s="20"/>
      <c r="CN289" s="20"/>
      <c r="CO289" s="20"/>
      <c r="CP289" s="20"/>
      <c r="CQ289" s="20"/>
      <c r="CR289" s="20"/>
      <c r="CS289" s="20"/>
      <c r="CT289" s="20"/>
      <c r="CU289" s="20"/>
      <c r="CV289" s="20"/>
      <c r="CW289" s="20"/>
      <c r="CX289" s="20"/>
      <c r="CY289" s="20"/>
    </row>
    <row r="290" spans="1:103" s="6" customFormat="1">
      <c r="A290"/>
      <c r="B290"/>
      <c r="C290"/>
      <c r="D290"/>
      <c r="E290"/>
      <c r="F290"/>
      <c r="G290"/>
      <c r="H290"/>
      <c r="I290"/>
      <c r="J290"/>
      <c r="N290" s="7"/>
      <c r="O290"/>
      <c r="P290" s="10"/>
      <c r="Q290" s="9"/>
      <c r="R290" s="10"/>
      <c r="S290" s="10"/>
      <c r="AA290" s="11"/>
      <c r="AD290"/>
      <c r="AE290"/>
      <c r="AF290"/>
      <c r="AG290"/>
      <c r="AH290" s="46"/>
      <c r="AI290"/>
      <c r="AJ290"/>
      <c r="AK290"/>
      <c r="AL290"/>
      <c r="AM290"/>
      <c r="AN290"/>
      <c r="AO290"/>
      <c r="AP290"/>
      <c r="AQ290"/>
      <c r="AR290"/>
      <c r="AS290"/>
      <c r="AT290" s="14"/>
      <c r="AU290"/>
      <c r="AV290"/>
      <c r="AW290"/>
      <c r="AX290" s="10"/>
      <c r="AY290" s="20"/>
      <c r="AZ290" s="16"/>
      <c r="BA290"/>
      <c r="BB290"/>
      <c r="BC290" s="16"/>
      <c r="BD290"/>
      <c r="BE290"/>
      <c r="BF290"/>
      <c r="BG290"/>
      <c r="BH290"/>
      <c r="BI290"/>
      <c r="BJ290"/>
      <c r="BK290"/>
      <c r="BL290"/>
      <c r="BM290"/>
      <c r="BN290" s="19"/>
      <c r="BO290"/>
      <c r="BP290"/>
      <c r="BQ290"/>
      <c r="BR290"/>
      <c r="BS290"/>
      <c r="BT290"/>
      <c r="BU290"/>
      <c r="BV290"/>
      <c r="BW290"/>
      <c r="BX290"/>
      <c r="BY290"/>
      <c r="BZ290"/>
      <c r="CA290"/>
      <c r="CB290"/>
      <c r="CC290"/>
      <c r="CD290"/>
      <c r="CE290"/>
      <c r="CF290"/>
      <c r="CG290"/>
      <c r="CH290"/>
      <c r="CI290"/>
      <c r="CJ290"/>
      <c r="CK290"/>
      <c r="CL290"/>
      <c r="CM290" s="20"/>
      <c r="CN290" s="20"/>
      <c r="CO290" s="20"/>
      <c r="CP290" s="20"/>
      <c r="CQ290" s="20"/>
      <c r="CR290" s="20"/>
      <c r="CS290" s="20"/>
      <c r="CT290" s="20"/>
      <c r="CU290" s="20"/>
      <c r="CV290" s="20"/>
      <c r="CW290" s="20"/>
      <c r="CX290" s="20"/>
      <c r="CY290" s="20"/>
    </row>
    <row r="291" spans="1:103" s="6" customFormat="1">
      <c r="A291"/>
      <c r="B291"/>
      <c r="C291"/>
      <c r="D291"/>
      <c r="E291"/>
      <c r="F291"/>
      <c r="G291"/>
      <c r="H291"/>
      <c r="I291"/>
      <c r="J291"/>
      <c r="N291" s="7"/>
      <c r="O291"/>
      <c r="P291" s="10"/>
      <c r="Q291" s="9"/>
      <c r="R291" s="10"/>
      <c r="S291" s="10"/>
      <c r="AA291" s="11"/>
      <c r="AD291"/>
      <c r="AE291"/>
      <c r="AF291"/>
      <c r="AG291"/>
      <c r="AH291" s="46"/>
      <c r="AI291"/>
      <c r="AJ291"/>
      <c r="AK291"/>
      <c r="AL291"/>
      <c r="AM291"/>
      <c r="AN291"/>
      <c r="AO291"/>
      <c r="AP291"/>
      <c r="AQ291"/>
      <c r="AR291"/>
      <c r="AS291"/>
      <c r="AT291" s="14"/>
      <c r="AU291"/>
      <c r="AV291"/>
      <c r="AW291"/>
      <c r="AX291" s="10"/>
      <c r="AY291" s="20"/>
      <c r="AZ291" s="16"/>
      <c r="BA291"/>
      <c r="BB291"/>
      <c r="BC291" s="16"/>
      <c r="BD291"/>
      <c r="BE291"/>
      <c r="BF291"/>
      <c r="BG291"/>
      <c r="BH291"/>
      <c r="BI291"/>
      <c r="BJ291"/>
      <c r="BK291"/>
      <c r="BL291"/>
      <c r="BM291"/>
      <c r="BN291" s="19"/>
      <c r="BO291"/>
      <c r="BP291"/>
      <c r="BQ291"/>
      <c r="BR291"/>
      <c r="BS291"/>
      <c r="BT291"/>
      <c r="BU291"/>
      <c r="BV291"/>
      <c r="BW291"/>
      <c r="BX291"/>
      <c r="BY291"/>
      <c r="BZ291"/>
      <c r="CA291"/>
      <c r="CB291"/>
      <c r="CC291"/>
      <c r="CD291"/>
      <c r="CE291"/>
      <c r="CF291"/>
      <c r="CG291"/>
      <c r="CH291"/>
      <c r="CI291"/>
      <c r="CJ291"/>
      <c r="CK291"/>
      <c r="CL291"/>
      <c r="CM291" s="20"/>
      <c r="CN291" s="20"/>
      <c r="CO291" s="20"/>
      <c r="CP291" s="20"/>
      <c r="CQ291" s="20"/>
      <c r="CR291" s="20"/>
      <c r="CS291" s="20"/>
      <c r="CT291" s="20"/>
      <c r="CU291" s="20"/>
      <c r="CV291" s="20"/>
      <c r="CW291" s="20"/>
      <c r="CX291" s="20"/>
      <c r="CY291" s="20"/>
    </row>
    <row r="292" spans="1:103" s="6" customFormat="1">
      <c r="A292"/>
      <c r="B292"/>
      <c r="C292"/>
      <c r="D292"/>
      <c r="E292"/>
      <c r="F292"/>
      <c r="G292"/>
      <c r="H292"/>
      <c r="I292"/>
      <c r="J292"/>
      <c r="N292" s="7"/>
      <c r="O292"/>
      <c r="P292" s="10"/>
      <c r="Q292" s="9"/>
      <c r="R292" s="10"/>
      <c r="S292" s="10"/>
      <c r="AA292" s="11"/>
      <c r="AD292"/>
      <c r="AE292"/>
      <c r="AF292"/>
      <c r="AG292"/>
      <c r="AH292" s="46"/>
      <c r="AI292"/>
      <c r="AJ292"/>
      <c r="AK292"/>
      <c r="AL292"/>
      <c r="AM292"/>
      <c r="AN292"/>
      <c r="AO292"/>
      <c r="AP292"/>
      <c r="AQ292"/>
      <c r="AR292"/>
      <c r="AS292"/>
      <c r="AT292" s="14"/>
      <c r="AU292"/>
      <c r="AV292"/>
      <c r="AW292"/>
      <c r="AX292" s="10"/>
      <c r="AY292" s="20"/>
      <c r="AZ292" s="16"/>
      <c r="BA292"/>
      <c r="BB292"/>
      <c r="BC292" s="16"/>
      <c r="BD292"/>
      <c r="BE292"/>
      <c r="BF292"/>
      <c r="BG292"/>
      <c r="BH292"/>
      <c r="BI292"/>
      <c r="BJ292"/>
      <c r="BK292"/>
      <c r="BL292"/>
      <c r="BM292"/>
      <c r="BN292" s="19"/>
      <c r="BO292"/>
      <c r="BP292"/>
      <c r="BQ292"/>
      <c r="BR292"/>
      <c r="BS292"/>
      <c r="BT292"/>
      <c r="BU292"/>
      <c r="BV292"/>
      <c r="BW292"/>
      <c r="BX292"/>
      <c r="BY292"/>
      <c r="BZ292"/>
      <c r="CA292"/>
      <c r="CB292"/>
      <c r="CC292"/>
      <c r="CD292"/>
      <c r="CE292"/>
      <c r="CF292"/>
      <c r="CG292"/>
      <c r="CH292"/>
      <c r="CI292"/>
      <c r="CJ292"/>
      <c r="CK292"/>
      <c r="CL292"/>
      <c r="CM292" s="20"/>
      <c r="CN292" s="20"/>
      <c r="CO292" s="20"/>
      <c r="CP292" s="20"/>
      <c r="CQ292" s="20"/>
      <c r="CR292" s="20"/>
      <c r="CS292" s="20"/>
      <c r="CT292" s="20"/>
      <c r="CU292" s="20"/>
      <c r="CV292" s="20"/>
      <c r="CW292" s="20"/>
      <c r="CX292" s="20"/>
      <c r="CY292" s="20"/>
    </row>
    <row r="293" spans="1:103" s="6" customFormat="1">
      <c r="A293"/>
      <c r="B293"/>
      <c r="C293"/>
      <c r="D293"/>
      <c r="E293"/>
      <c r="F293"/>
      <c r="G293"/>
      <c r="H293"/>
      <c r="I293"/>
      <c r="J293"/>
      <c r="N293" s="7"/>
      <c r="O293"/>
      <c r="P293" s="10"/>
      <c r="Q293" s="9"/>
      <c r="R293" s="10"/>
      <c r="S293" s="10"/>
      <c r="AA293" s="11"/>
      <c r="AD293"/>
      <c r="AE293"/>
      <c r="AF293"/>
      <c r="AG293"/>
      <c r="AH293" s="46"/>
      <c r="AI293"/>
      <c r="AJ293"/>
      <c r="AK293"/>
      <c r="AL293"/>
      <c r="AM293"/>
      <c r="AN293"/>
      <c r="AO293"/>
      <c r="AP293"/>
      <c r="AQ293"/>
      <c r="AR293"/>
      <c r="AS293"/>
      <c r="AT293" s="14"/>
      <c r="AU293"/>
      <c r="AV293"/>
      <c r="AW293"/>
      <c r="AX293" s="10"/>
      <c r="AY293" s="20"/>
      <c r="AZ293" s="16"/>
      <c r="BA293"/>
      <c r="BB293"/>
      <c r="BC293" s="16"/>
      <c r="BD293"/>
      <c r="BE293"/>
      <c r="BF293"/>
      <c r="BG293"/>
      <c r="BH293"/>
      <c r="BI293"/>
      <c r="BJ293"/>
      <c r="BK293"/>
      <c r="BL293"/>
      <c r="BM293"/>
      <c r="BN293" s="19"/>
      <c r="BO293"/>
      <c r="BP293"/>
      <c r="BQ293"/>
      <c r="BR293"/>
      <c r="BS293"/>
      <c r="BT293"/>
      <c r="BU293"/>
      <c r="BV293"/>
      <c r="BW293"/>
      <c r="BX293"/>
      <c r="BY293"/>
      <c r="BZ293"/>
      <c r="CA293"/>
      <c r="CB293"/>
      <c r="CC293"/>
      <c r="CD293"/>
      <c r="CE293"/>
      <c r="CF293"/>
      <c r="CG293"/>
      <c r="CH293"/>
      <c r="CI293"/>
      <c r="CJ293"/>
      <c r="CK293"/>
      <c r="CL293"/>
      <c r="CM293" s="20"/>
      <c r="CN293" s="20"/>
      <c r="CO293" s="20"/>
      <c r="CP293" s="20"/>
      <c r="CQ293" s="20"/>
      <c r="CR293" s="20"/>
      <c r="CS293" s="20"/>
      <c r="CT293" s="20"/>
      <c r="CU293" s="20"/>
      <c r="CV293" s="20"/>
      <c r="CW293" s="20"/>
      <c r="CX293" s="20"/>
      <c r="CY293" s="20"/>
    </row>
    <row r="294" spans="1:103" s="6" customFormat="1">
      <c r="A294"/>
      <c r="B294"/>
      <c r="C294"/>
      <c r="D294"/>
      <c r="E294"/>
      <c r="F294"/>
      <c r="G294"/>
      <c r="H294"/>
      <c r="I294"/>
      <c r="J294"/>
      <c r="N294" s="7"/>
      <c r="O294"/>
      <c r="P294" s="10"/>
      <c r="Q294" s="9"/>
      <c r="R294" s="10"/>
      <c r="S294" s="10"/>
      <c r="AA294" s="11"/>
      <c r="AD294"/>
      <c r="AE294"/>
      <c r="AF294"/>
      <c r="AG294"/>
      <c r="AH294" s="46"/>
      <c r="AI294"/>
      <c r="AJ294"/>
      <c r="AK294"/>
      <c r="AL294"/>
      <c r="AM294"/>
      <c r="AN294"/>
      <c r="AO294"/>
      <c r="AP294"/>
      <c r="AQ294"/>
      <c r="AR294"/>
      <c r="AS294"/>
      <c r="AT294" s="14"/>
      <c r="AU294"/>
      <c r="AV294"/>
      <c r="AW294"/>
      <c r="AX294" s="10"/>
      <c r="AY294" s="20"/>
      <c r="AZ294" s="16"/>
      <c r="BA294"/>
      <c r="BB294"/>
      <c r="BC294" s="16"/>
      <c r="BD294"/>
      <c r="BE294"/>
      <c r="BF294"/>
      <c r="BG294"/>
      <c r="BH294"/>
      <c r="BI294"/>
      <c r="BJ294"/>
      <c r="BK294"/>
      <c r="BL294"/>
      <c r="BM294"/>
      <c r="BN294" s="19"/>
      <c r="BO294"/>
      <c r="BP294"/>
      <c r="BQ294"/>
      <c r="BR294"/>
      <c r="BS294"/>
      <c r="BT294"/>
      <c r="BU294"/>
      <c r="BV294"/>
      <c r="BW294"/>
      <c r="BX294"/>
      <c r="BY294"/>
      <c r="BZ294"/>
      <c r="CA294"/>
      <c r="CB294"/>
      <c r="CC294"/>
      <c r="CD294"/>
      <c r="CE294"/>
      <c r="CF294"/>
      <c r="CG294"/>
      <c r="CH294"/>
      <c r="CI294"/>
      <c r="CJ294"/>
      <c r="CK294"/>
      <c r="CL294"/>
      <c r="CM294" s="20"/>
      <c r="CN294" s="20"/>
      <c r="CO294" s="20"/>
      <c r="CP294" s="20"/>
      <c r="CQ294" s="20"/>
      <c r="CR294" s="20"/>
      <c r="CS294" s="20"/>
      <c r="CT294" s="20"/>
      <c r="CU294" s="20"/>
      <c r="CV294" s="20"/>
      <c r="CW294" s="20"/>
      <c r="CX294" s="20"/>
      <c r="CY294" s="20"/>
    </row>
    <row r="295" spans="1:103" s="6" customFormat="1">
      <c r="A295"/>
      <c r="B295"/>
      <c r="C295"/>
      <c r="D295"/>
      <c r="E295"/>
      <c r="F295"/>
      <c r="G295"/>
      <c r="H295"/>
      <c r="I295"/>
      <c r="J295"/>
      <c r="N295" s="7"/>
      <c r="O295"/>
      <c r="P295" s="10"/>
      <c r="Q295" s="9"/>
      <c r="R295" s="10"/>
      <c r="S295" s="10"/>
      <c r="AA295" s="11"/>
      <c r="AD295"/>
      <c r="AE295"/>
      <c r="AF295"/>
      <c r="AG295"/>
      <c r="AH295" s="46"/>
      <c r="AI295"/>
      <c r="AJ295"/>
      <c r="AK295"/>
      <c r="AL295"/>
      <c r="AM295"/>
      <c r="AN295"/>
      <c r="AO295"/>
      <c r="AP295"/>
      <c r="AQ295"/>
      <c r="AR295"/>
      <c r="AS295"/>
      <c r="AT295" s="14"/>
      <c r="AU295"/>
      <c r="AV295"/>
      <c r="AW295"/>
      <c r="AX295" s="10"/>
      <c r="AY295" s="20"/>
      <c r="AZ295" s="16"/>
      <c r="BA295"/>
      <c r="BB295"/>
      <c r="BC295" s="16"/>
      <c r="BD295"/>
      <c r="BE295"/>
      <c r="BF295"/>
      <c r="BG295"/>
      <c r="BH295"/>
      <c r="BI295"/>
      <c r="BJ295"/>
      <c r="BK295"/>
      <c r="BL295"/>
      <c r="BM295"/>
      <c r="BN295" s="19"/>
      <c r="BO295"/>
      <c r="BP295"/>
      <c r="BQ295"/>
      <c r="BR295"/>
      <c r="BS295"/>
      <c r="BT295"/>
      <c r="BU295"/>
      <c r="BV295"/>
      <c r="BW295"/>
      <c r="BX295"/>
      <c r="BY295"/>
      <c r="BZ295"/>
      <c r="CA295"/>
      <c r="CB295"/>
      <c r="CC295"/>
      <c r="CD295"/>
      <c r="CE295"/>
      <c r="CF295"/>
      <c r="CG295"/>
      <c r="CH295"/>
      <c r="CI295"/>
      <c r="CJ295"/>
      <c r="CK295"/>
      <c r="CL295"/>
      <c r="CM295" s="20"/>
      <c r="CN295" s="20"/>
      <c r="CO295" s="20"/>
      <c r="CP295" s="20"/>
      <c r="CQ295" s="20"/>
      <c r="CR295" s="20"/>
      <c r="CS295" s="20"/>
      <c r="CT295" s="20"/>
      <c r="CU295" s="20"/>
      <c r="CV295" s="20"/>
      <c r="CW295" s="20"/>
      <c r="CX295" s="20"/>
      <c r="CY295" s="20"/>
    </row>
    <row r="296" spans="1:103" s="6" customFormat="1">
      <c r="A296"/>
      <c r="B296"/>
      <c r="C296"/>
      <c r="D296"/>
      <c r="E296"/>
      <c r="F296"/>
      <c r="G296"/>
      <c r="H296"/>
      <c r="I296"/>
      <c r="J296"/>
      <c r="N296" s="7"/>
      <c r="O296"/>
      <c r="P296" s="10"/>
      <c r="Q296" s="9"/>
      <c r="R296" s="10"/>
      <c r="S296" s="10"/>
      <c r="AA296" s="11"/>
      <c r="AD296"/>
      <c r="AE296"/>
      <c r="AF296"/>
      <c r="AG296"/>
      <c r="AH296" s="46"/>
      <c r="AI296"/>
      <c r="AJ296"/>
      <c r="AK296"/>
      <c r="AL296"/>
      <c r="AM296"/>
      <c r="AN296"/>
      <c r="AO296"/>
      <c r="AP296"/>
      <c r="AQ296"/>
      <c r="AR296"/>
      <c r="AS296"/>
      <c r="AT296" s="14"/>
      <c r="AU296"/>
      <c r="AV296"/>
      <c r="AW296"/>
      <c r="AX296" s="10"/>
      <c r="AY296" s="20"/>
      <c r="AZ296" s="16"/>
      <c r="BA296"/>
      <c r="BB296"/>
      <c r="BC296" s="16"/>
      <c r="BD296"/>
      <c r="BE296"/>
      <c r="BF296"/>
      <c r="BG296"/>
      <c r="BH296"/>
      <c r="BI296"/>
      <c r="BJ296"/>
      <c r="BK296"/>
      <c r="BL296"/>
      <c r="BM296"/>
      <c r="BN296" s="19"/>
      <c r="BO296"/>
      <c r="BP296"/>
      <c r="BQ296"/>
      <c r="BR296"/>
      <c r="BS296"/>
      <c r="BT296"/>
      <c r="BU296"/>
      <c r="BV296"/>
      <c r="BW296"/>
      <c r="BX296"/>
      <c r="BY296"/>
      <c r="BZ296"/>
      <c r="CA296"/>
      <c r="CB296"/>
      <c r="CC296"/>
      <c r="CD296"/>
      <c r="CE296"/>
      <c r="CF296"/>
      <c r="CG296"/>
      <c r="CH296"/>
      <c r="CI296"/>
      <c r="CJ296"/>
      <c r="CK296"/>
      <c r="CL296"/>
      <c r="CM296" s="20"/>
      <c r="CN296" s="20"/>
      <c r="CO296" s="20"/>
      <c r="CP296" s="20"/>
      <c r="CQ296" s="20"/>
      <c r="CR296" s="20"/>
      <c r="CS296" s="20"/>
      <c r="CT296" s="20"/>
      <c r="CU296" s="20"/>
      <c r="CV296" s="20"/>
      <c r="CW296" s="20"/>
      <c r="CX296" s="20"/>
      <c r="CY296" s="20"/>
    </row>
    <row r="297" spans="1:103" s="6" customFormat="1">
      <c r="A297"/>
      <c r="B297"/>
      <c r="C297"/>
      <c r="D297"/>
      <c r="E297"/>
      <c r="F297"/>
      <c r="G297"/>
      <c r="H297"/>
      <c r="I297"/>
      <c r="J297"/>
      <c r="N297" s="7"/>
      <c r="O297"/>
      <c r="P297" s="10"/>
      <c r="Q297" s="9"/>
      <c r="R297" s="10"/>
      <c r="S297" s="10"/>
      <c r="AA297" s="11"/>
      <c r="AD297"/>
      <c r="AE297"/>
      <c r="AF297"/>
      <c r="AG297"/>
      <c r="AH297" s="46"/>
      <c r="AI297"/>
      <c r="AJ297"/>
      <c r="AK297"/>
      <c r="AL297"/>
      <c r="AM297"/>
      <c r="AN297"/>
      <c r="AO297"/>
      <c r="AP297"/>
      <c r="AQ297"/>
      <c r="AR297"/>
      <c r="AS297"/>
      <c r="AT297" s="14"/>
      <c r="AU297"/>
      <c r="AV297"/>
      <c r="AW297"/>
      <c r="AX297" s="10"/>
      <c r="AY297" s="20"/>
      <c r="AZ297" s="16"/>
      <c r="BA297"/>
      <c r="BB297"/>
      <c r="BC297" s="16"/>
      <c r="BD297"/>
      <c r="BE297"/>
      <c r="BF297"/>
      <c r="BG297"/>
      <c r="BH297"/>
      <c r="BI297"/>
      <c r="BJ297"/>
      <c r="BK297"/>
      <c r="BL297"/>
      <c r="BM297"/>
      <c r="BN297" s="19"/>
      <c r="BO297"/>
      <c r="BP297"/>
      <c r="BQ297"/>
      <c r="BR297"/>
      <c r="BS297"/>
      <c r="BT297"/>
      <c r="BU297"/>
      <c r="BV297"/>
      <c r="BW297"/>
      <c r="BX297"/>
      <c r="BY297"/>
      <c r="BZ297"/>
      <c r="CA297"/>
      <c r="CB297"/>
      <c r="CC297"/>
      <c r="CD297"/>
      <c r="CE297"/>
      <c r="CF297"/>
      <c r="CG297"/>
      <c r="CH297"/>
      <c r="CI297"/>
      <c r="CJ297"/>
      <c r="CK297"/>
      <c r="CL297"/>
      <c r="CM297" s="20"/>
      <c r="CN297" s="20"/>
      <c r="CO297" s="20"/>
      <c r="CP297" s="20"/>
      <c r="CQ297" s="20"/>
      <c r="CR297" s="20"/>
      <c r="CS297" s="20"/>
      <c r="CT297" s="20"/>
      <c r="CU297" s="20"/>
      <c r="CV297" s="20"/>
      <c r="CW297" s="20"/>
      <c r="CX297" s="20"/>
      <c r="CY297" s="20"/>
    </row>
    <row r="298" spans="1:103" s="6" customFormat="1">
      <c r="A298"/>
      <c r="B298"/>
      <c r="C298"/>
      <c r="D298"/>
      <c r="E298"/>
      <c r="F298"/>
      <c r="G298"/>
      <c r="H298"/>
      <c r="I298"/>
      <c r="J298"/>
      <c r="N298" s="7"/>
      <c r="O298"/>
      <c r="P298" s="10"/>
      <c r="Q298" s="9"/>
      <c r="R298" s="10"/>
      <c r="S298" s="10"/>
      <c r="AA298" s="11"/>
      <c r="AD298"/>
      <c r="AE298"/>
      <c r="AF298"/>
      <c r="AG298"/>
      <c r="AH298" s="46"/>
      <c r="AI298"/>
      <c r="AJ298"/>
      <c r="AK298"/>
      <c r="AL298"/>
      <c r="AM298"/>
      <c r="AN298"/>
      <c r="AO298"/>
      <c r="AP298"/>
      <c r="AQ298"/>
      <c r="AR298"/>
      <c r="AS298"/>
      <c r="AT298" s="14"/>
      <c r="AU298"/>
      <c r="AV298"/>
      <c r="AW298"/>
      <c r="AX298" s="10"/>
      <c r="AY298" s="20"/>
      <c r="AZ298" s="16"/>
      <c r="BA298"/>
      <c r="BB298"/>
      <c r="BC298" s="16"/>
      <c r="BD298"/>
      <c r="BE298"/>
      <c r="BF298"/>
      <c r="BG298"/>
      <c r="BH298"/>
      <c r="BI298"/>
      <c r="BJ298"/>
      <c r="BK298"/>
      <c r="BL298"/>
      <c r="BM298"/>
      <c r="BN298" s="19"/>
      <c r="BO298"/>
      <c r="BP298"/>
      <c r="BQ298"/>
      <c r="BR298"/>
      <c r="BS298"/>
      <c r="BT298"/>
      <c r="BU298"/>
      <c r="BV298"/>
      <c r="BW298"/>
      <c r="BX298"/>
      <c r="BY298"/>
      <c r="BZ298"/>
      <c r="CA298"/>
      <c r="CB298"/>
      <c r="CC298"/>
      <c r="CD298"/>
      <c r="CE298"/>
      <c r="CF298"/>
      <c r="CG298"/>
      <c r="CH298"/>
      <c r="CI298"/>
      <c r="CJ298"/>
      <c r="CK298"/>
      <c r="CL298"/>
      <c r="CM298" s="20"/>
      <c r="CN298" s="20"/>
      <c r="CO298" s="20"/>
      <c r="CP298" s="20"/>
      <c r="CQ298" s="20"/>
      <c r="CR298" s="20"/>
      <c r="CS298" s="20"/>
      <c r="CT298" s="20"/>
      <c r="CU298" s="20"/>
      <c r="CV298" s="20"/>
      <c r="CW298" s="20"/>
      <c r="CX298" s="20"/>
      <c r="CY298" s="20"/>
    </row>
    <row r="299" spans="1:103" s="6" customFormat="1">
      <c r="A299"/>
      <c r="B299"/>
      <c r="C299"/>
      <c r="D299"/>
      <c r="E299"/>
      <c r="F299"/>
      <c r="G299"/>
      <c r="H299"/>
      <c r="I299"/>
      <c r="J299"/>
      <c r="N299" s="7"/>
      <c r="O299"/>
      <c r="P299" s="10"/>
      <c r="Q299" s="9"/>
      <c r="R299" s="10"/>
      <c r="S299" s="10"/>
      <c r="AA299" s="11"/>
      <c r="AD299"/>
      <c r="AE299"/>
      <c r="AF299"/>
      <c r="AG299"/>
      <c r="AH299" s="46"/>
      <c r="AI299"/>
      <c r="AJ299"/>
      <c r="AK299"/>
      <c r="AL299"/>
      <c r="AM299"/>
      <c r="AN299"/>
      <c r="AO299"/>
      <c r="AP299"/>
      <c r="AQ299"/>
      <c r="AR299"/>
      <c r="AS299"/>
      <c r="AT299" s="14"/>
      <c r="AU299"/>
      <c r="AV299"/>
      <c r="AW299"/>
      <c r="AX299" s="10"/>
      <c r="AY299" s="20"/>
      <c r="AZ299" s="16"/>
      <c r="BA299"/>
      <c r="BB299"/>
      <c r="BC299" s="16"/>
      <c r="BD299"/>
      <c r="BE299"/>
      <c r="BF299"/>
      <c r="BG299"/>
      <c r="BH299"/>
      <c r="BI299"/>
      <c r="BJ299"/>
      <c r="BK299"/>
      <c r="BL299"/>
      <c r="BM299"/>
      <c r="BN299" s="19"/>
      <c r="BO299"/>
      <c r="BP299"/>
      <c r="BQ299"/>
      <c r="BR299"/>
      <c r="BS299"/>
      <c r="BT299"/>
      <c r="BU299"/>
      <c r="BV299"/>
      <c r="BW299"/>
      <c r="BX299"/>
      <c r="BY299"/>
      <c r="BZ299"/>
      <c r="CA299"/>
      <c r="CB299"/>
      <c r="CC299"/>
      <c r="CD299"/>
      <c r="CE299"/>
      <c r="CF299"/>
      <c r="CG299"/>
      <c r="CH299"/>
      <c r="CI299"/>
      <c r="CJ299"/>
      <c r="CK299"/>
      <c r="CL299"/>
      <c r="CM299" s="20"/>
      <c r="CN299" s="20"/>
      <c r="CO299" s="20"/>
      <c r="CP299" s="20"/>
      <c r="CQ299" s="20"/>
      <c r="CR299" s="20"/>
      <c r="CS299" s="20"/>
      <c r="CT299" s="20"/>
      <c r="CU299" s="20"/>
      <c r="CV299" s="20"/>
      <c r="CW299" s="20"/>
      <c r="CX299" s="20"/>
      <c r="CY299" s="20"/>
    </row>
    <row r="300" spans="1:103" s="6" customFormat="1">
      <c r="A300"/>
      <c r="B300"/>
      <c r="C300"/>
      <c r="D300"/>
      <c r="E300"/>
      <c r="F300"/>
      <c r="G300"/>
      <c r="H300"/>
      <c r="I300"/>
      <c r="J300"/>
      <c r="N300" s="7"/>
      <c r="O300"/>
      <c r="P300" s="10"/>
      <c r="Q300" s="9"/>
      <c r="R300" s="10"/>
      <c r="S300" s="10"/>
      <c r="AA300" s="11"/>
      <c r="AD300"/>
      <c r="AE300"/>
      <c r="AF300"/>
      <c r="AG300"/>
      <c r="AH300" s="46"/>
      <c r="AI300"/>
      <c r="AJ300"/>
      <c r="AK300"/>
      <c r="AL300"/>
      <c r="AM300"/>
      <c r="AN300"/>
      <c r="AO300"/>
      <c r="AP300"/>
      <c r="AQ300"/>
      <c r="AR300"/>
      <c r="AS300"/>
      <c r="AT300" s="14"/>
      <c r="AU300"/>
      <c r="AV300"/>
      <c r="AW300"/>
      <c r="AX300" s="10"/>
      <c r="AY300" s="20"/>
      <c r="AZ300" s="16"/>
      <c r="BA300"/>
      <c r="BB300"/>
      <c r="BC300" s="16"/>
      <c r="BD300"/>
      <c r="BE300"/>
      <c r="BF300"/>
      <c r="BG300"/>
      <c r="BH300"/>
      <c r="BI300"/>
      <c r="BJ300"/>
      <c r="BK300"/>
      <c r="BL300"/>
      <c r="BM300"/>
      <c r="BN300" s="19"/>
      <c r="BO300"/>
      <c r="BP300"/>
      <c r="BQ300"/>
      <c r="BR300"/>
      <c r="BS300"/>
      <c r="BT300"/>
      <c r="BU300"/>
      <c r="BV300"/>
      <c r="BW300"/>
      <c r="BX300"/>
      <c r="BY300"/>
      <c r="BZ300"/>
      <c r="CA300"/>
      <c r="CB300"/>
      <c r="CC300"/>
      <c r="CD300"/>
      <c r="CE300"/>
      <c r="CF300"/>
      <c r="CG300"/>
      <c r="CH300"/>
      <c r="CI300"/>
      <c r="CJ300"/>
      <c r="CK300"/>
      <c r="CL300"/>
      <c r="CM300" s="20"/>
      <c r="CN300" s="20"/>
      <c r="CO300" s="20"/>
      <c r="CP300" s="20"/>
      <c r="CQ300" s="20"/>
      <c r="CR300" s="20"/>
      <c r="CS300" s="20"/>
      <c r="CT300" s="20"/>
      <c r="CU300" s="20"/>
      <c r="CV300" s="20"/>
      <c r="CW300" s="20"/>
      <c r="CX300" s="20"/>
      <c r="CY300" s="20"/>
    </row>
    <row r="301" spans="1:103" s="6" customFormat="1">
      <c r="A301"/>
      <c r="B301"/>
      <c r="C301"/>
      <c r="D301"/>
      <c r="E301"/>
      <c r="F301"/>
      <c r="G301"/>
      <c r="H301"/>
      <c r="I301"/>
      <c r="J301"/>
      <c r="N301" s="7"/>
      <c r="O301"/>
      <c r="P301" s="10"/>
      <c r="Q301" s="9"/>
      <c r="R301" s="10"/>
      <c r="S301" s="10"/>
      <c r="AA301" s="11"/>
      <c r="AD301"/>
      <c r="AE301"/>
      <c r="AF301"/>
      <c r="AG301"/>
      <c r="AH301" s="46"/>
      <c r="AI301"/>
      <c r="AJ301"/>
      <c r="AK301"/>
      <c r="AL301"/>
      <c r="AM301"/>
      <c r="AN301"/>
      <c r="AO301"/>
      <c r="AP301"/>
      <c r="AQ301"/>
      <c r="AR301"/>
      <c r="AS301"/>
      <c r="AT301" s="14"/>
      <c r="AU301"/>
      <c r="AV301"/>
      <c r="AW301"/>
      <c r="AX301" s="10"/>
      <c r="AY301" s="20"/>
      <c r="AZ301" s="16"/>
      <c r="BA301"/>
      <c r="BB301"/>
      <c r="BC301" s="16"/>
      <c r="BD301"/>
      <c r="BE301"/>
      <c r="BF301"/>
      <c r="BG301"/>
      <c r="BH301"/>
      <c r="BI301"/>
      <c r="BJ301"/>
      <c r="BK301"/>
      <c r="BL301"/>
      <c r="BM301"/>
      <c r="BN301" s="19"/>
      <c r="BO301"/>
      <c r="BP301"/>
      <c r="BQ301"/>
      <c r="BR301"/>
      <c r="BS301"/>
      <c r="BT301"/>
      <c r="BU301"/>
      <c r="BV301"/>
      <c r="BW301"/>
      <c r="BX301"/>
      <c r="BY301"/>
      <c r="BZ301"/>
      <c r="CA301"/>
      <c r="CB301"/>
      <c r="CC301"/>
      <c r="CD301"/>
      <c r="CE301"/>
      <c r="CF301"/>
      <c r="CG301"/>
      <c r="CH301"/>
      <c r="CI301"/>
      <c r="CJ301"/>
      <c r="CK301"/>
      <c r="CL301"/>
      <c r="CM301" s="20"/>
      <c r="CN301" s="20"/>
      <c r="CO301" s="20"/>
      <c r="CP301" s="20"/>
      <c r="CQ301" s="20"/>
      <c r="CR301" s="20"/>
      <c r="CS301" s="20"/>
      <c r="CT301" s="20"/>
      <c r="CU301" s="20"/>
      <c r="CV301" s="20"/>
      <c r="CW301" s="20"/>
      <c r="CX301" s="20"/>
      <c r="CY301" s="20"/>
    </row>
    <row r="302" spans="1:103" s="6" customFormat="1">
      <c r="A302"/>
      <c r="B302"/>
      <c r="C302"/>
      <c r="D302"/>
      <c r="E302"/>
      <c r="F302"/>
      <c r="G302"/>
      <c r="H302"/>
      <c r="I302"/>
      <c r="J302"/>
      <c r="N302" s="7"/>
      <c r="O302"/>
      <c r="P302" s="10"/>
      <c r="Q302" s="9"/>
      <c r="R302" s="10"/>
      <c r="S302" s="10"/>
      <c r="AA302" s="11"/>
      <c r="AD302"/>
      <c r="AE302"/>
      <c r="AF302"/>
      <c r="AG302"/>
      <c r="AH302" s="46"/>
      <c r="AI302"/>
      <c r="AJ302"/>
      <c r="AK302"/>
      <c r="AL302"/>
      <c r="AM302"/>
      <c r="AN302"/>
      <c r="AO302"/>
      <c r="AP302"/>
      <c r="AQ302"/>
      <c r="AR302"/>
      <c r="AS302"/>
      <c r="AT302" s="14"/>
      <c r="AU302"/>
      <c r="AV302"/>
      <c r="AW302"/>
      <c r="AX302" s="10"/>
      <c r="AY302" s="20"/>
      <c r="AZ302" s="16"/>
      <c r="BA302"/>
      <c r="BB302"/>
      <c r="BC302" s="16"/>
      <c r="BD302"/>
      <c r="BE302"/>
      <c r="BF302"/>
      <c r="BG302"/>
      <c r="BH302"/>
      <c r="BI302"/>
      <c r="BJ302"/>
      <c r="BK302"/>
      <c r="BL302"/>
      <c r="BM302"/>
      <c r="BN302" s="19"/>
      <c r="BO302"/>
      <c r="BP302"/>
      <c r="BQ302"/>
      <c r="BR302"/>
      <c r="BS302"/>
      <c r="BT302"/>
      <c r="BU302"/>
      <c r="BV302"/>
      <c r="BW302"/>
      <c r="BX302"/>
      <c r="BY302"/>
      <c r="BZ302"/>
      <c r="CA302"/>
      <c r="CB302"/>
      <c r="CC302"/>
      <c r="CD302"/>
      <c r="CE302"/>
      <c r="CF302"/>
      <c r="CG302"/>
      <c r="CH302"/>
      <c r="CI302"/>
      <c r="CJ302"/>
      <c r="CK302"/>
      <c r="CL302"/>
      <c r="CM302" s="20"/>
      <c r="CN302" s="20"/>
      <c r="CO302" s="20"/>
      <c r="CP302" s="20"/>
      <c r="CQ302" s="20"/>
      <c r="CR302" s="20"/>
      <c r="CS302" s="20"/>
      <c r="CT302" s="20"/>
      <c r="CU302" s="20"/>
      <c r="CV302" s="20"/>
      <c r="CW302" s="20"/>
      <c r="CX302" s="20"/>
      <c r="CY302" s="20"/>
    </row>
    <row r="303" spans="1:103" s="6" customFormat="1">
      <c r="A303"/>
      <c r="B303"/>
      <c r="C303"/>
      <c r="D303"/>
      <c r="E303"/>
      <c r="F303"/>
      <c r="G303"/>
      <c r="H303"/>
      <c r="I303"/>
      <c r="J303"/>
      <c r="N303" s="7"/>
      <c r="O303"/>
      <c r="P303" s="10"/>
      <c r="Q303" s="9"/>
      <c r="R303" s="10"/>
      <c r="S303" s="10"/>
      <c r="AA303" s="11"/>
      <c r="AD303"/>
      <c r="AE303"/>
      <c r="AF303"/>
      <c r="AG303"/>
      <c r="AH303" s="46"/>
      <c r="AI303"/>
      <c r="AJ303"/>
      <c r="AK303"/>
      <c r="AL303"/>
      <c r="AM303"/>
      <c r="AN303"/>
      <c r="AO303"/>
      <c r="AP303"/>
      <c r="AQ303"/>
      <c r="AR303"/>
      <c r="AS303"/>
      <c r="AT303" s="14"/>
      <c r="AU303"/>
      <c r="AV303"/>
      <c r="AW303"/>
      <c r="AX303" s="10"/>
      <c r="AY303" s="20"/>
      <c r="AZ303" s="16"/>
      <c r="BA303"/>
      <c r="BB303"/>
      <c r="BC303" s="16"/>
      <c r="BD303"/>
      <c r="BE303"/>
      <c r="BF303"/>
      <c r="BG303"/>
      <c r="BH303"/>
      <c r="BI303"/>
      <c r="BJ303"/>
      <c r="BK303"/>
      <c r="BL303"/>
      <c r="BM303"/>
      <c r="BN303" s="19"/>
      <c r="BO303"/>
      <c r="BP303"/>
      <c r="BQ303"/>
      <c r="BR303"/>
      <c r="BS303"/>
      <c r="BT303"/>
      <c r="BU303"/>
      <c r="BV303"/>
      <c r="BW303"/>
      <c r="BX303"/>
      <c r="BY303"/>
      <c r="BZ303"/>
      <c r="CA303"/>
      <c r="CB303"/>
      <c r="CC303"/>
      <c r="CD303"/>
      <c r="CE303"/>
      <c r="CF303"/>
      <c r="CG303"/>
      <c r="CH303"/>
      <c r="CI303"/>
      <c r="CJ303"/>
      <c r="CK303"/>
      <c r="CL303"/>
      <c r="CM303" s="20"/>
      <c r="CN303" s="20"/>
      <c r="CO303" s="20"/>
      <c r="CP303" s="20"/>
      <c r="CQ303" s="20"/>
      <c r="CR303" s="20"/>
      <c r="CS303" s="20"/>
      <c r="CT303" s="20"/>
      <c r="CU303" s="20"/>
      <c r="CV303" s="20"/>
      <c r="CW303" s="20"/>
      <c r="CX303" s="20"/>
      <c r="CY303" s="20"/>
    </row>
    <row r="304" spans="1:103" s="6" customFormat="1">
      <c r="A304"/>
      <c r="B304"/>
      <c r="C304"/>
      <c r="D304"/>
      <c r="E304"/>
      <c r="F304"/>
      <c r="G304"/>
      <c r="H304"/>
      <c r="I304"/>
      <c r="J304"/>
      <c r="N304" s="7"/>
      <c r="O304"/>
      <c r="P304" s="10"/>
      <c r="Q304" s="9"/>
      <c r="R304" s="10"/>
      <c r="S304" s="10"/>
      <c r="AA304" s="11"/>
      <c r="AD304"/>
      <c r="AE304"/>
      <c r="AF304"/>
      <c r="AG304"/>
      <c r="AH304" s="46"/>
      <c r="AI304"/>
      <c r="AJ304"/>
      <c r="AK304"/>
      <c r="AL304"/>
      <c r="AM304"/>
      <c r="AN304"/>
      <c r="AO304"/>
      <c r="AP304"/>
      <c r="AQ304"/>
      <c r="AR304"/>
      <c r="AS304"/>
      <c r="AT304" s="14"/>
      <c r="AU304"/>
      <c r="AV304"/>
      <c r="AW304"/>
      <c r="AX304" s="10"/>
      <c r="AY304" s="20"/>
      <c r="AZ304" s="16"/>
      <c r="BA304"/>
      <c r="BB304"/>
      <c r="BC304" s="16"/>
      <c r="BD304"/>
      <c r="BE304"/>
      <c r="BF304"/>
      <c r="BG304"/>
      <c r="BH304"/>
      <c r="BI304"/>
      <c r="BJ304"/>
      <c r="BK304"/>
      <c r="BL304"/>
      <c r="BM304"/>
      <c r="BN304" s="19"/>
      <c r="BO304"/>
      <c r="BP304"/>
      <c r="BQ304"/>
      <c r="BR304"/>
      <c r="BS304"/>
      <c r="BT304"/>
      <c r="BU304"/>
      <c r="BV304"/>
      <c r="BW304"/>
      <c r="BX304"/>
      <c r="BY304"/>
      <c r="BZ304"/>
      <c r="CA304"/>
      <c r="CB304"/>
      <c r="CC304"/>
      <c r="CD304"/>
      <c r="CE304"/>
      <c r="CF304"/>
      <c r="CG304"/>
      <c r="CH304"/>
      <c r="CI304"/>
      <c r="CJ304"/>
      <c r="CK304"/>
      <c r="CL304"/>
      <c r="CM304" s="20"/>
      <c r="CN304" s="20"/>
      <c r="CO304" s="20"/>
      <c r="CP304" s="20"/>
      <c r="CQ304" s="20"/>
      <c r="CR304" s="20"/>
      <c r="CS304" s="20"/>
      <c r="CT304" s="20"/>
      <c r="CU304" s="20"/>
      <c r="CV304" s="20"/>
      <c r="CW304" s="20"/>
      <c r="CX304" s="20"/>
      <c r="CY304" s="20"/>
    </row>
    <row r="305" spans="1:103" s="6" customFormat="1">
      <c r="A305"/>
      <c r="B305"/>
      <c r="C305"/>
      <c r="D305"/>
      <c r="E305"/>
      <c r="F305"/>
      <c r="G305"/>
      <c r="H305"/>
      <c r="I305"/>
      <c r="J305"/>
      <c r="N305" s="7"/>
      <c r="O305"/>
      <c r="P305" s="10"/>
      <c r="Q305" s="9"/>
      <c r="R305" s="10"/>
      <c r="S305" s="10"/>
      <c r="AA305" s="11"/>
      <c r="AD305"/>
      <c r="AE305"/>
      <c r="AF305"/>
      <c r="AG305"/>
      <c r="AH305" s="46"/>
      <c r="AI305"/>
      <c r="AJ305"/>
      <c r="AK305"/>
      <c r="AL305"/>
      <c r="AM305"/>
      <c r="AN305"/>
      <c r="AO305"/>
      <c r="AP305"/>
      <c r="AQ305"/>
      <c r="AR305"/>
      <c r="AS305"/>
      <c r="AT305" s="14"/>
      <c r="AU305"/>
      <c r="AV305"/>
      <c r="AW305"/>
      <c r="AX305" s="10"/>
      <c r="AY305" s="20"/>
      <c r="AZ305" s="16"/>
      <c r="BA305"/>
      <c r="BB305"/>
      <c r="BC305" s="16"/>
      <c r="BD305"/>
      <c r="BE305"/>
      <c r="BF305"/>
      <c r="BG305"/>
      <c r="BH305"/>
      <c r="BI305"/>
      <c r="BJ305"/>
      <c r="BK305"/>
      <c r="BL305"/>
      <c r="BM305"/>
      <c r="BN305" s="19"/>
      <c r="BO305"/>
      <c r="BP305"/>
      <c r="BQ305"/>
      <c r="BR305"/>
      <c r="BS305"/>
      <c r="BT305"/>
      <c r="BU305"/>
      <c r="BV305"/>
      <c r="BW305"/>
      <c r="BX305"/>
      <c r="BY305"/>
      <c r="BZ305"/>
      <c r="CA305"/>
      <c r="CB305"/>
      <c r="CC305"/>
      <c r="CD305"/>
      <c r="CE305"/>
      <c r="CF305"/>
      <c r="CG305"/>
      <c r="CH305"/>
      <c r="CI305"/>
      <c r="CJ305"/>
      <c r="CK305"/>
      <c r="CL305"/>
      <c r="CM305" s="20"/>
      <c r="CN305" s="20"/>
      <c r="CO305" s="20"/>
      <c r="CP305" s="20"/>
      <c r="CQ305" s="20"/>
      <c r="CR305" s="20"/>
      <c r="CS305" s="20"/>
      <c r="CT305" s="20"/>
      <c r="CU305" s="20"/>
      <c r="CV305" s="20"/>
      <c r="CW305" s="20"/>
      <c r="CX305" s="20"/>
      <c r="CY305" s="20"/>
    </row>
    <row r="306" spans="1:103" s="6" customFormat="1">
      <c r="A306"/>
      <c r="B306"/>
      <c r="C306"/>
      <c r="D306"/>
      <c r="E306"/>
      <c r="F306"/>
      <c r="G306"/>
      <c r="H306"/>
      <c r="I306"/>
      <c r="J306"/>
      <c r="N306" s="7"/>
      <c r="O306"/>
      <c r="P306" s="10"/>
      <c r="Q306" s="9"/>
      <c r="R306" s="10"/>
      <c r="S306" s="10"/>
      <c r="AA306" s="11"/>
      <c r="AD306"/>
      <c r="AE306"/>
      <c r="AF306"/>
      <c r="AG306"/>
      <c r="AH306" s="46"/>
      <c r="AI306"/>
      <c r="AJ306"/>
      <c r="AK306"/>
      <c r="AL306"/>
      <c r="AM306"/>
      <c r="AN306"/>
      <c r="AO306"/>
      <c r="AP306"/>
      <c r="AQ306"/>
      <c r="AR306"/>
      <c r="AS306"/>
      <c r="AT306" s="14"/>
      <c r="AU306"/>
      <c r="AV306"/>
      <c r="AW306"/>
      <c r="AX306" s="10"/>
      <c r="AY306" s="20"/>
      <c r="AZ306" s="16"/>
      <c r="BA306"/>
      <c r="BB306"/>
      <c r="BC306" s="16"/>
      <c r="BD306"/>
      <c r="BE306"/>
      <c r="BF306"/>
      <c r="BG306"/>
      <c r="BH306"/>
      <c r="BI306"/>
      <c r="BJ306"/>
      <c r="BK306"/>
      <c r="BL306"/>
      <c r="BM306"/>
      <c r="BN306" s="19"/>
      <c r="BO306"/>
      <c r="BP306"/>
      <c r="BQ306"/>
      <c r="BR306"/>
      <c r="BS306"/>
      <c r="BT306"/>
      <c r="BU306"/>
      <c r="BV306"/>
      <c r="BW306"/>
      <c r="BX306"/>
      <c r="BY306"/>
      <c r="BZ306"/>
      <c r="CA306"/>
      <c r="CB306"/>
      <c r="CC306"/>
      <c r="CD306"/>
      <c r="CE306"/>
      <c r="CF306"/>
      <c r="CG306"/>
      <c r="CH306"/>
      <c r="CI306"/>
      <c r="CJ306"/>
      <c r="CK306"/>
      <c r="CL306"/>
      <c r="CM306" s="20"/>
      <c r="CN306" s="20"/>
      <c r="CO306" s="20"/>
      <c r="CP306" s="20"/>
      <c r="CQ306" s="20"/>
      <c r="CR306" s="20"/>
      <c r="CS306" s="20"/>
      <c r="CT306" s="20"/>
      <c r="CU306" s="20"/>
      <c r="CV306" s="20"/>
      <c r="CW306" s="20"/>
      <c r="CX306" s="20"/>
      <c r="CY306" s="20"/>
    </row>
    <row r="307" spans="1:103" s="6" customFormat="1">
      <c r="A307"/>
      <c r="B307"/>
      <c r="C307"/>
      <c r="D307"/>
      <c r="E307"/>
      <c r="F307"/>
      <c r="G307"/>
      <c r="H307"/>
      <c r="I307"/>
      <c r="J307"/>
      <c r="N307" s="7"/>
      <c r="O307"/>
      <c r="P307" s="10"/>
      <c r="Q307" s="9"/>
      <c r="R307" s="10"/>
      <c r="S307" s="10"/>
      <c r="AA307" s="11"/>
      <c r="AD307"/>
      <c r="AE307"/>
      <c r="AF307"/>
      <c r="AG307"/>
      <c r="AH307" s="46"/>
      <c r="AI307"/>
      <c r="AJ307"/>
      <c r="AK307"/>
      <c r="AL307"/>
      <c r="AM307"/>
      <c r="AN307"/>
      <c r="AO307"/>
      <c r="AP307"/>
      <c r="AQ307"/>
      <c r="AR307"/>
      <c r="AS307"/>
      <c r="AT307" s="14"/>
      <c r="AU307"/>
      <c r="AV307"/>
      <c r="AW307"/>
      <c r="AX307" s="10"/>
      <c r="AY307" s="20"/>
      <c r="AZ307" s="16"/>
      <c r="BA307"/>
      <c r="BB307"/>
      <c r="BC307" s="16"/>
      <c r="BD307"/>
      <c r="BE307"/>
      <c r="BF307"/>
      <c r="BG307"/>
      <c r="BH307"/>
      <c r="BI307"/>
      <c r="BJ307"/>
      <c r="BK307"/>
      <c r="BL307"/>
      <c r="BM307"/>
      <c r="BN307" s="19"/>
      <c r="BO307"/>
      <c r="BP307"/>
      <c r="BQ307"/>
      <c r="BR307"/>
      <c r="BS307"/>
      <c r="BT307"/>
      <c r="BU307"/>
      <c r="BV307"/>
      <c r="BW307"/>
      <c r="BX307"/>
      <c r="BY307"/>
      <c r="BZ307"/>
      <c r="CA307"/>
      <c r="CB307"/>
      <c r="CC307"/>
      <c r="CD307"/>
      <c r="CE307"/>
      <c r="CF307"/>
      <c r="CG307"/>
      <c r="CH307"/>
      <c r="CI307"/>
      <c r="CJ307"/>
      <c r="CK307"/>
      <c r="CL307"/>
      <c r="CM307" s="20"/>
      <c r="CN307" s="20"/>
      <c r="CO307" s="20"/>
      <c r="CP307" s="20"/>
      <c r="CQ307" s="20"/>
      <c r="CR307" s="20"/>
      <c r="CS307" s="20"/>
      <c r="CT307" s="20"/>
      <c r="CU307" s="20"/>
      <c r="CV307" s="20"/>
      <c r="CW307" s="20"/>
      <c r="CX307" s="20"/>
      <c r="CY307" s="20"/>
    </row>
    <row r="308" spans="1:103" s="6" customFormat="1">
      <c r="A308"/>
      <c r="B308"/>
      <c r="C308"/>
      <c r="D308"/>
      <c r="E308"/>
      <c r="F308"/>
      <c r="G308"/>
      <c r="H308"/>
      <c r="I308"/>
      <c r="J308"/>
      <c r="N308" s="7"/>
      <c r="O308"/>
      <c r="P308" s="10"/>
      <c r="Q308" s="9"/>
      <c r="R308" s="10"/>
      <c r="S308" s="10"/>
      <c r="AA308" s="11"/>
      <c r="AD308"/>
      <c r="AE308"/>
      <c r="AF308"/>
      <c r="AG308"/>
      <c r="AH308" s="46"/>
      <c r="AI308"/>
      <c r="AJ308"/>
      <c r="AK308"/>
      <c r="AL308"/>
      <c r="AM308"/>
      <c r="AN308"/>
      <c r="AO308"/>
      <c r="AP308"/>
      <c r="AQ308"/>
      <c r="AR308"/>
      <c r="AS308"/>
      <c r="AT308" s="14"/>
      <c r="AU308"/>
      <c r="AV308"/>
      <c r="AW308"/>
      <c r="AX308" s="10"/>
      <c r="AY308" s="20"/>
      <c r="AZ308" s="16"/>
      <c r="BA308"/>
      <c r="BB308"/>
      <c r="BC308" s="16"/>
      <c r="BD308"/>
      <c r="BE308"/>
      <c r="BF308"/>
      <c r="BG308"/>
      <c r="BH308"/>
      <c r="BI308"/>
      <c r="BJ308"/>
      <c r="BK308"/>
      <c r="BL308"/>
      <c r="BM308"/>
      <c r="BN308" s="19"/>
      <c r="BO308"/>
      <c r="BP308"/>
      <c r="BQ308"/>
      <c r="BR308"/>
      <c r="BS308"/>
      <c r="BT308"/>
      <c r="BU308"/>
      <c r="BV308"/>
      <c r="BW308"/>
      <c r="BX308"/>
      <c r="BY308"/>
      <c r="BZ308"/>
      <c r="CA308"/>
      <c r="CB308"/>
      <c r="CC308"/>
      <c r="CD308"/>
      <c r="CE308"/>
      <c r="CF308"/>
      <c r="CG308"/>
      <c r="CH308"/>
      <c r="CI308"/>
      <c r="CJ308"/>
      <c r="CK308"/>
      <c r="CL308"/>
      <c r="CM308" s="20"/>
      <c r="CN308" s="20"/>
      <c r="CO308" s="20"/>
      <c r="CP308" s="20"/>
      <c r="CQ308" s="20"/>
      <c r="CR308" s="20"/>
      <c r="CS308" s="20"/>
      <c r="CT308" s="20"/>
      <c r="CU308" s="20"/>
      <c r="CV308" s="20"/>
      <c r="CW308" s="20"/>
      <c r="CX308" s="20"/>
      <c r="CY308" s="20"/>
    </row>
    <row r="309" spans="1:103" s="6" customFormat="1">
      <c r="A309"/>
      <c r="B309"/>
      <c r="C309"/>
      <c r="D309"/>
      <c r="E309"/>
      <c r="F309"/>
      <c r="G309"/>
      <c r="H309"/>
      <c r="I309"/>
      <c r="J309"/>
      <c r="N309" s="7"/>
      <c r="O309"/>
      <c r="P309" s="10"/>
      <c r="Q309" s="9"/>
      <c r="R309" s="10"/>
      <c r="S309" s="10"/>
      <c r="AA309" s="11"/>
      <c r="AD309"/>
      <c r="AE309"/>
      <c r="AF309"/>
      <c r="AG309"/>
      <c r="AH309" s="46"/>
      <c r="AI309"/>
      <c r="AJ309"/>
      <c r="AK309"/>
      <c r="AL309"/>
      <c r="AM309"/>
      <c r="AN309"/>
      <c r="AO309"/>
      <c r="AP309"/>
      <c r="AQ309"/>
      <c r="AR309"/>
      <c r="AS309"/>
      <c r="AT309" s="14"/>
      <c r="AU309"/>
      <c r="AV309"/>
      <c r="AW309"/>
      <c r="AX309" s="10"/>
      <c r="AY309" s="20"/>
      <c r="AZ309" s="16"/>
      <c r="BA309"/>
      <c r="BB309"/>
      <c r="BC309" s="16"/>
      <c r="BD309"/>
      <c r="BE309"/>
      <c r="BF309"/>
      <c r="BG309"/>
      <c r="BH309"/>
      <c r="BI309"/>
      <c r="BJ309"/>
      <c r="BK309"/>
      <c r="BL309"/>
      <c r="BM309"/>
      <c r="BN309" s="19"/>
      <c r="BO309"/>
      <c r="BP309"/>
      <c r="BQ309"/>
      <c r="BR309"/>
      <c r="BS309"/>
      <c r="BT309"/>
      <c r="BU309"/>
      <c r="BV309"/>
      <c r="BW309"/>
      <c r="BX309"/>
      <c r="BY309"/>
      <c r="BZ309"/>
      <c r="CA309"/>
      <c r="CB309"/>
      <c r="CC309"/>
      <c r="CD309"/>
      <c r="CE309"/>
      <c r="CF309"/>
      <c r="CG309"/>
      <c r="CH309"/>
      <c r="CI309"/>
      <c r="CJ309"/>
      <c r="CK309"/>
      <c r="CL309"/>
      <c r="CM309" s="20"/>
      <c r="CN309" s="20"/>
      <c r="CO309" s="20"/>
      <c r="CP309" s="20"/>
      <c r="CQ309" s="20"/>
      <c r="CR309" s="20"/>
      <c r="CS309" s="20"/>
      <c r="CT309" s="20"/>
      <c r="CU309" s="20"/>
      <c r="CV309" s="20"/>
      <c r="CW309" s="20"/>
      <c r="CX309" s="20"/>
      <c r="CY309" s="20"/>
    </row>
    <row r="310" spans="1:103" s="6" customFormat="1">
      <c r="A310"/>
      <c r="B310"/>
      <c r="C310"/>
      <c r="D310"/>
      <c r="E310"/>
      <c r="F310"/>
      <c r="G310"/>
      <c r="H310"/>
      <c r="I310"/>
      <c r="J310"/>
      <c r="N310" s="7"/>
      <c r="O310"/>
      <c r="P310" s="10"/>
      <c r="Q310" s="9"/>
      <c r="R310" s="10"/>
      <c r="S310" s="10"/>
      <c r="AA310" s="11"/>
      <c r="AD310"/>
      <c r="AE310"/>
      <c r="AF310"/>
      <c r="AG310"/>
      <c r="AH310" s="46"/>
      <c r="AI310"/>
      <c r="AJ310"/>
      <c r="AK310"/>
      <c r="AL310"/>
      <c r="AM310"/>
      <c r="AN310"/>
      <c r="AO310"/>
      <c r="AP310"/>
      <c r="AQ310"/>
      <c r="AR310"/>
      <c r="AS310"/>
      <c r="AT310" s="14"/>
      <c r="AU310"/>
      <c r="AV310"/>
      <c r="AW310"/>
      <c r="AX310" s="10"/>
      <c r="AY310" s="20"/>
      <c r="AZ310" s="16"/>
      <c r="BA310"/>
      <c r="BB310"/>
      <c r="BC310" s="16"/>
      <c r="BD310"/>
      <c r="BE310"/>
      <c r="BF310"/>
      <c r="BG310"/>
      <c r="BH310"/>
      <c r="BI310"/>
      <c r="BJ310"/>
      <c r="BK310"/>
      <c r="BL310"/>
      <c r="BM310"/>
      <c r="BN310" s="19"/>
      <c r="BO310"/>
      <c r="BP310"/>
      <c r="BQ310"/>
      <c r="BR310"/>
      <c r="BS310"/>
      <c r="BT310"/>
      <c r="BU310"/>
      <c r="BV310"/>
      <c r="BW310"/>
      <c r="BX310"/>
      <c r="BY310"/>
      <c r="BZ310"/>
      <c r="CA310"/>
      <c r="CB310"/>
      <c r="CC310"/>
      <c r="CD310"/>
      <c r="CE310"/>
      <c r="CF310"/>
      <c r="CG310"/>
      <c r="CH310"/>
      <c r="CI310"/>
      <c r="CJ310"/>
      <c r="CK310"/>
      <c r="CL310"/>
      <c r="CM310" s="20"/>
      <c r="CN310" s="20"/>
      <c r="CO310" s="20"/>
      <c r="CP310" s="20"/>
      <c r="CQ310" s="20"/>
      <c r="CR310" s="20"/>
      <c r="CS310" s="20"/>
      <c r="CT310" s="20"/>
      <c r="CU310" s="20"/>
      <c r="CV310" s="20"/>
      <c r="CW310" s="20"/>
      <c r="CX310" s="20"/>
      <c r="CY310" s="20"/>
    </row>
    <row r="311" spans="1:103" s="6" customFormat="1">
      <c r="A311"/>
      <c r="B311"/>
      <c r="C311"/>
      <c r="D311"/>
      <c r="E311"/>
      <c r="F311"/>
      <c r="G311"/>
      <c r="H311"/>
      <c r="I311"/>
      <c r="J311"/>
      <c r="N311" s="7"/>
      <c r="O311"/>
      <c r="P311" s="10"/>
      <c r="Q311" s="9"/>
      <c r="R311" s="10"/>
      <c r="S311" s="10"/>
      <c r="AA311" s="11"/>
      <c r="AD311"/>
      <c r="AE311"/>
      <c r="AF311"/>
      <c r="AG311"/>
      <c r="AH311" s="46"/>
      <c r="AI311"/>
      <c r="AJ311"/>
      <c r="AK311"/>
      <c r="AL311"/>
      <c r="AM311"/>
      <c r="AN311"/>
      <c r="AO311"/>
      <c r="AP311"/>
      <c r="AQ311"/>
      <c r="AR311"/>
      <c r="AS311"/>
      <c r="AT311" s="14"/>
      <c r="AU311"/>
      <c r="AV311"/>
      <c r="AW311"/>
      <c r="AX311" s="10"/>
      <c r="AY311" s="20"/>
      <c r="AZ311" s="16"/>
      <c r="BA311"/>
      <c r="BB311"/>
      <c r="BC311" s="16"/>
      <c r="BD311"/>
      <c r="BE311"/>
      <c r="BF311"/>
      <c r="BG311"/>
      <c r="BH311"/>
      <c r="BI311"/>
      <c r="BJ311"/>
      <c r="BK311"/>
      <c r="BL311"/>
      <c r="BM311"/>
      <c r="BN311" s="19"/>
      <c r="BO311"/>
      <c r="BP311"/>
      <c r="BQ311"/>
      <c r="BR311"/>
      <c r="BS311"/>
      <c r="BT311"/>
      <c r="BU311"/>
      <c r="BV311"/>
      <c r="BW311"/>
      <c r="BX311"/>
      <c r="BY311"/>
      <c r="BZ311"/>
      <c r="CA311"/>
      <c r="CB311"/>
      <c r="CC311"/>
      <c r="CD311"/>
      <c r="CE311"/>
      <c r="CF311"/>
      <c r="CG311"/>
      <c r="CH311"/>
      <c r="CI311"/>
      <c r="CJ311"/>
      <c r="CK311"/>
      <c r="CL311"/>
      <c r="CM311" s="20"/>
      <c r="CN311" s="20"/>
      <c r="CO311" s="20"/>
      <c r="CP311" s="20"/>
      <c r="CQ311" s="20"/>
      <c r="CR311" s="20"/>
      <c r="CS311" s="20"/>
      <c r="CT311" s="20"/>
      <c r="CU311" s="20"/>
      <c r="CV311" s="20"/>
      <c r="CW311" s="20"/>
      <c r="CX311" s="20"/>
      <c r="CY311" s="20"/>
    </row>
    <row r="312" spans="1:103" s="6" customFormat="1">
      <c r="A312"/>
      <c r="B312"/>
      <c r="C312"/>
      <c r="D312"/>
      <c r="E312"/>
      <c r="F312"/>
      <c r="G312"/>
      <c r="H312"/>
      <c r="I312"/>
      <c r="J312"/>
      <c r="N312" s="7"/>
      <c r="O312"/>
      <c r="P312" s="10"/>
      <c r="Q312" s="9"/>
      <c r="R312" s="10"/>
      <c r="S312" s="10"/>
      <c r="AA312" s="11"/>
      <c r="AD312"/>
      <c r="AE312"/>
      <c r="AF312"/>
      <c r="AG312"/>
      <c r="AH312" s="46"/>
      <c r="AI312"/>
      <c r="AJ312"/>
      <c r="AK312"/>
      <c r="AL312"/>
      <c r="AM312"/>
      <c r="AN312"/>
      <c r="AO312"/>
      <c r="AP312"/>
      <c r="AQ312"/>
      <c r="AR312"/>
      <c r="AS312"/>
      <c r="AT312" s="14"/>
      <c r="AU312"/>
      <c r="AV312"/>
      <c r="AW312"/>
      <c r="AX312" s="10"/>
      <c r="AY312" s="20"/>
      <c r="AZ312" s="16"/>
      <c r="BA312"/>
      <c r="BB312"/>
      <c r="BC312" s="16"/>
      <c r="BD312"/>
      <c r="BE312"/>
      <c r="BF312"/>
      <c r="BG312"/>
      <c r="BH312"/>
      <c r="BI312"/>
      <c r="BJ312"/>
      <c r="BK312"/>
      <c r="BL312"/>
      <c r="BM312"/>
      <c r="BN312" s="19"/>
      <c r="BO312"/>
      <c r="BP312"/>
      <c r="BQ312"/>
      <c r="BR312"/>
      <c r="BS312"/>
      <c r="BT312"/>
      <c r="BU312"/>
      <c r="BV312"/>
      <c r="BW312"/>
      <c r="BX312"/>
      <c r="BY312"/>
      <c r="BZ312"/>
      <c r="CA312"/>
      <c r="CB312"/>
      <c r="CC312"/>
      <c r="CD312"/>
      <c r="CE312"/>
      <c r="CF312"/>
      <c r="CG312"/>
      <c r="CH312"/>
      <c r="CI312"/>
      <c r="CJ312"/>
      <c r="CK312"/>
      <c r="CL312"/>
      <c r="CM312" s="20"/>
      <c r="CN312" s="20"/>
      <c r="CO312" s="20"/>
      <c r="CP312" s="20"/>
      <c r="CQ312" s="20"/>
      <c r="CR312" s="20"/>
      <c r="CS312" s="20"/>
      <c r="CT312" s="20"/>
      <c r="CU312" s="20"/>
      <c r="CV312" s="20"/>
      <c r="CW312" s="20"/>
      <c r="CX312" s="20"/>
      <c r="CY312" s="20"/>
    </row>
    <row r="313" spans="1:103" s="6" customFormat="1">
      <c r="A313"/>
      <c r="B313"/>
      <c r="C313"/>
      <c r="D313"/>
      <c r="E313"/>
      <c r="F313"/>
      <c r="G313"/>
      <c r="H313"/>
      <c r="I313"/>
      <c r="J313"/>
      <c r="N313" s="7"/>
      <c r="O313"/>
      <c r="P313" s="10"/>
      <c r="Q313" s="9"/>
      <c r="R313" s="10"/>
      <c r="S313" s="10"/>
      <c r="AA313" s="11"/>
      <c r="AD313"/>
      <c r="AE313"/>
      <c r="AF313"/>
      <c r="AG313"/>
      <c r="AH313" s="46"/>
      <c r="AI313"/>
      <c r="AJ313"/>
      <c r="AK313"/>
      <c r="AL313"/>
      <c r="AM313"/>
      <c r="AN313"/>
      <c r="AO313"/>
      <c r="AP313"/>
      <c r="AQ313"/>
      <c r="AR313"/>
      <c r="AS313"/>
      <c r="AT313" s="14"/>
      <c r="AU313"/>
      <c r="AV313"/>
      <c r="AW313"/>
      <c r="AX313" s="10"/>
      <c r="AY313" s="20"/>
      <c r="AZ313" s="16"/>
      <c r="BA313"/>
      <c r="BB313"/>
      <c r="BC313" s="16"/>
      <c r="BD313"/>
      <c r="BE313"/>
      <c r="BF313"/>
      <c r="BG313"/>
      <c r="BH313"/>
      <c r="BI313"/>
      <c r="BJ313"/>
      <c r="BK313"/>
      <c r="BL313"/>
      <c r="BM313"/>
      <c r="BN313" s="19"/>
      <c r="BO313"/>
      <c r="BP313"/>
      <c r="BQ313"/>
      <c r="BR313"/>
      <c r="BS313"/>
      <c r="BT313"/>
      <c r="BU313"/>
      <c r="BV313"/>
      <c r="BW313"/>
      <c r="BX313"/>
      <c r="BY313"/>
      <c r="BZ313"/>
      <c r="CA313"/>
      <c r="CB313"/>
      <c r="CC313"/>
      <c r="CD313"/>
      <c r="CE313"/>
      <c r="CF313"/>
      <c r="CG313"/>
      <c r="CH313"/>
      <c r="CI313"/>
      <c r="CJ313"/>
      <c r="CK313"/>
      <c r="CL313"/>
      <c r="CM313" s="20"/>
      <c r="CN313" s="20"/>
      <c r="CO313" s="20"/>
      <c r="CP313" s="20"/>
      <c r="CQ313" s="20"/>
      <c r="CR313" s="20"/>
      <c r="CS313" s="20"/>
      <c r="CT313" s="20"/>
      <c r="CU313" s="20"/>
      <c r="CV313" s="20"/>
      <c r="CW313" s="20"/>
      <c r="CX313" s="20"/>
      <c r="CY313" s="20"/>
    </row>
    <row r="314" spans="1:103" s="6" customFormat="1">
      <c r="A314"/>
      <c r="B314"/>
      <c r="C314"/>
      <c r="D314"/>
      <c r="E314"/>
      <c r="F314"/>
      <c r="G314"/>
      <c r="H314"/>
      <c r="I314"/>
      <c r="J314"/>
      <c r="N314" s="7"/>
      <c r="O314"/>
      <c r="P314" s="10"/>
      <c r="Q314" s="9"/>
      <c r="R314" s="10"/>
      <c r="S314" s="10"/>
      <c r="AA314" s="11"/>
      <c r="AD314"/>
      <c r="AE314"/>
      <c r="AF314"/>
      <c r="AG314"/>
      <c r="AH314" s="46"/>
      <c r="AI314"/>
      <c r="AJ314"/>
      <c r="AK314"/>
      <c r="AL314"/>
      <c r="AM314"/>
      <c r="AN314"/>
      <c r="AO314"/>
      <c r="AP314"/>
      <c r="AQ314"/>
      <c r="AR314"/>
      <c r="AS314"/>
      <c r="AT314" s="14"/>
      <c r="AU314"/>
      <c r="AV314"/>
      <c r="AW314"/>
      <c r="AX314" s="10"/>
      <c r="AY314" s="20"/>
      <c r="AZ314" s="16"/>
      <c r="BA314"/>
      <c r="BB314"/>
      <c r="BC314" s="16"/>
      <c r="BD314"/>
      <c r="BE314"/>
      <c r="BF314"/>
      <c r="BG314"/>
      <c r="BH314"/>
      <c r="BI314"/>
      <c r="BJ314"/>
      <c r="BK314"/>
      <c r="BL314"/>
      <c r="BM314"/>
      <c r="BN314" s="19"/>
      <c r="BO314"/>
      <c r="BP314"/>
      <c r="BQ314"/>
      <c r="BR314"/>
      <c r="BS314"/>
      <c r="BT314"/>
      <c r="BU314"/>
      <c r="BV314"/>
      <c r="BW314"/>
      <c r="BX314"/>
      <c r="BY314"/>
      <c r="BZ314"/>
      <c r="CA314"/>
      <c r="CB314"/>
      <c r="CC314"/>
      <c r="CD314"/>
      <c r="CE314"/>
      <c r="CF314"/>
      <c r="CG314"/>
      <c r="CH314"/>
      <c r="CI314"/>
      <c r="CJ314"/>
      <c r="CK314"/>
      <c r="CL314"/>
      <c r="CM314" s="20"/>
      <c r="CN314" s="20"/>
      <c r="CO314" s="20"/>
      <c r="CP314" s="20"/>
      <c r="CQ314" s="20"/>
      <c r="CR314" s="20"/>
      <c r="CS314" s="20"/>
      <c r="CT314" s="20"/>
      <c r="CU314" s="20"/>
      <c r="CV314" s="20"/>
      <c r="CW314" s="20"/>
      <c r="CX314" s="20"/>
      <c r="CY314" s="20"/>
    </row>
    <row r="315" spans="1:103" s="6" customFormat="1">
      <c r="A315"/>
      <c r="B315"/>
      <c r="C315"/>
      <c r="D315"/>
      <c r="E315"/>
      <c r="F315"/>
      <c r="G315"/>
      <c r="H315"/>
      <c r="I315"/>
      <c r="J315"/>
      <c r="N315" s="7"/>
      <c r="O315"/>
      <c r="P315" s="10"/>
      <c r="Q315" s="9"/>
      <c r="R315" s="10"/>
      <c r="S315" s="10"/>
      <c r="AA315" s="11"/>
      <c r="AD315"/>
      <c r="AE315"/>
      <c r="AF315"/>
      <c r="AG315"/>
      <c r="AH315" s="46"/>
      <c r="AI315"/>
      <c r="AJ315"/>
      <c r="AK315"/>
      <c r="AL315"/>
      <c r="AM315"/>
      <c r="AN315"/>
      <c r="AO315"/>
      <c r="AP315"/>
      <c r="AQ315"/>
      <c r="AR315"/>
      <c r="AS315"/>
      <c r="AT315" s="14"/>
      <c r="AU315"/>
      <c r="AV315"/>
      <c r="AW315"/>
      <c r="AX315" s="10"/>
      <c r="AY315" s="20"/>
      <c r="AZ315" s="16"/>
      <c r="BA315"/>
      <c r="BB315"/>
      <c r="BC315" s="16"/>
      <c r="BD315"/>
      <c r="BE315"/>
      <c r="BF315"/>
      <c r="BG315"/>
      <c r="BH315"/>
      <c r="BI315"/>
      <c r="BJ315"/>
      <c r="BK315"/>
      <c r="BL315"/>
      <c r="BM315"/>
      <c r="BN315" s="19"/>
      <c r="BO315"/>
      <c r="BP315"/>
      <c r="BQ315"/>
      <c r="BR315"/>
      <c r="BS315"/>
      <c r="BT315"/>
      <c r="BU315"/>
      <c r="BV315"/>
      <c r="BW315"/>
      <c r="BX315"/>
      <c r="BY315"/>
      <c r="BZ315"/>
      <c r="CA315"/>
      <c r="CB315"/>
      <c r="CC315"/>
      <c r="CD315"/>
      <c r="CE315"/>
      <c r="CF315"/>
      <c r="CG315"/>
      <c r="CH315"/>
      <c r="CI315"/>
      <c r="CJ315"/>
      <c r="CK315"/>
      <c r="CL315"/>
      <c r="CM315" s="20"/>
      <c r="CN315" s="20"/>
      <c r="CO315" s="20"/>
      <c r="CP315" s="20"/>
      <c r="CQ315" s="20"/>
      <c r="CR315" s="20"/>
      <c r="CS315" s="20"/>
      <c r="CT315" s="20"/>
      <c r="CU315" s="20"/>
      <c r="CV315" s="20"/>
      <c r="CW315" s="20"/>
      <c r="CX315" s="20"/>
      <c r="CY315" s="20"/>
    </row>
    <row r="316" spans="1:103" s="6" customFormat="1">
      <c r="A316"/>
      <c r="B316"/>
      <c r="C316"/>
      <c r="D316"/>
      <c r="E316"/>
      <c r="F316"/>
      <c r="G316"/>
      <c r="H316"/>
      <c r="I316"/>
      <c r="J316"/>
      <c r="N316" s="7"/>
      <c r="O316"/>
      <c r="P316" s="10"/>
      <c r="Q316" s="9"/>
      <c r="R316" s="10"/>
      <c r="S316" s="10"/>
      <c r="AA316" s="11"/>
      <c r="AD316"/>
      <c r="AE316"/>
      <c r="AF316"/>
      <c r="AG316"/>
      <c r="AH316" s="46"/>
      <c r="AI316"/>
      <c r="AJ316"/>
      <c r="AK316"/>
      <c r="AL316"/>
      <c r="AM316"/>
      <c r="AN316"/>
      <c r="AO316"/>
      <c r="AP316"/>
      <c r="AQ316"/>
      <c r="AR316"/>
      <c r="AS316"/>
      <c r="AT316" s="14"/>
      <c r="AU316"/>
      <c r="AV316"/>
      <c r="AW316"/>
      <c r="AX316" s="10"/>
      <c r="AY316" s="20"/>
      <c r="AZ316" s="16"/>
      <c r="BA316"/>
      <c r="BB316"/>
      <c r="BC316" s="16"/>
      <c r="BD316"/>
      <c r="BE316"/>
      <c r="BF316"/>
      <c r="BG316"/>
      <c r="BH316"/>
      <c r="BI316"/>
      <c r="BJ316"/>
      <c r="BK316"/>
      <c r="BL316"/>
      <c r="BM316"/>
      <c r="BN316" s="19"/>
      <c r="BO316"/>
      <c r="BP316"/>
      <c r="BQ316"/>
      <c r="BR316"/>
      <c r="BS316"/>
      <c r="BT316"/>
      <c r="BU316"/>
      <c r="BV316"/>
      <c r="BW316"/>
      <c r="BX316"/>
      <c r="BY316"/>
      <c r="BZ316"/>
      <c r="CA316"/>
      <c r="CB316"/>
      <c r="CC316"/>
      <c r="CD316"/>
      <c r="CE316"/>
      <c r="CF316"/>
      <c r="CG316"/>
      <c r="CH316"/>
      <c r="CI316"/>
      <c r="CJ316"/>
      <c r="CK316"/>
      <c r="CL316"/>
      <c r="CM316" s="20"/>
      <c r="CN316" s="20"/>
      <c r="CO316" s="20"/>
      <c r="CP316" s="20"/>
      <c r="CQ316" s="20"/>
      <c r="CR316" s="20"/>
      <c r="CS316" s="20"/>
      <c r="CT316" s="20"/>
      <c r="CU316" s="20"/>
      <c r="CV316" s="20"/>
      <c r="CW316" s="20"/>
      <c r="CX316" s="20"/>
      <c r="CY316" s="20"/>
    </row>
    <row r="317" spans="1:103" s="6" customFormat="1">
      <c r="A317"/>
      <c r="B317"/>
      <c r="C317"/>
      <c r="D317"/>
      <c r="E317"/>
      <c r="F317"/>
      <c r="G317"/>
      <c r="H317"/>
      <c r="I317"/>
      <c r="J317"/>
      <c r="N317" s="7"/>
      <c r="O317"/>
      <c r="P317" s="10"/>
      <c r="Q317" s="9"/>
      <c r="R317" s="10"/>
      <c r="S317" s="10"/>
      <c r="AA317" s="11"/>
      <c r="AD317"/>
      <c r="AE317"/>
      <c r="AF317"/>
      <c r="AG317"/>
      <c r="AH317" s="46"/>
      <c r="AI317"/>
      <c r="AJ317"/>
      <c r="AK317"/>
      <c r="AL317"/>
      <c r="AM317"/>
      <c r="AN317"/>
      <c r="AO317"/>
      <c r="AP317"/>
      <c r="AQ317"/>
      <c r="AR317"/>
      <c r="AS317"/>
      <c r="AT317" s="14"/>
      <c r="AU317"/>
      <c r="AV317"/>
      <c r="AW317"/>
      <c r="AX317" s="10"/>
      <c r="AY317" s="20"/>
      <c r="AZ317" s="16"/>
      <c r="BA317"/>
      <c r="BB317"/>
      <c r="BC317" s="16"/>
      <c r="BD317"/>
      <c r="BE317"/>
      <c r="BF317"/>
      <c r="BG317"/>
      <c r="BH317"/>
      <c r="BI317"/>
      <c r="BJ317"/>
      <c r="BK317"/>
      <c r="BL317"/>
      <c r="BM317"/>
      <c r="BN317" s="19"/>
      <c r="BO317"/>
      <c r="BP317"/>
      <c r="BQ317"/>
      <c r="BR317"/>
      <c r="BS317"/>
      <c r="BT317"/>
      <c r="BU317"/>
      <c r="BV317"/>
      <c r="BW317"/>
      <c r="BX317"/>
      <c r="BY317"/>
      <c r="BZ317"/>
      <c r="CA317"/>
      <c r="CB317"/>
      <c r="CC317"/>
      <c r="CD317"/>
      <c r="CE317"/>
      <c r="CF317"/>
      <c r="CG317"/>
      <c r="CH317"/>
      <c r="CI317"/>
      <c r="CJ317"/>
      <c r="CK317"/>
      <c r="CL317"/>
      <c r="CM317" s="20"/>
      <c r="CN317" s="20"/>
      <c r="CO317" s="20"/>
      <c r="CP317" s="20"/>
      <c r="CQ317" s="20"/>
      <c r="CR317" s="20"/>
      <c r="CS317" s="20"/>
      <c r="CT317" s="20"/>
      <c r="CU317" s="20"/>
      <c r="CV317" s="20"/>
      <c r="CW317" s="20"/>
      <c r="CX317" s="20"/>
      <c r="CY317" s="20"/>
    </row>
    <row r="318" spans="1:103" s="6" customFormat="1">
      <c r="A318"/>
      <c r="B318"/>
      <c r="C318"/>
      <c r="D318"/>
      <c r="E318"/>
      <c r="F318"/>
      <c r="G318"/>
      <c r="H318"/>
      <c r="I318"/>
      <c r="J318"/>
      <c r="N318" s="7"/>
      <c r="O318"/>
      <c r="P318" s="10"/>
      <c r="Q318" s="9"/>
      <c r="R318" s="10"/>
      <c r="S318" s="10"/>
      <c r="AA318" s="11"/>
      <c r="AD318"/>
      <c r="AE318"/>
      <c r="AF318"/>
      <c r="AG318"/>
      <c r="AH318" s="46"/>
      <c r="AI318"/>
      <c r="AJ318"/>
      <c r="AK318"/>
      <c r="AL318"/>
      <c r="AM318"/>
      <c r="AN318"/>
      <c r="AO318"/>
      <c r="AP318"/>
      <c r="AQ318"/>
      <c r="AR318"/>
      <c r="AS318"/>
      <c r="AT318" s="14"/>
      <c r="AU318"/>
      <c r="AV318"/>
      <c r="AW318"/>
      <c r="AX318" s="10"/>
      <c r="AY318" s="20"/>
      <c r="AZ318" s="16"/>
      <c r="BA318"/>
      <c r="BB318"/>
      <c r="BC318" s="16"/>
      <c r="BD318"/>
      <c r="BE318"/>
      <c r="BF318"/>
      <c r="BG318"/>
      <c r="BH318"/>
      <c r="BI318"/>
      <c r="BJ318"/>
      <c r="BK318"/>
      <c r="BL318"/>
      <c r="BM318"/>
      <c r="BN318" s="19"/>
      <c r="BO318"/>
      <c r="BP318"/>
      <c r="BQ318"/>
      <c r="BR318"/>
      <c r="BS318"/>
      <c r="BT318"/>
      <c r="BU318"/>
      <c r="BV318"/>
      <c r="BW318"/>
      <c r="BX318"/>
      <c r="BY318"/>
      <c r="BZ318"/>
      <c r="CA318"/>
      <c r="CB318"/>
      <c r="CC318"/>
      <c r="CD318"/>
      <c r="CE318"/>
      <c r="CF318"/>
      <c r="CG318"/>
      <c r="CH318"/>
      <c r="CI318"/>
      <c r="CJ318"/>
      <c r="CK318"/>
      <c r="CL318"/>
      <c r="CM318" s="20"/>
      <c r="CN318" s="20"/>
      <c r="CO318" s="20"/>
      <c r="CP318" s="20"/>
      <c r="CQ318" s="20"/>
      <c r="CR318" s="20"/>
      <c r="CS318" s="20"/>
      <c r="CT318" s="20"/>
      <c r="CU318" s="20"/>
      <c r="CV318" s="20"/>
      <c r="CW318" s="20"/>
      <c r="CX318" s="20"/>
      <c r="CY318" s="20"/>
    </row>
    <row r="319" spans="1:103" s="6" customFormat="1">
      <c r="A319"/>
      <c r="B319"/>
      <c r="C319"/>
      <c r="D319"/>
      <c r="E319"/>
      <c r="F319"/>
      <c r="G319"/>
      <c r="H319"/>
      <c r="I319"/>
      <c r="J319"/>
      <c r="N319" s="7"/>
      <c r="O319"/>
      <c r="P319" s="10"/>
      <c r="Q319" s="9"/>
      <c r="R319" s="10"/>
      <c r="S319" s="10"/>
      <c r="AA319" s="11"/>
      <c r="AD319"/>
      <c r="AE319"/>
      <c r="AF319"/>
      <c r="AG319"/>
      <c r="AH319" s="46"/>
      <c r="AI319"/>
      <c r="AJ319"/>
      <c r="AK319"/>
      <c r="AL319"/>
      <c r="AM319"/>
      <c r="AN319"/>
      <c r="AO319"/>
      <c r="AP319"/>
      <c r="AQ319"/>
      <c r="AR319"/>
      <c r="AS319"/>
      <c r="AT319" s="14"/>
      <c r="AU319"/>
      <c r="AV319"/>
      <c r="AW319"/>
      <c r="AX319" s="10"/>
      <c r="AY319" s="20"/>
      <c r="AZ319" s="16"/>
      <c r="BA319"/>
      <c r="BB319"/>
      <c r="BC319" s="16"/>
      <c r="BD319"/>
      <c r="BE319"/>
      <c r="BF319"/>
      <c r="BG319"/>
      <c r="BH319"/>
      <c r="BI319"/>
      <c r="BJ319"/>
      <c r="BK319"/>
      <c r="BL319"/>
      <c r="BM319"/>
      <c r="BN319" s="19"/>
      <c r="BO319"/>
      <c r="BP319"/>
      <c r="BQ319"/>
      <c r="BR319"/>
      <c r="BS319"/>
      <c r="BT319"/>
      <c r="BU319"/>
      <c r="BV319"/>
      <c r="BW319"/>
      <c r="BX319"/>
      <c r="BY319"/>
      <c r="BZ319"/>
      <c r="CA319"/>
      <c r="CB319"/>
      <c r="CC319"/>
      <c r="CD319"/>
      <c r="CE319"/>
      <c r="CF319"/>
      <c r="CG319"/>
      <c r="CH319"/>
      <c r="CI319"/>
      <c r="CJ319"/>
      <c r="CK319"/>
      <c r="CL319"/>
      <c r="CM319" s="20"/>
      <c r="CN319" s="20"/>
      <c r="CO319" s="20"/>
      <c r="CP319" s="20"/>
      <c r="CQ319" s="20"/>
      <c r="CR319" s="20"/>
      <c r="CS319" s="20"/>
      <c r="CT319" s="20"/>
      <c r="CU319" s="20"/>
      <c r="CV319" s="20"/>
      <c r="CW319" s="20"/>
      <c r="CX319" s="20"/>
      <c r="CY319" s="20"/>
    </row>
    <row r="320" spans="1:103" s="6" customFormat="1">
      <c r="A320"/>
      <c r="B320"/>
      <c r="C320"/>
      <c r="D320"/>
      <c r="E320"/>
      <c r="F320"/>
      <c r="G320"/>
      <c r="H320"/>
      <c r="I320"/>
      <c r="J320"/>
      <c r="N320" s="7"/>
      <c r="O320"/>
      <c r="P320" s="10"/>
      <c r="Q320" s="9"/>
      <c r="R320" s="10"/>
      <c r="S320" s="10"/>
      <c r="AA320" s="11"/>
      <c r="AD320"/>
      <c r="AE320"/>
      <c r="AF320"/>
      <c r="AG320"/>
      <c r="AH320" s="46"/>
      <c r="AI320"/>
      <c r="AJ320"/>
      <c r="AK320"/>
      <c r="AL320"/>
      <c r="AM320"/>
      <c r="AN320"/>
      <c r="AO320"/>
      <c r="AP320"/>
      <c r="AQ320"/>
      <c r="AR320"/>
      <c r="AS320"/>
      <c r="AT320" s="14"/>
      <c r="AU320"/>
      <c r="AV320"/>
      <c r="AW320"/>
      <c r="AX320" s="10"/>
      <c r="AY320" s="20"/>
      <c r="AZ320" s="16"/>
      <c r="BA320"/>
      <c r="BB320"/>
      <c r="BC320" s="16"/>
      <c r="BD320"/>
      <c r="BE320"/>
      <c r="BF320"/>
      <c r="BG320"/>
      <c r="BH320"/>
      <c r="BI320"/>
      <c r="BJ320"/>
      <c r="BK320"/>
      <c r="BL320"/>
      <c r="BM320"/>
      <c r="BN320" s="19"/>
      <c r="BO320"/>
      <c r="BP320"/>
      <c r="BQ320"/>
      <c r="BR320"/>
      <c r="BS320"/>
      <c r="BT320"/>
      <c r="BU320"/>
      <c r="BV320"/>
      <c r="BW320"/>
      <c r="BX320"/>
      <c r="BY320"/>
      <c r="BZ320"/>
      <c r="CA320"/>
      <c r="CB320"/>
      <c r="CC320"/>
      <c r="CD320"/>
      <c r="CE320"/>
      <c r="CF320"/>
      <c r="CG320"/>
      <c r="CH320"/>
      <c r="CI320"/>
      <c r="CJ320"/>
      <c r="CK320"/>
      <c r="CL320"/>
      <c r="CM320" s="20"/>
      <c r="CN320" s="20"/>
      <c r="CO320" s="20"/>
      <c r="CP320" s="20"/>
      <c r="CQ320" s="20"/>
      <c r="CR320" s="20"/>
      <c r="CS320" s="20"/>
      <c r="CT320" s="20"/>
      <c r="CU320" s="20"/>
      <c r="CV320" s="20"/>
      <c r="CW320" s="20"/>
      <c r="CX320" s="20"/>
      <c r="CY320" s="20"/>
    </row>
    <row r="321" spans="1:103" s="6" customFormat="1">
      <c r="A321"/>
      <c r="B321"/>
      <c r="C321"/>
      <c r="D321"/>
      <c r="E321"/>
      <c r="F321"/>
      <c r="G321"/>
      <c r="H321"/>
      <c r="I321"/>
      <c r="J321"/>
      <c r="N321" s="7"/>
      <c r="O321"/>
      <c r="P321" s="10"/>
      <c r="Q321" s="9"/>
      <c r="R321" s="10"/>
      <c r="S321" s="10"/>
      <c r="AA321" s="11"/>
      <c r="AD321"/>
      <c r="AE321"/>
      <c r="AF321"/>
      <c r="AG321"/>
      <c r="AH321" s="46"/>
      <c r="AI321"/>
      <c r="AJ321"/>
      <c r="AK321"/>
      <c r="AL321"/>
      <c r="AM321"/>
      <c r="AN321"/>
      <c r="AO321"/>
      <c r="AP321"/>
      <c r="AQ321"/>
      <c r="AR321"/>
      <c r="AS321"/>
      <c r="AT321" s="14"/>
      <c r="AU321"/>
      <c r="AV321"/>
      <c r="AW321"/>
      <c r="AX321" s="10"/>
      <c r="AY321" s="20"/>
      <c r="AZ321" s="16"/>
      <c r="BA321"/>
      <c r="BB321"/>
      <c r="BC321" s="16"/>
      <c r="BD321"/>
      <c r="BE321"/>
      <c r="BF321"/>
      <c r="BG321"/>
      <c r="BH321"/>
      <c r="BI321"/>
      <c r="BJ321"/>
      <c r="BK321"/>
      <c r="BL321"/>
      <c r="BM321"/>
      <c r="BN321" s="19"/>
      <c r="BO321"/>
      <c r="BP321"/>
      <c r="BQ321"/>
      <c r="BR321"/>
      <c r="BS321"/>
      <c r="BT321"/>
      <c r="BU321"/>
      <c r="BV321"/>
      <c r="BW321"/>
      <c r="BX321"/>
      <c r="BY321"/>
      <c r="BZ321"/>
      <c r="CA321"/>
      <c r="CB321"/>
      <c r="CC321"/>
      <c r="CD321"/>
      <c r="CE321"/>
      <c r="CF321"/>
      <c r="CG321"/>
      <c r="CH321"/>
      <c r="CI321"/>
      <c r="CJ321"/>
      <c r="CK321"/>
      <c r="CL321"/>
      <c r="CM321" s="20"/>
      <c r="CN321" s="20"/>
      <c r="CO321" s="20"/>
      <c r="CP321" s="20"/>
      <c r="CQ321" s="20"/>
      <c r="CR321" s="20"/>
      <c r="CS321" s="20"/>
      <c r="CT321" s="20"/>
      <c r="CU321" s="20"/>
      <c r="CV321" s="20"/>
      <c r="CW321" s="20"/>
      <c r="CX321" s="20"/>
      <c r="CY321" s="20"/>
    </row>
    <row r="322" spans="1:103" s="6" customFormat="1">
      <c r="A322"/>
      <c r="B322"/>
      <c r="C322"/>
      <c r="D322"/>
      <c r="E322"/>
      <c r="F322"/>
      <c r="G322"/>
      <c r="H322"/>
      <c r="I322"/>
      <c r="J322"/>
      <c r="N322" s="7"/>
      <c r="O322"/>
      <c r="P322" s="10"/>
      <c r="Q322" s="9"/>
      <c r="R322" s="10"/>
      <c r="S322" s="10"/>
      <c r="AA322" s="11"/>
      <c r="AD322"/>
      <c r="AE322"/>
      <c r="AF322"/>
      <c r="AG322"/>
      <c r="AH322" s="46"/>
      <c r="AI322"/>
      <c r="AJ322"/>
      <c r="AK322"/>
      <c r="AL322"/>
      <c r="AM322"/>
      <c r="AN322"/>
      <c r="AO322"/>
      <c r="AP322"/>
      <c r="AQ322"/>
      <c r="AR322"/>
      <c r="AS322"/>
      <c r="AT322" s="14"/>
      <c r="AU322"/>
      <c r="AV322"/>
      <c r="AW322"/>
      <c r="AX322" s="10"/>
      <c r="AY322" s="20"/>
      <c r="AZ322" s="16"/>
      <c r="BA322"/>
      <c r="BB322"/>
      <c r="BC322" s="16"/>
      <c r="BD322"/>
      <c r="BE322"/>
      <c r="BF322"/>
      <c r="BG322"/>
      <c r="BH322"/>
      <c r="BI322"/>
      <c r="BJ322"/>
      <c r="BK322"/>
      <c r="BL322"/>
      <c r="BM322"/>
      <c r="BN322" s="19"/>
      <c r="BO322"/>
      <c r="BP322"/>
      <c r="BQ322"/>
      <c r="BR322"/>
      <c r="BS322"/>
      <c r="BT322"/>
      <c r="BU322"/>
      <c r="BV322"/>
      <c r="BW322"/>
      <c r="BX322"/>
      <c r="BY322"/>
      <c r="BZ322"/>
      <c r="CA322"/>
      <c r="CB322"/>
      <c r="CC322"/>
      <c r="CD322"/>
      <c r="CE322"/>
      <c r="CF322"/>
      <c r="CG322"/>
      <c r="CH322"/>
      <c r="CI322"/>
      <c r="CJ322"/>
      <c r="CK322"/>
      <c r="CL322"/>
      <c r="CM322" s="20"/>
      <c r="CN322" s="20"/>
      <c r="CO322" s="20"/>
      <c r="CP322" s="20"/>
      <c r="CQ322" s="20"/>
      <c r="CR322" s="20"/>
      <c r="CS322" s="20"/>
      <c r="CT322" s="20"/>
      <c r="CU322" s="20"/>
      <c r="CV322" s="20"/>
      <c r="CW322" s="20"/>
      <c r="CX322" s="20"/>
      <c r="CY322" s="20"/>
    </row>
    <row r="323" spans="1:103" s="6" customFormat="1">
      <c r="A323"/>
      <c r="B323"/>
      <c r="C323"/>
      <c r="D323"/>
      <c r="E323"/>
      <c r="F323"/>
      <c r="G323"/>
      <c r="H323"/>
      <c r="I323"/>
      <c r="J323"/>
      <c r="N323" s="7"/>
      <c r="O323"/>
      <c r="P323" s="10"/>
      <c r="Q323" s="9"/>
      <c r="R323" s="10"/>
      <c r="S323" s="10"/>
      <c r="AA323" s="11"/>
      <c r="AD323"/>
      <c r="AE323"/>
      <c r="AF323"/>
      <c r="AG323"/>
      <c r="AH323" s="46"/>
      <c r="AI323"/>
      <c r="AJ323"/>
      <c r="AK323"/>
      <c r="AL323"/>
      <c r="AM323"/>
      <c r="AN323"/>
      <c r="AO323"/>
      <c r="AP323"/>
      <c r="AQ323"/>
      <c r="AR323"/>
      <c r="AS323"/>
      <c r="AT323" s="14"/>
      <c r="AU323"/>
      <c r="AV323"/>
      <c r="AW323"/>
      <c r="AX323" s="10"/>
      <c r="AY323" s="20"/>
      <c r="AZ323" s="16"/>
      <c r="BA323"/>
      <c r="BB323"/>
      <c r="BC323" s="16"/>
      <c r="BD323"/>
      <c r="BE323"/>
      <c r="BF323"/>
      <c r="BG323"/>
      <c r="BH323"/>
      <c r="BI323"/>
      <c r="BJ323"/>
      <c r="BK323"/>
      <c r="BL323"/>
      <c r="BM323"/>
      <c r="BN323" s="19"/>
      <c r="BO323"/>
      <c r="BP323"/>
      <c r="BQ323"/>
      <c r="BR323"/>
      <c r="BS323"/>
      <c r="BT323"/>
      <c r="BU323"/>
      <c r="BV323"/>
      <c r="BW323"/>
      <c r="BX323"/>
      <c r="BY323"/>
      <c r="BZ323"/>
      <c r="CA323"/>
      <c r="CB323"/>
      <c r="CC323"/>
      <c r="CD323"/>
      <c r="CE323"/>
      <c r="CF323"/>
      <c r="CG323"/>
      <c r="CH323"/>
      <c r="CI323"/>
      <c r="CJ323"/>
      <c r="CK323"/>
      <c r="CL323"/>
      <c r="CM323" s="20"/>
      <c r="CN323" s="20"/>
      <c r="CO323" s="20"/>
      <c r="CP323" s="20"/>
      <c r="CQ323" s="20"/>
      <c r="CR323" s="20"/>
      <c r="CS323" s="20"/>
      <c r="CT323" s="20"/>
      <c r="CU323" s="20"/>
      <c r="CV323" s="20"/>
      <c r="CW323" s="20"/>
      <c r="CX323" s="20"/>
      <c r="CY323" s="20"/>
    </row>
    <row r="324" spans="1:103" s="6" customFormat="1">
      <c r="A324"/>
      <c r="B324"/>
      <c r="C324"/>
      <c r="D324"/>
      <c r="E324"/>
      <c r="F324"/>
      <c r="G324"/>
      <c r="H324"/>
      <c r="I324"/>
      <c r="J324"/>
      <c r="N324" s="7"/>
      <c r="O324"/>
      <c r="P324" s="10"/>
      <c r="Q324" s="9"/>
      <c r="R324" s="10"/>
      <c r="S324" s="10"/>
      <c r="AA324" s="11"/>
      <c r="AD324"/>
      <c r="AE324"/>
      <c r="AF324"/>
      <c r="AG324"/>
      <c r="AH324" s="46"/>
      <c r="AI324"/>
      <c r="AJ324"/>
      <c r="AK324"/>
      <c r="AL324"/>
      <c r="AM324"/>
      <c r="AN324"/>
      <c r="AO324"/>
      <c r="AP324"/>
      <c r="AQ324"/>
      <c r="AR324"/>
      <c r="AS324"/>
      <c r="AT324" s="14"/>
      <c r="AU324"/>
      <c r="AV324"/>
      <c r="AW324"/>
      <c r="AX324" s="10"/>
      <c r="AY324" s="20"/>
      <c r="AZ324" s="16"/>
      <c r="BA324"/>
      <c r="BB324"/>
      <c r="BC324" s="16"/>
      <c r="BD324"/>
      <c r="BE324"/>
      <c r="BF324"/>
      <c r="BG324"/>
      <c r="BH324"/>
      <c r="BI324"/>
      <c r="BJ324"/>
      <c r="BK324"/>
      <c r="BL324"/>
      <c r="BM324"/>
      <c r="BN324" s="19"/>
      <c r="BO324"/>
      <c r="BP324"/>
      <c r="BQ324"/>
      <c r="BR324"/>
      <c r="BS324"/>
      <c r="BT324"/>
      <c r="BU324"/>
      <c r="BV324"/>
      <c r="BW324"/>
      <c r="BX324"/>
      <c r="BY324"/>
      <c r="BZ324"/>
      <c r="CA324"/>
      <c r="CB324"/>
      <c r="CC324"/>
      <c r="CD324"/>
      <c r="CE324"/>
      <c r="CF324"/>
      <c r="CG324"/>
      <c r="CH324"/>
      <c r="CI324"/>
      <c r="CJ324"/>
      <c r="CK324"/>
      <c r="CL324"/>
      <c r="CM324" s="20"/>
      <c r="CN324" s="20"/>
      <c r="CO324" s="20"/>
      <c r="CP324" s="20"/>
      <c r="CQ324" s="20"/>
      <c r="CR324" s="20"/>
      <c r="CS324" s="20"/>
      <c r="CT324" s="20"/>
      <c r="CU324" s="20"/>
      <c r="CV324" s="20"/>
      <c r="CW324" s="20"/>
      <c r="CX324" s="20"/>
      <c r="CY324" s="20"/>
    </row>
    <row r="325" spans="1:103" s="6" customFormat="1">
      <c r="A325"/>
      <c r="B325"/>
      <c r="C325"/>
      <c r="D325"/>
      <c r="E325"/>
      <c r="F325"/>
      <c r="G325"/>
      <c r="H325"/>
      <c r="I325"/>
      <c r="J325"/>
      <c r="N325" s="7"/>
      <c r="O325"/>
      <c r="P325" s="10"/>
      <c r="Q325" s="9"/>
      <c r="R325" s="10"/>
      <c r="S325" s="10"/>
      <c r="AA325" s="11"/>
      <c r="AD325"/>
      <c r="AE325"/>
      <c r="AF325"/>
      <c r="AG325"/>
      <c r="AH325" s="46"/>
      <c r="AI325"/>
      <c r="AJ325"/>
      <c r="AK325"/>
      <c r="AL325"/>
      <c r="AM325"/>
      <c r="AN325"/>
      <c r="AO325"/>
      <c r="AP325"/>
      <c r="AQ325"/>
      <c r="AR325"/>
      <c r="AS325"/>
      <c r="AT325" s="14"/>
      <c r="AU325"/>
      <c r="AV325"/>
      <c r="AW325"/>
      <c r="AX325" s="10"/>
      <c r="AY325" s="20"/>
      <c r="AZ325" s="16"/>
      <c r="BA325"/>
      <c r="BB325"/>
      <c r="BC325" s="16"/>
      <c r="BD325"/>
      <c r="BE325"/>
      <c r="BF325"/>
      <c r="BG325"/>
      <c r="BH325"/>
      <c r="BI325"/>
      <c r="BJ325"/>
      <c r="BK325"/>
      <c r="BL325"/>
      <c r="BM325"/>
      <c r="BN325" s="19"/>
      <c r="BO325"/>
      <c r="BP325"/>
      <c r="BQ325"/>
      <c r="BR325"/>
      <c r="BS325"/>
      <c r="BT325"/>
      <c r="BU325"/>
      <c r="BV325"/>
      <c r="BW325"/>
      <c r="BX325"/>
      <c r="BY325"/>
      <c r="BZ325"/>
      <c r="CA325"/>
      <c r="CB325"/>
      <c r="CC325"/>
      <c r="CD325"/>
      <c r="CE325"/>
      <c r="CF325"/>
      <c r="CG325"/>
      <c r="CH325"/>
      <c r="CI325"/>
      <c r="CJ325"/>
      <c r="CK325"/>
      <c r="CL325"/>
      <c r="CM325" s="20"/>
      <c r="CN325" s="20"/>
      <c r="CO325" s="20"/>
      <c r="CP325" s="20"/>
      <c r="CQ325" s="20"/>
      <c r="CR325" s="20"/>
      <c r="CS325" s="20"/>
      <c r="CT325" s="20"/>
      <c r="CU325" s="20"/>
      <c r="CV325" s="20"/>
      <c r="CW325" s="20"/>
      <c r="CX325" s="20"/>
      <c r="CY325" s="20"/>
    </row>
    <row r="326" spans="1:103" s="6" customFormat="1">
      <c r="A326"/>
      <c r="B326"/>
      <c r="C326"/>
      <c r="D326"/>
      <c r="E326"/>
      <c r="F326"/>
      <c r="G326"/>
      <c r="H326"/>
      <c r="I326"/>
      <c r="J326"/>
      <c r="N326" s="7"/>
      <c r="O326"/>
      <c r="P326" s="10"/>
      <c r="Q326" s="9"/>
      <c r="R326" s="10"/>
      <c r="S326" s="10"/>
      <c r="AA326" s="11"/>
      <c r="AD326"/>
      <c r="AE326"/>
      <c r="AF326"/>
      <c r="AG326"/>
      <c r="AH326" s="46"/>
      <c r="AI326"/>
      <c r="AJ326"/>
      <c r="AK326"/>
      <c r="AL326"/>
      <c r="AM326"/>
      <c r="AN326"/>
      <c r="AO326"/>
      <c r="AP326"/>
      <c r="AQ326"/>
      <c r="AR326"/>
      <c r="AS326"/>
      <c r="AT326" s="14"/>
      <c r="AU326"/>
      <c r="AV326"/>
      <c r="AW326"/>
      <c r="AX326" s="10"/>
      <c r="AY326" s="20"/>
      <c r="AZ326" s="16"/>
      <c r="BA326"/>
      <c r="BB326"/>
      <c r="BC326" s="16"/>
      <c r="BD326"/>
      <c r="BE326"/>
      <c r="BF326"/>
      <c r="BG326"/>
      <c r="BH326"/>
      <c r="BI326"/>
      <c r="BJ326"/>
      <c r="BK326"/>
      <c r="BL326"/>
      <c r="BM326"/>
      <c r="BN326" s="19"/>
      <c r="BO326"/>
      <c r="BP326"/>
      <c r="BQ326"/>
      <c r="BR326"/>
      <c r="BS326"/>
      <c r="BT326"/>
      <c r="BU326"/>
      <c r="BV326"/>
      <c r="BW326"/>
      <c r="BX326"/>
      <c r="BY326"/>
      <c r="BZ326"/>
      <c r="CA326"/>
      <c r="CB326"/>
      <c r="CC326"/>
      <c r="CD326"/>
      <c r="CE326"/>
      <c r="CF326"/>
      <c r="CG326"/>
      <c r="CH326"/>
      <c r="CI326"/>
      <c r="CJ326"/>
      <c r="CK326"/>
      <c r="CL326"/>
      <c r="CM326" s="20"/>
      <c r="CN326" s="20"/>
      <c r="CO326" s="20"/>
      <c r="CP326" s="20"/>
      <c r="CQ326" s="20"/>
      <c r="CR326" s="20"/>
      <c r="CS326" s="20"/>
      <c r="CT326" s="20"/>
      <c r="CU326" s="20"/>
      <c r="CV326" s="20"/>
      <c r="CW326" s="20"/>
      <c r="CX326" s="20"/>
      <c r="CY326" s="20"/>
    </row>
    <row r="327" spans="1:103" s="6" customFormat="1">
      <c r="A327"/>
      <c r="B327"/>
      <c r="C327"/>
      <c r="D327"/>
      <c r="E327"/>
      <c r="F327"/>
      <c r="G327"/>
      <c r="H327"/>
      <c r="I327"/>
      <c r="J327"/>
      <c r="N327" s="7"/>
      <c r="O327"/>
      <c r="P327" s="10"/>
      <c r="Q327" s="9"/>
      <c r="R327" s="10"/>
      <c r="S327" s="10"/>
      <c r="AA327" s="11"/>
      <c r="AD327"/>
      <c r="AE327"/>
      <c r="AF327"/>
      <c r="AG327"/>
      <c r="AH327" s="46"/>
      <c r="AI327"/>
      <c r="AJ327"/>
      <c r="AK327"/>
      <c r="AL327"/>
      <c r="AM327"/>
      <c r="AN327"/>
      <c r="AO327"/>
      <c r="AP327"/>
      <c r="AQ327"/>
      <c r="AR327"/>
      <c r="AS327"/>
      <c r="AT327" s="14"/>
      <c r="AU327"/>
      <c r="AV327"/>
      <c r="AW327"/>
      <c r="AX327" s="10"/>
      <c r="AY327" s="20"/>
      <c r="AZ327" s="16"/>
      <c r="BA327"/>
      <c r="BB327"/>
      <c r="BC327" s="16"/>
      <c r="BD327"/>
      <c r="BE327"/>
      <c r="BF327"/>
      <c r="BG327"/>
      <c r="BH327"/>
      <c r="BI327"/>
      <c r="BJ327"/>
      <c r="BK327"/>
      <c r="BL327"/>
      <c r="BM327"/>
      <c r="BN327" s="19"/>
      <c r="BO327"/>
      <c r="BP327"/>
      <c r="BQ327"/>
      <c r="BR327"/>
      <c r="BS327"/>
      <c r="BT327"/>
      <c r="BU327"/>
      <c r="BV327"/>
      <c r="BW327"/>
      <c r="BX327"/>
      <c r="BY327"/>
      <c r="BZ327"/>
      <c r="CA327"/>
      <c r="CB327"/>
      <c r="CC327"/>
      <c r="CD327"/>
      <c r="CE327"/>
      <c r="CF327"/>
      <c r="CG327"/>
      <c r="CH327"/>
      <c r="CI327"/>
      <c r="CJ327"/>
      <c r="CK327"/>
      <c r="CL327"/>
      <c r="CM327" s="20"/>
      <c r="CN327" s="20"/>
      <c r="CO327" s="20"/>
      <c r="CP327" s="20"/>
      <c r="CQ327" s="20"/>
      <c r="CR327" s="20"/>
      <c r="CS327" s="20"/>
      <c r="CT327" s="20"/>
      <c r="CU327" s="20"/>
      <c r="CV327" s="20"/>
      <c r="CW327" s="20"/>
      <c r="CX327" s="20"/>
      <c r="CY327" s="20"/>
    </row>
    <row r="328" spans="1:103" s="6" customFormat="1">
      <c r="A328"/>
      <c r="B328"/>
      <c r="C328"/>
      <c r="D328"/>
      <c r="E328"/>
      <c r="F328"/>
      <c r="G328"/>
      <c r="H328"/>
      <c r="I328"/>
      <c r="J328"/>
      <c r="N328" s="7"/>
      <c r="O328"/>
      <c r="P328" s="10"/>
      <c r="Q328" s="9"/>
      <c r="R328" s="10"/>
      <c r="S328" s="10"/>
      <c r="AA328" s="11"/>
      <c r="AD328"/>
      <c r="AE328"/>
      <c r="AF328"/>
      <c r="AG328"/>
      <c r="AH328" s="46"/>
      <c r="AI328"/>
      <c r="AJ328"/>
      <c r="AK328"/>
      <c r="AL328"/>
      <c r="AM328"/>
      <c r="AN328"/>
      <c r="AO328"/>
      <c r="AP328"/>
      <c r="AQ328"/>
      <c r="AR328"/>
      <c r="AS328"/>
      <c r="AT328" s="14"/>
      <c r="AU328"/>
      <c r="AV328"/>
      <c r="AW328"/>
      <c r="AX328" s="10"/>
      <c r="AY328" s="20"/>
      <c r="AZ328" s="16"/>
      <c r="BA328"/>
      <c r="BB328"/>
      <c r="BC328" s="16"/>
      <c r="BD328"/>
      <c r="BE328"/>
      <c r="BF328"/>
      <c r="BG328"/>
      <c r="BH328"/>
      <c r="BI328"/>
      <c r="BJ328"/>
      <c r="BK328"/>
      <c r="BL328"/>
      <c r="BM328"/>
      <c r="BN328" s="19"/>
      <c r="BO328"/>
      <c r="BP328"/>
      <c r="BQ328"/>
      <c r="BR328"/>
      <c r="BS328"/>
      <c r="BT328"/>
      <c r="BU328"/>
      <c r="BV328"/>
      <c r="BW328"/>
      <c r="BX328"/>
      <c r="BY328"/>
      <c r="BZ328"/>
      <c r="CA328"/>
      <c r="CB328"/>
      <c r="CC328"/>
      <c r="CD328"/>
      <c r="CE328"/>
      <c r="CF328"/>
      <c r="CG328"/>
      <c r="CH328"/>
      <c r="CI328"/>
      <c r="CJ328"/>
      <c r="CK328"/>
      <c r="CL328"/>
      <c r="CM328" s="20"/>
      <c r="CN328" s="20"/>
      <c r="CO328" s="20"/>
      <c r="CP328" s="20"/>
      <c r="CQ328" s="20"/>
      <c r="CR328" s="20"/>
      <c r="CS328" s="20"/>
      <c r="CT328" s="20"/>
      <c r="CU328" s="20"/>
      <c r="CV328" s="20"/>
      <c r="CW328" s="20"/>
      <c r="CX328" s="20"/>
      <c r="CY328" s="20"/>
    </row>
    <row r="329" spans="1:103" s="6" customFormat="1">
      <c r="A329"/>
      <c r="B329"/>
      <c r="C329"/>
      <c r="D329"/>
      <c r="E329"/>
      <c r="F329"/>
      <c r="G329"/>
      <c r="H329"/>
      <c r="I329"/>
      <c r="J329"/>
      <c r="N329" s="7"/>
      <c r="O329"/>
      <c r="P329" s="10"/>
      <c r="Q329" s="9"/>
      <c r="R329" s="10"/>
      <c r="S329" s="10"/>
      <c r="AA329" s="11"/>
      <c r="AD329"/>
      <c r="AE329"/>
      <c r="AF329"/>
      <c r="AG329"/>
      <c r="AH329" s="46"/>
      <c r="AI329"/>
      <c r="AJ329"/>
      <c r="AK329"/>
      <c r="AL329"/>
      <c r="AM329"/>
      <c r="AN329"/>
      <c r="AO329"/>
      <c r="AP329"/>
      <c r="AQ329"/>
      <c r="AR329"/>
      <c r="AS329"/>
      <c r="AT329" s="14"/>
      <c r="AU329"/>
      <c r="AV329"/>
      <c r="AW329"/>
      <c r="AX329" s="10"/>
      <c r="AY329" s="20"/>
      <c r="AZ329" s="16"/>
      <c r="BA329"/>
      <c r="BB329"/>
      <c r="BC329" s="16"/>
      <c r="BD329"/>
      <c r="BE329"/>
      <c r="BF329"/>
      <c r="BG329"/>
      <c r="BH329"/>
      <c r="BI329"/>
      <c r="BJ329"/>
      <c r="BK329"/>
      <c r="BL329"/>
      <c r="BM329"/>
      <c r="BN329" s="19"/>
      <c r="BO329"/>
      <c r="BP329"/>
      <c r="BQ329"/>
      <c r="BR329"/>
      <c r="BS329"/>
      <c r="BT329"/>
      <c r="BU329"/>
      <c r="BV329"/>
      <c r="BW329"/>
      <c r="BX329"/>
      <c r="BY329"/>
      <c r="BZ329"/>
      <c r="CA329"/>
      <c r="CB329"/>
      <c r="CC329"/>
      <c r="CD329"/>
      <c r="CE329"/>
      <c r="CF329"/>
      <c r="CG329"/>
      <c r="CH329"/>
      <c r="CI329"/>
      <c r="CJ329"/>
      <c r="CK329"/>
      <c r="CL329"/>
      <c r="CM329" s="20"/>
      <c r="CN329" s="20"/>
      <c r="CO329" s="20"/>
      <c r="CP329" s="20"/>
      <c r="CQ329" s="20"/>
      <c r="CR329" s="20"/>
      <c r="CS329" s="20"/>
      <c r="CT329" s="20"/>
      <c r="CU329" s="20"/>
      <c r="CV329" s="20"/>
      <c r="CW329" s="20"/>
      <c r="CX329" s="20"/>
      <c r="CY329" s="20"/>
    </row>
    <row r="330" spans="1:103" s="6" customFormat="1">
      <c r="A330"/>
      <c r="B330"/>
      <c r="C330"/>
      <c r="D330"/>
      <c r="E330"/>
      <c r="F330"/>
      <c r="G330"/>
      <c r="H330"/>
      <c r="I330"/>
      <c r="J330"/>
      <c r="N330" s="7"/>
      <c r="O330"/>
      <c r="P330" s="10"/>
      <c r="Q330" s="9"/>
      <c r="R330" s="10"/>
      <c r="S330" s="10"/>
      <c r="AA330" s="11"/>
      <c r="AD330"/>
      <c r="AE330"/>
      <c r="AF330"/>
      <c r="AG330"/>
      <c r="AH330" s="46"/>
      <c r="AI330"/>
      <c r="AJ330"/>
      <c r="AK330"/>
      <c r="AL330"/>
      <c r="AM330"/>
      <c r="AN330"/>
      <c r="AO330"/>
      <c r="AP330"/>
      <c r="AQ330"/>
      <c r="AR330"/>
      <c r="AS330"/>
      <c r="AT330" s="14"/>
      <c r="AU330"/>
      <c r="AV330"/>
      <c r="AW330"/>
      <c r="AX330" s="10"/>
      <c r="AY330" s="20"/>
      <c r="AZ330" s="16"/>
      <c r="BA330"/>
      <c r="BB330"/>
      <c r="BC330" s="16"/>
      <c r="BD330"/>
      <c r="BE330"/>
      <c r="BF330"/>
      <c r="BG330"/>
      <c r="BH330"/>
      <c r="BI330"/>
      <c r="BJ330"/>
      <c r="BK330"/>
      <c r="BL330"/>
      <c r="BM330"/>
      <c r="BN330" s="19"/>
      <c r="BO330"/>
      <c r="BP330"/>
      <c r="BQ330"/>
      <c r="BR330"/>
      <c r="BS330"/>
      <c r="BT330"/>
      <c r="BU330"/>
      <c r="BV330"/>
      <c r="BW330"/>
      <c r="BX330"/>
      <c r="BY330"/>
      <c r="BZ330"/>
      <c r="CA330"/>
      <c r="CB330"/>
      <c r="CC330"/>
      <c r="CD330"/>
      <c r="CE330"/>
      <c r="CF330"/>
      <c r="CG330"/>
      <c r="CH330"/>
      <c r="CI330"/>
      <c r="CJ330"/>
      <c r="CK330"/>
      <c r="CL330"/>
      <c r="CM330" s="20"/>
      <c r="CN330" s="20"/>
      <c r="CO330" s="20"/>
      <c r="CP330" s="20"/>
      <c r="CQ330" s="20"/>
      <c r="CR330" s="20"/>
      <c r="CS330" s="20"/>
      <c r="CT330" s="20"/>
      <c r="CU330" s="20"/>
      <c r="CV330" s="20"/>
      <c r="CW330" s="20"/>
      <c r="CX330" s="20"/>
      <c r="CY330" s="20"/>
    </row>
    <row r="331" spans="1:103" s="6" customFormat="1">
      <c r="A331"/>
      <c r="B331"/>
      <c r="C331"/>
      <c r="D331"/>
      <c r="E331"/>
      <c r="F331"/>
      <c r="G331"/>
      <c r="H331"/>
      <c r="I331"/>
      <c r="J331"/>
      <c r="N331" s="7"/>
      <c r="O331"/>
      <c r="P331" s="10"/>
      <c r="Q331" s="9"/>
      <c r="R331" s="10"/>
      <c r="S331" s="10"/>
      <c r="AA331" s="11"/>
      <c r="AD331"/>
      <c r="AE331"/>
      <c r="AF331"/>
      <c r="AG331"/>
      <c r="AH331" s="46"/>
      <c r="AI331"/>
      <c r="AJ331"/>
      <c r="AK331"/>
      <c r="AL331"/>
      <c r="AM331"/>
      <c r="AN331"/>
      <c r="AO331"/>
      <c r="AP331"/>
      <c r="AQ331"/>
      <c r="AR331"/>
      <c r="AS331"/>
      <c r="AT331" s="14"/>
      <c r="AU331"/>
      <c r="AV331"/>
      <c r="AW331"/>
      <c r="AX331" s="10"/>
      <c r="AY331" s="20"/>
      <c r="AZ331" s="16"/>
      <c r="BA331"/>
      <c r="BB331"/>
      <c r="BC331" s="16"/>
      <c r="BD331"/>
      <c r="BE331"/>
      <c r="BF331"/>
      <c r="BG331"/>
      <c r="BH331"/>
      <c r="BI331"/>
      <c r="BJ331"/>
      <c r="BK331"/>
      <c r="BL331"/>
      <c r="BM331"/>
      <c r="BN331" s="19"/>
      <c r="BO331"/>
      <c r="BP331"/>
      <c r="BQ331"/>
      <c r="BR331"/>
      <c r="BS331"/>
      <c r="BT331"/>
      <c r="BU331"/>
      <c r="BV331"/>
      <c r="BW331"/>
      <c r="BX331"/>
      <c r="BY331"/>
      <c r="BZ331"/>
      <c r="CA331"/>
      <c r="CB331"/>
      <c r="CC331"/>
      <c r="CD331"/>
      <c r="CE331"/>
      <c r="CF331"/>
      <c r="CG331"/>
      <c r="CH331"/>
      <c r="CI331"/>
      <c r="CJ331"/>
      <c r="CK331"/>
      <c r="CL331"/>
      <c r="CM331" s="20"/>
      <c r="CN331" s="20"/>
      <c r="CO331" s="20"/>
      <c r="CP331" s="20"/>
      <c r="CQ331" s="20"/>
      <c r="CR331" s="20"/>
      <c r="CS331" s="20"/>
      <c r="CT331" s="20"/>
      <c r="CU331" s="20"/>
      <c r="CV331" s="20"/>
      <c r="CW331" s="20"/>
      <c r="CX331" s="20"/>
      <c r="CY331" s="20"/>
    </row>
    <row r="332" spans="1:103" s="6" customFormat="1">
      <c r="A332"/>
      <c r="B332"/>
      <c r="C332"/>
      <c r="D332"/>
      <c r="E332"/>
      <c r="F332"/>
      <c r="G332"/>
      <c r="H332"/>
      <c r="I332"/>
      <c r="J332"/>
      <c r="N332" s="7"/>
      <c r="O332"/>
      <c r="P332" s="10"/>
      <c r="Q332" s="9"/>
      <c r="R332" s="10"/>
      <c r="S332" s="10"/>
      <c r="AA332" s="11"/>
      <c r="AD332"/>
      <c r="AE332"/>
      <c r="AF332"/>
      <c r="AG332"/>
      <c r="AH332" s="46"/>
      <c r="AI332"/>
      <c r="AJ332"/>
      <c r="AK332"/>
      <c r="AL332"/>
      <c r="AM332"/>
      <c r="AN332"/>
      <c r="AO332"/>
      <c r="AP332"/>
      <c r="AQ332"/>
      <c r="AR332"/>
      <c r="AS332"/>
      <c r="AT332" s="14"/>
      <c r="AU332"/>
      <c r="AV332"/>
      <c r="AW332"/>
      <c r="AX332" s="10"/>
      <c r="AY332" s="20"/>
      <c r="AZ332" s="16"/>
      <c r="BA332"/>
      <c r="BB332"/>
      <c r="BC332" s="16"/>
      <c r="BD332"/>
      <c r="BE332"/>
      <c r="BF332"/>
      <c r="BG332"/>
      <c r="BH332"/>
      <c r="BI332"/>
      <c r="BJ332"/>
      <c r="BK332"/>
      <c r="BL332"/>
      <c r="BM332"/>
      <c r="BN332" s="19"/>
      <c r="BO332"/>
      <c r="BP332"/>
      <c r="BQ332"/>
      <c r="BR332"/>
      <c r="BS332"/>
      <c r="BT332"/>
      <c r="BU332"/>
      <c r="BV332"/>
      <c r="BW332"/>
      <c r="BX332"/>
      <c r="BY332"/>
      <c r="BZ332"/>
      <c r="CA332"/>
      <c r="CB332"/>
      <c r="CC332"/>
      <c r="CD332"/>
      <c r="CE332"/>
      <c r="CF332"/>
      <c r="CG332"/>
      <c r="CH332"/>
      <c r="CI332"/>
      <c r="CJ332"/>
      <c r="CK332"/>
      <c r="CL332"/>
      <c r="CM332" s="20"/>
      <c r="CN332" s="20"/>
      <c r="CO332" s="20"/>
      <c r="CP332" s="20"/>
      <c r="CQ332" s="20"/>
      <c r="CR332" s="20"/>
      <c r="CS332" s="20"/>
      <c r="CT332" s="20"/>
      <c r="CU332" s="20"/>
      <c r="CV332" s="20"/>
      <c r="CW332" s="20"/>
      <c r="CX332" s="20"/>
      <c r="CY332" s="20"/>
    </row>
    <row r="333" spans="1:103" s="6" customFormat="1">
      <c r="A333"/>
      <c r="B333"/>
      <c r="C333"/>
      <c r="D333"/>
      <c r="E333"/>
      <c r="F333"/>
      <c r="G333"/>
      <c r="H333"/>
      <c r="I333"/>
      <c r="J333"/>
      <c r="N333" s="7"/>
      <c r="O333"/>
      <c r="P333" s="10"/>
      <c r="Q333" s="9"/>
      <c r="R333" s="10"/>
      <c r="S333" s="10"/>
      <c r="AA333" s="11"/>
      <c r="AD333"/>
      <c r="AE333"/>
      <c r="AF333"/>
      <c r="AG333"/>
      <c r="AH333" s="46"/>
      <c r="AI333"/>
      <c r="AJ333"/>
      <c r="AK333"/>
      <c r="AL333"/>
      <c r="AM333"/>
      <c r="AN333"/>
      <c r="AO333"/>
      <c r="AP333"/>
      <c r="AQ333"/>
      <c r="AR333"/>
      <c r="AS333"/>
      <c r="AT333" s="14"/>
      <c r="AU333"/>
      <c r="AV333"/>
      <c r="AW333"/>
      <c r="AX333" s="10"/>
      <c r="AY333" s="20"/>
      <c r="AZ333" s="16"/>
      <c r="BA333"/>
      <c r="BB333"/>
      <c r="BC333" s="16"/>
      <c r="BD333"/>
      <c r="BE333"/>
      <c r="BF333"/>
      <c r="BG333"/>
      <c r="BH333"/>
      <c r="BI333"/>
      <c r="BJ333"/>
      <c r="BK333"/>
      <c r="BL333"/>
      <c r="BM333"/>
      <c r="BN333" s="19"/>
      <c r="BO333"/>
      <c r="BP333"/>
      <c r="BQ333"/>
      <c r="BR333"/>
      <c r="BS333"/>
      <c r="BT333"/>
      <c r="BU333"/>
      <c r="BV333"/>
      <c r="BW333"/>
      <c r="BX333"/>
      <c r="BY333"/>
      <c r="BZ333"/>
      <c r="CA333"/>
      <c r="CB333"/>
      <c r="CC333"/>
      <c r="CD333"/>
      <c r="CE333"/>
      <c r="CF333"/>
      <c r="CG333"/>
      <c r="CH333"/>
      <c r="CI333"/>
      <c r="CJ333"/>
      <c r="CK333"/>
      <c r="CL333"/>
      <c r="CM333" s="20"/>
      <c r="CN333" s="20"/>
      <c r="CO333" s="20"/>
      <c r="CP333" s="20"/>
      <c r="CQ333" s="20"/>
      <c r="CR333" s="20"/>
      <c r="CS333" s="20"/>
      <c r="CT333" s="20"/>
      <c r="CU333" s="20"/>
      <c r="CV333" s="20"/>
      <c r="CW333" s="20"/>
      <c r="CX333" s="20"/>
      <c r="CY333" s="20"/>
    </row>
    <row r="334" spans="1:103" s="6" customFormat="1">
      <c r="A334"/>
      <c r="B334"/>
      <c r="C334"/>
      <c r="D334"/>
      <c r="E334"/>
      <c r="F334"/>
      <c r="G334"/>
      <c r="H334"/>
      <c r="I334"/>
      <c r="J334"/>
      <c r="N334" s="7"/>
      <c r="O334"/>
      <c r="P334" s="10"/>
      <c r="Q334" s="9"/>
      <c r="R334" s="10"/>
      <c r="S334" s="10"/>
      <c r="AA334" s="11"/>
      <c r="AD334"/>
      <c r="AE334"/>
      <c r="AF334"/>
      <c r="AG334"/>
      <c r="AH334" s="46"/>
      <c r="AI334"/>
      <c r="AJ334"/>
      <c r="AK334"/>
      <c r="AL334"/>
      <c r="AM334"/>
      <c r="AN334"/>
      <c r="AO334"/>
      <c r="AP334"/>
      <c r="AQ334"/>
      <c r="AR334"/>
      <c r="AS334"/>
      <c r="AT334" s="14"/>
      <c r="AU334"/>
      <c r="AV334"/>
      <c r="AW334"/>
      <c r="AX334" s="10"/>
      <c r="AY334" s="20"/>
      <c r="AZ334" s="16"/>
      <c r="BA334"/>
      <c r="BB334"/>
      <c r="BC334" s="16"/>
      <c r="BD334"/>
      <c r="BE334"/>
      <c r="BF334"/>
      <c r="BG334"/>
      <c r="BH334"/>
      <c r="BI334"/>
      <c r="BJ334"/>
      <c r="BK334"/>
      <c r="BL334"/>
      <c r="BM334"/>
      <c r="BN334" s="19"/>
      <c r="BO334"/>
      <c r="BP334"/>
      <c r="BQ334"/>
      <c r="BR334"/>
      <c r="BS334"/>
      <c r="BT334"/>
      <c r="BU334"/>
      <c r="BV334"/>
      <c r="BW334"/>
      <c r="BX334"/>
      <c r="BY334"/>
      <c r="BZ334"/>
      <c r="CA334"/>
      <c r="CB334"/>
      <c r="CC334"/>
      <c r="CD334"/>
      <c r="CE334"/>
      <c r="CF334"/>
      <c r="CG334"/>
      <c r="CH334"/>
      <c r="CI334"/>
      <c r="CJ334"/>
      <c r="CK334"/>
      <c r="CL334"/>
      <c r="CM334" s="20"/>
      <c r="CN334" s="20"/>
      <c r="CO334" s="20"/>
      <c r="CP334" s="20"/>
      <c r="CQ334" s="20"/>
      <c r="CR334" s="20"/>
      <c r="CS334" s="20"/>
      <c r="CT334" s="20"/>
      <c r="CU334" s="20"/>
      <c r="CV334" s="20"/>
      <c r="CW334" s="20"/>
      <c r="CX334" s="20"/>
      <c r="CY334" s="20"/>
    </row>
    <row r="335" spans="1:103" s="6" customFormat="1">
      <c r="A335"/>
      <c r="B335"/>
      <c r="C335"/>
      <c r="D335"/>
      <c r="E335"/>
      <c r="F335"/>
      <c r="G335"/>
      <c r="H335"/>
      <c r="I335"/>
      <c r="J335"/>
      <c r="N335" s="7"/>
      <c r="O335"/>
      <c r="P335" s="10"/>
      <c r="Q335" s="9"/>
      <c r="R335" s="10"/>
      <c r="S335" s="10"/>
      <c r="AA335" s="11"/>
      <c r="AD335"/>
      <c r="AE335"/>
      <c r="AF335"/>
      <c r="AG335"/>
      <c r="AH335" s="46"/>
      <c r="AI335"/>
      <c r="AJ335"/>
      <c r="AK335"/>
      <c r="AL335"/>
      <c r="AM335"/>
      <c r="AN335"/>
      <c r="AO335"/>
      <c r="AP335"/>
      <c r="AQ335"/>
      <c r="AR335"/>
      <c r="AS335"/>
      <c r="AT335" s="14"/>
      <c r="AU335"/>
      <c r="AV335"/>
      <c r="AW335"/>
      <c r="AX335" s="10"/>
      <c r="AY335" s="20"/>
      <c r="AZ335" s="16"/>
      <c r="BA335"/>
      <c r="BB335"/>
      <c r="BC335" s="16"/>
      <c r="BD335"/>
      <c r="BE335"/>
      <c r="BF335"/>
      <c r="BG335"/>
      <c r="BH335"/>
      <c r="BI335"/>
      <c r="BJ335"/>
      <c r="BK335"/>
      <c r="BL335"/>
      <c r="BM335"/>
      <c r="BN335" s="19"/>
      <c r="BO335"/>
      <c r="BP335"/>
      <c r="BQ335"/>
      <c r="BR335"/>
      <c r="BS335"/>
      <c r="BT335"/>
      <c r="BU335"/>
      <c r="BV335"/>
      <c r="BW335"/>
      <c r="BX335"/>
      <c r="BY335"/>
      <c r="BZ335"/>
      <c r="CA335"/>
      <c r="CB335"/>
      <c r="CC335"/>
      <c r="CD335"/>
      <c r="CE335"/>
      <c r="CF335"/>
      <c r="CG335"/>
      <c r="CH335"/>
      <c r="CI335"/>
      <c r="CJ335"/>
      <c r="CK335"/>
      <c r="CL335"/>
      <c r="CM335" s="20"/>
      <c r="CN335" s="20"/>
      <c r="CO335" s="20"/>
      <c r="CP335" s="20"/>
      <c r="CQ335" s="20"/>
      <c r="CR335" s="20"/>
      <c r="CS335" s="20"/>
      <c r="CT335" s="20"/>
      <c r="CU335" s="20"/>
      <c r="CV335" s="20"/>
      <c r="CW335" s="20"/>
      <c r="CX335" s="20"/>
      <c r="CY335" s="20"/>
    </row>
    <row r="336" spans="1:103" s="6" customFormat="1">
      <c r="A336"/>
      <c r="B336"/>
      <c r="C336"/>
      <c r="D336"/>
      <c r="E336"/>
      <c r="F336"/>
      <c r="G336"/>
      <c r="H336"/>
      <c r="I336"/>
      <c r="J336"/>
      <c r="N336" s="7"/>
      <c r="O336"/>
      <c r="P336" s="10"/>
      <c r="Q336" s="9"/>
      <c r="R336" s="10"/>
      <c r="S336" s="10"/>
      <c r="AA336" s="11"/>
      <c r="AD336"/>
      <c r="AE336"/>
      <c r="AF336"/>
      <c r="AG336"/>
      <c r="AH336" s="46"/>
      <c r="AI336"/>
      <c r="AJ336"/>
      <c r="AK336"/>
      <c r="AL336"/>
      <c r="AM336"/>
      <c r="AN336"/>
      <c r="AO336"/>
      <c r="AP336"/>
      <c r="AQ336"/>
      <c r="AR336"/>
      <c r="AS336"/>
      <c r="AT336" s="14"/>
      <c r="AU336"/>
      <c r="AV336"/>
      <c r="AW336"/>
      <c r="AX336" s="10"/>
      <c r="AY336" s="20"/>
      <c r="AZ336" s="16"/>
      <c r="BA336"/>
      <c r="BB336"/>
      <c r="BC336" s="16"/>
      <c r="BD336"/>
      <c r="BE336"/>
      <c r="BF336"/>
      <c r="BG336"/>
      <c r="BH336"/>
      <c r="BI336"/>
      <c r="BJ336"/>
      <c r="BK336"/>
      <c r="BL336"/>
      <c r="BM336"/>
      <c r="BN336" s="19"/>
      <c r="BO336"/>
      <c r="BP336"/>
      <c r="BQ336"/>
      <c r="BR336"/>
      <c r="BS336"/>
      <c r="BT336"/>
      <c r="BU336"/>
      <c r="BV336"/>
      <c r="BW336"/>
      <c r="BX336"/>
      <c r="BY336"/>
      <c r="BZ336"/>
      <c r="CA336"/>
      <c r="CB336"/>
      <c r="CC336"/>
      <c r="CD336"/>
      <c r="CE336"/>
      <c r="CF336"/>
      <c r="CG336"/>
      <c r="CH336"/>
      <c r="CI336"/>
      <c r="CJ336"/>
      <c r="CK336"/>
      <c r="CL336"/>
      <c r="CM336" s="20"/>
      <c r="CN336" s="20"/>
      <c r="CO336" s="20"/>
      <c r="CP336" s="20"/>
      <c r="CQ336" s="20"/>
      <c r="CR336" s="20"/>
      <c r="CS336" s="20"/>
      <c r="CT336" s="20"/>
      <c r="CU336" s="20"/>
      <c r="CV336" s="20"/>
      <c r="CW336" s="20"/>
      <c r="CX336" s="20"/>
      <c r="CY336" s="20"/>
    </row>
    <row r="337" spans="1:103" s="6" customFormat="1">
      <c r="A337"/>
      <c r="B337"/>
      <c r="C337"/>
      <c r="D337"/>
      <c r="E337"/>
      <c r="F337"/>
      <c r="G337"/>
      <c r="H337"/>
      <c r="I337"/>
      <c r="J337"/>
      <c r="N337" s="7"/>
      <c r="O337"/>
      <c r="P337" s="10"/>
      <c r="Q337" s="9"/>
      <c r="R337" s="10"/>
      <c r="S337" s="10"/>
      <c r="AA337" s="11"/>
      <c r="AD337"/>
      <c r="AE337"/>
      <c r="AF337"/>
      <c r="AG337"/>
      <c r="AH337" s="46"/>
      <c r="AI337"/>
      <c r="AJ337"/>
      <c r="AK337"/>
      <c r="AL337"/>
      <c r="AM337"/>
      <c r="AN337"/>
      <c r="AO337"/>
      <c r="AP337"/>
      <c r="AQ337"/>
      <c r="AR337"/>
      <c r="AS337"/>
      <c r="AT337" s="14"/>
      <c r="AU337"/>
      <c r="AV337"/>
      <c r="AW337"/>
      <c r="AX337" s="10"/>
      <c r="AY337" s="20"/>
      <c r="AZ337" s="16"/>
      <c r="BA337"/>
      <c r="BB337"/>
      <c r="BC337" s="16"/>
      <c r="BD337"/>
      <c r="BE337"/>
      <c r="BF337"/>
      <c r="BG337"/>
      <c r="BH337"/>
      <c r="BI337"/>
      <c r="BJ337"/>
      <c r="BK337"/>
      <c r="BL337"/>
      <c r="BM337"/>
      <c r="BN337" s="19"/>
      <c r="BO337"/>
      <c r="BP337"/>
      <c r="BQ337"/>
      <c r="BR337"/>
      <c r="BS337"/>
      <c r="BT337"/>
      <c r="BU337"/>
      <c r="BV337"/>
      <c r="BW337"/>
      <c r="BX337"/>
      <c r="BY337"/>
      <c r="BZ337"/>
      <c r="CA337"/>
      <c r="CB337"/>
      <c r="CC337"/>
      <c r="CD337"/>
      <c r="CE337"/>
      <c r="CF337"/>
      <c r="CG337"/>
      <c r="CH337"/>
      <c r="CI337"/>
      <c r="CJ337"/>
      <c r="CK337"/>
      <c r="CL337"/>
      <c r="CM337" s="20"/>
      <c r="CN337" s="20"/>
      <c r="CO337" s="20"/>
      <c r="CP337" s="20"/>
      <c r="CQ337" s="20"/>
      <c r="CR337" s="20"/>
      <c r="CS337" s="20"/>
      <c r="CT337" s="20"/>
      <c r="CU337" s="20"/>
      <c r="CV337" s="20"/>
      <c r="CW337" s="20"/>
      <c r="CX337" s="20"/>
      <c r="CY337" s="20"/>
    </row>
    <row r="338" spans="1:103" s="6" customFormat="1">
      <c r="A338"/>
      <c r="B338"/>
      <c r="C338"/>
      <c r="D338"/>
      <c r="E338"/>
      <c r="F338"/>
      <c r="G338"/>
      <c r="H338"/>
      <c r="I338"/>
      <c r="J338"/>
      <c r="N338" s="7"/>
      <c r="O338"/>
      <c r="P338" s="10"/>
      <c r="Q338" s="9"/>
      <c r="R338" s="10"/>
      <c r="S338" s="10"/>
      <c r="AA338" s="11"/>
      <c r="AD338"/>
      <c r="AE338"/>
      <c r="AF338"/>
      <c r="AG338"/>
      <c r="AH338" s="46"/>
      <c r="AI338"/>
      <c r="AJ338"/>
      <c r="AK338"/>
      <c r="AL338"/>
      <c r="AM338"/>
      <c r="AN338"/>
      <c r="AO338"/>
      <c r="AP338"/>
      <c r="AQ338"/>
      <c r="AR338"/>
      <c r="AS338"/>
      <c r="AT338" s="14"/>
      <c r="AU338"/>
      <c r="AV338"/>
      <c r="AW338"/>
      <c r="AX338" s="10"/>
      <c r="AY338" s="20"/>
      <c r="AZ338" s="16"/>
      <c r="BA338"/>
      <c r="BB338"/>
      <c r="BC338" s="16"/>
      <c r="BD338"/>
      <c r="BE338"/>
      <c r="BF338"/>
      <c r="BG338"/>
      <c r="BH338"/>
      <c r="BI338"/>
      <c r="BJ338"/>
      <c r="BK338"/>
      <c r="BL338"/>
      <c r="BM338"/>
      <c r="BN338" s="19"/>
      <c r="BO338"/>
      <c r="BP338"/>
      <c r="BQ338"/>
      <c r="BR338"/>
      <c r="BS338"/>
      <c r="BT338"/>
      <c r="BU338"/>
      <c r="BV338"/>
      <c r="BW338"/>
      <c r="BX338"/>
      <c r="BY338"/>
      <c r="BZ338"/>
      <c r="CA338"/>
      <c r="CB338"/>
      <c r="CC338"/>
      <c r="CD338"/>
      <c r="CE338"/>
      <c r="CF338"/>
      <c r="CG338"/>
      <c r="CH338"/>
      <c r="CI338"/>
      <c r="CJ338"/>
      <c r="CK338"/>
      <c r="CL338"/>
      <c r="CM338" s="20"/>
      <c r="CN338" s="20"/>
      <c r="CO338" s="20"/>
      <c r="CP338" s="20"/>
      <c r="CQ338" s="20"/>
      <c r="CR338" s="20"/>
      <c r="CS338" s="20"/>
      <c r="CT338" s="20"/>
      <c r="CU338" s="20"/>
      <c r="CV338" s="20"/>
      <c r="CW338" s="20"/>
      <c r="CX338" s="20"/>
      <c r="CY338" s="20"/>
    </row>
    <row r="339" spans="1:103" s="6" customFormat="1">
      <c r="A339"/>
      <c r="B339"/>
      <c r="C339"/>
      <c r="D339"/>
      <c r="E339"/>
      <c r="F339"/>
      <c r="G339"/>
      <c r="H339"/>
      <c r="I339"/>
      <c r="J339"/>
      <c r="N339" s="7"/>
      <c r="O339"/>
      <c r="P339" s="10"/>
      <c r="Q339" s="9"/>
      <c r="R339" s="10"/>
      <c r="S339" s="10"/>
      <c r="AA339" s="11"/>
      <c r="AD339"/>
      <c r="AE339"/>
      <c r="AF339"/>
      <c r="AG339"/>
      <c r="AH339" s="46"/>
      <c r="AI339"/>
      <c r="AJ339"/>
      <c r="AK339"/>
      <c r="AL339"/>
      <c r="AM339"/>
      <c r="AN339"/>
      <c r="AO339"/>
      <c r="AP339"/>
      <c r="AQ339"/>
      <c r="AR339"/>
      <c r="AS339"/>
      <c r="AT339" s="14"/>
      <c r="AU339"/>
      <c r="AV339"/>
      <c r="AW339"/>
      <c r="AX339" s="10"/>
      <c r="AY339" s="20"/>
      <c r="AZ339" s="16"/>
      <c r="BA339"/>
      <c r="BB339"/>
      <c r="BC339" s="16"/>
      <c r="BD339"/>
      <c r="BE339"/>
      <c r="BF339"/>
      <c r="BG339"/>
      <c r="BH339"/>
      <c r="BI339"/>
      <c r="BJ339"/>
      <c r="BK339"/>
      <c r="BL339"/>
      <c r="BM339"/>
      <c r="BN339" s="19"/>
      <c r="BO339"/>
      <c r="BP339"/>
      <c r="BQ339"/>
      <c r="BR339"/>
      <c r="BS339"/>
      <c r="BT339"/>
      <c r="BU339"/>
      <c r="BV339"/>
      <c r="BW339"/>
      <c r="BX339"/>
      <c r="BY339"/>
      <c r="BZ339"/>
      <c r="CA339"/>
      <c r="CB339"/>
      <c r="CC339"/>
      <c r="CD339"/>
      <c r="CE339"/>
      <c r="CF339"/>
      <c r="CG339"/>
      <c r="CH339"/>
      <c r="CI339"/>
      <c r="CJ339"/>
      <c r="CK339"/>
      <c r="CL339"/>
      <c r="CM339" s="20"/>
      <c r="CN339" s="20"/>
      <c r="CO339" s="20"/>
      <c r="CP339" s="20"/>
      <c r="CQ339" s="20"/>
      <c r="CR339" s="20"/>
      <c r="CS339" s="20"/>
      <c r="CT339" s="20"/>
      <c r="CU339" s="20"/>
      <c r="CV339" s="20"/>
      <c r="CW339" s="20"/>
      <c r="CX339" s="20"/>
      <c r="CY339" s="20"/>
    </row>
    <row r="340" spans="1:103" s="6" customFormat="1">
      <c r="A340"/>
      <c r="B340"/>
      <c r="C340"/>
      <c r="D340"/>
      <c r="E340"/>
      <c r="F340"/>
      <c r="G340"/>
      <c r="H340"/>
      <c r="I340"/>
      <c r="J340"/>
      <c r="N340" s="7"/>
      <c r="O340"/>
      <c r="P340" s="10"/>
      <c r="Q340" s="9"/>
      <c r="R340" s="10"/>
      <c r="S340" s="10"/>
      <c r="AA340" s="11"/>
      <c r="AD340"/>
      <c r="AE340"/>
      <c r="AF340"/>
      <c r="AG340"/>
      <c r="AH340" s="46"/>
      <c r="AI340"/>
      <c r="AJ340"/>
      <c r="AK340"/>
      <c r="AL340"/>
      <c r="AM340"/>
      <c r="AN340"/>
      <c r="AO340"/>
      <c r="AP340"/>
      <c r="AQ340"/>
      <c r="AR340"/>
      <c r="AS340"/>
      <c r="AT340" s="14"/>
      <c r="AU340"/>
      <c r="AV340"/>
      <c r="AW340"/>
      <c r="AX340" s="10"/>
      <c r="AY340" s="20"/>
      <c r="AZ340" s="16"/>
      <c r="BA340"/>
      <c r="BB340"/>
      <c r="BC340" s="16"/>
      <c r="BD340"/>
      <c r="BE340"/>
      <c r="BF340"/>
      <c r="BG340"/>
      <c r="BH340"/>
      <c r="BI340"/>
      <c r="BJ340"/>
      <c r="BK340"/>
      <c r="BL340"/>
      <c r="BM340"/>
      <c r="BN340" s="19"/>
      <c r="BO340"/>
      <c r="BP340"/>
      <c r="BQ340"/>
      <c r="BR340"/>
      <c r="BS340"/>
      <c r="BT340"/>
      <c r="BU340"/>
      <c r="BV340"/>
      <c r="BW340"/>
      <c r="BX340"/>
      <c r="BY340"/>
      <c r="BZ340"/>
      <c r="CA340"/>
      <c r="CB340"/>
      <c r="CC340"/>
      <c r="CD340"/>
      <c r="CE340"/>
      <c r="CF340"/>
      <c r="CG340"/>
      <c r="CH340"/>
      <c r="CI340"/>
      <c r="CJ340"/>
      <c r="CK340"/>
      <c r="CL340"/>
      <c r="CM340" s="20"/>
      <c r="CN340" s="20"/>
      <c r="CO340" s="20"/>
      <c r="CP340" s="20"/>
      <c r="CQ340" s="20"/>
      <c r="CR340" s="20"/>
      <c r="CS340" s="20"/>
      <c r="CT340" s="20"/>
      <c r="CU340" s="20"/>
      <c r="CV340" s="20"/>
      <c r="CW340" s="20"/>
      <c r="CX340" s="20"/>
      <c r="CY340" s="20"/>
    </row>
    <row r="341" spans="1:103" s="6" customFormat="1">
      <c r="A341"/>
      <c r="B341"/>
      <c r="C341"/>
      <c r="D341"/>
      <c r="E341"/>
      <c r="F341"/>
      <c r="G341"/>
      <c r="H341"/>
      <c r="I341"/>
      <c r="J341"/>
      <c r="N341" s="7"/>
      <c r="O341"/>
      <c r="P341" s="10"/>
      <c r="Q341" s="9"/>
      <c r="R341" s="10"/>
      <c r="S341" s="10"/>
      <c r="AA341" s="11"/>
      <c r="AD341"/>
      <c r="AE341"/>
      <c r="AF341"/>
      <c r="AG341"/>
      <c r="AH341" s="46"/>
      <c r="AI341"/>
      <c r="AJ341"/>
      <c r="AK341"/>
      <c r="AL341"/>
      <c r="AM341"/>
      <c r="AN341"/>
      <c r="AO341"/>
      <c r="AP341"/>
      <c r="AQ341"/>
      <c r="AR341"/>
      <c r="AS341"/>
      <c r="AT341" s="14"/>
      <c r="AU341"/>
      <c r="AV341"/>
      <c r="AW341"/>
      <c r="AX341" s="10"/>
      <c r="AY341" s="20"/>
      <c r="AZ341" s="16"/>
      <c r="BA341"/>
      <c r="BB341"/>
      <c r="BC341" s="16"/>
      <c r="BD341"/>
      <c r="BE341"/>
      <c r="BF341"/>
      <c r="BG341"/>
      <c r="BH341"/>
      <c r="BI341"/>
      <c r="BJ341"/>
      <c r="BK341"/>
      <c r="BL341"/>
      <c r="BM341"/>
      <c r="BN341" s="19"/>
      <c r="BO341"/>
      <c r="BP341"/>
      <c r="BQ341"/>
      <c r="BR341"/>
      <c r="BS341"/>
      <c r="BT341"/>
      <c r="BU341"/>
      <c r="BV341"/>
      <c r="BW341"/>
      <c r="BX341"/>
      <c r="BY341"/>
      <c r="BZ341"/>
      <c r="CA341"/>
      <c r="CB341"/>
      <c r="CC341"/>
      <c r="CD341"/>
      <c r="CE341"/>
      <c r="CF341"/>
      <c r="CG341"/>
      <c r="CH341"/>
      <c r="CI341"/>
      <c r="CJ341"/>
      <c r="CK341"/>
      <c r="CL341"/>
      <c r="CM341" s="20"/>
      <c r="CN341" s="20"/>
      <c r="CO341" s="20"/>
      <c r="CP341" s="20"/>
      <c r="CQ341" s="20"/>
      <c r="CR341" s="20"/>
      <c r="CS341" s="20"/>
      <c r="CT341" s="20"/>
      <c r="CU341" s="20"/>
      <c r="CV341" s="20"/>
      <c r="CW341" s="20"/>
      <c r="CX341" s="20"/>
      <c r="CY341" s="20"/>
    </row>
    <row r="342" spans="1:103" s="6" customFormat="1">
      <c r="A342"/>
      <c r="B342"/>
      <c r="C342"/>
      <c r="D342"/>
      <c r="E342"/>
      <c r="F342"/>
      <c r="G342"/>
      <c r="H342"/>
      <c r="I342"/>
      <c r="J342"/>
      <c r="N342" s="7"/>
      <c r="O342"/>
      <c r="P342" s="10"/>
      <c r="Q342" s="9"/>
      <c r="R342" s="10"/>
      <c r="S342" s="10"/>
      <c r="AA342" s="11"/>
      <c r="AD342"/>
      <c r="AE342"/>
      <c r="AF342"/>
      <c r="AG342"/>
      <c r="AH342" s="46"/>
      <c r="AI342"/>
      <c r="AJ342"/>
      <c r="AK342"/>
      <c r="AL342"/>
      <c r="AM342"/>
      <c r="AN342"/>
      <c r="AO342"/>
      <c r="AP342"/>
      <c r="AQ342"/>
      <c r="AR342"/>
      <c r="AS342"/>
      <c r="AT342" s="14"/>
      <c r="AU342"/>
      <c r="AV342"/>
      <c r="AW342"/>
      <c r="AX342" s="10"/>
      <c r="AY342" s="20"/>
      <c r="AZ342" s="16"/>
      <c r="BA342"/>
      <c r="BB342"/>
      <c r="BC342" s="16"/>
      <c r="BD342"/>
      <c r="BE342"/>
      <c r="BF342"/>
      <c r="BG342"/>
      <c r="BH342"/>
      <c r="BI342"/>
      <c r="BJ342"/>
      <c r="BK342"/>
      <c r="BL342"/>
      <c r="BM342"/>
      <c r="BN342" s="19"/>
      <c r="BO342"/>
      <c r="BP342"/>
      <c r="BQ342"/>
      <c r="BR342"/>
      <c r="BS342"/>
      <c r="BT342"/>
      <c r="BU342"/>
      <c r="BV342"/>
      <c r="BW342"/>
      <c r="BX342"/>
      <c r="BY342"/>
      <c r="BZ342"/>
      <c r="CA342"/>
      <c r="CB342"/>
      <c r="CC342"/>
      <c r="CD342"/>
      <c r="CE342"/>
      <c r="CF342"/>
      <c r="CG342"/>
      <c r="CH342"/>
      <c r="CI342"/>
      <c r="CJ342"/>
      <c r="CK342"/>
      <c r="CL342"/>
      <c r="CM342" s="20"/>
      <c r="CN342" s="20"/>
      <c r="CO342" s="20"/>
      <c r="CP342" s="20"/>
      <c r="CQ342" s="20"/>
      <c r="CR342" s="20"/>
      <c r="CS342" s="20"/>
      <c r="CT342" s="20"/>
      <c r="CU342" s="20"/>
      <c r="CV342" s="20"/>
      <c r="CW342" s="20"/>
      <c r="CX342" s="20"/>
      <c r="CY342" s="20"/>
    </row>
    <row r="343" spans="1:103" s="6" customFormat="1">
      <c r="A343"/>
      <c r="B343"/>
      <c r="C343"/>
      <c r="D343"/>
      <c r="E343"/>
      <c r="F343"/>
      <c r="G343"/>
      <c r="H343"/>
      <c r="I343"/>
      <c r="J343"/>
      <c r="N343" s="7"/>
      <c r="O343"/>
      <c r="P343" s="10"/>
      <c r="Q343" s="9"/>
      <c r="R343" s="10"/>
      <c r="S343" s="10"/>
      <c r="AA343" s="11"/>
      <c r="AD343"/>
      <c r="AE343"/>
      <c r="AF343"/>
      <c r="AG343"/>
      <c r="AH343" s="46"/>
      <c r="AI343"/>
      <c r="AJ343"/>
      <c r="AK343"/>
      <c r="AL343"/>
      <c r="AM343"/>
      <c r="AN343"/>
      <c r="AO343"/>
      <c r="AP343"/>
      <c r="AQ343"/>
      <c r="AR343"/>
      <c r="AS343"/>
      <c r="AT343" s="14"/>
      <c r="AU343"/>
      <c r="AV343"/>
      <c r="AW343"/>
      <c r="AX343" s="10"/>
      <c r="AY343" s="20"/>
      <c r="AZ343" s="16"/>
      <c r="BA343"/>
      <c r="BB343"/>
      <c r="BC343" s="16"/>
      <c r="BD343"/>
      <c r="BE343"/>
      <c r="BF343"/>
      <c r="BG343"/>
      <c r="BH343"/>
      <c r="BI343"/>
      <c r="BJ343"/>
      <c r="BK343"/>
      <c r="BL343"/>
      <c r="BM343"/>
      <c r="BN343" s="19"/>
      <c r="BO343"/>
      <c r="BP343"/>
      <c r="BQ343"/>
      <c r="BR343"/>
      <c r="BS343"/>
      <c r="BT343"/>
      <c r="BU343"/>
      <c r="BV343"/>
      <c r="BW343"/>
      <c r="BX343"/>
      <c r="BY343"/>
      <c r="BZ343"/>
      <c r="CA343"/>
      <c r="CB343"/>
      <c r="CC343"/>
      <c r="CD343"/>
      <c r="CE343"/>
      <c r="CF343"/>
      <c r="CG343"/>
      <c r="CH343"/>
      <c r="CI343"/>
      <c r="CJ343"/>
      <c r="CK343"/>
      <c r="CL343"/>
      <c r="CM343" s="20"/>
      <c r="CN343" s="20"/>
      <c r="CO343" s="20"/>
      <c r="CP343" s="20"/>
      <c r="CQ343" s="20"/>
      <c r="CR343" s="20"/>
      <c r="CS343" s="20"/>
      <c r="CT343" s="20"/>
      <c r="CU343" s="20"/>
      <c r="CV343" s="20"/>
      <c r="CW343" s="20"/>
      <c r="CX343" s="20"/>
      <c r="CY343" s="20"/>
    </row>
    <row r="344" spans="1:103" s="6" customFormat="1">
      <c r="A344"/>
      <c r="B344"/>
      <c r="C344"/>
      <c r="D344"/>
      <c r="E344"/>
      <c r="F344"/>
      <c r="G344"/>
      <c r="H344"/>
      <c r="I344"/>
      <c r="J344"/>
      <c r="N344" s="7"/>
      <c r="O344"/>
      <c r="P344" s="10"/>
      <c r="Q344" s="9"/>
      <c r="R344" s="10"/>
      <c r="S344" s="10"/>
      <c r="AA344" s="11"/>
      <c r="AD344"/>
      <c r="AE344"/>
      <c r="AF344"/>
      <c r="AG344"/>
      <c r="AH344" s="46"/>
      <c r="AI344"/>
      <c r="AJ344"/>
      <c r="AK344"/>
      <c r="AL344"/>
      <c r="AM344"/>
      <c r="AN344"/>
      <c r="AO344"/>
      <c r="AP344"/>
      <c r="AQ344"/>
      <c r="AR344"/>
      <c r="AS344"/>
      <c r="AT344" s="14"/>
      <c r="AU344"/>
      <c r="AV344"/>
      <c r="AW344"/>
      <c r="AX344" s="10"/>
      <c r="AY344" s="20"/>
      <c r="AZ344" s="16"/>
      <c r="BA344"/>
      <c r="BB344"/>
      <c r="BC344" s="16"/>
      <c r="BD344"/>
      <c r="BE344"/>
      <c r="BF344"/>
      <c r="BG344"/>
      <c r="BH344"/>
      <c r="BI344"/>
      <c r="BJ344"/>
      <c r="BK344"/>
      <c r="BL344"/>
      <c r="BM344"/>
      <c r="BN344" s="19"/>
      <c r="BO344"/>
      <c r="BP344"/>
      <c r="BQ344"/>
      <c r="BR344"/>
      <c r="BS344"/>
      <c r="BT344"/>
      <c r="BU344"/>
      <c r="BV344"/>
      <c r="BW344"/>
      <c r="BX344"/>
      <c r="BY344"/>
      <c r="BZ344"/>
      <c r="CA344"/>
      <c r="CB344"/>
      <c r="CC344"/>
      <c r="CD344"/>
      <c r="CE344"/>
      <c r="CF344"/>
      <c r="CG344"/>
      <c r="CH344"/>
      <c r="CI344"/>
      <c r="CJ344"/>
      <c r="CK344"/>
      <c r="CL344"/>
      <c r="CM344" s="20"/>
      <c r="CN344" s="20"/>
      <c r="CO344" s="20"/>
      <c r="CP344" s="20"/>
      <c r="CQ344" s="20"/>
      <c r="CR344" s="20"/>
      <c r="CS344" s="20"/>
      <c r="CT344" s="20"/>
      <c r="CU344" s="20"/>
      <c r="CV344" s="20"/>
      <c r="CW344" s="20"/>
      <c r="CX344" s="20"/>
      <c r="CY344" s="20"/>
    </row>
    <row r="345" spans="1:103" s="6" customFormat="1">
      <c r="A345"/>
      <c r="B345"/>
      <c r="C345"/>
      <c r="D345"/>
      <c r="E345"/>
      <c r="F345"/>
      <c r="G345"/>
      <c r="H345"/>
      <c r="I345"/>
      <c r="J345"/>
      <c r="N345" s="7"/>
      <c r="O345"/>
      <c r="P345" s="10"/>
      <c r="Q345" s="9"/>
      <c r="R345" s="10"/>
      <c r="S345" s="10"/>
      <c r="AA345" s="11"/>
      <c r="AD345"/>
      <c r="AE345"/>
      <c r="AF345"/>
      <c r="AG345"/>
      <c r="AH345" s="46"/>
      <c r="AI345"/>
      <c r="AJ345"/>
      <c r="AK345"/>
      <c r="AL345"/>
      <c r="AM345"/>
      <c r="AN345"/>
      <c r="AO345"/>
      <c r="AP345"/>
      <c r="AQ345"/>
      <c r="AR345"/>
      <c r="AS345"/>
      <c r="AT345" s="14"/>
      <c r="AU345"/>
      <c r="AV345"/>
      <c r="AW345"/>
      <c r="AX345" s="10"/>
      <c r="AY345" s="20"/>
      <c r="AZ345" s="16"/>
      <c r="BA345"/>
      <c r="BB345"/>
      <c r="BC345" s="16"/>
      <c r="BD345"/>
      <c r="BE345"/>
      <c r="BF345"/>
      <c r="BG345"/>
      <c r="BH345"/>
      <c r="BI345"/>
      <c r="BJ345"/>
      <c r="BK345"/>
      <c r="BL345"/>
      <c r="BM345"/>
      <c r="BN345" s="19"/>
      <c r="BO345"/>
      <c r="BP345"/>
      <c r="BQ345"/>
      <c r="BR345"/>
      <c r="BS345"/>
      <c r="BT345"/>
      <c r="BU345"/>
      <c r="BV345"/>
      <c r="BW345"/>
      <c r="BX345"/>
      <c r="BY345"/>
      <c r="BZ345"/>
      <c r="CA345"/>
      <c r="CB345"/>
      <c r="CC345"/>
      <c r="CD345"/>
      <c r="CE345"/>
      <c r="CF345"/>
      <c r="CG345"/>
      <c r="CH345"/>
      <c r="CI345"/>
      <c r="CJ345"/>
      <c r="CK345"/>
      <c r="CL345"/>
      <c r="CM345" s="20"/>
      <c r="CN345" s="20"/>
      <c r="CO345" s="20"/>
      <c r="CP345" s="20"/>
      <c r="CQ345" s="20"/>
      <c r="CR345" s="20"/>
      <c r="CS345" s="20"/>
      <c r="CT345" s="20"/>
      <c r="CU345" s="20"/>
      <c r="CV345" s="20"/>
      <c r="CW345" s="20"/>
      <c r="CX345" s="20"/>
      <c r="CY345" s="20"/>
    </row>
    <row r="346" spans="1:103" s="6" customFormat="1">
      <c r="A346"/>
      <c r="B346"/>
      <c r="C346"/>
      <c r="D346"/>
      <c r="E346"/>
      <c r="F346"/>
      <c r="G346"/>
      <c r="H346"/>
      <c r="I346"/>
      <c r="J346"/>
      <c r="N346" s="7"/>
      <c r="O346"/>
      <c r="P346" s="10"/>
      <c r="Q346" s="9"/>
      <c r="R346" s="10"/>
      <c r="S346" s="10"/>
      <c r="AA346" s="11"/>
      <c r="AD346"/>
      <c r="AE346"/>
      <c r="AF346"/>
      <c r="AG346"/>
      <c r="AH346" s="46"/>
      <c r="AI346"/>
      <c r="AJ346"/>
      <c r="AK346"/>
      <c r="AL346"/>
      <c r="AM346"/>
      <c r="AN346"/>
      <c r="AO346"/>
      <c r="AP346"/>
      <c r="AQ346"/>
      <c r="AR346"/>
      <c r="AS346"/>
      <c r="AT346" s="14"/>
      <c r="AU346"/>
      <c r="AV346"/>
      <c r="AW346"/>
      <c r="AX346" s="10"/>
      <c r="AY346" s="20"/>
      <c r="AZ346" s="16"/>
      <c r="BA346"/>
      <c r="BB346"/>
      <c r="BC346" s="16"/>
      <c r="BD346"/>
      <c r="BE346"/>
      <c r="BF346"/>
      <c r="BG346"/>
      <c r="BH346"/>
      <c r="BI346"/>
      <c r="BJ346"/>
      <c r="BK346"/>
      <c r="BL346"/>
      <c r="BM346"/>
      <c r="BN346" s="19"/>
      <c r="BO346"/>
      <c r="BP346"/>
      <c r="BQ346"/>
      <c r="BR346"/>
      <c r="BS346"/>
      <c r="BT346"/>
      <c r="BU346"/>
      <c r="BV346"/>
      <c r="BW346"/>
      <c r="BX346"/>
      <c r="BY346"/>
      <c r="BZ346"/>
      <c r="CA346"/>
      <c r="CB346"/>
      <c r="CC346"/>
      <c r="CD346"/>
      <c r="CE346"/>
      <c r="CF346"/>
      <c r="CG346"/>
      <c r="CH346"/>
      <c r="CI346"/>
      <c r="CJ346"/>
      <c r="CK346"/>
      <c r="CL346"/>
      <c r="CM346" s="20"/>
      <c r="CN346" s="20"/>
      <c r="CO346" s="20"/>
      <c r="CP346" s="20"/>
      <c r="CQ346" s="20"/>
      <c r="CR346" s="20"/>
      <c r="CS346" s="20"/>
      <c r="CT346" s="20"/>
      <c r="CU346" s="20"/>
      <c r="CV346" s="20"/>
      <c r="CW346" s="20"/>
      <c r="CX346" s="20"/>
      <c r="CY346" s="20"/>
    </row>
    <row r="347" spans="1:103" s="6" customFormat="1">
      <c r="A347"/>
      <c r="B347"/>
      <c r="C347"/>
      <c r="D347"/>
      <c r="E347"/>
      <c r="F347"/>
      <c r="G347"/>
      <c r="H347"/>
      <c r="I347"/>
      <c r="J347"/>
      <c r="N347" s="7"/>
      <c r="O347"/>
      <c r="P347" s="10"/>
      <c r="Q347" s="9"/>
      <c r="R347" s="10"/>
      <c r="S347" s="10"/>
      <c r="AA347" s="11"/>
      <c r="AD347"/>
      <c r="AE347"/>
      <c r="AF347"/>
      <c r="AG347"/>
      <c r="AH347" s="46"/>
      <c r="AI347"/>
      <c r="AJ347"/>
      <c r="AK347"/>
      <c r="AL347"/>
      <c r="AM347"/>
      <c r="AN347"/>
      <c r="AO347"/>
      <c r="AP347"/>
      <c r="AQ347"/>
      <c r="AR347"/>
      <c r="AS347"/>
      <c r="AT347" s="14"/>
      <c r="AU347"/>
      <c r="AV347"/>
      <c r="AW347"/>
      <c r="AX347" s="10"/>
      <c r="AY347" s="20"/>
      <c r="AZ347" s="16"/>
      <c r="BA347"/>
      <c r="BB347"/>
      <c r="BC347" s="16"/>
      <c r="BD347"/>
      <c r="BE347"/>
      <c r="BF347"/>
      <c r="BG347"/>
      <c r="BH347"/>
      <c r="BI347"/>
      <c r="BJ347"/>
      <c r="BK347"/>
      <c r="BL347"/>
      <c r="BM347"/>
      <c r="BN347" s="19"/>
      <c r="BO347"/>
      <c r="BP347"/>
      <c r="BQ347"/>
      <c r="BR347"/>
      <c r="BS347"/>
      <c r="BT347"/>
      <c r="BU347"/>
      <c r="BV347"/>
      <c r="BW347"/>
      <c r="BX347"/>
      <c r="BY347"/>
      <c r="BZ347"/>
      <c r="CA347"/>
      <c r="CB347"/>
      <c r="CC347"/>
      <c r="CD347"/>
      <c r="CE347"/>
      <c r="CF347"/>
      <c r="CG347"/>
      <c r="CH347"/>
      <c r="CI347"/>
      <c r="CJ347"/>
      <c r="CK347"/>
      <c r="CL347"/>
      <c r="CM347" s="20"/>
      <c r="CN347" s="20"/>
      <c r="CO347" s="20"/>
      <c r="CP347" s="20"/>
      <c r="CQ347" s="20"/>
      <c r="CR347" s="20"/>
      <c r="CS347" s="20"/>
      <c r="CT347" s="20"/>
      <c r="CU347" s="20"/>
      <c r="CV347" s="20"/>
      <c r="CW347" s="20"/>
      <c r="CX347" s="20"/>
      <c r="CY347" s="20"/>
    </row>
    <row r="348" spans="1:103" s="6" customFormat="1">
      <c r="A348"/>
      <c r="B348"/>
      <c r="C348"/>
      <c r="D348"/>
      <c r="E348"/>
      <c r="F348"/>
      <c r="G348"/>
      <c r="H348"/>
      <c r="I348"/>
      <c r="J348"/>
      <c r="N348" s="7"/>
      <c r="O348"/>
      <c r="P348" s="10"/>
      <c r="Q348" s="9"/>
      <c r="R348" s="10"/>
      <c r="S348" s="10"/>
      <c r="AA348" s="11"/>
      <c r="AD348"/>
      <c r="AE348"/>
      <c r="AF348"/>
      <c r="AG348"/>
      <c r="AH348" s="46"/>
      <c r="AI348"/>
      <c r="AJ348"/>
      <c r="AK348"/>
      <c r="AL348"/>
      <c r="AM348"/>
      <c r="AN348"/>
      <c r="AO348"/>
      <c r="AP348"/>
      <c r="AQ348"/>
      <c r="AR348"/>
      <c r="AS348"/>
      <c r="AT348" s="14"/>
      <c r="AU348"/>
      <c r="AV348"/>
      <c r="AW348"/>
      <c r="AX348" s="10"/>
      <c r="AY348" s="20"/>
      <c r="AZ348" s="16"/>
      <c r="BA348"/>
      <c r="BB348"/>
      <c r="BC348" s="16"/>
      <c r="BD348"/>
      <c r="BE348"/>
      <c r="BF348"/>
      <c r="BG348"/>
      <c r="BH348"/>
      <c r="BI348"/>
      <c r="BJ348"/>
      <c r="BK348"/>
      <c r="BL348"/>
      <c r="BM348"/>
      <c r="BN348" s="19"/>
      <c r="BO348"/>
      <c r="BP348"/>
      <c r="BQ348"/>
      <c r="BR348"/>
      <c r="BS348"/>
      <c r="BT348"/>
      <c r="BU348"/>
      <c r="BV348"/>
      <c r="BW348"/>
      <c r="BX348"/>
      <c r="BY348"/>
      <c r="BZ348"/>
      <c r="CA348"/>
      <c r="CB348"/>
      <c r="CC348"/>
      <c r="CD348"/>
      <c r="CE348"/>
      <c r="CF348"/>
      <c r="CG348"/>
      <c r="CH348"/>
      <c r="CI348"/>
      <c r="CJ348"/>
      <c r="CK348"/>
      <c r="CL348"/>
      <c r="CM348" s="20"/>
      <c r="CN348" s="20"/>
      <c r="CO348" s="20"/>
      <c r="CP348" s="20"/>
      <c r="CQ348" s="20"/>
      <c r="CR348" s="20"/>
      <c r="CS348" s="20"/>
      <c r="CT348" s="20"/>
      <c r="CU348" s="20"/>
      <c r="CV348" s="20"/>
      <c r="CW348" s="20"/>
      <c r="CX348" s="20"/>
      <c r="CY348" s="20"/>
    </row>
    <row r="349" spans="1:103" s="6" customFormat="1">
      <c r="A349"/>
      <c r="B349"/>
      <c r="C349"/>
      <c r="D349"/>
      <c r="E349"/>
      <c r="F349"/>
      <c r="G349"/>
      <c r="H349"/>
      <c r="I349"/>
      <c r="J349"/>
      <c r="N349" s="7"/>
      <c r="O349"/>
      <c r="P349" s="10"/>
      <c r="Q349" s="9"/>
      <c r="R349" s="10"/>
      <c r="S349" s="10"/>
      <c r="AA349" s="11"/>
      <c r="AD349"/>
      <c r="AE349"/>
      <c r="AF349"/>
      <c r="AG349"/>
      <c r="AH349" s="46"/>
      <c r="AI349"/>
      <c r="AJ349"/>
      <c r="AK349"/>
      <c r="AL349"/>
      <c r="AM349"/>
      <c r="AN349"/>
      <c r="AO349"/>
      <c r="AP349"/>
      <c r="AQ349"/>
      <c r="AR349"/>
      <c r="AS349"/>
      <c r="AT349" s="14"/>
      <c r="AU349"/>
      <c r="AV349"/>
      <c r="AW349"/>
      <c r="AX349" s="10"/>
      <c r="AY349" s="20"/>
      <c r="AZ349" s="16"/>
      <c r="BA349"/>
      <c r="BB349"/>
      <c r="BC349" s="16"/>
      <c r="BD349"/>
      <c r="BE349"/>
      <c r="BF349"/>
      <c r="BG349"/>
      <c r="BH349"/>
      <c r="BI349"/>
      <c r="BJ349"/>
      <c r="BK349"/>
      <c r="BL349"/>
      <c r="BM349"/>
      <c r="BN349" s="19"/>
      <c r="BO349"/>
      <c r="BP349"/>
      <c r="BQ349"/>
      <c r="BR349"/>
      <c r="BS349"/>
      <c r="BT349"/>
      <c r="BU349"/>
      <c r="BV349"/>
      <c r="BW349"/>
      <c r="BX349"/>
      <c r="BY349"/>
      <c r="BZ349"/>
      <c r="CA349"/>
      <c r="CB349"/>
      <c r="CC349"/>
      <c r="CD349"/>
      <c r="CE349"/>
      <c r="CF349"/>
      <c r="CG349"/>
      <c r="CH349"/>
      <c r="CI349"/>
      <c r="CJ349"/>
      <c r="CK349"/>
      <c r="CL349"/>
      <c r="CM349" s="20"/>
      <c r="CN349" s="20"/>
      <c r="CO349" s="20"/>
      <c r="CP349" s="20"/>
      <c r="CQ349" s="20"/>
      <c r="CR349" s="20"/>
      <c r="CS349" s="20"/>
      <c r="CT349" s="20"/>
      <c r="CU349" s="20"/>
      <c r="CV349" s="20"/>
      <c r="CW349" s="20"/>
      <c r="CX349" s="20"/>
      <c r="CY349" s="20"/>
    </row>
    <row r="350" spans="1:103" s="6" customFormat="1">
      <c r="A350"/>
      <c r="B350"/>
      <c r="C350"/>
      <c r="D350"/>
      <c r="E350"/>
      <c r="F350"/>
      <c r="G350"/>
      <c r="H350"/>
      <c r="I350"/>
      <c r="J350"/>
      <c r="N350" s="7"/>
      <c r="O350"/>
      <c r="P350" s="10"/>
      <c r="Q350" s="9"/>
      <c r="R350" s="10"/>
      <c r="S350" s="10"/>
      <c r="AA350" s="11"/>
      <c r="AD350"/>
      <c r="AE350"/>
      <c r="AF350"/>
      <c r="AG350"/>
      <c r="AH350" s="46"/>
      <c r="AI350"/>
      <c r="AJ350"/>
      <c r="AK350"/>
      <c r="AL350"/>
      <c r="AM350"/>
      <c r="AN350"/>
      <c r="AO350"/>
      <c r="AP350"/>
      <c r="AQ350"/>
      <c r="AR350"/>
      <c r="AS350"/>
      <c r="AT350" s="14"/>
      <c r="AU350"/>
      <c r="AV350"/>
      <c r="AW350"/>
      <c r="AX350" s="10"/>
      <c r="AY350" s="20"/>
      <c r="AZ350" s="16"/>
      <c r="BA350"/>
      <c r="BB350"/>
      <c r="BC350" s="16"/>
      <c r="BD350"/>
      <c r="BE350"/>
      <c r="BF350"/>
      <c r="BG350"/>
      <c r="BH350"/>
      <c r="BI350"/>
      <c r="BJ350"/>
      <c r="BK350"/>
      <c r="BL350"/>
      <c r="BM350"/>
      <c r="BN350" s="19"/>
      <c r="BO350"/>
      <c r="BP350"/>
      <c r="BQ350"/>
      <c r="BR350"/>
      <c r="BS350"/>
      <c r="BT350"/>
      <c r="BU350"/>
      <c r="BV350"/>
      <c r="BW350"/>
      <c r="BX350"/>
      <c r="BY350"/>
      <c r="BZ350"/>
      <c r="CA350"/>
      <c r="CB350"/>
      <c r="CC350"/>
      <c r="CD350"/>
      <c r="CE350"/>
      <c r="CF350"/>
      <c r="CG350"/>
      <c r="CH350"/>
      <c r="CI350"/>
      <c r="CJ350"/>
      <c r="CK350"/>
      <c r="CL350"/>
      <c r="CM350" s="20"/>
      <c r="CN350" s="20"/>
      <c r="CO350" s="20"/>
      <c r="CP350" s="20"/>
      <c r="CQ350" s="20"/>
      <c r="CR350" s="20"/>
      <c r="CS350" s="20"/>
      <c r="CT350" s="20"/>
      <c r="CU350" s="20"/>
      <c r="CV350" s="20"/>
      <c r="CW350" s="20"/>
      <c r="CX350" s="20"/>
      <c r="CY350" s="20"/>
    </row>
    <row r="351" spans="1:103" s="6" customFormat="1">
      <c r="A351"/>
      <c r="B351"/>
      <c r="C351"/>
      <c r="D351"/>
      <c r="E351"/>
      <c r="F351"/>
      <c r="G351"/>
      <c r="H351"/>
      <c r="I351"/>
      <c r="J351"/>
      <c r="N351" s="7"/>
      <c r="O351"/>
      <c r="P351" s="10"/>
      <c r="Q351" s="9"/>
      <c r="R351" s="10"/>
      <c r="S351" s="10"/>
      <c r="AA351" s="11"/>
      <c r="AD351"/>
      <c r="AE351"/>
      <c r="AF351"/>
      <c r="AG351"/>
      <c r="AH351" s="46"/>
      <c r="AI351"/>
      <c r="AJ351"/>
      <c r="AK351"/>
      <c r="AL351"/>
      <c r="AM351"/>
      <c r="AN351"/>
      <c r="AO351"/>
      <c r="AP351"/>
      <c r="AQ351"/>
      <c r="AR351"/>
      <c r="AS351"/>
      <c r="AT351" s="14"/>
      <c r="AU351"/>
      <c r="AV351"/>
      <c r="AW351"/>
      <c r="AX351" s="10"/>
      <c r="AY351" s="20"/>
      <c r="AZ351" s="16"/>
      <c r="BA351"/>
      <c r="BB351"/>
      <c r="BC351" s="16"/>
      <c r="BD351"/>
      <c r="BE351"/>
      <c r="BF351"/>
      <c r="BG351"/>
      <c r="BH351"/>
      <c r="BI351"/>
      <c r="BJ351"/>
      <c r="BK351"/>
      <c r="BL351"/>
      <c r="BM351"/>
      <c r="BN351" s="19"/>
      <c r="BO351"/>
      <c r="BP351"/>
      <c r="BQ351"/>
      <c r="BR351"/>
      <c r="BS351"/>
      <c r="BT351"/>
      <c r="BU351"/>
      <c r="BV351"/>
      <c r="BW351"/>
      <c r="BX351"/>
      <c r="BY351"/>
      <c r="BZ351"/>
      <c r="CA351"/>
      <c r="CB351"/>
      <c r="CC351"/>
      <c r="CD351"/>
      <c r="CE351"/>
      <c r="CF351"/>
      <c r="CG351"/>
      <c r="CH351"/>
      <c r="CI351"/>
      <c r="CJ351"/>
      <c r="CK351"/>
      <c r="CL351"/>
      <c r="CM351" s="20"/>
      <c r="CN351" s="20"/>
      <c r="CO351" s="20"/>
      <c r="CP351" s="20"/>
      <c r="CQ351" s="20"/>
      <c r="CR351" s="20"/>
      <c r="CS351" s="20"/>
      <c r="CT351" s="20"/>
      <c r="CU351" s="20"/>
      <c r="CV351" s="20"/>
      <c r="CW351" s="20"/>
      <c r="CX351" s="20"/>
      <c r="CY351" s="20"/>
    </row>
    <row r="352" spans="1:103" s="6" customFormat="1">
      <c r="A352"/>
      <c r="B352"/>
      <c r="C352"/>
      <c r="D352"/>
      <c r="E352"/>
      <c r="F352"/>
      <c r="G352"/>
      <c r="H352"/>
      <c r="I352"/>
      <c r="J352"/>
      <c r="N352" s="7"/>
      <c r="O352"/>
      <c r="P352" s="10"/>
      <c r="Q352" s="9"/>
      <c r="R352" s="10"/>
      <c r="S352" s="10"/>
      <c r="AA352" s="11"/>
      <c r="AD352"/>
      <c r="AE352"/>
      <c r="AF352"/>
      <c r="AG352"/>
      <c r="AH352" s="46"/>
      <c r="AI352"/>
      <c r="AJ352"/>
      <c r="AK352"/>
      <c r="AL352"/>
      <c r="AM352"/>
      <c r="AN352"/>
      <c r="AO352"/>
      <c r="AP352"/>
      <c r="AQ352"/>
      <c r="AR352"/>
      <c r="AS352"/>
      <c r="AT352" s="14"/>
      <c r="AU352"/>
      <c r="AV352"/>
      <c r="AW352"/>
      <c r="AX352" s="10"/>
      <c r="AY352" s="20"/>
      <c r="AZ352" s="16"/>
      <c r="BA352"/>
      <c r="BB352"/>
      <c r="BC352" s="16"/>
      <c r="BD352"/>
      <c r="BE352"/>
      <c r="BF352"/>
      <c r="BG352"/>
      <c r="BH352"/>
      <c r="BI352"/>
      <c r="BJ352"/>
      <c r="BK352"/>
      <c r="BL352"/>
      <c r="BM352"/>
      <c r="BN352" s="19"/>
      <c r="BO352"/>
      <c r="BP352"/>
      <c r="BQ352"/>
      <c r="BR352"/>
      <c r="BS352"/>
      <c r="BT352"/>
      <c r="BU352"/>
      <c r="BV352"/>
      <c r="BW352"/>
      <c r="BX352"/>
      <c r="BY352"/>
      <c r="BZ352"/>
      <c r="CA352"/>
      <c r="CB352"/>
      <c r="CC352"/>
      <c r="CD352"/>
      <c r="CE352"/>
      <c r="CF352"/>
      <c r="CG352"/>
      <c r="CH352"/>
      <c r="CI352"/>
      <c r="CJ352"/>
      <c r="CK352"/>
      <c r="CL352"/>
      <c r="CM352" s="20"/>
      <c r="CN352" s="20"/>
      <c r="CO352" s="20"/>
      <c r="CP352" s="20"/>
      <c r="CQ352" s="20"/>
      <c r="CR352" s="20"/>
      <c r="CS352" s="20"/>
      <c r="CT352" s="20"/>
      <c r="CU352" s="20"/>
      <c r="CV352" s="20"/>
      <c r="CW352" s="20"/>
      <c r="CX352" s="20"/>
      <c r="CY352" s="20"/>
    </row>
    <row r="353" spans="1:103" s="6" customFormat="1">
      <c r="A353"/>
      <c r="B353"/>
      <c r="C353"/>
      <c r="D353"/>
      <c r="E353"/>
      <c r="F353"/>
      <c r="G353"/>
      <c r="H353"/>
      <c r="I353"/>
      <c r="J353"/>
      <c r="N353" s="7"/>
      <c r="O353"/>
      <c r="P353" s="10"/>
      <c r="Q353" s="9"/>
      <c r="R353" s="10"/>
      <c r="S353" s="10"/>
      <c r="AA353" s="11"/>
      <c r="AD353"/>
      <c r="AE353"/>
      <c r="AF353"/>
      <c r="AG353"/>
      <c r="AH353" s="46"/>
      <c r="AI353"/>
      <c r="AJ353"/>
      <c r="AK353"/>
      <c r="AL353"/>
      <c r="AM353"/>
      <c r="AN353"/>
      <c r="AO353"/>
      <c r="AP353"/>
      <c r="AQ353"/>
      <c r="AR353"/>
      <c r="AS353"/>
      <c r="AT353" s="14"/>
      <c r="AU353"/>
      <c r="AV353"/>
      <c r="AW353"/>
      <c r="AX353" s="10"/>
      <c r="AY353" s="20"/>
      <c r="AZ353" s="16"/>
      <c r="BA353"/>
      <c r="BB353"/>
      <c r="BC353" s="16"/>
      <c r="BD353"/>
      <c r="BE353"/>
      <c r="BF353"/>
      <c r="BG353"/>
      <c r="BH353"/>
      <c r="BI353"/>
      <c r="BJ353"/>
      <c r="BK353"/>
      <c r="BL353"/>
      <c r="BM353"/>
      <c r="BN353" s="19"/>
      <c r="BO353"/>
      <c r="BP353"/>
      <c r="BQ353"/>
      <c r="BR353"/>
      <c r="BS353"/>
      <c r="BT353"/>
      <c r="BU353"/>
      <c r="BV353"/>
      <c r="BW353"/>
      <c r="BX353"/>
      <c r="BY353"/>
      <c r="BZ353"/>
      <c r="CA353"/>
      <c r="CB353"/>
      <c r="CC353"/>
      <c r="CD353"/>
      <c r="CE353"/>
      <c r="CF353"/>
      <c r="CG353"/>
      <c r="CH353"/>
      <c r="CI353"/>
      <c r="CJ353"/>
      <c r="CK353"/>
      <c r="CL353"/>
      <c r="CM353" s="20"/>
      <c r="CN353" s="20"/>
      <c r="CO353" s="20"/>
      <c r="CP353" s="20"/>
      <c r="CQ353" s="20"/>
      <c r="CR353" s="20"/>
      <c r="CS353" s="20"/>
      <c r="CT353" s="20"/>
      <c r="CU353" s="20"/>
      <c r="CV353" s="20"/>
      <c r="CW353" s="20"/>
      <c r="CX353" s="20"/>
      <c r="CY353" s="20"/>
    </row>
    <row r="354" spans="1:103" s="6" customFormat="1">
      <c r="A354"/>
      <c r="B354"/>
      <c r="C354"/>
      <c r="D354"/>
      <c r="E354"/>
      <c r="F354"/>
      <c r="G354"/>
      <c r="H354"/>
      <c r="I354"/>
      <c r="J354"/>
      <c r="N354" s="7"/>
      <c r="O354"/>
      <c r="P354" s="10"/>
      <c r="Q354" s="9"/>
      <c r="R354" s="10"/>
      <c r="S354" s="10"/>
      <c r="AA354" s="11"/>
      <c r="AD354"/>
      <c r="AE354"/>
      <c r="AF354"/>
      <c r="AG354"/>
      <c r="AH354" s="46"/>
      <c r="AI354"/>
      <c r="AJ354"/>
      <c r="AK354"/>
      <c r="AL354"/>
      <c r="AM354"/>
      <c r="AN354"/>
      <c r="AO354"/>
      <c r="AP354"/>
      <c r="AQ354"/>
      <c r="AR354"/>
      <c r="AS354"/>
      <c r="AT354" s="14"/>
      <c r="AU354"/>
      <c r="AV354"/>
      <c r="AW354"/>
      <c r="AX354" s="10"/>
      <c r="AY354" s="20"/>
      <c r="AZ354" s="16"/>
      <c r="BA354"/>
      <c r="BB354"/>
      <c r="BC354" s="16"/>
      <c r="BD354"/>
      <c r="BE354"/>
      <c r="BF354"/>
      <c r="BG354"/>
      <c r="BH354"/>
      <c r="BI354"/>
      <c r="BJ354"/>
      <c r="BK354"/>
      <c r="BL354"/>
      <c r="BM354"/>
      <c r="BN354" s="19"/>
      <c r="BO354"/>
      <c r="BP354"/>
      <c r="BQ354"/>
      <c r="BR354"/>
      <c r="BS354"/>
      <c r="BT354"/>
      <c r="BU354"/>
      <c r="BV354"/>
      <c r="BW354"/>
      <c r="BX354"/>
      <c r="BY354"/>
      <c r="BZ354"/>
      <c r="CA354"/>
      <c r="CB354"/>
      <c r="CC354"/>
      <c r="CD354"/>
      <c r="CE354"/>
      <c r="CF354"/>
      <c r="CG354"/>
      <c r="CH354"/>
      <c r="CI354"/>
      <c r="CJ354"/>
      <c r="CK354"/>
      <c r="CL354"/>
      <c r="CM354" s="20"/>
      <c r="CN354" s="20"/>
      <c r="CO354" s="20"/>
      <c r="CP354" s="20"/>
      <c r="CQ354" s="20"/>
      <c r="CR354" s="20"/>
      <c r="CS354" s="20"/>
      <c r="CT354" s="20"/>
      <c r="CU354" s="20"/>
      <c r="CV354" s="20"/>
      <c r="CW354" s="20"/>
      <c r="CX354" s="20"/>
      <c r="CY354" s="20"/>
    </row>
    <row r="355" spans="1:103" s="6" customFormat="1">
      <c r="A355"/>
      <c r="B355"/>
      <c r="C355"/>
      <c r="D355"/>
      <c r="E355"/>
      <c r="F355"/>
      <c r="G355"/>
      <c r="H355"/>
      <c r="I355"/>
      <c r="J355"/>
      <c r="N355" s="7"/>
      <c r="O355"/>
      <c r="P355" s="10"/>
      <c r="Q355" s="9"/>
      <c r="R355" s="10"/>
      <c r="S355" s="10"/>
      <c r="AA355" s="11"/>
      <c r="AD355"/>
      <c r="AE355"/>
      <c r="AF355"/>
      <c r="AG355"/>
      <c r="AH355" s="46"/>
      <c r="AI355"/>
      <c r="AJ355"/>
      <c r="AK355"/>
      <c r="AL355"/>
      <c r="AM355"/>
      <c r="AN355"/>
      <c r="AO355"/>
      <c r="AP355"/>
      <c r="AQ355"/>
      <c r="AR355"/>
      <c r="AS355"/>
      <c r="AT355" s="14"/>
      <c r="AU355"/>
      <c r="AV355"/>
      <c r="AW355"/>
      <c r="AX355" s="10"/>
      <c r="AY355" s="20"/>
      <c r="AZ355" s="16"/>
      <c r="BA355"/>
      <c r="BB355"/>
      <c r="BC355" s="16"/>
      <c r="BD355"/>
      <c r="BE355"/>
      <c r="BF355"/>
      <c r="BG355"/>
      <c r="BH355"/>
      <c r="BI355"/>
      <c r="BJ355"/>
      <c r="BK355"/>
      <c r="BL355"/>
      <c r="BM355"/>
      <c r="BN355" s="19"/>
      <c r="BO355"/>
      <c r="BP355"/>
      <c r="BQ355"/>
      <c r="BR355"/>
      <c r="BS355"/>
      <c r="BT355"/>
      <c r="BU355"/>
      <c r="BV355"/>
      <c r="BW355"/>
      <c r="BX355"/>
      <c r="BY355"/>
      <c r="BZ355"/>
      <c r="CA355"/>
      <c r="CB355"/>
      <c r="CC355"/>
      <c r="CD355"/>
      <c r="CE355"/>
      <c r="CF355"/>
      <c r="CG355"/>
      <c r="CH355"/>
      <c r="CI355"/>
      <c r="CJ355"/>
      <c r="CK355"/>
      <c r="CL355"/>
      <c r="CM355" s="20"/>
      <c r="CN355" s="20"/>
      <c r="CO355" s="20"/>
      <c r="CP355" s="20"/>
      <c r="CQ355" s="20"/>
      <c r="CR355" s="20"/>
      <c r="CS355" s="20"/>
      <c r="CT355" s="20"/>
      <c r="CU355" s="20"/>
      <c r="CV355" s="20"/>
      <c r="CW355" s="20"/>
      <c r="CX355" s="20"/>
      <c r="CY355" s="20"/>
    </row>
    <row r="356" spans="1:103" s="6" customFormat="1">
      <c r="A356"/>
      <c r="B356"/>
      <c r="C356"/>
      <c r="D356"/>
      <c r="E356"/>
      <c r="F356"/>
      <c r="G356"/>
      <c r="H356"/>
      <c r="I356"/>
      <c r="J356"/>
      <c r="N356" s="7"/>
      <c r="O356"/>
      <c r="P356" s="10"/>
      <c r="Q356" s="9"/>
      <c r="R356" s="10"/>
      <c r="S356" s="10"/>
      <c r="AA356" s="11"/>
      <c r="AD356"/>
      <c r="AE356"/>
      <c r="AF356"/>
      <c r="AG356"/>
      <c r="AH356" s="46"/>
      <c r="AI356"/>
      <c r="AJ356"/>
      <c r="AK356"/>
      <c r="AL356"/>
      <c r="AM356"/>
      <c r="AN356"/>
      <c r="AO356"/>
      <c r="AP356"/>
      <c r="AQ356"/>
      <c r="AR356"/>
      <c r="AS356"/>
      <c r="AT356" s="14"/>
      <c r="AU356"/>
      <c r="AV356"/>
      <c r="AW356"/>
      <c r="AX356" s="10"/>
      <c r="AY356" s="20"/>
      <c r="AZ356" s="16"/>
      <c r="BA356"/>
      <c r="BB356"/>
      <c r="BC356" s="16"/>
      <c r="BD356"/>
      <c r="BE356"/>
      <c r="BF356"/>
      <c r="BG356"/>
      <c r="BH356"/>
      <c r="BI356"/>
      <c r="BJ356"/>
      <c r="BK356"/>
      <c r="BL356"/>
      <c r="BM356"/>
      <c r="BN356" s="19"/>
      <c r="BO356"/>
      <c r="BP356"/>
      <c r="BQ356"/>
      <c r="BR356"/>
      <c r="BS356"/>
      <c r="BT356"/>
      <c r="BU356"/>
      <c r="BV356"/>
      <c r="BW356"/>
      <c r="BX356"/>
      <c r="BY356"/>
      <c r="BZ356"/>
      <c r="CA356"/>
      <c r="CB356"/>
      <c r="CC356"/>
      <c r="CD356"/>
      <c r="CE356"/>
      <c r="CF356"/>
      <c r="CG356"/>
      <c r="CH356"/>
      <c r="CI356"/>
      <c r="CJ356"/>
      <c r="CK356"/>
      <c r="CL356"/>
      <c r="CM356" s="20"/>
      <c r="CN356" s="20"/>
      <c r="CO356" s="20"/>
      <c r="CP356" s="20"/>
      <c r="CQ356" s="20"/>
      <c r="CR356" s="20"/>
      <c r="CS356" s="20"/>
      <c r="CT356" s="20"/>
      <c r="CU356" s="20"/>
      <c r="CV356" s="20"/>
      <c r="CW356" s="20"/>
      <c r="CX356" s="20"/>
      <c r="CY356" s="20"/>
    </row>
    <row r="357" spans="1:103" s="6" customFormat="1">
      <c r="A357"/>
      <c r="B357"/>
      <c r="C357"/>
      <c r="D357"/>
      <c r="E357"/>
      <c r="F357"/>
      <c r="G357"/>
      <c r="H357"/>
      <c r="I357"/>
      <c r="J357"/>
      <c r="N357" s="7"/>
      <c r="O357"/>
      <c r="P357" s="10"/>
      <c r="Q357" s="9"/>
      <c r="R357" s="10"/>
      <c r="S357" s="10"/>
      <c r="AA357" s="11"/>
      <c r="AD357"/>
      <c r="AE357"/>
      <c r="AF357"/>
      <c r="AG357"/>
      <c r="AH357" s="46"/>
      <c r="AI357"/>
      <c r="AJ357"/>
      <c r="AK357"/>
      <c r="AL357"/>
      <c r="AM357"/>
      <c r="AN357"/>
      <c r="AO357"/>
      <c r="AP357"/>
      <c r="AQ357"/>
      <c r="AR357"/>
      <c r="AS357"/>
      <c r="AT357" s="14"/>
      <c r="AU357"/>
      <c r="AV357"/>
      <c r="AW357"/>
      <c r="AX357" s="10"/>
      <c r="AY357" s="20"/>
      <c r="AZ357" s="16"/>
      <c r="BA357"/>
      <c r="BB357"/>
      <c r="BC357" s="16"/>
      <c r="BD357"/>
      <c r="BE357"/>
      <c r="BF357"/>
      <c r="BG357"/>
      <c r="BH357"/>
      <c r="BI357"/>
      <c r="BJ357"/>
      <c r="BK357"/>
      <c r="BL357"/>
      <c r="BM357"/>
      <c r="BN357" s="19"/>
      <c r="BO357"/>
      <c r="BP357"/>
      <c r="BQ357"/>
      <c r="BR357"/>
      <c r="BS357"/>
      <c r="BT357"/>
      <c r="BU357"/>
      <c r="BV357"/>
      <c r="BW357"/>
      <c r="BX357"/>
      <c r="BY357"/>
      <c r="BZ357"/>
      <c r="CA357"/>
      <c r="CB357"/>
      <c r="CC357"/>
      <c r="CD357"/>
      <c r="CE357"/>
      <c r="CF357"/>
      <c r="CG357"/>
      <c r="CH357"/>
      <c r="CI357"/>
      <c r="CJ357"/>
      <c r="CK357"/>
      <c r="CL357"/>
      <c r="CM357" s="20"/>
      <c r="CN357" s="20"/>
      <c r="CO357" s="20"/>
      <c r="CP357" s="20"/>
      <c r="CQ357" s="20"/>
      <c r="CR357" s="20"/>
      <c r="CS357" s="20"/>
      <c r="CT357" s="20"/>
      <c r="CU357" s="20"/>
      <c r="CV357" s="20"/>
      <c r="CW357" s="20"/>
      <c r="CX357" s="20"/>
      <c r="CY357" s="20"/>
    </row>
    <row r="358" spans="1:103" s="6" customFormat="1">
      <c r="A358"/>
      <c r="B358"/>
      <c r="C358"/>
      <c r="D358"/>
      <c r="E358"/>
      <c r="F358"/>
      <c r="G358"/>
      <c r="H358"/>
      <c r="I358"/>
      <c r="J358"/>
      <c r="N358" s="7"/>
      <c r="O358"/>
      <c r="P358" s="10"/>
      <c r="Q358" s="9"/>
      <c r="R358" s="10"/>
      <c r="S358" s="10"/>
      <c r="AA358" s="11"/>
      <c r="AD358"/>
      <c r="AE358"/>
      <c r="AF358"/>
      <c r="AG358"/>
      <c r="AH358" s="46"/>
      <c r="AI358"/>
      <c r="AJ358"/>
      <c r="AK358"/>
      <c r="AL358"/>
      <c r="AM358"/>
      <c r="AN358"/>
      <c r="AO358"/>
      <c r="AP358"/>
      <c r="AQ358"/>
      <c r="AR358"/>
      <c r="AS358"/>
      <c r="AT358" s="14"/>
      <c r="AU358"/>
      <c r="AV358"/>
      <c r="AW358"/>
      <c r="AX358" s="10"/>
      <c r="AY358" s="20"/>
      <c r="AZ358" s="16"/>
      <c r="BA358"/>
      <c r="BB358"/>
      <c r="BC358" s="16"/>
      <c r="BD358"/>
      <c r="BE358"/>
      <c r="BF358"/>
      <c r="BG358"/>
      <c r="BH358"/>
      <c r="BI358"/>
      <c r="BJ358"/>
      <c r="BK358"/>
      <c r="BL358"/>
      <c r="BM358"/>
      <c r="BN358" s="19"/>
      <c r="BO358"/>
      <c r="BP358"/>
      <c r="BQ358"/>
      <c r="BR358"/>
      <c r="BS358"/>
      <c r="BT358"/>
      <c r="BU358"/>
      <c r="BV358"/>
      <c r="BW358"/>
      <c r="BX358"/>
      <c r="BY358"/>
      <c r="BZ358"/>
      <c r="CA358"/>
      <c r="CB358"/>
      <c r="CC358"/>
      <c r="CD358"/>
      <c r="CE358"/>
      <c r="CF358"/>
      <c r="CG358"/>
      <c r="CH358"/>
      <c r="CI358"/>
      <c r="CJ358"/>
      <c r="CK358"/>
      <c r="CL358"/>
      <c r="CM358" s="20"/>
      <c r="CN358" s="20"/>
      <c r="CO358" s="20"/>
      <c r="CP358" s="20"/>
      <c r="CQ358" s="20"/>
      <c r="CR358" s="20"/>
      <c r="CS358" s="20"/>
      <c r="CT358" s="20"/>
      <c r="CU358" s="20"/>
      <c r="CV358" s="20"/>
      <c r="CW358" s="20"/>
      <c r="CX358" s="20"/>
      <c r="CY358" s="20"/>
    </row>
    <row r="359" spans="1:103" s="6" customFormat="1">
      <c r="A359"/>
      <c r="B359"/>
      <c r="C359"/>
      <c r="D359"/>
      <c r="E359"/>
      <c r="F359"/>
      <c r="G359"/>
      <c r="H359"/>
      <c r="I359"/>
      <c r="J359"/>
      <c r="N359" s="7"/>
      <c r="O359"/>
      <c r="P359" s="10"/>
      <c r="Q359" s="9"/>
      <c r="R359" s="10"/>
      <c r="S359" s="10"/>
      <c r="AA359" s="11"/>
      <c r="AD359"/>
      <c r="AE359"/>
      <c r="AF359"/>
      <c r="AG359"/>
      <c r="AH359" s="46"/>
      <c r="AI359"/>
      <c r="AJ359"/>
      <c r="AK359"/>
      <c r="AL359"/>
      <c r="AM359"/>
      <c r="AN359"/>
      <c r="AO359"/>
      <c r="AP359"/>
      <c r="AQ359"/>
      <c r="AR359"/>
      <c r="AS359"/>
      <c r="AT359" s="14"/>
      <c r="AU359"/>
      <c r="AV359"/>
      <c r="AW359"/>
      <c r="AX359" s="10"/>
      <c r="AY359" s="20"/>
      <c r="AZ359" s="16"/>
      <c r="BA359"/>
      <c r="BB359"/>
      <c r="BC359" s="16"/>
      <c r="BD359"/>
      <c r="BE359"/>
      <c r="BF359"/>
      <c r="BG359"/>
      <c r="BH359"/>
      <c r="BI359"/>
      <c r="BJ359"/>
      <c r="BK359"/>
      <c r="BL359"/>
      <c r="BM359"/>
      <c r="BN359" s="19"/>
      <c r="BO359"/>
      <c r="BP359"/>
      <c r="BQ359"/>
      <c r="BR359"/>
      <c r="BS359"/>
      <c r="BT359"/>
      <c r="BU359"/>
      <c r="BV359"/>
      <c r="BW359"/>
      <c r="BX359"/>
      <c r="BY359"/>
      <c r="BZ359"/>
      <c r="CA359"/>
      <c r="CB359"/>
      <c r="CC359"/>
      <c r="CD359"/>
      <c r="CE359"/>
      <c r="CF359"/>
      <c r="CG359"/>
      <c r="CH359"/>
      <c r="CI359"/>
      <c r="CJ359"/>
      <c r="CK359"/>
      <c r="CL359"/>
      <c r="CM359" s="20"/>
      <c r="CN359" s="20"/>
      <c r="CO359" s="20"/>
      <c r="CP359" s="20"/>
      <c r="CQ359" s="20"/>
      <c r="CR359" s="20"/>
      <c r="CS359" s="20"/>
      <c r="CT359" s="20"/>
      <c r="CU359" s="20"/>
      <c r="CV359" s="20"/>
      <c r="CW359" s="20"/>
      <c r="CX359" s="20"/>
      <c r="CY359" s="20"/>
    </row>
    <row r="360" spans="1:103" s="6" customFormat="1">
      <c r="A360"/>
      <c r="B360"/>
      <c r="C360"/>
      <c r="D360"/>
      <c r="E360"/>
      <c r="F360"/>
      <c r="G360"/>
      <c r="H360"/>
      <c r="I360"/>
      <c r="J360"/>
      <c r="N360" s="7"/>
      <c r="O360"/>
      <c r="P360" s="10"/>
      <c r="Q360" s="9"/>
      <c r="R360" s="10"/>
      <c r="S360" s="10"/>
      <c r="AA360" s="11"/>
      <c r="AD360"/>
      <c r="AE360"/>
      <c r="AF360"/>
      <c r="AG360"/>
      <c r="AH360" s="46"/>
      <c r="AI360"/>
      <c r="AJ360"/>
      <c r="AK360"/>
      <c r="AL360"/>
      <c r="AM360"/>
      <c r="AN360"/>
      <c r="AO360"/>
      <c r="AP360"/>
      <c r="AQ360"/>
      <c r="AR360"/>
      <c r="AS360"/>
      <c r="AT360" s="14"/>
      <c r="AU360"/>
      <c r="AV360"/>
      <c r="AW360"/>
      <c r="AX360" s="10"/>
      <c r="AY360" s="20"/>
      <c r="AZ360" s="16"/>
      <c r="BA360"/>
      <c r="BB360"/>
      <c r="BC360" s="16"/>
      <c r="BD360"/>
      <c r="BE360"/>
      <c r="BF360"/>
      <c r="BG360"/>
      <c r="BH360"/>
      <c r="BI360"/>
      <c r="BJ360"/>
      <c r="BK360"/>
      <c r="BL360"/>
      <c r="BM360"/>
      <c r="BN360" s="19"/>
      <c r="BO360"/>
      <c r="BP360"/>
      <c r="BQ360"/>
      <c r="BR360"/>
      <c r="BS360"/>
      <c r="BT360"/>
      <c r="BU360"/>
      <c r="BV360"/>
      <c r="BW360"/>
      <c r="BX360"/>
      <c r="BY360"/>
      <c r="BZ360"/>
      <c r="CA360"/>
      <c r="CB360"/>
      <c r="CC360"/>
      <c r="CD360"/>
      <c r="CE360"/>
      <c r="CF360"/>
      <c r="CG360"/>
      <c r="CH360"/>
      <c r="CI360"/>
      <c r="CJ360"/>
      <c r="CK360"/>
      <c r="CL360"/>
      <c r="CM360" s="20"/>
      <c r="CN360" s="20"/>
      <c r="CO360" s="20"/>
      <c r="CP360" s="20"/>
      <c r="CQ360" s="20"/>
      <c r="CR360" s="20"/>
      <c r="CS360" s="20"/>
      <c r="CT360" s="20"/>
      <c r="CU360" s="20"/>
      <c r="CV360" s="20"/>
      <c r="CW360" s="20"/>
      <c r="CX360" s="20"/>
      <c r="CY360" s="20"/>
    </row>
    <row r="361" spans="1:103" s="6" customFormat="1">
      <c r="A361"/>
      <c r="B361"/>
      <c r="C361"/>
      <c r="D361"/>
      <c r="E361"/>
      <c r="F361"/>
      <c r="G361"/>
      <c r="H361"/>
      <c r="I361"/>
      <c r="J361"/>
      <c r="N361" s="7"/>
      <c r="O361"/>
      <c r="P361" s="10"/>
      <c r="Q361" s="9"/>
      <c r="R361" s="10"/>
      <c r="S361" s="10"/>
      <c r="AA361" s="11"/>
      <c r="AD361"/>
      <c r="AE361"/>
      <c r="AF361"/>
      <c r="AG361"/>
      <c r="AH361" s="46"/>
      <c r="AI361"/>
      <c r="AJ361"/>
      <c r="AK361"/>
      <c r="AL361"/>
      <c r="AM361"/>
      <c r="AN361"/>
      <c r="AO361"/>
      <c r="AP361"/>
      <c r="AQ361"/>
      <c r="AR361"/>
      <c r="AS361"/>
      <c r="AT361" s="14"/>
      <c r="AU361"/>
      <c r="AV361"/>
      <c r="AW361"/>
      <c r="AX361" s="10"/>
      <c r="AY361" s="20"/>
      <c r="AZ361" s="16"/>
      <c r="BA361"/>
      <c r="BB361"/>
      <c r="BC361" s="16"/>
      <c r="BD361"/>
      <c r="BE361"/>
      <c r="BF361"/>
      <c r="BG361"/>
      <c r="BH361"/>
      <c r="BI361"/>
      <c r="BJ361"/>
      <c r="BK361"/>
      <c r="BL361"/>
      <c r="BM361"/>
      <c r="BN361" s="19"/>
      <c r="BO361"/>
      <c r="BP361"/>
      <c r="BQ361"/>
      <c r="BR361"/>
      <c r="BS361"/>
      <c r="BT361"/>
      <c r="BU361"/>
      <c r="BV361"/>
      <c r="BW361"/>
      <c r="BX361"/>
      <c r="BY361"/>
      <c r="BZ361"/>
      <c r="CA361"/>
      <c r="CB361"/>
      <c r="CC361"/>
      <c r="CD361"/>
      <c r="CE361"/>
      <c r="CF361"/>
      <c r="CG361"/>
      <c r="CH361"/>
      <c r="CI361"/>
      <c r="CJ361"/>
      <c r="CK361"/>
      <c r="CL361"/>
      <c r="CM361" s="20"/>
      <c r="CN361" s="20"/>
      <c r="CO361" s="20"/>
      <c r="CP361" s="20"/>
      <c r="CQ361" s="20"/>
      <c r="CR361" s="20"/>
      <c r="CS361" s="20"/>
      <c r="CT361" s="20"/>
      <c r="CU361" s="20"/>
      <c r="CV361" s="20"/>
      <c r="CW361" s="20"/>
      <c r="CX361" s="20"/>
      <c r="CY361" s="20"/>
    </row>
    <row r="362" spans="1:103" s="6" customFormat="1">
      <c r="A362"/>
      <c r="B362"/>
      <c r="C362"/>
      <c r="D362"/>
      <c r="E362"/>
      <c r="F362"/>
      <c r="G362"/>
      <c r="H362"/>
      <c r="I362"/>
      <c r="J362"/>
      <c r="N362" s="7"/>
      <c r="O362"/>
      <c r="P362" s="10"/>
      <c r="Q362" s="9"/>
      <c r="R362" s="10"/>
      <c r="S362" s="10"/>
      <c r="AA362" s="11"/>
      <c r="AD362"/>
      <c r="AE362"/>
      <c r="AF362"/>
      <c r="AG362"/>
      <c r="AH362" s="46"/>
      <c r="AI362"/>
      <c r="AJ362"/>
      <c r="AK362"/>
      <c r="AL362"/>
      <c r="AM362"/>
      <c r="AN362"/>
      <c r="AO362"/>
      <c r="AP362"/>
      <c r="AQ362"/>
      <c r="AR362"/>
      <c r="AS362"/>
      <c r="AT362" s="14"/>
      <c r="AU362"/>
      <c r="AV362"/>
      <c r="AW362"/>
      <c r="AX362" s="10"/>
      <c r="AY362" s="20"/>
      <c r="AZ362" s="16"/>
      <c r="BA362"/>
      <c r="BB362"/>
      <c r="BC362" s="16"/>
      <c r="BD362"/>
      <c r="BE362"/>
      <c r="BF362"/>
      <c r="BG362"/>
      <c r="BH362"/>
      <c r="BI362"/>
      <c r="BJ362"/>
      <c r="BK362"/>
      <c r="BL362"/>
      <c r="BM362"/>
      <c r="BN362" s="19"/>
      <c r="BO362"/>
      <c r="BP362"/>
      <c r="BQ362"/>
      <c r="BR362"/>
      <c r="BS362"/>
      <c r="BT362"/>
      <c r="BU362"/>
      <c r="BV362"/>
      <c r="BW362"/>
      <c r="BX362"/>
      <c r="BY362"/>
      <c r="BZ362"/>
      <c r="CA362"/>
      <c r="CB362"/>
      <c r="CC362"/>
      <c r="CD362"/>
      <c r="CE362"/>
      <c r="CF362"/>
      <c r="CG362"/>
      <c r="CH362"/>
      <c r="CI362"/>
      <c r="CJ362"/>
      <c r="CK362"/>
      <c r="CL362"/>
      <c r="CM362" s="20"/>
      <c r="CN362" s="20"/>
      <c r="CO362" s="20"/>
      <c r="CP362" s="20"/>
      <c r="CQ362" s="20"/>
      <c r="CR362" s="20"/>
      <c r="CS362" s="20"/>
      <c r="CT362" s="20"/>
      <c r="CU362" s="20"/>
      <c r="CV362" s="20"/>
      <c r="CW362" s="20"/>
      <c r="CX362" s="20"/>
      <c r="CY362" s="20"/>
    </row>
    <row r="363" spans="1:103" s="6" customFormat="1">
      <c r="A363"/>
      <c r="B363"/>
      <c r="C363"/>
      <c r="D363"/>
      <c r="E363"/>
      <c r="F363"/>
      <c r="G363"/>
      <c r="H363"/>
      <c r="I363"/>
      <c r="J363"/>
      <c r="N363" s="7"/>
      <c r="O363"/>
      <c r="P363" s="10"/>
      <c r="Q363" s="9"/>
      <c r="R363" s="10"/>
      <c r="S363" s="10"/>
      <c r="AA363" s="11"/>
      <c r="AD363"/>
      <c r="AE363"/>
      <c r="AF363"/>
      <c r="AG363"/>
      <c r="AH363" s="46"/>
      <c r="AI363"/>
      <c r="AJ363"/>
      <c r="AK363"/>
      <c r="AL363"/>
      <c r="AM363"/>
      <c r="AN363"/>
      <c r="AO363"/>
      <c r="AP363"/>
      <c r="AQ363"/>
      <c r="AR363"/>
      <c r="AS363"/>
      <c r="AT363" s="14"/>
      <c r="AU363"/>
      <c r="AV363"/>
      <c r="AW363"/>
      <c r="AX363" s="10"/>
      <c r="AY363" s="20"/>
      <c r="AZ363" s="16"/>
      <c r="BA363"/>
      <c r="BB363"/>
      <c r="BC363" s="16"/>
      <c r="BD363"/>
      <c r="BE363"/>
      <c r="BF363"/>
      <c r="BG363"/>
      <c r="BH363"/>
      <c r="BI363"/>
      <c r="BJ363"/>
      <c r="BK363"/>
      <c r="BL363"/>
      <c r="BM363"/>
      <c r="BN363" s="19"/>
      <c r="BO363"/>
      <c r="BP363"/>
      <c r="BQ363"/>
      <c r="BR363"/>
      <c r="BS363"/>
      <c r="BT363"/>
      <c r="BU363"/>
      <c r="BV363"/>
      <c r="BW363"/>
      <c r="BX363"/>
      <c r="BY363"/>
      <c r="BZ363"/>
      <c r="CA363"/>
      <c r="CB363"/>
      <c r="CC363"/>
      <c r="CD363"/>
      <c r="CE363"/>
      <c r="CF363"/>
      <c r="CG363"/>
      <c r="CH363"/>
      <c r="CI363"/>
      <c r="CJ363"/>
      <c r="CK363"/>
      <c r="CL363"/>
      <c r="CM363" s="20"/>
      <c r="CN363" s="20"/>
      <c r="CO363" s="20"/>
      <c r="CP363" s="20"/>
      <c r="CQ363" s="20"/>
      <c r="CR363" s="20"/>
      <c r="CS363" s="20"/>
      <c r="CT363" s="20"/>
      <c r="CU363" s="20"/>
      <c r="CV363" s="20"/>
      <c r="CW363" s="20"/>
      <c r="CX363" s="20"/>
      <c r="CY363" s="20"/>
    </row>
    <row r="364" spans="1:103" s="6" customFormat="1">
      <c r="A364"/>
      <c r="B364"/>
      <c r="C364"/>
      <c r="D364"/>
      <c r="E364"/>
      <c r="F364"/>
      <c r="G364"/>
      <c r="H364"/>
      <c r="I364"/>
      <c r="J364"/>
      <c r="N364" s="7"/>
      <c r="O364"/>
      <c r="P364" s="10"/>
      <c r="Q364" s="9"/>
      <c r="R364" s="10"/>
      <c r="S364" s="10"/>
      <c r="AA364" s="11"/>
      <c r="AD364"/>
      <c r="AE364"/>
      <c r="AF364"/>
      <c r="AG364"/>
      <c r="AH364" s="46"/>
      <c r="AI364"/>
      <c r="AJ364"/>
      <c r="AK364"/>
      <c r="AL364"/>
      <c r="AM364"/>
      <c r="AN364"/>
      <c r="AO364"/>
      <c r="AP364"/>
      <c r="AQ364"/>
      <c r="AR364"/>
      <c r="AS364"/>
      <c r="AT364" s="14"/>
      <c r="AU364"/>
      <c r="AV364"/>
      <c r="AW364"/>
      <c r="AX364" s="10"/>
      <c r="AY364" s="20"/>
      <c r="AZ364" s="16"/>
      <c r="BA364"/>
      <c r="BB364"/>
      <c r="BC364" s="16"/>
      <c r="BD364"/>
      <c r="BE364"/>
      <c r="BF364"/>
      <c r="BG364"/>
      <c r="BH364"/>
      <c r="BI364"/>
      <c r="BJ364"/>
      <c r="BK364"/>
      <c r="BL364"/>
      <c r="BM364"/>
      <c r="BN364" s="19"/>
      <c r="BO364"/>
      <c r="BP364"/>
      <c r="BQ364"/>
      <c r="BR364"/>
      <c r="BS364"/>
      <c r="BT364"/>
      <c r="BU364"/>
      <c r="BV364"/>
      <c r="BW364"/>
      <c r="BX364"/>
      <c r="BY364"/>
      <c r="BZ364"/>
      <c r="CA364"/>
      <c r="CB364"/>
      <c r="CC364"/>
      <c r="CD364"/>
      <c r="CE364"/>
      <c r="CF364"/>
      <c r="CG364"/>
      <c r="CH364"/>
      <c r="CI364"/>
      <c r="CJ364"/>
      <c r="CK364"/>
      <c r="CL364"/>
      <c r="CM364" s="20"/>
      <c r="CN364" s="20"/>
      <c r="CO364" s="20"/>
      <c r="CP364" s="20"/>
      <c r="CQ364" s="20"/>
      <c r="CR364" s="20"/>
      <c r="CS364" s="20"/>
      <c r="CT364" s="20"/>
      <c r="CU364" s="20"/>
      <c r="CV364" s="20"/>
      <c r="CW364" s="20"/>
      <c r="CX364" s="20"/>
      <c r="CY364" s="20"/>
    </row>
    <row r="365" spans="1:103" s="6" customFormat="1">
      <c r="A365"/>
      <c r="B365"/>
      <c r="C365"/>
      <c r="D365"/>
      <c r="E365"/>
      <c r="F365"/>
      <c r="G365"/>
      <c r="H365"/>
      <c r="I365"/>
      <c r="J365"/>
      <c r="N365" s="7"/>
      <c r="O365"/>
      <c r="P365" s="10"/>
      <c r="Q365" s="9"/>
      <c r="R365" s="10"/>
      <c r="S365" s="10"/>
      <c r="AA365" s="11"/>
      <c r="AD365"/>
      <c r="AE365"/>
      <c r="AF365"/>
      <c r="AG365"/>
      <c r="AH365" s="46"/>
      <c r="AI365"/>
      <c r="AJ365"/>
      <c r="AK365"/>
      <c r="AL365"/>
      <c r="AM365"/>
      <c r="AN365"/>
      <c r="AO365"/>
      <c r="AP365"/>
      <c r="AQ365"/>
      <c r="AR365"/>
      <c r="AS365"/>
      <c r="AT365" s="14"/>
      <c r="AU365"/>
      <c r="AV365"/>
      <c r="AW365"/>
      <c r="AX365" s="10"/>
      <c r="AY365" s="20"/>
      <c r="AZ365" s="16"/>
      <c r="BA365"/>
      <c r="BB365"/>
      <c r="BC365" s="16"/>
      <c r="BD365"/>
      <c r="BE365"/>
      <c r="BF365"/>
      <c r="BG365"/>
      <c r="BH365"/>
      <c r="BI365"/>
      <c r="BJ365"/>
      <c r="BK365"/>
      <c r="BL365"/>
      <c r="BM365"/>
      <c r="BN365" s="19"/>
      <c r="BO365"/>
      <c r="BP365"/>
      <c r="BQ365"/>
      <c r="BR365"/>
      <c r="BS365"/>
      <c r="BT365"/>
      <c r="BU365"/>
      <c r="BV365"/>
      <c r="BW365"/>
      <c r="BX365"/>
      <c r="BY365"/>
      <c r="BZ365"/>
      <c r="CA365"/>
      <c r="CB365"/>
      <c r="CC365"/>
      <c r="CD365"/>
      <c r="CE365"/>
      <c r="CF365"/>
      <c r="CG365"/>
      <c r="CH365"/>
      <c r="CI365"/>
      <c r="CJ365"/>
      <c r="CK365"/>
      <c r="CL365"/>
      <c r="CM365" s="20"/>
      <c r="CN365" s="20"/>
      <c r="CO365" s="20"/>
      <c r="CP365" s="20"/>
      <c r="CQ365" s="20"/>
      <c r="CR365" s="20"/>
      <c r="CS365" s="20"/>
      <c r="CT365" s="20"/>
      <c r="CU365" s="20"/>
      <c r="CV365" s="20"/>
      <c r="CW365" s="20"/>
      <c r="CX365" s="20"/>
      <c r="CY365" s="20"/>
    </row>
    <row r="366" spans="1:103" s="6" customFormat="1">
      <c r="A366"/>
      <c r="B366"/>
      <c r="C366"/>
      <c r="D366"/>
      <c r="E366"/>
      <c r="F366"/>
      <c r="G366"/>
      <c r="H366"/>
      <c r="I366"/>
      <c r="J366"/>
      <c r="N366" s="7"/>
      <c r="O366"/>
      <c r="P366" s="10"/>
      <c r="Q366" s="9"/>
      <c r="R366" s="10"/>
      <c r="S366" s="10"/>
      <c r="AA366" s="11"/>
      <c r="AD366"/>
      <c r="AE366"/>
      <c r="AF366"/>
      <c r="AG366"/>
      <c r="AH366" s="46"/>
      <c r="AI366"/>
      <c r="AJ366"/>
      <c r="AK366"/>
      <c r="AL366"/>
      <c r="AM366"/>
      <c r="AN366"/>
      <c r="AO366"/>
      <c r="AP366"/>
      <c r="AQ366"/>
      <c r="AR366"/>
      <c r="AS366"/>
      <c r="AT366" s="14"/>
      <c r="AU366"/>
      <c r="AV366"/>
      <c r="AW366"/>
      <c r="AX366" s="10"/>
      <c r="AY366" s="20"/>
      <c r="AZ366" s="16"/>
      <c r="BA366"/>
      <c r="BB366"/>
      <c r="BC366" s="16"/>
      <c r="BD366"/>
      <c r="BE366"/>
      <c r="BF366"/>
      <c r="BG366"/>
      <c r="BH366"/>
      <c r="BI366"/>
      <c r="BJ366"/>
      <c r="BK366"/>
      <c r="BL366"/>
      <c r="BM366"/>
      <c r="BN366" s="19"/>
      <c r="BO366"/>
      <c r="BP366"/>
      <c r="BQ366"/>
      <c r="BR366"/>
      <c r="BS366"/>
      <c r="BT366"/>
      <c r="BU366"/>
      <c r="BV366"/>
      <c r="BW366"/>
      <c r="BX366"/>
      <c r="BY366"/>
      <c r="BZ366"/>
      <c r="CA366"/>
      <c r="CB366"/>
      <c r="CC366"/>
      <c r="CD366"/>
      <c r="CE366"/>
      <c r="CF366"/>
      <c r="CG366"/>
      <c r="CH366"/>
      <c r="CI366"/>
      <c r="CJ366"/>
      <c r="CK366"/>
      <c r="CL366"/>
      <c r="CM366" s="20"/>
      <c r="CN366" s="20"/>
      <c r="CO366" s="20"/>
      <c r="CP366" s="20"/>
      <c r="CQ366" s="20"/>
      <c r="CR366" s="20"/>
      <c r="CS366" s="20"/>
      <c r="CT366" s="20"/>
      <c r="CU366" s="20"/>
      <c r="CV366" s="20"/>
      <c r="CW366" s="20"/>
      <c r="CX366" s="20"/>
      <c r="CY366" s="20"/>
    </row>
    <row r="367" spans="1:103" s="6" customFormat="1">
      <c r="A367"/>
      <c r="B367"/>
      <c r="C367"/>
      <c r="D367"/>
      <c r="E367"/>
      <c r="F367"/>
      <c r="G367"/>
      <c r="H367"/>
      <c r="I367"/>
      <c r="J367"/>
      <c r="N367" s="7"/>
      <c r="O367"/>
      <c r="P367" s="10"/>
      <c r="Q367" s="9"/>
      <c r="R367" s="10"/>
      <c r="S367" s="10"/>
      <c r="AA367" s="11"/>
      <c r="AD367"/>
      <c r="AE367"/>
      <c r="AF367"/>
      <c r="AG367"/>
      <c r="AH367" s="46"/>
      <c r="AI367"/>
      <c r="AJ367"/>
      <c r="AK367"/>
      <c r="AL367"/>
      <c r="AM367"/>
      <c r="AN367"/>
      <c r="AO367"/>
      <c r="AP367"/>
      <c r="AQ367"/>
      <c r="AR367"/>
      <c r="AS367"/>
      <c r="AT367" s="14"/>
      <c r="AU367"/>
      <c r="AV367"/>
      <c r="AW367"/>
      <c r="AX367" s="10"/>
      <c r="AY367" s="20"/>
      <c r="AZ367" s="16"/>
      <c r="BA367"/>
      <c r="BB367"/>
      <c r="BC367" s="16"/>
      <c r="BD367"/>
      <c r="BE367"/>
      <c r="BF367"/>
      <c r="BG367"/>
      <c r="BH367"/>
      <c r="BI367"/>
      <c r="BJ367"/>
      <c r="BK367"/>
      <c r="BL367"/>
      <c r="BM367"/>
      <c r="BN367" s="19"/>
      <c r="BO367"/>
      <c r="BP367"/>
      <c r="BQ367"/>
      <c r="BR367"/>
      <c r="BS367"/>
      <c r="BT367"/>
      <c r="BU367"/>
      <c r="BV367"/>
      <c r="BW367"/>
      <c r="BX367"/>
      <c r="BY367"/>
      <c r="BZ367"/>
      <c r="CA367"/>
      <c r="CB367"/>
      <c r="CC367"/>
      <c r="CD367"/>
      <c r="CE367"/>
      <c r="CF367"/>
      <c r="CG367"/>
      <c r="CH367"/>
      <c r="CI367"/>
      <c r="CJ367"/>
      <c r="CK367"/>
      <c r="CL367"/>
      <c r="CM367" s="20"/>
      <c r="CN367" s="20"/>
      <c r="CO367" s="20"/>
      <c r="CP367" s="20"/>
      <c r="CQ367" s="20"/>
      <c r="CR367" s="20"/>
      <c r="CS367" s="20"/>
      <c r="CT367" s="20"/>
      <c r="CU367" s="20"/>
      <c r="CV367" s="20"/>
      <c r="CW367" s="20"/>
      <c r="CX367" s="20"/>
      <c r="CY367" s="20"/>
    </row>
    <row r="368" spans="1:103" s="6" customFormat="1">
      <c r="A368"/>
      <c r="B368"/>
      <c r="C368"/>
      <c r="D368"/>
      <c r="E368"/>
      <c r="F368"/>
      <c r="G368"/>
      <c r="H368"/>
      <c r="I368"/>
      <c r="J368"/>
      <c r="N368" s="7"/>
      <c r="O368"/>
      <c r="P368" s="10"/>
      <c r="Q368" s="9"/>
      <c r="R368" s="10"/>
      <c r="S368" s="10"/>
      <c r="AA368" s="11"/>
      <c r="AD368"/>
      <c r="AE368"/>
      <c r="AF368"/>
      <c r="AG368"/>
      <c r="AH368" s="46"/>
      <c r="AI368"/>
      <c r="AJ368"/>
      <c r="AK368"/>
      <c r="AL368"/>
      <c r="AM368"/>
      <c r="AN368"/>
      <c r="AO368"/>
      <c r="AP368"/>
      <c r="AQ368"/>
      <c r="AR368"/>
      <c r="AS368"/>
      <c r="AT368" s="14"/>
      <c r="AU368"/>
      <c r="AV368"/>
      <c r="AW368"/>
      <c r="AX368" s="10"/>
      <c r="AY368" s="20"/>
      <c r="AZ368" s="16"/>
      <c r="BA368"/>
      <c r="BB368"/>
      <c r="BC368" s="16"/>
      <c r="BD368"/>
      <c r="BE368"/>
      <c r="BF368"/>
      <c r="BG368"/>
      <c r="BH368"/>
      <c r="BI368"/>
      <c r="BJ368"/>
      <c r="BK368"/>
      <c r="BL368"/>
      <c r="BM368"/>
      <c r="BN368" s="19"/>
      <c r="BO368"/>
      <c r="BP368"/>
      <c r="BQ368"/>
      <c r="BR368"/>
      <c r="BS368"/>
      <c r="BT368"/>
      <c r="BU368"/>
      <c r="BV368"/>
      <c r="BW368"/>
      <c r="BX368"/>
      <c r="BY368"/>
      <c r="BZ368"/>
      <c r="CA368"/>
      <c r="CB368"/>
      <c r="CC368"/>
      <c r="CD368"/>
      <c r="CE368"/>
      <c r="CF368"/>
      <c r="CG368"/>
      <c r="CH368"/>
      <c r="CI368"/>
      <c r="CJ368"/>
      <c r="CK368"/>
      <c r="CL368"/>
      <c r="CM368" s="20"/>
      <c r="CN368" s="20"/>
      <c r="CO368" s="20"/>
      <c r="CP368" s="20"/>
      <c r="CQ368" s="20"/>
      <c r="CR368" s="20"/>
      <c r="CS368" s="20"/>
      <c r="CT368" s="20"/>
      <c r="CU368" s="20"/>
      <c r="CV368" s="20"/>
      <c r="CW368" s="20"/>
      <c r="CX368" s="20"/>
      <c r="CY368" s="20"/>
    </row>
    <row r="369" spans="1:103" s="6" customFormat="1">
      <c r="A369"/>
      <c r="B369"/>
      <c r="C369"/>
      <c r="D369"/>
      <c r="E369"/>
      <c r="F369"/>
      <c r="G369"/>
      <c r="H369"/>
      <c r="I369"/>
      <c r="J369"/>
      <c r="N369" s="7"/>
      <c r="O369"/>
      <c r="P369" s="10"/>
      <c r="Q369" s="9"/>
      <c r="R369" s="10"/>
      <c r="S369" s="10"/>
      <c r="AA369" s="11"/>
      <c r="AD369"/>
      <c r="AE369"/>
      <c r="AF369"/>
      <c r="AG369"/>
      <c r="AH369" s="46"/>
      <c r="AI369"/>
      <c r="AJ369"/>
      <c r="AK369"/>
      <c r="AL369"/>
      <c r="AM369"/>
      <c r="AN369"/>
      <c r="AO369"/>
      <c r="AP369"/>
      <c r="AQ369"/>
      <c r="AR369"/>
      <c r="AS369"/>
      <c r="AT369" s="14"/>
      <c r="AU369"/>
      <c r="AV369"/>
      <c r="AW369"/>
      <c r="AX369" s="10"/>
      <c r="AY369" s="20"/>
      <c r="AZ369" s="16"/>
      <c r="BA369"/>
      <c r="BB369"/>
      <c r="BC369" s="16"/>
      <c r="BD369"/>
      <c r="BE369"/>
      <c r="BF369"/>
      <c r="BG369"/>
      <c r="BH369"/>
      <c r="BI369"/>
      <c r="BJ369"/>
      <c r="BK369"/>
      <c r="BL369"/>
      <c r="BM369"/>
      <c r="BN369" s="19"/>
      <c r="BO369"/>
      <c r="BP369"/>
      <c r="BQ369"/>
      <c r="BR369"/>
      <c r="BS369"/>
      <c r="BT369"/>
      <c r="BU369"/>
      <c r="BV369"/>
      <c r="BW369"/>
      <c r="BX369"/>
      <c r="BY369"/>
      <c r="BZ369"/>
      <c r="CA369"/>
      <c r="CB369"/>
      <c r="CC369"/>
      <c r="CD369"/>
      <c r="CE369"/>
      <c r="CF369"/>
      <c r="CG369"/>
      <c r="CH369"/>
      <c r="CI369"/>
      <c r="CJ369"/>
      <c r="CK369"/>
      <c r="CL369"/>
      <c r="CM369" s="20"/>
      <c r="CN369" s="20"/>
      <c r="CO369" s="20"/>
      <c r="CP369" s="20"/>
      <c r="CQ369" s="20"/>
      <c r="CR369" s="20"/>
      <c r="CS369" s="20"/>
      <c r="CT369" s="20"/>
      <c r="CU369" s="20"/>
      <c r="CV369" s="20"/>
      <c r="CW369" s="20"/>
      <c r="CX369" s="20"/>
      <c r="CY369" s="20"/>
    </row>
    <row r="370" spans="1:103" s="6" customFormat="1">
      <c r="A370"/>
      <c r="B370"/>
      <c r="C370"/>
      <c r="D370"/>
      <c r="E370"/>
      <c r="F370"/>
      <c r="G370"/>
      <c r="H370"/>
      <c r="I370"/>
      <c r="J370"/>
      <c r="N370" s="7"/>
      <c r="O370"/>
      <c r="P370" s="10"/>
      <c r="Q370" s="9"/>
      <c r="R370" s="10"/>
      <c r="S370" s="10"/>
      <c r="AA370" s="11"/>
      <c r="AD370"/>
      <c r="AE370"/>
      <c r="AF370"/>
      <c r="AG370"/>
      <c r="AH370" s="46"/>
      <c r="AI370"/>
      <c r="AJ370"/>
      <c r="AK370"/>
      <c r="AL370"/>
      <c r="AM370"/>
      <c r="AN370"/>
      <c r="AO370"/>
      <c r="AP370"/>
      <c r="AQ370"/>
      <c r="AR370"/>
      <c r="AS370"/>
      <c r="AT370" s="14"/>
      <c r="AU370"/>
      <c r="AV370"/>
      <c r="AW370"/>
      <c r="AX370" s="10"/>
      <c r="AY370" s="20"/>
      <c r="AZ370" s="16"/>
      <c r="BA370"/>
      <c r="BB370"/>
      <c r="BC370" s="16"/>
      <c r="BD370"/>
      <c r="BE370"/>
      <c r="BF370"/>
      <c r="BG370"/>
      <c r="BH370"/>
      <c r="BI370"/>
      <c r="BJ370"/>
      <c r="BK370"/>
      <c r="BL370"/>
      <c r="BM370"/>
      <c r="BN370" s="19"/>
      <c r="BO370"/>
      <c r="BP370"/>
      <c r="BQ370"/>
      <c r="BR370"/>
      <c r="BS370"/>
      <c r="BT370"/>
      <c r="BU370"/>
      <c r="BV370"/>
      <c r="BW370"/>
      <c r="BX370"/>
      <c r="BY370"/>
      <c r="BZ370"/>
      <c r="CA370"/>
      <c r="CB370"/>
      <c r="CC370"/>
      <c r="CD370"/>
      <c r="CE370"/>
      <c r="CF370"/>
      <c r="CG370"/>
      <c r="CH370"/>
      <c r="CI370"/>
      <c r="CJ370"/>
      <c r="CK370"/>
      <c r="CL370"/>
      <c r="CM370" s="20"/>
      <c r="CN370" s="20"/>
      <c r="CO370" s="20"/>
      <c r="CP370" s="20"/>
      <c r="CQ370" s="20"/>
      <c r="CR370" s="20"/>
      <c r="CS370" s="20"/>
      <c r="CT370" s="20"/>
      <c r="CU370" s="20"/>
      <c r="CV370" s="20"/>
      <c r="CW370" s="20"/>
      <c r="CX370" s="20"/>
      <c r="CY370" s="20"/>
    </row>
    <row r="371" spans="1:103" s="6" customFormat="1">
      <c r="A371"/>
      <c r="B371"/>
      <c r="C371"/>
      <c r="D371"/>
      <c r="E371"/>
      <c r="F371"/>
      <c r="G371"/>
      <c r="H371"/>
      <c r="I371"/>
      <c r="J371"/>
      <c r="N371" s="7"/>
      <c r="O371"/>
      <c r="P371" s="10"/>
      <c r="Q371" s="9"/>
      <c r="R371" s="10"/>
      <c r="S371" s="10"/>
      <c r="AA371" s="11"/>
      <c r="AD371"/>
      <c r="AE371"/>
      <c r="AF371"/>
      <c r="AG371"/>
      <c r="AH371" s="46"/>
      <c r="AI371"/>
      <c r="AJ371"/>
      <c r="AK371"/>
      <c r="AL371"/>
      <c r="AM371"/>
      <c r="AN371"/>
      <c r="AO371"/>
      <c r="AP371"/>
      <c r="AQ371"/>
      <c r="AR371"/>
      <c r="AS371"/>
      <c r="AT371" s="14"/>
      <c r="AU371"/>
      <c r="AV371"/>
      <c r="AW371"/>
      <c r="AX371" s="10"/>
      <c r="AY371" s="20"/>
      <c r="AZ371" s="16"/>
      <c r="BA371"/>
      <c r="BB371"/>
      <c r="BC371" s="16"/>
      <c r="BD371"/>
      <c r="BE371"/>
      <c r="BF371"/>
      <c r="BG371"/>
      <c r="BH371"/>
      <c r="BI371"/>
      <c r="BJ371"/>
      <c r="BK371"/>
      <c r="BL371"/>
      <c r="BM371"/>
      <c r="BN371" s="19"/>
      <c r="BO371"/>
      <c r="BP371"/>
      <c r="BQ371"/>
      <c r="BR371"/>
      <c r="BS371"/>
      <c r="BT371"/>
      <c r="BU371"/>
      <c r="BV371"/>
      <c r="BW371"/>
      <c r="BX371"/>
      <c r="BY371"/>
      <c r="BZ371"/>
      <c r="CA371"/>
      <c r="CB371"/>
      <c r="CC371"/>
      <c r="CD371"/>
      <c r="CE371"/>
      <c r="CF371"/>
      <c r="CG371"/>
      <c r="CH371"/>
      <c r="CI371"/>
      <c r="CJ371"/>
      <c r="CK371"/>
      <c r="CL371"/>
      <c r="CM371" s="20"/>
      <c r="CN371" s="20"/>
      <c r="CO371" s="20"/>
      <c r="CP371" s="20"/>
      <c r="CQ371" s="20"/>
      <c r="CR371" s="20"/>
      <c r="CS371" s="20"/>
      <c r="CT371" s="20"/>
      <c r="CU371" s="20"/>
      <c r="CV371" s="20"/>
      <c r="CW371" s="20"/>
      <c r="CX371" s="20"/>
      <c r="CY371" s="20"/>
    </row>
    <row r="372" spans="1:103" s="6" customFormat="1">
      <c r="A372"/>
      <c r="B372"/>
      <c r="C372"/>
      <c r="D372"/>
      <c r="E372"/>
      <c r="F372"/>
      <c r="G372"/>
      <c r="H372"/>
      <c r="I372"/>
      <c r="J372"/>
      <c r="N372" s="7"/>
      <c r="O372"/>
      <c r="P372" s="10"/>
      <c r="Q372" s="9"/>
      <c r="R372" s="10"/>
      <c r="S372" s="10"/>
      <c r="AA372" s="11"/>
      <c r="AD372"/>
      <c r="AE372"/>
      <c r="AF372"/>
      <c r="AG372"/>
      <c r="AH372" s="46"/>
      <c r="AI372"/>
      <c r="AJ372"/>
      <c r="AK372"/>
      <c r="AL372"/>
      <c r="AM372"/>
      <c r="AN372"/>
      <c r="AO372"/>
      <c r="AP372"/>
      <c r="AQ372"/>
      <c r="AR372"/>
      <c r="AS372"/>
      <c r="AT372" s="14"/>
      <c r="AU372"/>
      <c r="AV372"/>
      <c r="AW372"/>
      <c r="AX372" s="10"/>
      <c r="AY372" s="20"/>
      <c r="AZ372" s="16"/>
      <c r="BA372"/>
      <c r="BB372"/>
      <c r="BC372" s="16"/>
      <c r="BD372"/>
      <c r="BE372"/>
      <c r="BF372"/>
      <c r="BG372"/>
      <c r="BH372"/>
      <c r="BI372"/>
      <c r="BJ372"/>
      <c r="BK372"/>
      <c r="BL372"/>
      <c r="BM372"/>
      <c r="BN372" s="19"/>
      <c r="BO372"/>
      <c r="BP372"/>
      <c r="BQ372"/>
      <c r="BR372"/>
      <c r="BS372"/>
      <c r="BT372"/>
      <c r="BU372"/>
      <c r="BV372"/>
      <c r="BW372"/>
      <c r="BX372"/>
      <c r="BY372"/>
      <c r="BZ372"/>
      <c r="CA372"/>
      <c r="CB372"/>
      <c r="CC372"/>
      <c r="CD372"/>
      <c r="CE372"/>
      <c r="CF372"/>
      <c r="CG372"/>
      <c r="CH372"/>
      <c r="CI372"/>
      <c r="CJ372"/>
      <c r="CK372"/>
      <c r="CL372"/>
      <c r="CM372" s="20"/>
      <c r="CN372" s="20"/>
      <c r="CO372" s="20"/>
      <c r="CP372" s="20"/>
      <c r="CQ372" s="20"/>
      <c r="CR372" s="20"/>
      <c r="CS372" s="20"/>
      <c r="CT372" s="20"/>
      <c r="CU372" s="20"/>
      <c r="CV372" s="20"/>
      <c r="CW372" s="20"/>
      <c r="CX372" s="20"/>
      <c r="CY372" s="20"/>
    </row>
    <row r="373" spans="1:103" s="6" customFormat="1">
      <c r="A373"/>
      <c r="B373"/>
      <c r="C373"/>
      <c r="D373"/>
      <c r="E373"/>
      <c r="F373"/>
      <c r="G373"/>
      <c r="H373"/>
      <c r="I373"/>
      <c r="J373"/>
      <c r="N373" s="7"/>
      <c r="O373"/>
      <c r="P373" s="10"/>
      <c r="Q373" s="9"/>
      <c r="R373" s="10"/>
      <c r="S373" s="10"/>
      <c r="AA373" s="11"/>
      <c r="AD373"/>
      <c r="AE373"/>
      <c r="AF373"/>
      <c r="AG373"/>
      <c r="AH373" s="46"/>
      <c r="AI373"/>
      <c r="AJ373"/>
      <c r="AK373"/>
      <c r="AL373"/>
      <c r="AM373"/>
      <c r="AN373"/>
      <c r="AO373"/>
      <c r="AP373"/>
      <c r="AQ373"/>
      <c r="AR373"/>
      <c r="AS373"/>
      <c r="AT373" s="14"/>
      <c r="AU373"/>
      <c r="AV373"/>
      <c r="AW373"/>
      <c r="AX373" s="10"/>
      <c r="AY373" s="20"/>
      <c r="AZ373" s="16"/>
      <c r="BA373"/>
      <c r="BB373"/>
      <c r="BC373" s="16"/>
      <c r="BD373"/>
      <c r="BE373"/>
      <c r="BF373"/>
      <c r="BG373"/>
      <c r="BH373"/>
      <c r="BI373"/>
      <c r="BJ373"/>
      <c r="BK373"/>
      <c r="BL373"/>
      <c r="BM373"/>
      <c r="BN373" s="19"/>
      <c r="BO373"/>
      <c r="BP373"/>
      <c r="BQ373"/>
      <c r="BR373"/>
      <c r="BS373"/>
      <c r="BT373"/>
      <c r="BU373"/>
      <c r="BV373"/>
      <c r="BW373"/>
      <c r="BX373"/>
      <c r="BY373"/>
      <c r="BZ373"/>
      <c r="CA373"/>
      <c r="CB373"/>
      <c r="CC373"/>
      <c r="CD373"/>
      <c r="CE373"/>
      <c r="CF373"/>
      <c r="CG373"/>
      <c r="CH373"/>
      <c r="CI373"/>
      <c r="CJ373"/>
      <c r="CK373"/>
      <c r="CL373"/>
      <c r="CM373" s="20"/>
      <c r="CN373" s="20"/>
      <c r="CO373" s="20"/>
      <c r="CP373" s="20"/>
      <c r="CQ373" s="20"/>
      <c r="CR373" s="20"/>
      <c r="CS373" s="20"/>
      <c r="CT373" s="20"/>
      <c r="CU373" s="20"/>
      <c r="CV373" s="20"/>
      <c r="CW373" s="20"/>
      <c r="CX373" s="20"/>
      <c r="CY373" s="20"/>
    </row>
    <row r="374" spans="1:103" s="6" customFormat="1">
      <c r="A374"/>
      <c r="B374"/>
      <c r="C374"/>
      <c r="D374"/>
      <c r="E374"/>
      <c r="F374"/>
      <c r="G374"/>
      <c r="H374"/>
      <c r="I374"/>
      <c r="J374"/>
      <c r="N374" s="7"/>
      <c r="O374"/>
      <c r="P374" s="10"/>
      <c r="Q374" s="9"/>
      <c r="R374" s="10"/>
      <c r="S374" s="10"/>
      <c r="AA374" s="11"/>
      <c r="AD374"/>
      <c r="AE374"/>
      <c r="AF374"/>
      <c r="AG374"/>
      <c r="AH374" s="46"/>
      <c r="AI374"/>
      <c r="AJ374"/>
      <c r="AK374"/>
      <c r="AL374"/>
      <c r="AM374"/>
      <c r="AN374"/>
      <c r="AO374"/>
      <c r="AP374"/>
      <c r="AQ374"/>
      <c r="AR374"/>
      <c r="AS374"/>
      <c r="AT374" s="14"/>
      <c r="AU374"/>
      <c r="AV374"/>
      <c r="AW374"/>
      <c r="AX374" s="10"/>
      <c r="AY374" s="20"/>
      <c r="AZ374" s="16"/>
      <c r="BA374"/>
      <c r="BB374"/>
      <c r="BC374" s="16"/>
      <c r="BD374"/>
      <c r="BE374"/>
      <c r="BF374"/>
      <c r="BG374"/>
      <c r="BH374"/>
      <c r="BI374"/>
      <c r="BJ374"/>
      <c r="BK374"/>
      <c r="BL374"/>
      <c r="BM374"/>
      <c r="BN374" s="19"/>
      <c r="BO374"/>
      <c r="BP374"/>
      <c r="BQ374"/>
      <c r="BR374"/>
      <c r="BS374"/>
      <c r="BT374"/>
      <c r="BU374"/>
      <c r="BV374"/>
      <c r="BW374"/>
      <c r="BX374"/>
      <c r="BY374"/>
      <c r="BZ374"/>
      <c r="CA374"/>
      <c r="CB374"/>
      <c r="CC374"/>
      <c r="CD374"/>
      <c r="CE374"/>
      <c r="CF374"/>
      <c r="CG374"/>
      <c r="CH374"/>
      <c r="CI374"/>
      <c r="CJ374"/>
      <c r="CK374"/>
      <c r="CL374"/>
      <c r="CM374" s="20"/>
      <c r="CN374" s="20"/>
      <c r="CO374" s="20"/>
      <c r="CP374" s="20"/>
      <c r="CQ374" s="20"/>
      <c r="CR374" s="20"/>
      <c r="CS374" s="20"/>
      <c r="CT374" s="20"/>
      <c r="CU374" s="20"/>
      <c r="CV374" s="20"/>
      <c r="CW374" s="20"/>
      <c r="CX374" s="20"/>
      <c r="CY374" s="20"/>
    </row>
    <row r="375" spans="1:103" s="6" customFormat="1">
      <c r="A375"/>
      <c r="B375"/>
      <c r="C375"/>
      <c r="D375"/>
      <c r="E375"/>
      <c r="F375"/>
      <c r="G375"/>
      <c r="H375"/>
      <c r="I375"/>
      <c r="J375"/>
      <c r="N375" s="7"/>
      <c r="O375"/>
      <c r="P375" s="10"/>
      <c r="Q375" s="9"/>
      <c r="R375" s="10"/>
      <c r="S375" s="10"/>
      <c r="AA375" s="11"/>
      <c r="AD375"/>
      <c r="AE375"/>
      <c r="AF375"/>
      <c r="AG375"/>
      <c r="AH375" s="46"/>
      <c r="AI375"/>
      <c r="AJ375"/>
      <c r="AK375"/>
      <c r="AL375"/>
      <c r="AM375"/>
      <c r="AN375"/>
      <c r="AO375"/>
      <c r="AP375"/>
      <c r="AQ375"/>
      <c r="AR375"/>
      <c r="AS375"/>
      <c r="AT375" s="14"/>
      <c r="AU375"/>
      <c r="AV375"/>
      <c r="AW375"/>
      <c r="AX375" s="10"/>
      <c r="AY375" s="20"/>
      <c r="AZ375" s="16"/>
      <c r="BA375"/>
      <c r="BB375"/>
      <c r="BC375" s="16"/>
      <c r="BD375"/>
      <c r="BE375"/>
      <c r="BF375"/>
      <c r="BG375"/>
      <c r="BH375"/>
      <c r="BI375"/>
      <c r="BJ375"/>
      <c r="BK375"/>
      <c r="BL375"/>
      <c r="BM375"/>
      <c r="BN375" s="19"/>
      <c r="BO375"/>
      <c r="BP375"/>
      <c r="BQ375"/>
      <c r="BR375"/>
      <c r="BS375"/>
      <c r="BT375"/>
      <c r="BU375"/>
      <c r="BV375"/>
      <c r="BW375"/>
      <c r="BX375"/>
      <c r="BY375"/>
      <c r="BZ375"/>
      <c r="CA375"/>
      <c r="CB375"/>
      <c r="CC375"/>
      <c r="CD375"/>
      <c r="CE375"/>
      <c r="CF375"/>
      <c r="CG375"/>
      <c r="CH375"/>
      <c r="CI375"/>
      <c r="CJ375"/>
      <c r="CK375"/>
      <c r="CL375"/>
      <c r="CM375" s="20"/>
      <c r="CN375" s="20"/>
      <c r="CO375" s="20"/>
      <c r="CP375" s="20"/>
      <c r="CQ375" s="20"/>
      <c r="CR375" s="20"/>
      <c r="CS375" s="20"/>
      <c r="CT375" s="20"/>
      <c r="CU375" s="20"/>
      <c r="CV375" s="20"/>
      <c r="CW375" s="20"/>
      <c r="CX375" s="20"/>
      <c r="CY375" s="20"/>
    </row>
    <row r="376" spans="1:103" s="6" customFormat="1">
      <c r="A376"/>
      <c r="B376"/>
      <c r="C376"/>
      <c r="D376"/>
      <c r="E376"/>
      <c r="F376"/>
      <c r="G376"/>
      <c r="H376"/>
      <c r="I376"/>
      <c r="J376"/>
      <c r="N376" s="7"/>
      <c r="O376"/>
      <c r="P376" s="10"/>
      <c r="Q376" s="9"/>
      <c r="R376" s="10"/>
      <c r="S376" s="10"/>
      <c r="AA376" s="11"/>
      <c r="AD376"/>
      <c r="AE376"/>
      <c r="AF376"/>
      <c r="AG376"/>
      <c r="AH376" s="46"/>
      <c r="AI376"/>
      <c r="AJ376"/>
      <c r="AK376"/>
      <c r="AL376"/>
      <c r="AM376"/>
      <c r="AN376"/>
      <c r="AO376"/>
      <c r="AP376"/>
      <c r="AQ376"/>
      <c r="AR376"/>
      <c r="AS376"/>
      <c r="AT376" s="14"/>
      <c r="AU376"/>
      <c r="AV376"/>
      <c r="AW376"/>
      <c r="AX376" s="10"/>
      <c r="AY376" s="20"/>
      <c r="AZ376" s="16"/>
      <c r="BA376"/>
      <c r="BB376"/>
      <c r="BC376" s="16"/>
      <c r="BD376"/>
      <c r="BE376"/>
      <c r="BF376"/>
      <c r="BG376"/>
      <c r="BH376"/>
      <c r="BI376"/>
      <c r="BJ376"/>
      <c r="BK376"/>
      <c r="BL376"/>
      <c r="BM376"/>
      <c r="BN376" s="19"/>
      <c r="BO376"/>
      <c r="BP376"/>
      <c r="BQ376"/>
      <c r="BR376"/>
      <c r="BS376"/>
      <c r="BT376"/>
      <c r="BU376"/>
      <c r="BV376"/>
      <c r="BW376"/>
      <c r="BX376"/>
      <c r="BY376"/>
      <c r="BZ376"/>
      <c r="CA376"/>
      <c r="CB376"/>
      <c r="CC376"/>
      <c r="CD376"/>
      <c r="CE376"/>
      <c r="CF376"/>
      <c r="CG376"/>
      <c r="CH376"/>
      <c r="CI376"/>
      <c r="CJ376"/>
      <c r="CK376"/>
      <c r="CL376"/>
      <c r="CM376" s="20"/>
      <c r="CN376" s="20"/>
      <c r="CO376" s="20"/>
      <c r="CP376" s="20"/>
      <c r="CQ376" s="20"/>
      <c r="CR376" s="20"/>
      <c r="CS376" s="20"/>
      <c r="CT376" s="20"/>
      <c r="CU376" s="20"/>
      <c r="CV376" s="20"/>
      <c r="CW376" s="20"/>
      <c r="CX376" s="20"/>
      <c r="CY376" s="20"/>
    </row>
    <row r="377" spans="1:103" s="6" customFormat="1">
      <c r="A377"/>
      <c r="B377"/>
      <c r="C377"/>
      <c r="D377"/>
      <c r="E377"/>
      <c r="F377"/>
      <c r="G377"/>
      <c r="H377"/>
      <c r="I377"/>
      <c r="J377"/>
      <c r="N377" s="7"/>
      <c r="O377"/>
      <c r="P377" s="10"/>
      <c r="Q377" s="9"/>
      <c r="R377" s="10"/>
      <c r="S377" s="10"/>
      <c r="AA377" s="11"/>
      <c r="AD377"/>
      <c r="AE377"/>
      <c r="AF377"/>
      <c r="AG377"/>
      <c r="AH377" s="46"/>
      <c r="AI377"/>
      <c r="AJ377"/>
      <c r="AK377"/>
      <c r="AL377"/>
      <c r="AM377"/>
      <c r="AN377"/>
      <c r="AO377"/>
      <c r="AP377"/>
      <c r="AQ377"/>
      <c r="AR377"/>
      <c r="AS377"/>
      <c r="AT377" s="14"/>
      <c r="AU377"/>
      <c r="AV377"/>
      <c r="AW377"/>
      <c r="AX377" s="10"/>
      <c r="AY377" s="20"/>
      <c r="AZ377" s="16"/>
      <c r="BA377"/>
      <c r="BB377"/>
      <c r="BC377" s="16"/>
      <c r="BD377"/>
      <c r="BE377"/>
      <c r="BF377"/>
      <c r="BG377"/>
      <c r="BH377"/>
      <c r="BI377"/>
      <c r="BJ377"/>
      <c r="BK377"/>
      <c r="BL377"/>
      <c r="BM377"/>
      <c r="BN377" s="19"/>
      <c r="BO377"/>
      <c r="BP377"/>
      <c r="BQ377"/>
      <c r="BR377"/>
      <c r="BS377"/>
      <c r="BT377"/>
      <c r="BU377"/>
      <c r="BV377"/>
      <c r="BW377"/>
      <c r="BX377"/>
      <c r="BY377"/>
      <c r="BZ377"/>
      <c r="CA377"/>
      <c r="CB377"/>
      <c r="CC377"/>
      <c r="CD377"/>
      <c r="CE377"/>
      <c r="CF377"/>
      <c r="CG377"/>
      <c r="CH377"/>
      <c r="CI377"/>
      <c r="CJ377"/>
      <c r="CK377"/>
      <c r="CL377"/>
      <c r="CM377" s="20"/>
      <c r="CN377" s="20"/>
      <c r="CO377" s="20"/>
      <c r="CP377" s="20"/>
      <c r="CQ377" s="20"/>
      <c r="CR377" s="20"/>
      <c r="CS377" s="20"/>
      <c r="CT377" s="20"/>
      <c r="CU377" s="20"/>
      <c r="CV377" s="20"/>
      <c r="CW377" s="20"/>
      <c r="CX377" s="20"/>
      <c r="CY377" s="20"/>
    </row>
    <row r="378" spans="1:103" s="6" customFormat="1">
      <c r="A378"/>
      <c r="B378"/>
      <c r="C378"/>
      <c r="D378"/>
      <c r="E378"/>
      <c r="F378"/>
      <c r="G378"/>
      <c r="H378"/>
      <c r="I378"/>
      <c r="J378"/>
      <c r="N378" s="7"/>
      <c r="O378"/>
      <c r="P378" s="10"/>
      <c r="Q378" s="9"/>
      <c r="R378" s="10"/>
      <c r="S378" s="10"/>
      <c r="AA378" s="11"/>
      <c r="AD378"/>
      <c r="AE378"/>
      <c r="AF378"/>
      <c r="AG378"/>
      <c r="AH378" s="46"/>
      <c r="AI378"/>
      <c r="AJ378"/>
      <c r="AK378"/>
      <c r="AL378"/>
      <c r="AM378"/>
      <c r="AN378"/>
      <c r="AO378"/>
      <c r="AP378"/>
      <c r="AQ378"/>
      <c r="AR378"/>
      <c r="AS378"/>
      <c r="AT378" s="14"/>
      <c r="AU378"/>
      <c r="AV378"/>
      <c r="AW378"/>
      <c r="AX378" s="10"/>
      <c r="AY378" s="20"/>
      <c r="AZ378" s="16"/>
      <c r="BA378"/>
      <c r="BB378"/>
      <c r="BC378" s="16"/>
      <c r="BD378"/>
      <c r="BE378"/>
      <c r="BF378"/>
      <c r="BG378"/>
      <c r="BH378"/>
      <c r="BI378"/>
      <c r="BJ378"/>
      <c r="BK378"/>
      <c r="BL378"/>
      <c r="BM378"/>
      <c r="BN378" s="19"/>
      <c r="BO378"/>
      <c r="BP378"/>
      <c r="BQ378"/>
      <c r="BR378"/>
      <c r="BS378"/>
      <c r="BT378"/>
      <c r="BU378"/>
      <c r="BV378"/>
      <c r="BW378"/>
      <c r="BX378"/>
      <c r="BY378"/>
      <c r="BZ378"/>
      <c r="CA378"/>
      <c r="CB378"/>
      <c r="CC378"/>
      <c r="CD378"/>
      <c r="CE378"/>
      <c r="CF378"/>
      <c r="CG378"/>
      <c r="CH378"/>
      <c r="CI378"/>
      <c r="CJ378"/>
      <c r="CK378"/>
      <c r="CL378"/>
      <c r="CM378" s="20"/>
      <c r="CN378" s="20"/>
      <c r="CO378" s="20"/>
      <c r="CP378" s="20"/>
      <c r="CQ378" s="20"/>
      <c r="CR378" s="20"/>
      <c r="CS378" s="20"/>
      <c r="CT378" s="20"/>
      <c r="CU378" s="20"/>
      <c r="CV378" s="20"/>
      <c r="CW378" s="20"/>
      <c r="CX378" s="20"/>
      <c r="CY378" s="20"/>
    </row>
    <row r="379" spans="1:103" s="6" customFormat="1">
      <c r="A379"/>
      <c r="B379"/>
      <c r="C379"/>
      <c r="D379"/>
      <c r="E379"/>
      <c r="F379"/>
      <c r="G379"/>
      <c r="H379"/>
      <c r="I379"/>
      <c r="J379"/>
      <c r="N379" s="7"/>
      <c r="O379"/>
      <c r="P379" s="10"/>
      <c r="Q379" s="9"/>
      <c r="R379" s="10"/>
      <c r="S379" s="10"/>
      <c r="AA379" s="11"/>
      <c r="AD379"/>
      <c r="AE379"/>
      <c r="AF379"/>
      <c r="AG379"/>
      <c r="AH379" s="46"/>
      <c r="AI379"/>
      <c r="AJ379"/>
      <c r="AK379"/>
      <c r="AL379"/>
      <c r="AM379"/>
      <c r="AN379"/>
      <c r="AO379"/>
      <c r="AP379"/>
      <c r="AQ379"/>
      <c r="AR379"/>
      <c r="AS379"/>
      <c r="AT379" s="14"/>
      <c r="AU379"/>
      <c r="AV379"/>
      <c r="AW379"/>
      <c r="AX379" s="10"/>
      <c r="AY379" s="20"/>
      <c r="AZ379" s="16"/>
      <c r="BA379"/>
      <c r="BB379"/>
      <c r="BC379" s="16"/>
      <c r="BD379"/>
      <c r="BE379"/>
      <c r="BF379"/>
      <c r="BG379"/>
      <c r="BH379"/>
      <c r="BI379"/>
      <c r="BJ379"/>
      <c r="BK379"/>
      <c r="BL379"/>
      <c r="BM379"/>
      <c r="BN379" s="19"/>
      <c r="BO379"/>
      <c r="BP379"/>
      <c r="BQ379"/>
      <c r="BR379"/>
      <c r="BS379"/>
      <c r="BT379"/>
      <c r="BU379"/>
      <c r="BV379"/>
      <c r="BW379"/>
      <c r="BX379"/>
      <c r="BY379"/>
      <c r="BZ379"/>
      <c r="CA379"/>
      <c r="CB379"/>
      <c r="CC379"/>
      <c r="CD379"/>
      <c r="CE379"/>
      <c r="CF379"/>
      <c r="CG379"/>
      <c r="CH379"/>
      <c r="CI379"/>
      <c r="CJ379"/>
      <c r="CK379"/>
      <c r="CL379"/>
      <c r="CM379" s="20"/>
      <c r="CN379" s="20"/>
      <c r="CO379" s="20"/>
      <c r="CP379" s="20"/>
      <c r="CQ379" s="20"/>
      <c r="CR379" s="20"/>
      <c r="CS379" s="20"/>
      <c r="CT379" s="20"/>
      <c r="CU379" s="20"/>
      <c r="CV379" s="20"/>
      <c r="CW379" s="20"/>
      <c r="CX379" s="20"/>
      <c r="CY379" s="20"/>
    </row>
    <row r="380" spans="1:103" s="6" customFormat="1">
      <c r="A380"/>
      <c r="B380"/>
      <c r="C380"/>
      <c r="D380"/>
      <c r="E380"/>
      <c r="F380"/>
      <c r="G380"/>
      <c r="H380"/>
      <c r="I380"/>
      <c r="J380"/>
      <c r="N380" s="7"/>
      <c r="O380"/>
      <c r="P380" s="10"/>
      <c r="Q380" s="9"/>
      <c r="R380" s="10"/>
      <c r="S380" s="10"/>
      <c r="AA380" s="11"/>
      <c r="AD380"/>
      <c r="AE380"/>
      <c r="AF380"/>
      <c r="AG380"/>
      <c r="AH380" s="46"/>
      <c r="AI380"/>
      <c r="AJ380"/>
      <c r="AK380"/>
      <c r="AL380"/>
      <c r="AM380"/>
      <c r="AN380"/>
      <c r="AO380"/>
      <c r="AP380"/>
      <c r="AQ380"/>
      <c r="AR380"/>
      <c r="AS380"/>
      <c r="AT380" s="14"/>
      <c r="AU380"/>
      <c r="AV380"/>
      <c r="AW380"/>
      <c r="AX380" s="10"/>
      <c r="AY380" s="20"/>
      <c r="AZ380" s="16"/>
      <c r="BA380"/>
      <c r="BB380"/>
      <c r="BC380" s="16"/>
      <c r="BD380"/>
      <c r="BE380"/>
      <c r="BF380"/>
      <c r="BG380"/>
      <c r="BH380"/>
      <c r="BI380"/>
      <c r="BJ380"/>
      <c r="BK380"/>
      <c r="BL380"/>
      <c r="BM380"/>
      <c r="BN380" s="19"/>
      <c r="BO380"/>
      <c r="BP380"/>
      <c r="BQ380"/>
      <c r="BR380"/>
      <c r="BS380"/>
      <c r="BT380"/>
      <c r="BU380"/>
      <c r="BV380"/>
      <c r="BW380"/>
      <c r="BX380"/>
      <c r="BY380"/>
      <c r="BZ380"/>
      <c r="CA380"/>
      <c r="CB380"/>
      <c r="CC380"/>
      <c r="CD380"/>
      <c r="CE380"/>
      <c r="CF380"/>
      <c r="CG380"/>
      <c r="CH380"/>
      <c r="CI380"/>
      <c r="CJ380"/>
      <c r="CK380"/>
      <c r="CL380"/>
      <c r="CM380" s="20"/>
      <c r="CN380" s="20"/>
      <c r="CO380" s="20"/>
      <c r="CP380" s="20"/>
      <c r="CQ380" s="20"/>
      <c r="CR380" s="20"/>
      <c r="CS380" s="20"/>
      <c r="CT380" s="20"/>
      <c r="CU380" s="20"/>
      <c r="CV380" s="20"/>
      <c r="CW380" s="20"/>
      <c r="CX380" s="20"/>
      <c r="CY380" s="20"/>
    </row>
    <row r="381" spans="1:103" s="6" customFormat="1">
      <c r="A381"/>
      <c r="B381"/>
      <c r="C381"/>
      <c r="D381"/>
      <c r="E381"/>
      <c r="F381"/>
      <c r="G381"/>
      <c r="H381"/>
      <c r="I381"/>
      <c r="J381"/>
      <c r="N381" s="7"/>
      <c r="O381"/>
      <c r="P381" s="10"/>
      <c r="Q381" s="9"/>
      <c r="R381" s="10"/>
      <c r="S381" s="10"/>
      <c r="AA381" s="11"/>
      <c r="AD381"/>
      <c r="AE381"/>
      <c r="AF381"/>
      <c r="AG381"/>
      <c r="AH381" s="46"/>
      <c r="AI381"/>
      <c r="AJ381"/>
      <c r="AK381"/>
      <c r="AL381"/>
      <c r="AM381"/>
      <c r="AN381"/>
      <c r="AO381"/>
      <c r="AP381"/>
      <c r="AQ381"/>
      <c r="AR381"/>
      <c r="AS381"/>
      <c r="AT381" s="14"/>
      <c r="AU381"/>
      <c r="AV381"/>
      <c r="AW381"/>
      <c r="AX381" s="10"/>
      <c r="AY381" s="20"/>
      <c r="AZ381" s="16"/>
      <c r="BA381"/>
      <c r="BB381"/>
      <c r="BC381" s="16"/>
      <c r="BD381"/>
      <c r="BE381"/>
      <c r="BF381"/>
      <c r="BG381"/>
      <c r="BH381"/>
      <c r="BI381"/>
      <c r="BJ381"/>
      <c r="BK381"/>
      <c r="BL381"/>
      <c r="BM381"/>
      <c r="BN381" s="19"/>
      <c r="BO381"/>
      <c r="BP381"/>
      <c r="BQ381"/>
      <c r="BR381"/>
      <c r="BS381"/>
      <c r="BT381"/>
      <c r="BU381"/>
      <c r="BV381"/>
      <c r="BW381"/>
      <c r="BX381"/>
      <c r="BY381"/>
      <c r="BZ381"/>
      <c r="CA381"/>
      <c r="CB381"/>
      <c r="CC381"/>
      <c r="CD381"/>
      <c r="CE381"/>
      <c r="CF381"/>
      <c r="CG381"/>
      <c r="CH381"/>
      <c r="CI381"/>
      <c r="CJ381"/>
      <c r="CK381"/>
      <c r="CL381"/>
      <c r="CM381" s="20"/>
      <c r="CN381" s="20"/>
      <c r="CO381" s="20"/>
      <c r="CP381" s="20"/>
      <c r="CQ381" s="20"/>
      <c r="CR381" s="20"/>
      <c r="CS381" s="20"/>
      <c r="CT381" s="20"/>
      <c r="CU381" s="20"/>
      <c r="CV381" s="20"/>
      <c r="CW381" s="20"/>
      <c r="CX381" s="20"/>
      <c r="CY381" s="20"/>
    </row>
    <row r="382" spans="1:103" s="6" customFormat="1">
      <c r="A382"/>
      <c r="B382"/>
      <c r="C382"/>
      <c r="D382"/>
      <c r="E382"/>
      <c r="F382"/>
      <c r="G382"/>
      <c r="H382"/>
      <c r="I382"/>
      <c r="J382"/>
      <c r="N382" s="7"/>
      <c r="O382"/>
      <c r="P382" s="10"/>
      <c r="Q382" s="9"/>
      <c r="R382" s="10"/>
      <c r="S382" s="10"/>
      <c r="AA382" s="11"/>
      <c r="AD382"/>
      <c r="AE382"/>
      <c r="AF382"/>
      <c r="AG382"/>
      <c r="AH382" s="46"/>
      <c r="AI382"/>
      <c r="AJ382"/>
      <c r="AK382"/>
      <c r="AL382"/>
      <c r="AM382"/>
      <c r="AN382"/>
      <c r="AO382"/>
      <c r="AP382"/>
      <c r="AQ382"/>
      <c r="AR382"/>
      <c r="AS382"/>
      <c r="AT382" s="14"/>
      <c r="AU382"/>
      <c r="AV382"/>
      <c r="AW382"/>
      <c r="AX382" s="10"/>
      <c r="AY382" s="20"/>
      <c r="AZ382" s="16"/>
      <c r="BA382"/>
      <c r="BB382"/>
      <c r="BC382" s="16"/>
      <c r="BD382"/>
      <c r="BE382"/>
      <c r="BF382"/>
      <c r="BG382"/>
      <c r="BH382"/>
      <c r="BI382"/>
      <c r="BJ382"/>
      <c r="BK382"/>
      <c r="BL382"/>
      <c r="BM382"/>
      <c r="BN382" s="19"/>
      <c r="BO382"/>
      <c r="BP382"/>
      <c r="BQ382"/>
      <c r="BR382"/>
      <c r="BS382"/>
      <c r="BT382"/>
      <c r="BU382"/>
      <c r="BV382"/>
      <c r="BW382"/>
      <c r="BX382"/>
      <c r="BY382"/>
      <c r="BZ382"/>
      <c r="CA382"/>
      <c r="CB382"/>
      <c r="CC382"/>
      <c r="CD382"/>
      <c r="CE382"/>
      <c r="CF382"/>
      <c r="CG382"/>
      <c r="CH382"/>
      <c r="CI382"/>
      <c r="CJ382"/>
      <c r="CK382"/>
      <c r="CL382"/>
      <c r="CM382" s="20"/>
      <c r="CN382" s="20"/>
      <c r="CO382" s="20"/>
      <c r="CP382" s="20"/>
      <c r="CQ382" s="20"/>
      <c r="CR382" s="20"/>
      <c r="CS382" s="20"/>
      <c r="CT382" s="20"/>
      <c r="CU382" s="20"/>
      <c r="CV382" s="20"/>
      <c r="CW382" s="20"/>
      <c r="CX382" s="20"/>
      <c r="CY382" s="20"/>
    </row>
    <row r="383" spans="1:103" s="6" customFormat="1">
      <c r="A383"/>
      <c r="B383"/>
      <c r="C383"/>
      <c r="D383"/>
      <c r="E383"/>
      <c r="F383"/>
      <c r="G383"/>
      <c r="H383"/>
      <c r="I383"/>
      <c r="J383"/>
      <c r="N383" s="7"/>
      <c r="O383"/>
      <c r="P383" s="10"/>
      <c r="Q383" s="9"/>
      <c r="R383" s="10"/>
      <c r="S383" s="10"/>
      <c r="AA383" s="11"/>
      <c r="AD383"/>
      <c r="AE383"/>
      <c r="AF383"/>
      <c r="AG383"/>
      <c r="AH383" s="46"/>
      <c r="AI383"/>
      <c r="AJ383"/>
      <c r="AK383"/>
      <c r="AL383"/>
      <c r="AM383"/>
      <c r="AN383"/>
      <c r="AO383"/>
      <c r="AP383"/>
      <c r="AQ383"/>
      <c r="AR383"/>
      <c r="AS383"/>
      <c r="AT383" s="14"/>
      <c r="AU383"/>
      <c r="AV383"/>
      <c r="AW383"/>
      <c r="AX383" s="10"/>
      <c r="AY383" s="20"/>
      <c r="AZ383" s="16"/>
      <c r="BA383"/>
      <c r="BB383"/>
      <c r="BC383" s="16"/>
      <c r="BD383"/>
      <c r="BE383"/>
      <c r="BF383"/>
      <c r="BG383"/>
      <c r="BH383"/>
      <c r="BI383"/>
      <c r="BJ383"/>
      <c r="BK383"/>
      <c r="BL383"/>
      <c r="BM383"/>
      <c r="BN383" s="19"/>
      <c r="BO383"/>
      <c r="BP383"/>
      <c r="BQ383"/>
      <c r="BR383"/>
      <c r="BS383"/>
      <c r="BT383"/>
      <c r="BU383"/>
      <c r="BV383"/>
      <c r="BW383"/>
      <c r="BX383"/>
      <c r="BY383"/>
      <c r="BZ383"/>
      <c r="CA383"/>
      <c r="CB383"/>
      <c r="CC383"/>
      <c r="CD383"/>
      <c r="CE383"/>
      <c r="CF383"/>
      <c r="CG383"/>
      <c r="CH383"/>
      <c r="CI383"/>
      <c r="CJ383"/>
      <c r="CK383"/>
      <c r="CL383"/>
      <c r="CM383" s="20"/>
      <c r="CN383" s="20"/>
      <c r="CO383" s="20"/>
      <c r="CP383" s="20"/>
      <c r="CQ383" s="20"/>
      <c r="CR383" s="20"/>
      <c r="CS383" s="20"/>
      <c r="CT383" s="20"/>
      <c r="CU383" s="20"/>
      <c r="CV383" s="20"/>
      <c r="CW383" s="20"/>
      <c r="CX383" s="20"/>
      <c r="CY383" s="20"/>
    </row>
    <row r="384" spans="1:103" s="6" customFormat="1">
      <c r="A384"/>
      <c r="B384"/>
      <c r="C384"/>
      <c r="D384"/>
      <c r="E384"/>
      <c r="F384"/>
      <c r="G384"/>
      <c r="H384"/>
      <c r="I384"/>
      <c r="J384"/>
      <c r="N384" s="7"/>
      <c r="O384"/>
      <c r="P384" s="10"/>
      <c r="Q384" s="9"/>
      <c r="R384" s="10"/>
      <c r="S384" s="10"/>
      <c r="AA384" s="11"/>
      <c r="AD384"/>
      <c r="AE384"/>
      <c r="AF384"/>
      <c r="AG384"/>
      <c r="AH384" s="46"/>
      <c r="AI384"/>
      <c r="AJ384"/>
      <c r="AK384"/>
      <c r="AL384"/>
      <c r="AM384"/>
      <c r="AN384"/>
      <c r="AO384"/>
      <c r="AP384"/>
      <c r="AQ384"/>
      <c r="AR384"/>
      <c r="AS384"/>
      <c r="AT384" s="14"/>
      <c r="AU384"/>
      <c r="AV384"/>
      <c r="AW384"/>
      <c r="AX384" s="10"/>
      <c r="AY384" s="20"/>
      <c r="AZ384" s="16"/>
      <c r="BA384"/>
      <c r="BB384"/>
      <c r="BC384" s="16"/>
      <c r="BD384"/>
      <c r="BE384"/>
      <c r="BF384"/>
      <c r="BG384"/>
      <c r="BH384"/>
      <c r="BI384"/>
      <c r="BJ384"/>
      <c r="BK384"/>
      <c r="BL384"/>
      <c r="BM384"/>
      <c r="BN384" s="19"/>
      <c r="BO384"/>
      <c r="BP384"/>
      <c r="BQ384"/>
      <c r="BR384"/>
      <c r="BS384"/>
      <c r="BT384"/>
      <c r="BU384"/>
      <c r="BV384"/>
      <c r="BW384"/>
      <c r="BX384"/>
      <c r="BY384"/>
      <c r="BZ384"/>
      <c r="CA384"/>
      <c r="CB384"/>
      <c r="CC384"/>
      <c r="CD384"/>
      <c r="CE384"/>
      <c r="CF384"/>
      <c r="CG384"/>
      <c r="CH384"/>
      <c r="CI384"/>
      <c r="CJ384"/>
      <c r="CK384"/>
      <c r="CL384"/>
      <c r="CM384" s="20"/>
      <c r="CN384" s="20"/>
      <c r="CO384" s="20"/>
      <c r="CP384" s="20"/>
      <c r="CQ384" s="20"/>
      <c r="CR384" s="20"/>
      <c r="CS384" s="20"/>
      <c r="CT384" s="20"/>
      <c r="CU384" s="20"/>
      <c r="CV384" s="20"/>
      <c r="CW384" s="20"/>
      <c r="CX384" s="20"/>
      <c r="CY384" s="20"/>
    </row>
    <row r="385" spans="1:103" s="6" customFormat="1">
      <c r="A385"/>
      <c r="B385"/>
      <c r="C385"/>
      <c r="D385"/>
      <c r="E385"/>
      <c r="F385"/>
      <c r="G385"/>
      <c r="H385"/>
      <c r="I385"/>
      <c r="J385"/>
      <c r="N385" s="7"/>
      <c r="O385"/>
      <c r="P385" s="10"/>
      <c r="Q385" s="9"/>
      <c r="R385" s="10"/>
      <c r="S385" s="10"/>
      <c r="AA385" s="11"/>
      <c r="AD385"/>
      <c r="AE385"/>
      <c r="AF385"/>
      <c r="AG385"/>
      <c r="AH385" s="46"/>
      <c r="AI385"/>
      <c r="AJ385"/>
      <c r="AK385"/>
      <c r="AL385"/>
      <c r="AM385"/>
      <c r="AN385"/>
      <c r="AO385"/>
      <c r="AP385"/>
      <c r="AQ385"/>
      <c r="AR385"/>
      <c r="AS385"/>
      <c r="AT385" s="14"/>
      <c r="AU385"/>
      <c r="AV385"/>
      <c r="AW385"/>
      <c r="AX385" s="10"/>
      <c r="AY385" s="20"/>
      <c r="AZ385" s="16"/>
      <c r="BA385"/>
      <c r="BB385"/>
      <c r="BC385" s="16"/>
      <c r="BD385"/>
      <c r="BE385"/>
      <c r="BF385"/>
      <c r="BG385"/>
      <c r="BH385"/>
      <c r="BI385"/>
      <c r="BJ385"/>
      <c r="BK385"/>
      <c r="BL385"/>
      <c r="BM385"/>
      <c r="BN385" s="19"/>
      <c r="BO385"/>
      <c r="BP385"/>
      <c r="BQ385"/>
      <c r="BR385"/>
      <c r="BS385"/>
      <c r="BT385"/>
      <c r="BU385"/>
      <c r="BV385"/>
      <c r="BW385"/>
      <c r="BX385"/>
      <c r="BY385"/>
      <c r="BZ385"/>
      <c r="CA385"/>
      <c r="CB385"/>
      <c r="CC385"/>
      <c r="CD385"/>
      <c r="CE385"/>
      <c r="CF385"/>
      <c r="CG385"/>
      <c r="CH385"/>
      <c r="CI385"/>
      <c r="CJ385"/>
      <c r="CK385"/>
      <c r="CL385"/>
      <c r="CM385" s="20"/>
      <c r="CN385" s="20"/>
      <c r="CO385" s="20"/>
      <c r="CP385" s="20"/>
      <c r="CQ385" s="20"/>
      <c r="CR385" s="20"/>
      <c r="CS385" s="20"/>
      <c r="CT385" s="20"/>
      <c r="CU385" s="20"/>
      <c r="CV385" s="20"/>
      <c r="CW385" s="20"/>
      <c r="CX385" s="20"/>
      <c r="CY385" s="20"/>
    </row>
    <row r="386" spans="1:103" s="6" customFormat="1">
      <c r="A386"/>
      <c r="B386"/>
      <c r="C386"/>
      <c r="D386"/>
      <c r="E386"/>
      <c r="F386"/>
      <c r="G386"/>
      <c r="H386"/>
      <c r="I386"/>
      <c r="J386"/>
      <c r="N386" s="7"/>
      <c r="O386"/>
      <c r="P386" s="10"/>
      <c r="Q386" s="9"/>
      <c r="R386" s="10"/>
      <c r="S386" s="10"/>
      <c r="AA386" s="11"/>
      <c r="AD386"/>
      <c r="AE386"/>
      <c r="AF386"/>
      <c r="AG386"/>
      <c r="AH386" s="46"/>
      <c r="AI386"/>
      <c r="AJ386"/>
      <c r="AK386"/>
      <c r="AL386"/>
      <c r="AM386"/>
      <c r="AN386"/>
      <c r="AO386"/>
      <c r="AP386"/>
      <c r="AQ386"/>
      <c r="AR386"/>
      <c r="AS386"/>
      <c r="AT386" s="14"/>
      <c r="AU386"/>
      <c r="AV386"/>
      <c r="AW386"/>
      <c r="AX386" s="10"/>
      <c r="AY386" s="20"/>
      <c r="AZ386" s="16"/>
      <c r="BA386"/>
      <c r="BB386"/>
      <c r="BC386" s="16"/>
      <c r="BD386"/>
      <c r="BE386"/>
      <c r="BF386"/>
      <c r="BG386"/>
      <c r="BH386"/>
      <c r="BI386"/>
      <c r="BJ386"/>
      <c r="BK386"/>
      <c r="BL386"/>
      <c r="BM386"/>
      <c r="BN386" s="19"/>
      <c r="BO386"/>
      <c r="BP386"/>
      <c r="BQ386"/>
      <c r="BR386"/>
      <c r="BS386"/>
      <c r="BT386"/>
      <c r="BU386"/>
      <c r="BV386"/>
      <c r="BW386"/>
      <c r="BX386"/>
      <c r="BY386"/>
      <c r="BZ386"/>
      <c r="CA386"/>
      <c r="CB386"/>
      <c r="CC386"/>
      <c r="CD386"/>
      <c r="CE386"/>
      <c r="CF386"/>
      <c r="CG386"/>
      <c r="CH386"/>
      <c r="CI386"/>
      <c r="CJ386"/>
      <c r="CK386"/>
      <c r="CL386"/>
      <c r="CM386" s="20"/>
      <c r="CN386" s="20"/>
      <c r="CO386" s="20"/>
      <c r="CP386" s="20"/>
      <c r="CQ386" s="20"/>
      <c r="CR386" s="20"/>
      <c r="CS386" s="20"/>
      <c r="CT386" s="20"/>
      <c r="CU386" s="20"/>
      <c r="CV386" s="20"/>
      <c r="CW386" s="20"/>
      <c r="CX386" s="20"/>
      <c r="CY386" s="20"/>
    </row>
    <row r="387" spans="1:103" s="6" customFormat="1">
      <c r="A387"/>
      <c r="B387"/>
      <c r="C387"/>
      <c r="D387"/>
      <c r="E387"/>
      <c r="F387"/>
      <c r="G387"/>
      <c r="H387"/>
      <c r="I387"/>
      <c r="J387"/>
      <c r="N387" s="7"/>
      <c r="O387"/>
      <c r="P387" s="10"/>
      <c r="Q387" s="9"/>
      <c r="R387" s="10"/>
      <c r="S387" s="10"/>
      <c r="AA387" s="11"/>
      <c r="AD387"/>
      <c r="AE387"/>
      <c r="AF387"/>
      <c r="AG387"/>
      <c r="AH387" s="46"/>
      <c r="AI387"/>
      <c r="AJ387"/>
      <c r="AK387"/>
      <c r="AL387"/>
      <c r="AM387"/>
      <c r="AN387"/>
      <c r="AO387"/>
      <c r="AP387"/>
      <c r="AQ387"/>
      <c r="AR387"/>
      <c r="AS387"/>
      <c r="AT387" s="14"/>
      <c r="AU387"/>
      <c r="AV387"/>
      <c r="AW387"/>
      <c r="AX387" s="10"/>
      <c r="AY387" s="20"/>
      <c r="AZ387" s="16"/>
      <c r="BA387"/>
      <c r="BB387"/>
      <c r="BC387" s="16"/>
      <c r="BD387"/>
      <c r="BE387"/>
      <c r="BF387"/>
      <c r="BG387"/>
      <c r="BH387"/>
      <c r="BI387"/>
      <c r="BJ387"/>
      <c r="BK387"/>
      <c r="BL387"/>
      <c r="BM387"/>
      <c r="BN387" s="19"/>
      <c r="BO387"/>
      <c r="BP387"/>
      <c r="BQ387"/>
      <c r="BR387"/>
      <c r="BS387"/>
      <c r="BT387"/>
      <c r="BU387"/>
      <c r="BV387"/>
      <c r="BW387"/>
      <c r="BX387"/>
      <c r="BY387"/>
      <c r="BZ387"/>
      <c r="CA387"/>
      <c r="CB387"/>
      <c r="CC387"/>
      <c r="CD387"/>
      <c r="CE387"/>
      <c r="CF387"/>
      <c r="CG387"/>
      <c r="CH387"/>
      <c r="CI387"/>
      <c r="CJ387"/>
      <c r="CK387"/>
      <c r="CL387"/>
      <c r="CM387" s="20"/>
      <c r="CN387" s="20"/>
      <c r="CO387" s="20"/>
      <c r="CP387" s="20"/>
      <c r="CQ387" s="20"/>
      <c r="CR387" s="20"/>
      <c r="CS387" s="20"/>
      <c r="CT387" s="20"/>
      <c r="CU387" s="20"/>
      <c r="CV387" s="20"/>
      <c r="CW387" s="20"/>
      <c r="CX387" s="20"/>
      <c r="CY387" s="20"/>
    </row>
    <row r="388" spans="1:103" s="6" customFormat="1">
      <c r="A388"/>
      <c r="B388"/>
      <c r="C388"/>
      <c r="D388"/>
      <c r="E388"/>
      <c r="F388"/>
      <c r="G388"/>
      <c r="H388"/>
      <c r="I388"/>
      <c r="J388"/>
      <c r="N388" s="7"/>
      <c r="O388"/>
      <c r="P388" s="10"/>
      <c r="Q388" s="9"/>
      <c r="R388" s="10"/>
      <c r="S388" s="10"/>
      <c r="AA388" s="11"/>
      <c r="AD388"/>
      <c r="AE388"/>
      <c r="AF388"/>
      <c r="AG388"/>
      <c r="AH388" s="46"/>
      <c r="AI388"/>
      <c r="AJ388"/>
      <c r="AK388"/>
      <c r="AL388"/>
      <c r="AM388"/>
      <c r="AN388"/>
      <c r="AO388"/>
      <c r="AP388"/>
      <c r="AQ388"/>
      <c r="AR388"/>
      <c r="AS388"/>
      <c r="AT388" s="14"/>
      <c r="AU388"/>
      <c r="AV388"/>
      <c r="AW388"/>
      <c r="AX388" s="10"/>
      <c r="AY388" s="20"/>
      <c r="AZ388" s="16"/>
      <c r="BA388"/>
      <c r="BB388"/>
      <c r="BC388" s="16"/>
      <c r="BD388"/>
      <c r="BE388"/>
      <c r="BF388"/>
      <c r="BG388"/>
      <c r="BH388"/>
      <c r="BI388"/>
      <c r="BJ388"/>
      <c r="BK388"/>
      <c r="BL388"/>
      <c r="BM388"/>
      <c r="BN388" s="19"/>
      <c r="BO388"/>
      <c r="BP388"/>
      <c r="BQ388"/>
      <c r="BR388"/>
      <c r="BS388"/>
      <c r="BT388"/>
      <c r="BU388"/>
      <c r="BV388"/>
      <c r="BW388"/>
      <c r="BX388"/>
      <c r="BY388"/>
      <c r="BZ388"/>
      <c r="CA388"/>
      <c r="CB388"/>
      <c r="CC388"/>
      <c r="CD388"/>
      <c r="CE388"/>
      <c r="CF388"/>
      <c r="CG388"/>
      <c r="CH388"/>
      <c r="CI388"/>
      <c r="CJ388"/>
      <c r="CK388"/>
      <c r="CL388"/>
      <c r="CM388" s="20"/>
      <c r="CN388" s="20"/>
      <c r="CO388" s="20"/>
      <c r="CP388" s="20"/>
      <c r="CQ388" s="20"/>
      <c r="CR388" s="20"/>
      <c r="CS388" s="20"/>
      <c r="CT388" s="20"/>
      <c r="CU388" s="20"/>
      <c r="CV388" s="20"/>
      <c r="CW388" s="20"/>
      <c r="CX388" s="20"/>
      <c r="CY388" s="20"/>
    </row>
    <row r="389" spans="1:103" s="6" customFormat="1">
      <c r="A389"/>
      <c r="B389"/>
      <c r="C389"/>
      <c r="D389"/>
      <c r="E389"/>
      <c r="F389"/>
      <c r="G389"/>
      <c r="H389"/>
      <c r="I389"/>
      <c r="J389"/>
      <c r="N389" s="7"/>
      <c r="O389"/>
      <c r="P389" s="10"/>
      <c r="Q389" s="9"/>
      <c r="R389" s="10"/>
      <c r="S389" s="10"/>
      <c r="AA389" s="11"/>
      <c r="AD389"/>
      <c r="AE389"/>
      <c r="AF389"/>
      <c r="AG389"/>
      <c r="AH389" s="46"/>
      <c r="AI389"/>
      <c r="AJ389"/>
      <c r="AK389"/>
      <c r="AL389"/>
      <c r="AM389"/>
      <c r="AN389"/>
      <c r="AO389"/>
      <c r="AP389"/>
      <c r="AQ389"/>
      <c r="AR389"/>
      <c r="AS389"/>
      <c r="AT389" s="14"/>
      <c r="AU389"/>
      <c r="AV389"/>
      <c r="AW389"/>
      <c r="AX389" s="10"/>
      <c r="AY389" s="20"/>
      <c r="AZ389" s="16"/>
      <c r="BA389"/>
      <c r="BB389"/>
      <c r="BC389" s="16"/>
      <c r="BD389"/>
      <c r="BE389"/>
      <c r="BF389"/>
      <c r="BG389"/>
      <c r="BH389"/>
      <c r="BI389"/>
      <c r="BJ389"/>
      <c r="BK389"/>
      <c r="BL389"/>
      <c r="BM389"/>
      <c r="BN389" s="19"/>
      <c r="BO389"/>
      <c r="BP389"/>
      <c r="BQ389"/>
      <c r="BR389"/>
      <c r="BS389"/>
      <c r="BT389"/>
      <c r="BU389"/>
      <c r="BV389"/>
      <c r="BW389"/>
      <c r="BX389"/>
      <c r="BY389"/>
      <c r="BZ389"/>
      <c r="CA389"/>
      <c r="CB389"/>
      <c r="CC389"/>
      <c r="CD389"/>
      <c r="CE389"/>
      <c r="CF389"/>
      <c r="CG389"/>
      <c r="CH389"/>
      <c r="CI389"/>
      <c r="CJ389"/>
      <c r="CK389"/>
      <c r="CL389"/>
      <c r="CM389" s="20"/>
      <c r="CN389" s="20"/>
      <c r="CO389" s="20"/>
      <c r="CP389" s="20"/>
      <c r="CQ389" s="20"/>
      <c r="CR389" s="20"/>
      <c r="CS389" s="20"/>
      <c r="CT389" s="20"/>
      <c r="CU389" s="20"/>
      <c r="CV389" s="20"/>
      <c r="CW389" s="20"/>
      <c r="CX389" s="20"/>
      <c r="CY389" s="20"/>
    </row>
    <row r="390" spans="1:103" s="6" customFormat="1">
      <c r="A390"/>
      <c r="B390"/>
      <c r="C390"/>
      <c r="D390"/>
      <c r="E390"/>
      <c r="F390"/>
      <c r="G390"/>
      <c r="H390"/>
      <c r="I390"/>
      <c r="J390"/>
      <c r="N390" s="7"/>
      <c r="O390"/>
      <c r="P390" s="10"/>
      <c r="Q390" s="9"/>
      <c r="R390" s="10"/>
      <c r="S390" s="10"/>
      <c r="AA390" s="11"/>
      <c r="AD390"/>
      <c r="AE390"/>
      <c r="AF390"/>
      <c r="AG390"/>
      <c r="AH390" s="46"/>
      <c r="AI390"/>
      <c r="AJ390"/>
      <c r="AK390"/>
      <c r="AL390"/>
      <c r="AM390"/>
      <c r="AN390"/>
      <c r="AO390"/>
      <c r="AP390"/>
      <c r="AQ390"/>
      <c r="AR390"/>
      <c r="AS390"/>
      <c r="AT390" s="14"/>
      <c r="AU390"/>
      <c r="AV390"/>
      <c r="AW390"/>
      <c r="AX390" s="10"/>
      <c r="AY390" s="20"/>
      <c r="AZ390" s="16"/>
      <c r="BA390"/>
      <c r="BB390"/>
      <c r="BC390" s="16"/>
      <c r="BD390"/>
      <c r="BE390"/>
      <c r="BF390"/>
      <c r="BG390"/>
      <c r="BH390"/>
      <c r="BI390"/>
      <c r="BJ390"/>
      <c r="BK390"/>
      <c r="BL390"/>
      <c r="BM390"/>
      <c r="BN390" s="19"/>
      <c r="BO390"/>
      <c r="BP390"/>
      <c r="BQ390"/>
      <c r="BR390"/>
      <c r="BS390"/>
      <c r="BT390"/>
      <c r="BU390"/>
      <c r="BV390"/>
      <c r="BW390"/>
      <c r="BX390"/>
      <c r="BY390"/>
      <c r="BZ390"/>
      <c r="CA390"/>
      <c r="CB390"/>
      <c r="CC390"/>
      <c r="CD390"/>
      <c r="CE390"/>
      <c r="CF390"/>
      <c r="CG390"/>
      <c r="CH390"/>
      <c r="CI390"/>
      <c r="CJ390"/>
      <c r="CK390"/>
      <c r="CL390"/>
      <c r="CM390" s="20"/>
      <c r="CN390" s="20"/>
      <c r="CO390" s="20"/>
      <c r="CP390" s="20"/>
      <c r="CQ390" s="20"/>
      <c r="CR390" s="20"/>
      <c r="CS390" s="20"/>
      <c r="CT390" s="20"/>
      <c r="CU390" s="20"/>
      <c r="CV390" s="20"/>
      <c r="CW390" s="20"/>
      <c r="CX390" s="20"/>
      <c r="CY390" s="20"/>
    </row>
    <row r="391" spans="1:103" s="6" customFormat="1">
      <c r="A391"/>
      <c r="B391"/>
      <c r="C391"/>
      <c r="D391"/>
      <c r="E391"/>
      <c r="F391"/>
      <c r="G391"/>
      <c r="H391"/>
      <c r="I391"/>
      <c r="J391"/>
      <c r="N391" s="7"/>
      <c r="O391"/>
      <c r="P391" s="10"/>
      <c r="Q391" s="9"/>
      <c r="R391" s="10"/>
      <c r="S391" s="10"/>
      <c r="AA391" s="11"/>
      <c r="AD391"/>
      <c r="AE391"/>
      <c r="AF391"/>
      <c r="AG391"/>
      <c r="AH391" s="46"/>
      <c r="AI391"/>
      <c r="AJ391"/>
      <c r="AK391"/>
      <c r="AL391"/>
      <c r="AM391"/>
      <c r="AN391"/>
      <c r="AO391"/>
      <c r="AP391"/>
      <c r="AQ391"/>
      <c r="AR391"/>
      <c r="AS391"/>
      <c r="AT391" s="14"/>
      <c r="AU391"/>
      <c r="AV391"/>
      <c r="AW391"/>
      <c r="AX391" s="10"/>
      <c r="AY391" s="20"/>
      <c r="AZ391" s="16"/>
      <c r="BA391"/>
      <c r="BB391"/>
      <c r="BC391" s="16"/>
      <c r="BD391"/>
      <c r="BE391"/>
      <c r="BF391"/>
      <c r="BG391"/>
      <c r="BH391"/>
      <c r="BI391"/>
      <c r="BJ391"/>
      <c r="BK391"/>
      <c r="BL391"/>
      <c r="BM391"/>
      <c r="BN391" s="19"/>
      <c r="BO391"/>
      <c r="BP391"/>
      <c r="BQ391"/>
      <c r="BR391"/>
      <c r="BS391"/>
      <c r="BT391"/>
      <c r="BU391"/>
      <c r="BV391"/>
      <c r="BW391"/>
      <c r="BX391"/>
      <c r="BY391"/>
      <c r="BZ391"/>
      <c r="CA391"/>
      <c r="CB391"/>
      <c r="CC391"/>
      <c r="CD391"/>
      <c r="CE391"/>
      <c r="CF391"/>
      <c r="CG391"/>
      <c r="CH391"/>
      <c r="CI391"/>
      <c r="CJ391"/>
      <c r="CK391"/>
      <c r="CL391"/>
      <c r="CM391" s="20"/>
      <c r="CN391" s="20"/>
      <c r="CO391" s="20"/>
      <c r="CP391" s="20"/>
      <c r="CQ391" s="20"/>
      <c r="CR391" s="20"/>
      <c r="CS391" s="20"/>
      <c r="CT391" s="20"/>
      <c r="CU391" s="20"/>
      <c r="CV391" s="20"/>
      <c r="CW391" s="20"/>
      <c r="CX391" s="20"/>
      <c r="CY391" s="20"/>
    </row>
    <row r="392" spans="1:103" s="6" customFormat="1">
      <c r="A392"/>
      <c r="B392"/>
      <c r="C392"/>
      <c r="D392"/>
      <c r="E392"/>
      <c r="F392"/>
      <c r="G392"/>
      <c r="H392"/>
      <c r="I392"/>
      <c r="J392"/>
      <c r="N392" s="7"/>
      <c r="O392"/>
      <c r="P392" s="10"/>
      <c r="Q392" s="9"/>
      <c r="R392" s="10"/>
      <c r="S392" s="10"/>
      <c r="AA392" s="11"/>
      <c r="AD392"/>
      <c r="AE392"/>
      <c r="AF392"/>
      <c r="AG392"/>
      <c r="AH392" s="46"/>
      <c r="AI392"/>
      <c r="AJ392"/>
      <c r="AK392"/>
      <c r="AL392"/>
      <c r="AM392"/>
      <c r="AN392"/>
      <c r="AO392"/>
      <c r="AP392"/>
      <c r="AQ392"/>
      <c r="AR392"/>
      <c r="AS392"/>
      <c r="AT392" s="14"/>
      <c r="AU392"/>
      <c r="AV392"/>
      <c r="AW392"/>
      <c r="AX392" s="10"/>
      <c r="AY392" s="20"/>
      <c r="AZ392" s="16"/>
      <c r="BA392"/>
      <c r="BB392"/>
      <c r="BC392" s="16"/>
      <c r="BD392"/>
      <c r="BE392"/>
      <c r="BF392"/>
      <c r="BG392"/>
      <c r="BH392"/>
      <c r="BI392"/>
      <c r="BJ392"/>
      <c r="BK392"/>
      <c r="BL392"/>
      <c r="BM392"/>
      <c r="BN392" s="19"/>
      <c r="BO392"/>
      <c r="BP392"/>
      <c r="BQ392"/>
      <c r="BR392"/>
      <c r="BS392"/>
      <c r="BT392"/>
      <c r="BU392"/>
      <c r="BV392"/>
      <c r="BW392"/>
      <c r="BX392"/>
      <c r="BY392"/>
      <c r="BZ392"/>
      <c r="CA392"/>
      <c r="CB392"/>
      <c r="CC392"/>
      <c r="CD392"/>
      <c r="CE392"/>
      <c r="CF392"/>
      <c r="CG392"/>
      <c r="CH392"/>
      <c r="CI392"/>
      <c r="CJ392"/>
      <c r="CK392"/>
      <c r="CL392"/>
      <c r="CM392" s="20"/>
      <c r="CN392" s="20"/>
      <c r="CO392" s="20"/>
      <c r="CP392" s="20"/>
      <c r="CQ392" s="20"/>
      <c r="CR392" s="20"/>
      <c r="CS392" s="20"/>
      <c r="CT392" s="20"/>
      <c r="CU392" s="20"/>
      <c r="CV392" s="20"/>
      <c r="CW392" s="20"/>
      <c r="CX392" s="20"/>
      <c r="CY392" s="20"/>
    </row>
    <row r="393" spans="1:103" s="6" customFormat="1">
      <c r="A393"/>
      <c r="B393"/>
      <c r="C393"/>
      <c r="D393"/>
      <c r="E393"/>
      <c r="F393"/>
      <c r="G393"/>
      <c r="H393"/>
      <c r="I393"/>
      <c r="J393"/>
      <c r="N393" s="7"/>
      <c r="O393"/>
      <c r="P393" s="10"/>
      <c r="Q393" s="9"/>
      <c r="R393" s="10"/>
      <c r="S393" s="10"/>
      <c r="AA393" s="11"/>
      <c r="AD393"/>
      <c r="AE393"/>
      <c r="AF393"/>
      <c r="AG393"/>
      <c r="AH393" s="46"/>
      <c r="AI393"/>
      <c r="AJ393"/>
      <c r="AK393"/>
      <c r="AL393"/>
      <c r="AM393"/>
      <c r="AN393"/>
      <c r="AO393"/>
      <c r="AP393"/>
      <c r="AQ393"/>
      <c r="AR393"/>
      <c r="AS393"/>
      <c r="AT393" s="14"/>
      <c r="AU393"/>
      <c r="AV393"/>
      <c r="AW393"/>
      <c r="AX393" s="10"/>
      <c r="AY393" s="20"/>
      <c r="AZ393" s="16"/>
      <c r="BA393"/>
      <c r="BB393"/>
      <c r="BC393" s="16"/>
      <c r="BD393"/>
      <c r="BE393"/>
      <c r="BF393"/>
      <c r="BG393"/>
      <c r="BH393"/>
      <c r="BI393"/>
      <c r="BJ393"/>
      <c r="BK393"/>
      <c r="BL393"/>
      <c r="BM393"/>
      <c r="BN393" s="19"/>
      <c r="BO393"/>
      <c r="BP393"/>
      <c r="BQ393"/>
      <c r="BR393"/>
      <c r="BS393"/>
      <c r="BT393"/>
      <c r="BU393"/>
      <c r="BV393"/>
      <c r="BW393"/>
      <c r="BX393"/>
      <c r="BY393"/>
      <c r="BZ393"/>
      <c r="CA393"/>
      <c r="CB393"/>
      <c r="CC393"/>
      <c r="CD393"/>
      <c r="CE393"/>
      <c r="CF393"/>
      <c r="CG393"/>
      <c r="CH393"/>
      <c r="CI393"/>
      <c r="CJ393"/>
      <c r="CK393"/>
      <c r="CL393"/>
      <c r="CM393" s="20"/>
      <c r="CN393" s="20"/>
      <c r="CO393" s="20"/>
      <c r="CP393" s="20"/>
      <c r="CQ393" s="20"/>
      <c r="CR393" s="20"/>
      <c r="CS393" s="20"/>
      <c r="CT393" s="20"/>
      <c r="CU393" s="20"/>
      <c r="CV393" s="20"/>
      <c r="CW393" s="20"/>
      <c r="CX393" s="20"/>
      <c r="CY393" s="20"/>
    </row>
    <row r="394" spans="1:103" s="6" customFormat="1">
      <c r="A394"/>
      <c r="B394"/>
      <c r="C394"/>
      <c r="D394"/>
      <c r="E394"/>
      <c r="F394"/>
      <c r="G394"/>
      <c r="H394"/>
      <c r="I394"/>
      <c r="J394"/>
      <c r="N394" s="7"/>
      <c r="O394"/>
      <c r="P394" s="10"/>
      <c r="Q394" s="9"/>
      <c r="R394" s="10"/>
      <c r="S394" s="10"/>
      <c r="AA394" s="11"/>
      <c r="AD394"/>
      <c r="AE394"/>
      <c r="AF394"/>
      <c r="AG394"/>
      <c r="AH394" s="46"/>
      <c r="AI394"/>
      <c r="AJ394"/>
      <c r="AK394"/>
      <c r="AL394"/>
      <c r="AM394"/>
      <c r="AN394"/>
      <c r="AO394"/>
      <c r="AP394"/>
      <c r="AQ394"/>
      <c r="AR394"/>
      <c r="AS394"/>
      <c r="AT394" s="14"/>
      <c r="AU394"/>
      <c r="AV394"/>
      <c r="AW394"/>
      <c r="AX394" s="10"/>
      <c r="AY394" s="20"/>
      <c r="AZ394" s="16"/>
      <c r="BA394"/>
      <c r="BB394"/>
      <c r="BC394" s="16"/>
      <c r="BD394"/>
      <c r="BE394"/>
      <c r="BF394"/>
      <c r="BG394"/>
      <c r="BH394"/>
      <c r="BI394"/>
      <c r="BJ394"/>
      <c r="BK394"/>
      <c r="BL394"/>
      <c r="BM394"/>
      <c r="BN394" s="19"/>
      <c r="BO394"/>
      <c r="BP394"/>
      <c r="BQ394"/>
      <c r="BR394"/>
      <c r="BS394"/>
      <c r="BT394"/>
      <c r="BU394"/>
      <c r="BV394"/>
      <c r="BW394"/>
      <c r="BX394"/>
      <c r="BY394"/>
      <c r="BZ394"/>
      <c r="CA394"/>
      <c r="CB394"/>
      <c r="CC394"/>
      <c r="CD394"/>
      <c r="CE394"/>
      <c r="CF394"/>
      <c r="CG394"/>
      <c r="CH394"/>
      <c r="CI394"/>
      <c r="CJ394"/>
      <c r="CK394"/>
      <c r="CL394"/>
      <c r="CM394" s="20"/>
      <c r="CN394" s="20"/>
      <c r="CO394" s="20"/>
      <c r="CP394" s="20"/>
      <c r="CQ394" s="20"/>
      <c r="CR394" s="20"/>
      <c r="CS394" s="20"/>
      <c r="CT394" s="20"/>
      <c r="CU394" s="20"/>
      <c r="CV394" s="20"/>
      <c r="CW394" s="20"/>
      <c r="CX394" s="20"/>
      <c r="CY394" s="20"/>
    </row>
    <row r="395" spans="1:103" s="6" customFormat="1">
      <c r="A395"/>
      <c r="B395"/>
      <c r="C395"/>
      <c r="D395"/>
      <c r="E395"/>
      <c r="F395"/>
      <c r="G395"/>
      <c r="H395"/>
      <c r="I395"/>
      <c r="J395"/>
      <c r="N395" s="7"/>
      <c r="O395"/>
      <c r="P395" s="10"/>
      <c r="Q395" s="9"/>
      <c r="R395" s="10"/>
      <c r="S395" s="10"/>
      <c r="AA395" s="11"/>
      <c r="AD395"/>
      <c r="AE395"/>
      <c r="AF395"/>
      <c r="AG395"/>
      <c r="AH395" s="46"/>
      <c r="AI395"/>
      <c r="AJ395"/>
      <c r="AK395"/>
      <c r="AL395"/>
      <c r="AM395"/>
      <c r="AN395"/>
      <c r="AO395"/>
      <c r="AP395"/>
      <c r="AQ395"/>
      <c r="AR395"/>
      <c r="AS395"/>
      <c r="AT395" s="14"/>
      <c r="AU395"/>
      <c r="AV395"/>
      <c r="AW395"/>
      <c r="AX395" s="10"/>
      <c r="AY395" s="20"/>
      <c r="AZ395" s="16"/>
      <c r="BA395"/>
      <c r="BB395"/>
      <c r="BC395" s="16"/>
      <c r="BD395"/>
      <c r="BE395"/>
      <c r="BF395"/>
      <c r="BG395"/>
      <c r="BH395"/>
      <c r="BI395"/>
      <c r="BJ395"/>
      <c r="BK395"/>
      <c r="BL395"/>
      <c r="BM395"/>
      <c r="BN395" s="19"/>
      <c r="BO395"/>
      <c r="BP395"/>
      <c r="BQ395"/>
      <c r="BR395"/>
      <c r="BS395"/>
      <c r="BT395"/>
      <c r="BU395"/>
      <c r="BV395"/>
      <c r="BW395"/>
      <c r="BX395"/>
      <c r="BY395"/>
      <c r="BZ395"/>
      <c r="CA395"/>
      <c r="CB395"/>
      <c r="CC395"/>
      <c r="CD395"/>
      <c r="CE395"/>
      <c r="CF395"/>
      <c r="CG395"/>
      <c r="CH395"/>
      <c r="CI395"/>
      <c r="CJ395"/>
      <c r="CK395"/>
      <c r="CL395"/>
      <c r="CM395" s="20"/>
      <c r="CN395" s="20"/>
      <c r="CO395" s="20"/>
      <c r="CP395" s="20"/>
      <c r="CQ395" s="20"/>
      <c r="CR395" s="20"/>
      <c r="CS395" s="20"/>
      <c r="CT395" s="20"/>
      <c r="CU395" s="20"/>
      <c r="CV395" s="20"/>
      <c r="CW395" s="20"/>
      <c r="CX395" s="20"/>
      <c r="CY395" s="20"/>
    </row>
    <row r="396" spans="1:103" s="6" customFormat="1">
      <c r="A396"/>
      <c r="B396"/>
      <c r="C396"/>
      <c r="D396"/>
      <c r="E396"/>
      <c r="F396"/>
      <c r="G396"/>
      <c r="H396"/>
      <c r="I396"/>
      <c r="J396"/>
      <c r="N396" s="7"/>
      <c r="O396"/>
      <c r="P396" s="10"/>
      <c r="Q396" s="9"/>
      <c r="R396" s="10"/>
      <c r="S396" s="10"/>
      <c r="AA396" s="11"/>
      <c r="AD396"/>
      <c r="AE396"/>
      <c r="AF396"/>
      <c r="AG396"/>
      <c r="AH396" s="46"/>
      <c r="AI396"/>
      <c r="AJ396"/>
      <c r="AK396"/>
      <c r="AL396"/>
      <c r="AM396"/>
      <c r="AN396"/>
      <c r="AO396"/>
      <c r="AP396"/>
      <c r="AQ396"/>
      <c r="AR396"/>
      <c r="AS396"/>
      <c r="AT396" s="14"/>
      <c r="AU396"/>
      <c r="AV396"/>
      <c r="AW396"/>
      <c r="AX396" s="10"/>
      <c r="AY396" s="20"/>
      <c r="AZ396" s="16"/>
      <c r="BA396"/>
      <c r="BB396"/>
      <c r="BC396" s="16"/>
      <c r="BD396"/>
      <c r="BE396"/>
      <c r="BF396"/>
      <c r="BG396"/>
      <c r="BH396"/>
      <c r="BI396"/>
      <c r="BJ396"/>
      <c r="BK396"/>
      <c r="BL396"/>
      <c r="BM396"/>
      <c r="BN396" s="19"/>
      <c r="BO396"/>
      <c r="BP396"/>
      <c r="BQ396"/>
      <c r="BR396"/>
      <c r="BS396"/>
      <c r="BT396"/>
      <c r="BU396"/>
      <c r="BV396"/>
      <c r="BW396"/>
      <c r="BX396"/>
      <c r="BY396"/>
      <c r="BZ396"/>
      <c r="CA396"/>
      <c r="CB396"/>
      <c r="CC396"/>
      <c r="CD396"/>
      <c r="CE396"/>
      <c r="CF396"/>
      <c r="CG396"/>
      <c r="CH396"/>
      <c r="CI396"/>
      <c r="CJ396"/>
      <c r="CK396"/>
      <c r="CL396"/>
      <c r="CM396" s="20"/>
      <c r="CN396" s="20"/>
      <c r="CO396" s="20"/>
      <c r="CP396" s="20"/>
      <c r="CQ396" s="20"/>
      <c r="CR396" s="20"/>
      <c r="CS396" s="20"/>
      <c r="CT396" s="20"/>
      <c r="CU396" s="20"/>
      <c r="CV396" s="20"/>
      <c r="CW396" s="20"/>
      <c r="CX396" s="20"/>
      <c r="CY396" s="20"/>
    </row>
    <row r="397" spans="1:103" s="6" customFormat="1">
      <c r="A397"/>
      <c r="B397"/>
      <c r="C397"/>
      <c r="D397"/>
      <c r="E397"/>
      <c r="F397"/>
      <c r="G397"/>
      <c r="H397"/>
      <c r="I397"/>
      <c r="J397"/>
      <c r="N397" s="7"/>
      <c r="O397"/>
      <c r="P397" s="10"/>
      <c r="Q397" s="9"/>
      <c r="R397" s="10"/>
      <c r="S397" s="10"/>
      <c r="AA397" s="11"/>
      <c r="AD397"/>
      <c r="AE397"/>
      <c r="AF397"/>
      <c r="AG397"/>
      <c r="AH397" s="46"/>
      <c r="AI397"/>
      <c r="AJ397"/>
      <c r="AK397"/>
      <c r="AL397"/>
      <c r="AM397"/>
      <c r="AN397"/>
      <c r="AO397"/>
      <c r="AP397"/>
      <c r="AQ397"/>
      <c r="AR397"/>
      <c r="AS397"/>
      <c r="AT397" s="14"/>
      <c r="AU397"/>
      <c r="AV397"/>
      <c r="AW397"/>
      <c r="AX397" s="10"/>
      <c r="AY397" s="20"/>
      <c r="AZ397" s="16"/>
      <c r="BA397"/>
      <c r="BB397"/>
      <c r="BC397" s="16"/>
      <c r="BD397"/>
      <c r="BE397"/>
      <c r="BF397"/>
      <c r="BG397"/>
      <c r="BH397"/>
      <c r="BI397"/>
      <c r="BJ397"/>
      <c r="BK397"/>
      <c r="BL397"/>
      <c r="BM397"/>
      <c r="BN397" s="19"/>
      <c r="BO397"/>
      <c r="BP397"/>
      <c r="BQ397"/>
      <c r="BR397"/>
      <c r="BS397"/>
      <c r="BT397"/>
      <c r="BU397"/>
      <c r="BV397"/>
      <c r="BW397"/>
      <c r="BX397"/>
      <c r="BY397"/>
      <c r="BZ397"/>
      <c r="CA397"/>
      <c r="CB397"/>
      <c r="CC397"/>
      <c r="CD397"/>
      <c r="CE397"/>
      <c r="CF397"/>
      <c r="CG397"/>
      <c r="CH397"/>
      <c r="CI397"/>
      <c r="CJ397"/>
      <c r="CK397"/>
      <c r="CL397"/>
      <c r="CM397" s="20"/>
      <c r="CN397" s="20"/>
      <c r="CO397" s="20"/>
      <c r="CP397" s="20"/>
      <c r="CQ397" s="20"/>
      <c r="CR397" s="20"/>
      <c r="CS397" s="20"/>
      <c r="CT397" s="20"/>
      <c r="CU397" s="20"/>
      <c r="CV397" s="20"/>
      <c r="CW397" s="20"/>
      <c r="CX397" s="20"/>
      <c r="CY397" s="20"/>
    </row>
    <row r="398" spans="1:103" s="6" customFormat="1">
      <c r="A398"/>
      <c r="B398"/>
      <c r="C398"/>
      <c r="D398"/>
      <c r="E398"/>
      <c r="F398"/>
      <c r="G398"/>
      <c r="H398"/>
      <c r="I398"/>
      <c r="J398"/>
      <c r="N398" s="7"/>
      <c r="O398"/>
      <c r="P398" s="10"/>
      <c r="Q398" s="9"/>
      <c r="R398" s="10"/>
      <c r="S398" s="10"/>
      <c r="AA398" s="11"/>
      <c r="AD398"/>
      <c r="AE398"/>
      <c r="AF398"/>
      <c r="AG398"/>
      <c r="AH398" s="46"/>
      <c r="AI398"/>
      <c r="AJ398"/>
      <c r="AK398"/>
      <c r="AL398"/>
      <c r="AM398"/>
      <c r="AN398"/>
      <c r="AO398"/>
      <c r="AP398"/>
      <c r="AQ398"/>
      <c r="AR398"/>
      <c r="AS398"/>
      <c r="AT398" s="14"/>
      <c r="AU398"/>
      <c r="AV398"/>
      <c r="AW398"/>
      <c r="AX398" s="10"/>
      <c r="AY398" s="20"/>
      <c r="AZ398" s="16"/>
      <c r="BA398"/>
      <c r="BB398"/>
      <c r="BC398" s="16"/>
      <c r="BD398"/>
      <c r="BE398"/>
      <c r="BF398"/>
      <c r="BG398"/>
      <c r="BH398"/>
      <c r="BI398"/>
      <c r="BJ398"/>
      <c r="BK398"/>
      <c r="BL398"/>
      <c r="BM398"/>
      <c r="BN398" s="19"/>
      <c r="BO398"/>
      <c r="BP398"/>
      <c r="BQ398"/>
      <c r="BR398"/>
      <c r="BS398"/>
      <c r="BT398"/>
      <c r="BU398"/>
      <c r="BV398"/>
      <c r="BW398"/>
      <c r="BX398"/>
      <c r="BY398"/>
      <c r="BZ398"/>
      <c r="CA398"/>
      <c r="CB398"/>
      <c r="CC398"/>
      <c r="CD398"/>
      <c r="CE398"/>
      <c r="CF398"/>
      <c r="CG398"/>
      <c r="CH398"/>
      <c r="CI398"/>
      <c r="CJ398"/>
      <c r="CK398"/>
      <c r="CL398"/>
      <c r="CM398" s="20"/>
      <c r="CN398" s="20"/>
      <c r="CO398" s="20"/>
      <c r="CP398" s="20"/>
      <c r="CQ398" s="20"/>
      <c r="CR398" s="20"/>
      <c r="CS398" s="20"/>
      <c r="CT398" s="20"/>
      <c r="CU398" s="20"/>
      <c r="CV398" s="20"/>
      <c r="CW398" s="20"/>
      <c r="CX398" s="20"/>
      <c r="CY398" s="20"/>
    </row>
    <row r="399" spans="1:103" s="6" customFormat="1">
      <c r="A399"/>
      <c r="B399"/>
      <c r="C399"/>
      <c r="D399"/>
      <c r="E399"/>
      <c r="F399"/>
      <c r="G399"/>
      <c r="H399"/>
      <c r="I399"/>
      <c r="J399"/>
      <c r="N399" s="7"/>
      <c r="O399"/>
      <c r="P399" s="10"/>
      <c r="Q399" s="9"/>
      <c r="R399" s="10"/>
      <c r="S399" s="10"/>
      <c r="AA399" s="11"/>
      <c r="AD399"/>
      <c r="AE399"/>
      <c r="AF399"/>
      <c r="AG399"/>
      <c r="AH399" s="46"/>
      <c r="AI399"/>
      <c r="AJ399"/>
      <c r="AK399"/>
      <c r="AL399"/>
      <c r="AM399"/>
      <c r="AN399"/>
      <c r="AO399"/>
      <c r="AP399"/>
      <c r="AQ399"/>
      <c r="AR399"/>
      <c r="AS399"/>
      <c r="AT399" s="14"/>
      <c r="AU399"/>
      <c r="AV399"/>
      <c r="AW399"/>
      <c r="AX399" s="10"/>
      <c r="AY399" s="20"/>
      <c r="AZ399" s="16"/>
      <c r="BA399"/>
      <c r="BB399"/>
      <c r="BC399" s="16"/>
      <c r="BD399"/>
      <c r="BE399"/>
      <c r="BF399"/>
      <c r="BG399"/>
      <c r="BH399"/>
      <c r="BI399"/>
      <c r="BJ399"/>
      <c r="BK399"/>
      <c r="BL399"/>
      <c r="BM399"/>
      <c r="BN399" s="19"/>
      <c r="BO399"/>
      <c r="BP399"/>
      <c r="BQ399"/>
      <c r="BR399"/>
      <c r="BS399"/>
      <c r="BT399"/>
      <c r="BU399"/>
      <c r="BV399"/>
      <c r="BW399"/>
      <c r="BX399"/>
      <c r="BY399"/>
      <c r="BZ399"/>
      <c r="CA399"/>
      <c r="CB399"/>
      <c r="CC399"/>
      <c r="CD399"/>
      <c r="CE399"/>
      <c r="CF399"/>
      <c r="CG399"/>
      <c r="CH399"/>
      <c r="CI399"/>
      <c r="CJ399"/>
      <c r="CK399"/>
      <c r="CL399"/>
      <c r="CM399" s="20"/>
      <c r="CN399" s="20"/>
      <c r="CO399" s="20"/>
      <c r="CP399" s="20"/>
      <c r="CQ399" s="20"/>
      <c r="CR399" s="20"/>
      <c r="CS399" s="20"/>
      <c r="CT399" s="20"/>
      <c r="CU399" s="20"/>
      <c r="CV399" s="20"/>
      <c r="CW399" s="20"/>
      <c r="CX399" s="20"/>
      <c r="CY399" s="20"/>
    </row>
    <row r="400" spans="1:103" s="6" customFormat="1">
      <c r="A400"/>
      <c r="B400"/>
      <c r="C400"/>
      <c r="D400"/>
      <c r="E400"/>
      <c r="F400"/>
      <c r="G400"/>
      <c r="H400"/>
      <c r="I400"/>
      <c r="J400"/>
      <c r="N400" s="7"/>
      <c r="O400"/>
      <c r="P400" s="10"/>
      <c r="Q400" s="9"/>
      <c r="R400" s="10"/>
      <c r="S400" s="10"/>
      <c r="AA400" s="11"/>
      <c r="AD400"/>
      <c r="AE400"/>
      <c r="AF400"/>
      <c r="AG400"/>
      <c r="AH400" s="46"/>
      <c r="AI400"/>
      <c r="AJ400"/>
      <c r="AK400"/>
      <c r="AL400"/>
      <c r="AM400"/>
      <c r="AN400"/>
      <c r="AO400"/>
      <c r="AP400"/>
      <c r="AQ400"/>
      <c r="AR400"/>
      <c r="AS400"/>
      <c r="AT400" s="14"/>
      <c r="AU400"/>
      <c r="AV400"/>
      <c r="AW400"/>
      <c r="AX400" s="10"/>
      <c r="AY400" s="20"/>
      <c r="AZ400" s="16"/>
      <c r="BA400"/>
      <c r="BB400"/>
      <c r="BC400" s="16"/>
      <c r="BD400"/>
      <c r="BE400"/>
      <c r="BF400"/>
      <c r="BG400"/>
      <c r="BH400"/>
      <c r="BI400"/>
      <c r="BJ400"/>
      <c r="BK400"/>
      <c r="BL400"/>
      <c r="BM400"/>
      <c r="BN400" s="19"/>
      <c r="BO400"/>
      <c r="BP400"/>
      <c r="BQ400"/>
      <c r="BR400"/>
      <c r="BS400"/>
      <c r="BT400"/>
      <c r="BU400"/>
      <c r="BV400"/>
      <c r="BW400"/>
      <c r="BX400"/>
      <c r="BY400"/>
      <c r="BZ400"/>
      <c r="CA400"/>
      <c r="CB400"/>
      <c r="CC400"/>
      <c r="CD400"/>
      <c r="CE400"/>
      <c r="CF400"/>
      <c r="CG400"/>
      <c r="CH400"/>
      <c r="CI400"/>
      <c r="CJ400"/>
      <c r="CK400"/>
      <c r="CL400"/>
      <c r="CM400" s="20"/>
      <c r="CN400" s="20"/>
      <c r="CO400" s="20"/>
      <c r="CP400" s="20"/>
      <c r="CQ400" s="20"/>
      <c r="CR400" s="20"/>
      <c r="CS400" s="20"/>
      <c r="CT400" s="20"/>
      <c r="CU400" s="20"/>
      <c r="CV400" s="20"/>
      <c r="CW400" s="20"/>
      <c r="CX400" s="20"/>
      <c r="CY400" s="20"/>
    </row>
    <row r="401" spans="1:103" s="6" customFormat="1">
      <c r="A401"/>
      <c r="B401"/>
      <c r="C401"/>
      <c r="D401"/>
      <c r="E401"/>
      <c r="F401"/>
      <c r="G401"/>
      <c r="H401"/>
      <c r="I401"/>
      <c r="J401"/>
      <c r="N401" s="7"/>
      <c r="O401"/>
      <c r="P401" s="10"/>
      <c r="Q401" s="9"/>
      <c r="R401" s="10"/>
      <c r="S401" s="10"/>
      <c r="AA401" s="11"/>
      <c r="AD401"/>
      <c r="AE401"/>
      <c r="AF401"/>
      <c r="AG401"/>
      <c r="AH401" s="46"/>
      <c r="AI401"/>
      <c r="AJ401"/>
      <c r="AK401"/>
      <c r="AL401"/>
      <c r="AM401"/>
      <c r="AN401"/>
      <c r="AO401"/>
      <c r="AP401"/>
      <c r="AQ401"/>
      <c r="AR401"/>
      <c r="AS401"/>
      <c r="AT401" s="14"/>
      <c r="AU401"/>
      <c r="AV401"/>
      <c r="AW401"/>
      <c r="AX401" s="10"/>
      <c r="AY401" s="20"/>
      <c r="AZ401" s="16"/>
      <c r="BA401"/>
      <c r="BB401"/>
      <c r="BC401" s="16"/>
      <c r="BD401"/>
      <c r="BE401"/>
      <c r="BF401"/>
      <c r="BG401"/>
      <c r="BH401"/>
      <c r="BI401"/>
      <c r="BJ401"/>
      <c r="BK401"/>
      <c r="BL401"/>
      <c r="BM401"/>
      <c r="BN401" s="19"/>
      <c r="BO401"/>
      <c r="BP401"/>
      <c r="BQ401"/>
      <c r="BR401"/>
      <c r="BS401"/>
      <c r="BT401"/>
      <c r="BU401"/>
      <c r="BV401"/>
      <c r="BW401"/>
      <c r="BX401"/>
      <c r="BY401"/>
      <c r="BZ401"/>
      <c r="CA401"/>
      <c r="CB401"/>
      <c r="CC401"/>
      <c r="CD401"/>
      <c r="CE401"/>
      <c r="CF401"/>
      <c r="CG401"/>
      <c r="CH401"/>
      <c r="CI401"/>
      <c r="CJ401"/>
      <c r="CK401"/>
      <c r="CL401"/>
      <c r="CM401" s="20"/>
      <c r="CN401" s="20"/>
      <c r="CO401" s="20"/>
      <c r="CP401" s="20"/>
      <c r="CQ401" s="20"/>
      <c r="CR401" s="20"/>
      <c r="CS401" s="20"/>
      <c r="CT401" s="20"/>
      <c r="CU401" s="20"/>
      <c r="CV401" s="20"/>
      <c r="CW401" s="20"/>
      <c r="CX401" s="20"/>
      <c r="CY401" s="20"/>
    </row>
    <row r="402" spans="1:103" s="6" customFormat="1">
      <c r="A402"/>
      <c r="B402"/>
      <c r="C402"/>
      <c r="D402"/>
      <c r="E402"/>
      <c r="F402"/>
      <c r="G402"/>
      <c r="H402"/>
      <c r="I402"/>
      <c r="J402"/>
      <c r="N402" s="7"/>
      <c r="O402"/>
      <c r="P402" s="10"/>
      <c r="Q402" s="9"/>
      <c r="R402" s="10"/>
      <c r="S402" s="10"/>
      <c r="AA402" s="11"/>
      <c r="AD402"/>
      <c r="AE402"/>
      <c r="AF402"/>
      <c r="AG402"/>
      <c r="AH402" s="46"/>
      <c r="AI402"/>
      <c r="AJ402"/>
      <c r="AK402"/>
      <c r="AL402"/>
      <c r="AM402"/>
      <c r="AN402"/>
      <c r="AO402"/>
      <c r="AP402"/>
      <c r="AQ402"/>
      <c r="AR402"/>
      <c r="AS402"/>
      <c r="AT402" s="14"/>
      <c r="AU402"/>
      <c r="AV402"/>
      <c r="AW402"/>
      <c r="AX402" s="10"/>
      <c r="AY402" s="20"/>
      <c r="AZ402" s="16"/>
      <c r="BA402"/>
      <c r="BB402"/>
      <c r="BC402" s="16"/>
      <c r="BD402"/>
      <c r="BE402"/>
      <c r="BF402"/>
      <c r="BG402"/>
      <c r="BH402"/>
      <c r="BI402"/>
      <c r="BJ402"/>
      <c r="BK402"/>
      <c r="BL402"/>
      <c r="BM402"/>
      <c r="BN402" s="19"/>
      <c r="BO402"/>
      <c r="BP402"/>
      <c r="BQ402"/>
      <c r="BR402"/>
      <c r="BS402"/>
      <c r="BT402"/>
      <c r="BU402"/>
      <c r="BV402"/>
      <c r="BW402"/>
      <c r="BX402"/>
      <c r="BY402"/>
      <c r="BZ402"/>
      <c r="CA402"/>
      <c r="CB402"/>
      <c r="CC402"/>
      <c r="CD402"/>
      <c r="CE402"/>
      <c r="CF402"/>
      <c r="CG402"/>
      <c r="CH402"/>
      <c r="CI402"/>
      <c r="CJ402"/>
      <c r="CK402"/>
      <c r="CL402"/>
      <c r="CM402" s="20"/>
      <c r="CN402" s="20"/>
      <c r="CO402" s="20"/>
      <c r="CP402" s="20"/>
      <c r="CQ402" s="20"/>
      <c r="CR402" s="20"/>
      <c r="CS402" s="20"/>
      <c r="CT402" s="20"/>
      <c r="CU402" s="20"/>
      <c r="CV402" s="20"/>
      <c r="CW402" s="20"/>
      <c r="CX402" s="20"/>
      <c r="CY402" s="20"/>
    </row>
    <row r="403" spans="1:103" s="6" customFormat="1">
      <c r="A403"/>
      <c r="B403"/>
      <c r="C403"/>
      <c r="D403"/>
      <c r="E403"/>
      <c r="F403"/>
      <c r="G403"/>
      <c r="H403"/>
      <c r="I403"/>
      <c r="J403"/>
      <c r="N403" s="7"/>
      <c r="O403"/>
      <c r="P403" s="10"/>
      <c r="Q403" s="9"/>
      <c r="R403" s="10"/>
      <c r="S403" s="10"/>
      <c r="AA403" s="11"/>
      <c r="AD403"/>
      <c r="AE403"/>
      <c r="AF403"/>
      <c r="AG403"/>
      <c r="AH403" s="46"/>
      <c r="AI403"/>
      <c r="AJ403"/>
      <c r="AK403"/>
      <c r="AL403"/>
      <c r="AM403"/>
      <c r="AN403"/>
      <c r="AO403"/>
      <c r="AP403"/>
      <c r="AQ403"/>
      <c r="AR403"/>
      <c r="AS403"/>
      <c r="AT403" s="14"/>
      <c r="AU403"/>
      <c r="AV403"/>
      <c r="AW403"/>
      <c r="AX403" s="10"/>
      <c r="AY403" s="20"/>
      <c r="AZ403" s="16"/>
      <c r="BA403"/>
      <c r="BB403"/>
      <c r="BC403" s="16"/>
      <c r="BD403"/>
      <c r="BE403"/>
      <c r="BF403"/>
      <c r="BG403"/>
      <c r="BH403"/>
      <c r="BI403"/>
      <c r="BJ403"/>
      <c r="BK403"/>
      <c r="BL403"/>
      <c r="BM403"/>
      <c r="BN403" s="19"/>
      <c r="BO403"/>
      <c r="BP403"/>
      <c r="BQ403"/>
      <c r="BR403"/>
      <c r="BS403"/>
      <c r="BT403"/>
      <c r="BU403"/>
      <c r="BV403"/>
      <c r="BW403"/>
      <c r="BX403"/>
      <c r="BY403"/>
      <c r="BZ403"/>
      <c r="CA403"/>
      <c r="CB403"/>
      <c r="CC403"/>
      <c r="CD403"/>
      <c r="CE403"/>
      <c r="CF403"/>
      <c r="CG403"/>
      <c r="CH403"/>
      <c r="CI403"/>
      <c r="CJ403"/>
      <c r="CK403"/>
      <c r="CL403"/>
      <c r="CM403" s="20"/>
      <c r="CN403" s="20"/>
      <c r="CO403" s="20"/>
      <c r="CP403" s="20"/>
      <c r="CQ403" s="20"/>
      <c r="CR403" s="20"/>
      <c r="CS403" s="20"/>
      <c r="CT403" s="20"/>
      <c r="CU403" s="20"/>
      <c r="CV403" s="20"/>
      <c r="CW403" s="20"/>
      <c r="CX403" s="20"/>
      <c r="CY403" s="20"/>
    </row>
    <row r="404" spans="1:103" s="6" customFormat="1">
      <c r="A404"/>
      <c r="B404"/>
      <c r="C404"/>
      <c r="D404"/>
      <c r="E404"/>
      <c r="F404"/>
      <c r="G404"/>
      <c r="H404"/>
      <c r="I404"/>
      <c r="J404"/>
      <c r="N404" s="7"/>
      <c r="O404"/>
      <c r="P404" s="10"/>
      <c r="Q404" s="9"/>
      <c r="R404" s="10"/>
      <c r="S404" s="10"/>
      <c r="AA404" s="11"/>
      <c r="AD404"/>
      <c r="AE404"/>
      <c r="AF404"/>
      <c r="AG404"/>
      <c r="AH404" s="46"/>
      <c r="AI404"/>
      <c r="AJ404"/>
      <c r="AK404"/>
      <c r="AL404"/>
      <c r="AM404"/>
      <c r="AN404"/>
      <c r="AO404"/>
      <c r="AP404"/>
      <c r="AQ404"/>
      <c r="AR404"/>
      <c r="AS404"/>
      <c r="AT404" s="14"/>
      <c r="AU404"/>
      <c r="AV404"/>
      <c r="AW404"/>
      <c r="AX404" s="10"/>
      <c r="AY404" s="20"/>
      <c r="AZ404" s="16"/>
      <c r="BA404"/>
      <c r="BB404"/>
      <c r="BC404" s="16"/>
      <c r="BD404"/>
      <c r="BE404"/>
      <c r="BF404"/>
      <c r="BG404"/>
      <c r="BH404"/>
      <c r="BI404"/>
      <c r="BJ404"/>
      <c r="BK404"/>
      <c r="BL404"/>
      <c r="BM404"/>
      <c r="BN404" s="19"/>
      <c r="BO404"/>
      <c r="BP404"/>
      <c r="BQ404"/>
      <c r="BR404"/>
      <c r="BS404"/>
      <c r="BT404"/>
      <c r="BU404"/>
      <c r="BV404"/>
      <c r="BW404"/>
      <c r="BX404"/>
      <c r="BY404"/>
      <c r="BZ404"/>
      <c r="CA404"/>
      <c r="CB404"/>
      <c r="CC404"/>
      <c r="CD404"/>
      <c r="CE404"/>
      <c r="CF404"/>
      <c r="CG404"/>
      <c r="CH404"/>
      <c r="CI404"/>
      <c r="CJ404"/>
      <c r="CK404"/>
      <c r="CL404"/>
      <c r="CM404" s="20"/>
      <c r="CN404" s="20"/>
      <c r="CO404" s="20"/>
      <c r="CP404" s="20"/>
      <c r="CQ404" s="20"/>
      <c r="CR404" s="20"/>
      <c r="CS404" s="20"/>
      <c r="CT404" s="20"/>
      <c r="CU404" s="20"/>
      <c r="CV404" s="20"/>
      <c r="CW404" s="20"/>
      <c r="CX404" s="20"/>
      <c r="CY404" s="20"/>
    </row>
    <row r="405" spans="1:103" s="6" customFormat="1">
      <c r="A405"/>
      <c r="B405"/>
      <c r="C405"/>
      <c r="D405"/>
      <c r="E405"/>
      <c r="F405"/>
      <c r="G405"/>
      <c r="H405"/>
      <c r="I405"/>
      <c r="J405"/>
      <c r="N405" s="7"/>
      <c r="O405"/>
      <c r="P405" s="10"/>
      <c r="Q405" s="9"/>
      <c r="R405" s="10"/>
      <c r="S405" s="10"/>
      <c r="AA405" s="11"/>
      <c r="AD405"/>
      <c r="AE405"/>
      <c r="AF405"/>
      <c r="AG405"/>
      <c r="AH405" s="46"/>
      <c r="AI405"/>
      <c r="AJ405"/>
      <c r="AK405"/>
      <c r="AL405"/>
      <c r="AM405"/>
      <c r="AN405"/>
      <c r="AO405"/>
      <c r="AP405"/>
      <c r="AQ405"/>
      <c r="AR405"/>
      <c r="AS405"/>
      <c r="AT405" s="14"/>
      <c r="AU405"/>
      <c r="AV405"/>
      <c r="AW405"/>
      <c r="AX405" s="10"/>
      <c r="AY405" s="20"/>
      <c r="AZ405" s="16"/>
      <c r="BA405"/>
      <c r="BB405"/>
      <c r="BC405" s="16"/>
      <c r="BD405"/>
      <c r="BE405"/>
      <c r="BF405"/>
      <c r="BG405"/>
      <c r="BH405"/>
      <c r="BI405"/>
      <c r="BJ405"/>
      <c r="BK405"/>
      <c r="BL405"/>
      <c r="BM405"/>
      <c r="BN405" s="19"/>
      <c r="BO405"/>
      <c r="BP405"/>
      <c r="BQ405"/>
      <c r="BR405"/>
      <c r="BS405"/>
      <c r="BT405"/>
      <c r="BU405"/>
      <c r="BV405"/>
      <c r="BW405"/>
      <c r="BX405"/>
      <c r="BY405"/>
      <c r="BZ405"/>
      <c r="CA405"/>
      <c r="CB405"/>
      <c r="CC405"/>
      <c r="CD405"/>
      <c r="CE405"/>
      <c r="CF405"/>
      <c r="CG405"/>
      <c r="CH405"/>
      <c r="CI405"/>
      <c r="CJ405"/>
      <c r="CK405"/>
      <c r="CL405"/>
      <c r="CM405" s="20"/>
      <c r="CN405" s="20"/>
      <c r="CO405" s="20"/>
      <c r="CP405" s="20"/>
      <c r="CQ405" s="20"/>
      <c r="CR405" s="20"/>
      <c r="CS405" s="20"/>
      <c r="CT405" s="20"/>
      <c r="CU405" s="20"/>
      <c r="CV405" s="20"/>
      <c r="CW405" s="20"/>
      <c r="CX405" s="20"/>
      <c r="CY405" s="20"/>
    </row>
    <row r="406" spans="1:103" s="6" customFormat="1">
      <c r="A406"/>
      <c r="B406"/>
      <c r="C406"/>
      <c r="D406"/>
      <c r="E406"/>
      <c r="F406"/>
      <c r="G406"/>
      <c r="H406"/>
      <c r="I406"/>
      <c r="J406"/>
      <c r="N406" s="7"/>
      <c r="O406"/>
      <c r="P406" s="10"/>
      <c r="Q406" s="9"/>
      <c r="R406" s="10"/>
      <c r="S406" s="10"/>
      <c r="AA406" s="11"/>
      <c r="AD406"/>
      <c r="AE406"/>
      <c r="AF406"/>
      <c r="AG406"/>
      <c r="AH406" s="46"/>
      <c r="AI406"/>
      <c r="AJ406"/>
      <c r="AK406"/>
      <c r="AL406"/>
      <c r="AM406"/>
      <c r="AN406"/>
      <c r="AO406"/>
      <c r="AP406"/>
      <c r="AQ406"/>
      <c r="AR406"/>
      <c r="AS406"/>
      <c r="AT406" s="14"/>
      <c r="AU406"/>
      <c r="AV406"/>
      <c r="AW406"/>
      <c r="AX406" s="10"/>
      <c r="AY406" s="20"/>
      <c r="AZ406" s="16"/>
      <c r="BA406"/>
      <c r="BB406"/>
      <c r="BC406" s="16"/>
      <c r="BD406"/>
      <c r="BE406"/>
      <c r="BF406"/>
      <c r="BG406"/>
      <c r="BH406"/>
      <c r="BI406"/>
      <c r="BJ406"/>
      <c r="BK406"/>
      <c r="BL406"/>
      <c r="BM406"/>
      <c r="BN406" s="19"/>
      <c r="BO406"/>
      <c r="BP406"/>
      <c r="BQ406"/>
      <c r="BR406"/>
      <c r="BS406"/>
      <c r="BT406"/>
      <c r="BU406"/>
      <c r="BV406"/>
      <c r="BW406"/>
      <c r="BX406"/>
      <c r="BY406"/>
      <c r="BZ406"/>
      <c r="CA406"/>
      <c r="CB406"/>
      <c r="CC406"/>
      <c r="CD406"/>
      <c r="CE406"/>
      <c r="CF406"/>
      <c r="CG406"/>
      <c r="CH406"/>
      <c r="CI406"/>
      <c r="CJ406"/>
      <c r="CK406"/>
      <c r="CL406"/>
      <c r="CM406" s="20"/>
      <c r="CN406" s="20"/>
      <c r="CO406" s="20"/>
      <c r="CP406" s="20"/>
      <c r="CQ406" s="20"/>
      <c r="CR406" s="20"/>
      <c r="CS406" s="20"/>
      <c r="CT406" s="20"/>
      <c r="CU406" s="20"/>
      <c r="CV406" s="20"/>
      <c r="CW406" s="20"/>
      <c r="CX406" s="20"/>
      <c r="CY406" s="20"/>
    </row>
    <row r="407" spans="1:103" s="6" customFormat="1">
      <c r="A407"/>
      <c r="B407"/>
      <c r="C407"/>
      <c r="D407"/>
      <c r="E407"/>
      <c r="F407"/>
      <c r="G407"/>
      <c r="H407"/>
      <c r="I407"/>
      <c r="J407"/>
      <c r="N407" s="7"/>
      <c r="O407"/>
      <c r="P407" s="10"/>
      <c r="Q407" s="9"/>
      <c r="R407" s="10"/>
      <c r="S407" s="10"/>
      <c r="AA407" s="11"/>
      <c r="AD407"/>
      <c r="AE407"/>
      <c r="AF407"/>
      <c r="AG407"/>
      <c r="AH407" s="46"/>
      <c r="AI407"/>
      <c r="AJ407"/>
      <c r="AK407"/>
      <c r="AL407"/>
      <c r="AM407"/>
      <c r="AN407"/>
      <c r="AO407"/>
      <c r="AP407"/>
      <c r="AQ407"/>
      <c r="AR407"/>
      <c r="AS407"/>
      <c r="AT407" s="14"/>
      <c r="AU407"/>
      <c r="AV407"/>
      <c r="AW407"/>
      <c r="AX407" s="10"/>
      <c r="AY407" s="20"/>
      <c r="AZ407" s="16"/>
      <c r="BA407"/>
      <c r="BB407"/>
      <c r="BC407" s="16"/>
      <c r="BD407"/>
      <c r="BE407"/>
      <c r="BF407"/>
      <c r="BG407"/>
      <c r="BH407"/>
      <c r="BI407"/>
      <c r="BJ407"/>
      <c r="BK407"/>
      <c r="BL407"/>
      <c r="BM407"/>
      <c r="BN407" s="19"/>
      <c r="BO407"/>
      <c r="BP407"/>
      <c r="BQ407"/>
      <c r="BR407"/>
      <c r="BS407"/>
      <c r="BT407"/>
      <c r="BU407"/>
      <c r="BV407"/>
      <c r="BW407"/>
      <c r="BX407"/>
      <c r="BY407"/>
      <c r="BZ407"/>
      <c r="CA407"/>
      <c r="CB407"/>
      <c r="CC407"/>
      <c r="CD407"/>
      <c r="CE407"/>
      <c r="CF407"/>
      <c r="CG407"/>
      <c r="CH407"/>
      <c r="CI407"/>
      <c r="CJ407"/>
      <c r="CK407"/>
      <c r="CL407"/>
      <c r="CM407" s="20"/>
      <c r="CN407" s="20"/>
      <c r="CO407" s="20"/>
      <c r="CP407" s="20"/>
      <c r="CQ407" s="20"/>
      <c r="CR407" s="20"/>
      <c r="CS407" s="20"/>
      <c r="CT407" s="20"/>
      <c r="CU407" s="20"/>
      <c r="CV407" s="20"/>
      <c r="CW407" s="20"/>
      <c r="CX407" s="20"/>
      <c r="CY407" s="20"/>
    </row>
    <row r="408" spans="1:103" s="6" customFormat="1">
      <c r="A408"/>
      <c r="B408"/>
      <c r="C408"/>
      <c r="D408"/>
      <c r="E408"/>
      <c r="F408"/>
      <c r="G408"/>
      <c r="H408"/>
      <c r="I408"/>
      <c r="J408"/>
      <c r="N408" s="7"/>
      <c r="O408"/>
      <c r="P408" s="10"/>
      <c r="Q408" s="9"/>
      <c r="R408" s="10"/>
      <c r="S408" s="10"/>
      <c r="AA408" s="11"/>
      <c r="AD408"/>
      <c r="AE408"/>
      <c r="AF408"/>
      <c r="AG408"/>
      <c r="AH408" s="46"/>
      <c r="AI408"/>
      <c r="AJ408"/>
      <c r="AK408"/>
      <c r="AL408"/>
      <c r="AM408"/>
      <c r="AN408"/>
      <c r="AO408"/>
      <c r="AP408"/>
      <c r="AQ408"/>
      <c r="AR408"/>
      <c r="AS408"/>
      <c r="AT408" s="14"/>
      <c r="AU408"/>
      <c r="AV408"/>
      <c r="AW408"/>
      <c r="AX408" s="10"/>
      <c r="AY408" s="20"/>
      <c r="AZ408" s="16"/>
      <c r="BA408"/>
      <c r="BB408"/>
      <c r="BC408" s="16"/>
      <c r="BD408"/>
      <c r="BE408"/>
      <c r="BF408"/>
      <c r="BG408"/>
      <c r="BH408"/>
      <c r="BI408"/>
      <c r="BJ408"/>
      <c r="BK408"/>
      <c r="BL408"/>
      <c r="BM408"/>
      <c r="BN408" s="19"/>
      <c r="BO408"/>
      <c r="BP408"/>
      <c r="BQ408"/>
      <c r="BR408"/>
      <c r="BS408"/>
      <c r="BT408"/>
      <c r="BU408"/>
      <c r="BV408"/>
      <c r="BW408"/>
      <c r="BX408"/>
      <c r="BY408"/>
      <c r="BZ408"/>
      <c r="CA408"/>
      <c r="CB408"/>
      <c r="CC408"/>
      <c r="CD408"/>
      <c r="CE408"/>
      <c r="CF408"/>
      <c r="CG408"/>
      <c r="CH408"/>
      <c r="CI408"/>
      <c r="CJ408"/>
      <c r="CK408"/>
      <c r="CL408"/>
      <c r="CM408" s="20"/>
      <c r="CN408" s="20"/>
      <c r="CO408" s="20"/>
      <c r="CP408" s="20"/>
      <c r="CQ408" s="20"/>
      <c r="CR408" s="20"/>
      <c r="CS408" s="20"/>
      <c r="CT408" s="20"/>
      <c r="CU408" s="20"/>
      <c r="CV408" s="20"/>
      <c r="CW408" s="20"/>
      <c r="CX408" s="20"/>
      <c r="CY408" s="20"/>
    </row>
    <row r="409" spans="1:103" s="6" customFormat="1">
      <c r="A409"/>
      <c r="B409"/>
      <c r="C409"/>
      <c r="D409"/>
      <c r="E409"/>
      <c r="F409"/>
      <c r="G409"/>
      <c r="H409"/>
      <c r="I409"/>
      <c r="J409"/>
      <c r="N409" s="7"/>
      <c r="O409"/>
      <c r="P409" s="10"/>
      <c r="Q409" s="9"/>
      <c r="R409" s="10"/>
      <c r="S409" s="10"/>
      <c r="AA409" s="11"/>
      <c r="AD409"/>
      <c r="AE409"/>
      <c r="AF409"/>
      <c r="AG409"/>
      <c r="AH409" s="46"/>
      <c r="AI409"/>
      <c r="AJ409"/>
      <c r="AK409"/>
      <c r="AL409"/>
      <c r="AM409"/>
      <c r="AN409"/>
      <c r="AO409"/>
      <c r="AP409"/>
      <c r="AQ409"/>
      <c r="AR409"/>
      <c r="AS409"/>
      <c r="AT409" s="14"/>
      <c r="AU409"/>
      <c r="AV409"/>
      <c r="AW409"/>
      <c r="AX409" s="10"/>
      <c r="AY409" s="20"/>
      <c r="AZ409" s="16"/>
      <c r="BA409"/>
      <c r="BB409"/>
      <c r="BC409" s="16"/>
      <c r="BD409"/>
      <c r="BE409"/>
      <c r="BF409"/>
      <c r="BG409"/>
      <c r="BH409"/>
      <c r="BI409"/>
      <c r="BJ409"/>
      <c r="BK409"/>
      <c r="BL409"/>
      <c r="BM409"/>
      <c r="BN409" s="19"/>
      <c r="BO409"/>
      <c r="BP409"/>
      <c r="BQ409"/>
      <c r="BR409"/>
      <c r="BS409"/>
      <c r="BT409"/>
      <c r="BU409"/>
      <c r="BV409"/>
      <c r="BW409"/>
      <c r="BX409"/>
      <c r="BY409"/>
      <c r="BZ409"/>
      <c r="CA409"/>
      <c r="CB409"/>
      <c r="CC409"/>
      <c r="CD409"/>
      <c r="CE409"/>
      <c r="CF409"/>
      <c r="CG409"/>
      <c r="CH409"/>
      <c r="CI409"/>
      <c r="CJ409"/>
      <c r="CK409"/>
      <c r="CL409"/>
      <c r="CM409" s="20"/>
      <c r="CN409" s="20"/>
      <c r="CO409" s="20"/>
      <c r="CP409" s="20"/>
      <c r="CQ409" s="20"/>
      <c r="CR409" s="20"/>
      <c r="CS409" s="20"/>
      <c r="CT409" s="20"/>
      <c r="CU409" s="20"/>
      <c r="CV409" s="20"/>
      <c r="CW409" s="20"/>
      <c r="CX409" s="20"/>
      <c r="CY409" s="20"/>
    </row>
    <row r="410" spans="1:103" s="6" customFormat="1">
      <c r="A410"/>
      <c r="B410"/>
      <c r="C410"/>
      <c r="D410"/>
      <c r="E410"/>
      <c r="F410"/>
      <c r="G410"/>
      <c r="H410"/>
      <c r="I410"/>
      <c r="J410"/>
      <c r="N410" s="7"/>
      <c r="O410"/>
      <c r="P410" s="10"/>
      <c r="Q410" s="9"/>
      <c r="R410" s="10"/>
      <c r="S410" s="10"/>
      <c r="AA410" s="11"/>
      <c r="AD410"/>
      <c r="AE410"/>
      <c r="AF410"/>
      <c r="AG410"/>
      <c r="AH410" s="46"/>
      <c r="AI410"/>
      <c r="AJ410"/>
      <c r="AK410"/>
      <c r="AL410"/>
      <c r="AM410"/>
      <c r="AN410"/>
      <c r="AO410"/>
      <c r="AP410"/>
      <c r="AQ410"/>
      <c r="AR410"/>
      <c r="AS410"/>
      <c r="AT410" s="14"/>
      <c r="AU410"/>
      <c r="AV410"/>
      <c r="AW410"/>
      <c r="AX410" s="10"/>
      <c r="AY410" s="20"/>
      <c r="AZ410" s="16"/>
      <c r="BA410"/>
      <c r="BB410"/>
      <c r="BC410" s="16"/>
      <c r="BD410"/>
      <c r="BE410"/>
      <c r="BF410"/>
      <c r="BG410"/>
      <c r="BH410"/>
      <c r="BI410"/>
      <c r="BJ410"/>
      <c r="BK410"/>
      <c r="BL410"/>
      <c r="BM410"/>
      <c r="BN410" s="19"/>
      <c r="BO410"/>
      <c r="BP410"/>
      <c r="BQ410"/>
      <c r="BR410"/>
      <c r="BS410"/>
      <c r="BT410"/>
      <c r="BU410"/>
      <c r="BV410"/>
      <c r="BW410"/>
      <c r="BX410"/>
      <c r="BY410"/>
      <c r="BZ410"/>
      <c r="CA410"/>
      <c r="CB410"/>
      <c r="CC410"/>
      <c r="CD410"/>
      <c r="CE410"/>
      <c r="CF410"/>
      <c r="CG410"/>
      <c r="CH410"/>
      <c r="CI410"/>
      <c r="CJ410"/>
      <c r="CK410"/>
      <c r="CL410"/>
      <c r="CM410" s="20"/>
      <c r="CN410" s="20"/>
      <c r="CO410" s="20"/>
      <c r="CP410" s="20"/>
      <c r="CQ410" s="20"/>
      <c r="CR410" s="20"/>
      <c r="CS410" s="20"/>
      <c r="CT410" s="20"/>
      <c r="CU410" s="20"/>
      <c r="CV410" s="20"/>
      <c r="CW410" s="20"/>
      <c r="CX410" s="20"/>
      <c r="CY410" s="20"/>
    </row>
    <row r="411" spans="1:103" s="6" customFormat="1">
      <c r="A411"/>
      <c r="B411"/>
      <c r="C411"/>
      <c r="D411"/>
      <c r="E411"/>
      <c r="F411"/>
      <c r="G411"/>
      <c r="H411"/>
      <c r="I411"/>
      <c r="J411"/>
      <c r="N411" s="7"/>
      <c r="O411"/>
      <c r="P411" s="10"/>
      <c r="Q411" s="9"/>
      <c r="R411" s="10"/>
      <c r="S411" s="10"/>
      <c r="AA411" s="11"/>
      <c r="AD411"/>
      <c r="AE411"/>
      <c r="AF411"/>
      <c r="AG411"/>
      <c r="AH411" s="46"/>
      <c r="AI411"/>
      <c r="AJ411"/>
      <c r="AK411"/>
      <c r="AL411"/>
      <c r="AM411"/>
      <c r="AN411"/>
      <c r="AO411"/>
      <c r="AP411"/>
      <c r="AQ411"/>
      <c r="AR411"/>
      <c r="AS411"/>
      <c r="AT411" s="14"/>
      <c r="AU411"/>
      <c r="AV411"/>
      <c r="AW411"/>
      <c r="AX411" s="10"/>
      <c r="AY411" s="20"/>
      <c r="AZ411" s="16"/>
      <c r="BA411"/>
      <c r="BB411"/>
      <c r="BC411" s="16"/>
      <c r="BD411"/>
      <c r="BE411"/>
      <c r="BF411"/>
      <c r="BG411"/>
      <c r="BH411"/>
      <c r="BI411"/>
      <c r="BJ411"/>
      <c r="BK411"/>
      <c r="BL411"/>
      <c r="BM411"/>
      <c r="BN411" s="19"/>
      <c r="BO411"/>
      <c r="BP411"/>
      <c r="BQ411"/>
      <c r="BR411"/>
      <c r="BS411"/>
      <c r="BT411"/>
      <c r="BU411"/>
      <c r="BV411"/>
      <c r="BW411"/>
      <c r="BX411"/>
      <c r="BY411"/>
      <c r="BZ411"/>
      <c r="CA411"/>
      <c r="CB411"/>
      <c r="CC411"/>
      <c r="CD411"/>
      <c r="CE411"/>
      <c r="CF411"/>
      <c r="CG411"/>
      <c r="CH411"/>
      <c r="CI411"/>
      <c r="CJ411"/>
      <c r="CK411"/>
      <c r="CL411"/>
      <c r="CM411" s="20"/>
      <c r="CN411" s="20"/>
      <c r="CO411" s="20"/>
      <c r="CP411" s="20"/>
      <c r="CQ411" s="20"/>
      <c r="CR411" s="20"/>
      <c r="CS411" s="20"/>
      <c r="CT411" s="20"/>
      <c r="CU411" s="20"/>
      <c r="CV411" s="20"/>
      <c r="CW411" s="20"/>
      <c r="CX411" s="20"/>
      <c r="CY411" s="20"/>
    </row>
    <row r="412" spans="1:103" s="6" customFormat="1">
      <c r="A412"/>
      <c r="B412"/>
      <c r="C412"/>
      <c r="D412"/>
      <c r="E412"/>
      <c r="F412"/>
      <c r="G412"/>
      <c r="H412"/>
      <c r="I412"/>
      <c r="J412"/>
      <c r="N412" s="7"/>
      <c r="O412"/>
      <c r="P412" s="10"/>
      <c r="Q412" s="9"/>
      <c r="R412" s="10"/>
      <c r="S412" s="10"/>
      <c r="AA412" s="11"/>
      <c r="AD412"/>
      <c r="AE412"/>
      <c r="AF412"/>
      <c r="AG412"/>
      <c r="AH412" s="46"/>
      <c r="AI412"/>
      <c r="AJ412"/>
      <c r="AK412"/>
      <c r="AL412"/>
      <c r="AM412"/>
      <c r="AN412"/>
      <c r="AO412"/>
      <c r="AP412"/>
      <c r="AQ412"/>
      <c r="AR412"/>
      <c r="AS412"/>
      <c r="AT412" s="14"/>
      <c r="AU412"/>
      <c r="AV412"/>
      <c r="AW412"/>
      <c r="AX412" s="10"/>
      <c r="AY412" s="20"/>
      <c r="AZ412" s="16"/>
      <c r="BA412"/>
      <c r="BB412"/>
      <c r="BC412" s="16"/>
      <c r="BD412"/>
      <c r="BE412"/>
      <c r="BF412"/>
      <c r="BG412"/>
      <c r="BH412"/>
      <c r="BI412"/>
      <c r="BJ412"/>
      <c r="BK412"/>
      <c r="BL412"/>
      <c r="BM412"/>
      <c r="BN412" s="19"/>
      <c r="BO412"/>
      <c r="BP412"/>
      <c r="BQ412"/>
      <c r="BR412"/>
      <c r="BS412"/>
      <c r="BT412"/>
      <c r="BU412"/>
      <c r="BV412"/>
      <c r="BW412"/>
      <c r="BX412"/>
      <c r="BY412"/>
      <c r="BZ412"/>
      <c r="CA412"/>
      <c r="CB412"/>
      <c r="CC412"/>
      <c r="CD412"/>
      <c r="CE412"/>
      <c r="CF412"/>
      <c r="CG412"/>
      <c r="CH412"/>
      <c r="CI412"/>
      <c r="CJ412"/>
      <c r="CK412"/>
      <c r="CL412"/>
      <c r="CM412" s="20"/>
      <c r="CN412" s="20"/>
      <c r="CO412" s="20"/>
      <c r="CP412" s="20"/>
      <c r="CQ412" s="20"/>
      <c r="CR412" s="20"/>
      <c r="CS412" s="20"/>
      <c r="CT412" s="20"/>
      <c r="CU412" s="20"/>
      <c r="CV412" s="20"/>
      <c r="CW412" s="20"/>
      <c r="CX412" s="20"/>
      <c r="CY412" s="20"/>
    </row>
    <row r="413" spans="1:103" s="6" customFormat="1">
      <c r="A413"/>
      <c r="B413"/>
      <c r="C413"/>
      <c r="D413"/>
      <c r="E413"/>
      <c r="F413"/>
      <c r="G413"/>
      <c r="H413"/>
      <c r="I413"/>
      <c r="J413"/>
      <c r="N413" s="7"/>
      <c r="O413"/>
      <c r="P413" s="10"/>
      <c r="Q413" s="9"/>
      <c r="R413" s="10"/>
      <c r="S413" s="10"/>
      <c r="AA413" s="11"/>
      <c r="AD413"/>
      <c r="AE413"/>
      <c r="AF413"/>
      <c r="AG413"/>
      <c r="AH413" s="46"/>
      <c r="AI413"/>
      <c r="AJ413"/>
      <c r="AK413"/>
      <c r="AL413"/>
      <c r="AM413"/>
      <c r="AN413"/>
      <c r="AO413"/>
      <c r="AP413"/>
      <c r="AQ413"/>
      <c r="AR413"/>
      <c r="AS413"/>
      <c r="AT413" s="14"/>
      <c r="AU413"/>
      <c r="AV413"/>
      <c r="AW413"/>
      <c r="AX413" s="10"/>
      <c r="AY413" s="20"/>
      <c r="AZ413" s="16"/>
      <c r="BA413"/>
      <c r="BB413"/>
      <c r="BC413" s="16"/>
      <c r="BD413"/>
      <c r="BE413"/>
      <c r="BF413"/>
      <c r="BG413"/>
      <c r="BH413"/>
      <c r="BI413"/>
      <c r="BJ413"/>
      <c r="BK413"/>
      <c r="BL413"/>
      <c r="BM413"/>
      <c r="BN413" s="19"/>
      <c r="BO413"/>
      <c r="BP413"/>
      <c r="BQ413"/>
      <c r="BR413"/>
      <c r="BS413"/>
      <c r="BT413"/>
      <c r="BU413"/>
      <c r="BV413"/>
      <c r="BW413"/>
      <c r="BX413"/>
      <c r="BY413"/>
      <c r="BZ413"/>
      <c r="CA413"/>
      <c r="CB413"/>
      <c r="CC413"/>
      <c r="CD413"/>
      <c r="CE413"/>
      <c r="CF413"/>
      <c r="CG413"/>
      <c r="CH413"/>
      <c r="CI413"/>
      <c r="CJ413"/>
      <c r="CK413"/>
      <c r="CL413"/>
      <c r="CM413" s="20"/>
      <c r="CN413" s="20"/>
      <c r="CO413" s="20"/>
      <c r="CP413" s="20"/>
      <c r="CQ413" s="20"/>
      <c r="CR413" s="20"/>
      <c r="CS413" s="20"/>
      <c r="CT413" s="20"/>
      <c r="CU413" s="20"/>
      <c r="CV413" s="20"/>
      <c r="CW413" s="20"/>
      <c r="CX413" s="20"/>
      <c r="CY413" s="20"/>
    </row>
    <row r="414" spans="1:103" s="6" customFormat="1">
      <c r="A414"/>
      <c r="B414"/>
      <c r="C414"/>
      <c r="D414"/>
      <c r="E414"/>
      <c r="F414"/>
      <c r="G414"/>
      <c r="H414"/>
      <c r="I414"/>
      <c r="J414"/>
      <c r="N414" s="7"/>
      <c r="O414"/>
      <c r="P414" s="10"/>
      <c r="Q414" s="9"/>
      <c r="R414" s="10"/>
      <c r="S414" s="10"/>
      <c r="AA414" s="11"/>
      <c r="AD414"/>
      <c r="AE414"/>
      <c r="AF414"/>
      <c r="AG414"/>
      <c r="AH414" s="46"/>
      <c r="AI414"/>
      <c r="AJ414"/>
      <c r="AK414"/>
      <c r="AL414"/>
      <c r="AM414"/>
      <c r="AN414"/>
      <c r="AO414"/>
      <c r="AP414"/>
      <c r="AQ414"/>
      <c r="AR414"/>
      <c r="AS414"/>
      <c r="AT414" s="14"/>
      <c r="AU414"/>
      <c r="AV414"/>
      <c r="AW414"/>
      <c r="AX414" s="10"/>
      <c r="AY414" s="20"/>
      <c r="AZ414" s="16"/>
      <c r="BA414"/>
      <c r="BB414"/>
      <c r="BC414" s="16"/>
      <c r="BD414"/>
      <c r="BE414"/>
      <c r="BF414"/>
      <c r="BG414"/>
      <c r="BH414"/>
      <c r="BI414"/>
      <c r="BJ414"/>
      <c r="BK414"/>
      <c r="BL414"/>
      <c r="BM414"/>
      <c r="BN414" s="19"/>
      <c r="BO414"/>
      <c r="BP414"/>
      <c r="BQ414"/>
      <c r="BR414"/>
      <c r="BS414"/>
      <c r="BT414"/>
      <c r="BU414"/>
      <c r="BV414"/>
      <c r="BW414"/>
      <c r="BX414"/>
      <c r="BY414"/>
      <c r="BZ414"/>
      <c r="CA414"/>
      <c r="CB414"/>
      <c r="CC414"/>
      <c r="CD414"/>
      <c r="CE414"/>
      <c r="CF414"/>
      <c r="CG414"/>
      <c r="CH414"/>
      <c r="CI414"/>
      <c r="CJ414"/>
      <c r="CK414"/>
      <c r="CL414"/>
      <c r="CM414" s="20"/>
      <c r="CN414" s="20"/>
      <c r="CO414" s="20"/>
      <c r="CP414" s="20"/>
      <c r="CQ414" s="20"/>
      <c r="CR414" s="20"/>
      <c r="CS414" s="20"/>
      <c r="CT414" s="20"/>
      <c r="CU414" s="20"/>
      <c r="CV414" s="20"/>
      <c r="CW414" s="20"/>
      <c r="CX414" s="20"/>
      <c r="CY414" s="20"/>
    </row>
    <row r="415" spans="1:103" s="6" customFormat="1">
      <c r="A415"/>
      <c r="B415"/>
      <c r="C415"/>
      <c r="D415"/>
      <c r="E415"/>
      <c r="F415"/>
      <c r="G415"/>
      <c r="H415"/>
      <c r="I415"/>
      <c r="J415"/>
      <c r="N415" s="7"/>
      <c r="O415"/>
      <c r="P415" s="10"/>
      <c r="Q415" s="9"/>
      <c r="R415" s="10"/>
      <c r="S415" s="10"/>
      <c r="AA415" s="11"/>
      <c r="AD415"/>
      <c r="AE415"/>
      <c r="AF415"/>
      <c r="AG415"/>
      <c r="AH415" s="46"/>
      <c r="AI415"/>
      <c r="AJ415"/>
      <c r="AK415"/>
      <c r="AL415"/>
      <c r="AM415"/>
      <c r="AN415"/>
      <c r="AO415"/>
      <c r="AP415"/>
      <c r="AQ415"/>
      <c r="AR415"/>
      <c r="AS415"/>
      <c r="AT415" s="14"/>
      <c r="AU415"/>
      <c r="AV415"/>
      <c r="AW415"/>
      <c r="AX415" s="10"/>
      <c r="AY415" s="20"/>
      <c r="AZ415" s="16"/>
      <c r="BA415"/>
      <c r="BB415"/>
      <c r="BC415" s="16"/>
      <c r="BD415"/>
      <c r="BE415"/>
      <c r="BF415"/>
      <c r="BG415"/>
      <c r="BH415"/>
      <c r="BI415"/>
      <c r="BJ415"/>
      <c r="BK415"/>
      <c r="BL415"/>
      <c r="BM415"/>
      <c r="BN415" s="19"/>
      <c r="BO415"/>
      <c r="BP415"/>
      <c r="BQ415"/>
      <c r="BR415"/>
      <c r="BS415"/>
      <c r="BT415"/>
      <c r="BU415"/>
      <c r="BV415"/>
      <c r="BW415"/>
      <c r="BX415"/>
      <c r="BY415"/>
      <c r="BZ415"/>
      <c r="CA415"/>
      <c r="CB415"/>
      <c r="CC415"/>
      <c r="CD415"/>
      <c r="CE415"/>
      <c r="CF415"/>
      <c r="CG415"/>
      <c r="CH415"/>
      <c r="CI415"/>
      <c r="CJ415"/>
      <c r="CK415"/>
      <c r="CL415"/>
      <c r="CM415" s="20"/>
      <c r="CN415" s="20"/>
      <c r="CO415" s="20"/>
      <c r="CP415" s="20"/>
      <c r="CQ415" s="20"/>
      <c r="CR415" s="20"/>
      <c r="CS415" s="20"/>
      <c r="CT415" s="20"/>
      <c r="CU415" s="20"/>
      <c r="CV415" s="20"/>
      <c r="CW415" s="20"/>
      <c r="CX415" s="20"/>
      <c r="CY415" s="20"/>
    </row>
    <row r="416" spans="1:103" s="6" customFormat="1">
      <c r="A416"/>
      <c r="B416"/>
      <c r="C416"/>
      <c r="D416"/>
      <c r="E416"/>
      <c r="F416"/>
      <c r="G416"/>
      <c r="H416"/>
      <c r="I416"/>
      <c r="J416"/>
      <c r="N416" s="7"/>
      <c r="O416"/>
      <c r="P416" s="10"/>
      <c r="Q416" s="9"/>
      <c r="R416" s="10"/>
      <c r="S416" s="10"/>
      <c r="AA416" s="11"/>
      <c r="AD416"/>
      <c r="AE416"/>
      <c r="AF416"/>
      <c r="AG416"/>
      <c r="AH416" s="46"/>
      <c r="AI416"/>
      <c r="AJ416"/>
      <c r="AK416"/>
      <c r="AL416"/>
      <c r="AM416"/>
      <c r="AN416"/>
      <c r="AO416"/>
      <c r="AP416"/>
      <c r="AQ416"/>
      <c r="AR416"/>
      <c r="AS416"/>
      <c r="AT416" s="14"/>
      <c r="AU416"/>
      <c r="AV416"/>
      <c r="AW416"/>
      <c r="AX416" s="10"/>
      <c r="AY416" s="20"/>
      <c r="AZ416" s="16"/>
      <c r="BA416"/>
      <c r="BB416"/>
      <c r="BC416" s="16"/>
      <c r="BD416"/>
      <c r="BE416"/>
      <c r="BF416"/>
      <c r="BG416"/>
      <c r="BH416"/>
      <c r="BI416"/>
      <c r="BJ416"/>
      <c r="BK416"/>
      <c r="BL416"/>
      <c r="BM416"/>
      <c r="BN416" s="19"/>
      <c r="BO416"/>
      <c r="BP416"/>
      <c r="BQ416"/>
      <c r="BR416"/>
      <c r="BS416"/>
      <c r="BT416"/>
      <c r="BU416"/>
      <c r="BV416"/>
      <c r="BW416"/>
      <c r="BX416"/>
      <c r="BY416"/>
      <c r="BZ416"/>
      <c r="CA416"/>
      <c r="CB416"/>
      <c r="CC416"/>
      <c r="CD416"/>
      <c r="CE416"/>
      <c r="CF416"/>
      <c r="CG416"/>
      <c r="CH416"/>
      <c r="CI416"/>
      <c r="CJ416"/>
      <c r="CK416"/>
      <c r="CL416"/>
      <c r="CM416" s="20"/>
      <c r="CN416" s="20"/>
      <c r="CO416" s="20"/>
      <c r="CP416" s="20"/>
      <c r="CQ416" s="20"/>
      <c r="CR416" s="20"/>
      <c r="CS416" s="20"/>
      <c r="CT416" s="20"/>
      <c r="CU416" s="20"/>
      <c r="CV416" s="20"/>
      <c r="CW416" s="20"/>
      <c r="CX416" s="20"/>
      <c r="CY416" s="20"/>
    </row>
    <row r="417" spans="1:103" s="6" customFormat="1">
      <c r="A417"/>
      <c r="B417"/>
      <c r="C417"/>
      <c r="D417"/>
      <c r="E417"/>
      <c r="F417"/>
      <c r="G417"/>
      <c r="H417"/>
      <c r="I417"/>
      <c r="J417"/>
      <c r="N417" s="7"/>
      <c r="O417"/>
      <c r="P417" s="10"/>
      <c r="Q417" s="9"/>
      <c r="R417" s="10"/>
      <c r="S417" s="10"/>
      <c r="AA417" s="11"/>
      <c r="AD417"/>
      <c r="AE417"/>
      <c r="AF417"/>
      <c r="AG417"/>
      <c r="AH417" s="46"/>
      <c r="AI417"/>
      <c r="AJ417"/>
      <c r="AK417"/>
      <c r="AL417"/>
      <c r="AM417"/>
      <c r="AN417"/>
      <c r="AO417"/>
      <c r="AP417"/>
      <c r="AQ417"/>
      <c r="AR417"/>
      <c r="AS417"/>
      <c r="AT417" s="14"/>
      <c r="AU417"/>
      <c r="AV417"/>
      <c r="AW417"/>
      <c r="AX417" s="10"/>
      <c r="AY417" s="20"/>
      <c r="AZ417" s="16"/>
      <c r="BA417"/>
      <c r="BB417"/>
      <c r="BC417" s="16"/>
      <c r="BD417"/>
      <c r="BE417"/>
      <c r="BF417"/>
      <c r="BG417"/>
      <c r="BH417"/>
      <c r="BI417"/>
      <c r="BJ417"/>
      <c r="BK417"/>
      <c r="BL417"/>
      <c r="BM417"/>
      <c r="BN417" s="19"/>
      <c r="BO417"/>
      <c r="BP417"/>
      <c r="BQ417"/>
      <c r="BR417"/>
      <c r="BS417"/>
      <c r="BT417"/>
      <c r="BU417"/>
      <c r="BV417"/>
      <c r="BW417"/>
      <c r="BX417"/>
      <c r="BY417"/>
      <c r="BZ417"/>
      <c r="CA417"/>
      <c r="CB417"/>
      <c r="CC417"/>
      <c r="CD417"/>
      <c r="CE417"/>
      <c r="CF417"/>
      <c r="CG417"/>
      <c r="CH417"/>
      <c r="CI417"/>
      <c r="CJ417"/>
      <c r="CK417"/>
      <c r="CL417"/>
      <c r="CM417" s="20"/>
      <c r="CN417" s="20"/>
      <c r="CO417" s="20"/>
      <c r="CP417" s="20"/>
      <c r="CQ417" s="20"/>
      <c r="CR417" s="20"/>
      <c r="CS417" s="20"/>
      <c r="CT417" s="20"/>
      <c r="CU417" s="20"/>
      <c r="CV417" s="20"/>
      <c r="CW417" s="20"/>
      <c r="CX417" s="20"/>
      <c r="CY417" s="20"/>
    </row>
    <row r="418" spans="1:103" s="6" customFormat="1">
      <c r="A418"/>
      <c r="B418"/>
      <c r="C418"/>
      <c r="D418"/>
      <c r="E418"/>
      <c r="F418"/>
      <c r="G418"/>
      <c r="H418"/>
      <c r="I418"/>
      <c r="J418"/>
      <c r="N418" s="7"/>
      <c r="O418"/>
      <c r="P418" s="10"/>
      <c r="Q418" s="9"/>
      <c r="R418" s="10"/>
      <c r="S418" s="10"/>
      <c r="AA418" s="11"/>
      <c r="AD418"/>
      <c r="AE418"/>
      <c r="AF418"/>
      <c r="AG418"/>
      <c r="AH418" s="46"/>
      <c r="AI418"/>
      <c r="AJ418"/>
      <c r="AK418"/>
      <c r="AL418"/>
      <c r="AM418"/>
      <c r="AN418"/>
      <c r="AO418"/>
      <c r="AP418"/>
      <c r="AQ418"/>
      <c r="AR418"/>
      <c r="AS418"/>
      <c r="AT418" s="14"/>
      <c r="AU418"/>
      <c r="AV418"/>
      <c r="AW418"/>
      <c r="AX418" s="10"/>
      <c r="AY418" s="20"/>
      <c r="AZ418" s="16"/>
      <c r="BA418"/>
      <c r="BB418"/>
      <c r="BC418" s="16"/>
      <c r="BD418"/>
      <c r="BE418"/>
      <c r="BF418"/>
      <c r="BG418"/>
      <c r="BH418"/>
      <c r="BI418"/>
      <c r="BJ418"/>
      <c r="BK418"/>
      <c r="BL418"/>
      <c r="BM418"/>
      <c r="BN418" s="19"/>
      <c r="BO418"/>
      <c r="BP418"/>
      <c r="BQ418"/>
      <c r="BR418"/>
      <c r="BS418"/>
      <c r="BT418"/>
      <c r="BU418"/>
      <c r="BV418"/>
      <c r="BW418"/>
      <c r="BX418"/>
      <c r="BY418"/>
      <c r="BZ418"/>
      <c r="CA418"/>
      <c r="CB418"/>
      <c r="CC418"/>
      <c r="CD418"/>
      <c r="CE418"/>
      <c r="CF418"/>
      <c r="CG418"/>
      <c r="CH418"/>
      <c r="CI418"/>
      <c r="CJ418"/>
      <c r="CK418"/>
      <c r="CL418"/>
      <c r="CM418" s="20"/>
      <c r="CN418" s="20"/>
      <c r="CO418" s="20"/>
      <c r="CP418" s="20"/>
      <c r="CQ418" s="20"/>
      <c r="CR418" s="20"/>
      <c r="CS418" s="20"/>
      <c r="CT418" s="20"/>
      <c r="CU418" s="20"/>
      <c r="CV418" s="20"/>
      <c r="CW418" s="20"/>
      <c r="CX418" s="20"/>
      <c r="CY418" s="20"/>
    </row>
    <row r="419" spans="1:103" s="6" customFormat="1">
      <c r="A419"/>
      <c r="B419"/>
      <c r="C419"/>
      <c r="D419"/>
      <c r="E419"/>
      <c r="F419"/>
      <c r="G419"/>
      <c r="H419"/>
      <c r="I419"/>
      <c r="J419"/>
      <c r="N419" s="7"/>
      <c r="O419"/>
      <c r="P419" s="10"/>
      <c r="Q419" s="9"/>
      <c r="R419" s="10"/>
      <c r="S419" s="10"/>
      <c r="AA419" s="11"/>
      <c r="AD419"/>
      <c r="AE419"/>
      <c r="AF419"/>
      <c r="AG419"/>
      <c r="AH419" s="46"/>
      <c r="AI419"/>
      <c r="AJ419"/>
      <c r="AK419"/>
      <c r="AL419"/>
      <c r="AM419"/>
      <c r="AN419"/>
      <c r="AO419"/>
      <c r="AP419"/>
      <c r="AQ419"/>
      <c r="AR419"/>
      <c r="AS419"/>
      <c r="AT419" s="14"/>
      <c r="AU419"/>
      <c r="AV419"/>
      <c r="AW419"/>
      <c r="AX419" s="10"/>
      <c r="AY419" s="20"/>
      <c r="AZ419" s="16"/>
      <c r="BA419"/>
      <c r="BB419"/>
      <c r="BC419" s="16"/>
      <c r="BD419"/>
      <c r="BE419"/>
      <c r="BF419"/>
      <c r="BG419"/>
      <c r="BH419"/>
      <c r="BI419"/>
      <c r="BJ419"/>
      <c r="BK419"/>
      <c r="BL419"/>
      <c r="BM419"/>
      <c r="BN419" s="19"/>
      <c r="BO419"/>
      <c r="BP419"/>
      <c r="BQ419"/>
      <c r="BR419"/>
      <c r="BS419"/>
      <c r="BT419"/>
      <c r="BU419"/>
      <c r="BV419"/>
      <c r="BW419"/>
      <c r="BX419"/>
      <c r="BY419"/>
      <c r="BZ419"/>
      <c r="CA419"/>
      <c r="CB419"/>
      <c r="CC419"/>
      <c r="CD419"/>
      <c r="CE419"/>
      <c r="CF419"/>
      <c r="CG419"/>
      <c r="CH419"/>
      <c r="CI419"/>
      <c r="CJ419"/>
      <c r="CK419"/>
      <c r="CL419"/>
      <c r="CM419" s="20"/>
      <c r="CN419" s="20"/>
      <c r="CO419" s="20"/>
      <c r="CP419" s="20"/>
      <c r="CQ419" s="20"/>
      <c r="CR419" s="20"/>
      <c r="CS419" s="20"/>
      <c r="CT419" s="20"/>
      <c r="CU419" s="20"/>
      <c r="CV419" s="20"/>
      <c r="CW419" s="20"/>
      <c r="CX419" s="20"/>
      <c r="CY419" s="20"/>
    </row>
    <row r="420" spans="1:103" s="6" customFormat="1">
      <c r="A420"/>
      <c r="B420"/>
      <c r="C420"/>
      <c r="D420"/>
      <c r="E420"/>
      <c r="F420"/>
      <c r="G420"/>
      <c r="H420"/>
      <c r="I420"/>
      <c r="J420"/>
      <c r="N420" s="7"/>
      <c r="O420"/>
      <c r="P420" s="10"/>
      <c r="Q420" s="9"/>
      <c r="R420" s="10"/>
      <c r="S420" s="10"/>
      <c r="AA420" s="11"/>
      <c r="AD420"/>
      <c r="AE420"/>
      <c r="AF420"/>
      <c r="AG420"/>
      <c r="AH420" s="46"/>
      <c r="AI420"/>
      <c r="AJ420"/>
      <c r="AK420"/>
      <c r="AL420"/>
      <c r="AM420"/>
      <c r="AN420"/>
      <c r="AO420"/>
      <c r="AP420"/>
      <c r="AQ420"/>
      <c r="AR420"/>
      <c r="AS420"/>
      <c r="AT420" s="14"/>
      <c r="AU420"/>
      <c r="AV420"/>
      <c r="AW420"/>
      <c r="AX420" s="10"/>
      <c r="AY420" s="20"/>
      <c r="AZ420" s="16"/>
      <c r="BA420"/>
      <c r="BB420"/>
      <c r="BC420" s="16"/>
      <c r="BD420"/>
      <c r="BE420"/>
      <c r="BF420"/>
      <c r="BG420"/>
      <c r="BH420"/>
      <c r="BI420"/>
      <c r="BJ420"/>
      <c r="BK420"/>
      <c r="BL420"/>
      <c r="BM420"/>
      <c r="BN420" s="19"/>
      <c r="BO420"/>
      <c r="BP420"/>
      <c r="BQ420"/>
      <c r="BR420"/>
      <c r="BS420"/>
      <c r="BT420"/>
      <c r="BU420"/>
      <c r="BV420"/>
      <c r="BW420"/>
      <c r="BX420"/>
      <c r="BY420"/>
      <c r="BZ420"/>
      <c r="CA420"/>
      <c r="CB420"/>
      <c r="CC420"/>
      <c r="CD420"/>
      <c r="CE420"/>
      <c r="CF420"/>
      <c r="CG420"/>
      <c r="CH420"/>
      <c r="CI420"/>
      <c r="CJ420"/>
      <c r="CK420"/>
      <c r="CL420"/>
      <c r="CM420" s="20"/>
      <c r="CN420" s="20"/>
      <c r="CO420" s="20"/>
      <c r="CP420" s="20"/>
      <c r="CQ420" s="20"/>
      <c r="CR420" s="20"/>
      <c r="CS420" s="20"/>
      <c r="CT420" s="20"/>
      <c r="CU420" s="20"/>
      <c r="CV420" s="20"/>
      <c r="CW420" s="20"/>
      <c r="CX420" s="20"/>
      <c r="CY420" s="20"/>
    </row>
    <row r="421" spans="1:103" s="6" customFormat="1">
      <c r="A421"/>
      <c r="B421"/>
      <c r="C421"/>
      <c r="D421"/>
      <c r="E421"/>
      <c r="F421"/>
      <c r="G421"/>
      <c r="H421"/>
      <c r="I421"/>
      <c r="J421"/>
      <c r="N421" s="7"/>
      <c r="O421"/>
      <c r="P421" s="10"/>
      <c r="Q421" s="9"/>
      <c r="R421" s="10"/>
      <c r="S421" s="10"/>
      <c r="AA421" s="11"/>
      <c r="AD421"/>
      <c r="AE421"/>
      <c r="AF421"/>
      <c r="AG421"/>
      <c r="AH421" s="46"/>
      <c r="AI421"/>
      <c r="AJ421"/>
      <c r="AK421"/>
      <c r="AL421"/>
      <c r="AM421"/>
      <c r="AN421"/>
      <c r="AO421"/>
      <c r="AP421"/>
      <c r="AQ421"/>
      <c r="AR421"/>
      <c r="AS421"/>
      <c r="AT421" s="14"/>
      <c r="AU421"/>
      <c r="AV421"/>
      <c r="AW421"/>
      <c r="AX421" s="10"/>
      <c r="AY421" s="20"/>
      <c r="AZ421" s="16"/>
      <c r="BA421"/>
      <c r="BB421"/>
      <c r="BC421" s="16"/>
      <c r="BD421"/>
      <c r="BE421"/>
      <c r="BF421"/>
      <c r="BG421"/>
      <c r="BH421"/>
      <c r="BI421"/>
      <c r="BJ421"/>
      <c r="BK421"/>
      <c r="BL421"/>
      <c r="BM421"/>
      <c r="BN421" s="19"/>
      <c r="BO421"/>
      <c r="BP421"/>
      <c r="BQ421"/>
      <c r="BR421"/>
      <c r="BS421"/>
      <c r="BT421"/>
      <c r="BU421"/>
      <c r="BV421"/>
      <c r="BW421"/>
      <c r="BX421"/>
      <c r="BY421"/>
      <c r="BZ421"/>
      <c r="CA421"/>
      <c r="CB421"/>
      <c r="CC421"/>
      <c r="CD421"/>
      <c r="CE421"/>
      <c r="CF421"/>
      <c r="CG421"/>
      <c r="CH421"/>
      <c r="CI421"/>
      <c r="CJ421"/>
      <c r="CK421"/>
      <c r="CL421"/>
      <c r="CM421" s="20"/>
      <c r="CN421" s="20"/>
      <c r="CO421" s="20"/>
      <c r="CP421" s="20"/>
      <c r="CQ421" s="20"/>
      <c r="CR421" s="20"/>
      <c r="CS421" s="20"/>
      <c r="CT421" s="20"/>
      <c r="CU421" s="20"/>
      <c r="CV421" s="20"/>
      <c r="CW421" s="20"/>
      <c r="CX421" s="20"/>
      <c r="CY421" s="20"/>
    </row>
    <row r="422" spans="1:103" s="6" customFormat="1">
      <c r="A422"/>
      <c r="B422"/>
      <c r="C422"/>
      <c r="D422"/>
      <c r="E422"/>
      <c r="F422"/>
      <c r="G422"/>
      <c r="H422"/>
      <c r="I422"/>
      <c r="J422"/>
      <c r="N422" s="7"/>
      <c r="O422"/>
      <c r="P422" s="10"/>
      <c r="Q422" s="9"/>
      <c r="R422" s="10"/>
      <c r="S422" s="10"/>
      <c r="AA422" s="11"/>
      <c r="AD422"/>
      <c r="AE422"/>
      <c r="AF422"/>
      <c r="AG422"/>
      <c r="AH422" s="46"/>
      <c r="AI422"/>
      <c r="AJ422"/>
      <c r="AK422"/>
      <c r="AL422"/>
      <c r="AM422"/>
      <c r="AN422"/>
      <c r="AO422"/>
      <c r="AP422"/>
      <c r="AQ422"/>
      <c r="AR422"/>
      <c r="AS422"/>
      <c r="AT422" s="14"/>
      <c r="AU422"/>
      <c r="AV422"/>
      <c r="AW422"/>
      <c r="AX422" s="10"/>
      <c r="AY422" s="20"/>
      <c r="AZ422" s="16"/>
      <c r="BA422"/>
      <c r="BB422"/>
      <c r="BC422" s="16"/>
      <c r="BD422"/>
      <c r="BE422"/>
      <c r="BF422"/>
      <c r="BG422"/>
      <c r="BH422"/>
      <c r="BI422"/>
      <c r="BJ422"/>
      <c r="BK422"/>
      <c r="BL422"/>
      <c r="BM422"/>
      <c r="BN422" s="19"/>
      <c r="BO422"/>
      <c r="BP422"/>
      <c r="BQ422"/>
      <c r="BR422"/>
      <c r="BS422"/>
      <c r="BT422"/>
      <c r="BU422"/>
      <c r="BV422"/>
      <c r="BW422"/>
      <c r="BX422"/>
      <c r="BY422"/>
      <c r="BZ422"/>
      <c r="CA422"/>
      <c r="CB422"/>
      <c r="CC422"/>
      <c r="CD422"/>
      <c r="CE422"/>
      <c r="CF422"/>
      <c r="CG422"/>
      <c r="CH422"/>
      <c r="CI422"/>
      <c r="CJ422"/>
      <c r="CK422"/>
      <c r="CL422"/>
      <c r="CM422" s="20"/>
      <c r="CN422" s="20"/>
      <c r="CO422" s="20"/>
      <c r="CP422" s="20"/>
      <c r="CQ422" s="20"/>
      <c r="CR422" s="20"/>
      <c r="CS422" s="20"/>
      <c r="CT422" s="20"/>
      <c r="CU422" s="20"/>
      <c r="CV422" s="20"/>
      <c r="CW422" s="20"/>
      <c r="CX422" s="20"/>
      <c r="CY422" s="20"/>
    </row>
    <row r="423" spans="1:103" s="6" customFormat="1">
      <c r="A423"/>
      <c r="B423"/>
      <c r="C423"/>
      <c r="D423"/>
      <c r="E423"/>
      <c r="F423"/>
      <c r="G423"/>
      <c r="H423"/>
      <c r="I423"/>
      <c r="J423"/>
      <c r="N423" s="7"/>
      <c r="O423"/>
      <c r="P423" s="10"/>
      <c r="Q423" s="9"/>
      <c r="R423" s="10"/>
      <c r="S423" s="10"/>
      <c r="AA423" s="11"/>
      <c r="AD423"/>
      <c r="AE423"/>
      <c r="AF423"/>
      <c r="AG423"/>
      <c r="AH423" s="46"/>
      <c r="AI423"/>
      <c r="AJ423"/>
      <c r="AK423"/>
      <c r="AL423"/>
      <c r="AM423"/>
      <c r="AN423"/>
      <c r="AO423"/>
      <c r="AP423"/>
      <c r="AQ423"/>
      <c r="AR423"/>
      <c r="AS423"/>
      <c r="AT423" s="14"/>
      <c r="AU423"/>
      <c r="AV423"/>
      <c r="AW423"/>
      <c r="AX423" s="10"/>
      <c r="AY423" s="20"/>
      <c r="AZ423" s="16"/>
      <c r="BA423"/>
      <c r="BB423"/>
      <c r="BC423" s="16"/>
      <c r="BD423"/>
      <c r="BE423"/>
      <c r="BF423"/>
      <c r="BG423"/>
      <c r="BH423"/>
      <c r="BI423"/>
      <c r="BJ423"/>
      <c r="BK423"/>
      <c r="BL423"/>
      <c r="BM423"/>
      <c r="BN423" s="19"/>
      <c r="BO423"/>
      <c r="BP423"/>
      <c r="BQ423"/>
      <c r="BR423"/>
      <c r="BS423"/>
      <c r="BT423"/>
      <c r="BU423"/>
      <c r="BV423"/>
      <c r="BW423"/>
      <c r="BX423"/>
      <c r="BY423"/>
      <c r="BZ423"/>
      <c r="CA423"/>
      <c r="CB423"/>
      <c r="CC423"/>
      <c r="CD423"/>
      <c r="CE423"/>
      <c r="CF423"/>
      <c r="CG423"/>
      <c r="CH423"/>
      <c r="CI423"/>
      <c r="CJ423"/>
      <c r="CK423"/>
      <c r="CL423"/>
      <c r="CM423" s="20"/>
      <c r="CN423" s="20"/>
      <c r="CO423" s="20"/>
      <c r="CP423" s="20"/>
      <c r="CQ423" s="20"/>
      <c r="CR423" s="20"/>
      <c r="CS423" s="20"/>
      <c r="CT423" s="20"/>
      <c r="CU423" s="20"/>
      <c r="CV423" s="20"/>
      <c r="CW423" s="20"/>
      <c r="CX423" s="20"/>
      <c r="CY423" s="20"/>
    </row>
    <row r="424" spans="1:103" s="6" customFormat="1">
      <c r="A424"/>
      <c r="B424"/>
      <c r="C424"/>
      <c r="D424"/>
      <c r="E424"/>
      <c r="F424"/>
      <c r="G424"/>
      <c r="H424"/>
      <c r="I424"/>
      <c r="J424"/>
      <c r="N424" s="7"/>
      <c r="O424"/>
      <c r="P424" s="10"/>
      <c r="Q424" s="9"/>
      <c r="R424" s="10"/>
      <c r="S424" s="10"/>
      <c r="AA424" s="11"/>
      <c r="AD424"/>
      <c r="AE424"/>
      <c r="AF424"/>
      <c r="AG424"/>
      <c r="AH424" s="46"/>
      <c r="AI424"/>
      <c r="AJ424"/>
      <c r="AK424"/>
      <c r="AL424"/>
      <c r="AM424"/>
      <c r="AN424"/>
      <c r="AO424"/>
      <c r="AP424"/>
      <c r="AQ424"/>
      <c r="AR424"/>
      <c r="AS424"/>
      <c r="AT424" s="14"/>
      <c r="AU424"/>
      <c r="AV424"/>
      <c r="AW424"/>
      <c r="AX424" s="10"/>
      <c r="AY424" s="20"/>
      <c r="AZ424" s="16"/>
      <c r="BA424"/>
      <c r="BB424"/>
      <c r="BC424" s="16"/>
      <c r="BD424"/>
      <c r="BE424"/>
      <c r="BF424"/>
      <c r="BG424"/>
      <c r="BH424"/>
      <c r="BI424"/>
      <c r="BJ424"/>
      <c r="BK424"/>
      <c r="BL424"/>
      <c r="BM424"/>
      <c r="BN424" s="19"/>
      <c r="BO424"/>
      <c r="BP424"/>
      <c r="BQ424"/>
      <c r="BR424"/>
      <c r="BS424"/>
      <c r="BT424"/>
      <c r="BU424"/>
      <c r="BV424"/>
      <c r="BW424"/>
      <c r="BX424"/>
      <c r="BY424"/>
      <c r="BZ424"/>
      <c r="CA424"/>
      <c r="CB424"/>
      <c r="CC424"/>
      <c r="CD424"/>
      <c r="CE424"/>
      <c r="CF424"/>
      <c r="CG424"/>
      <c r="CH424"/>
      <c r="CI424"/>
      <c r="CJ424"/>
      <c r="CK424"/>
      <c r="CL424"/>
      <c r="CM424" s="20"/>
      <c r="CN424" s="20"/>
      <c r="CO424" s="20"/>
      <c r="CP424" s="20"/>
      <c r="CQ424" s="20"/>
      <c r="CR424" s="20"/>
      <c r="CS424" s="20"/>
      <c r="CT424" s="20"/>
      <c r="CU424" s="20"/>
      <c r="CV424" s="20"/>
      <c r="CW424" s="20"/>
      <c r="CX424" s="20"/>
      <c r="CY424" s="20"/>
    </row>
    <row r="425" spans="1:103" s="6" customFormat="1">
      <c r="A425"/>
      <c r="B425"/>
      <c r="C425"/>
      <c r="D425"/>
      <c r="E425"/>
      <c r="F425"/>
      <c r="G425"/>
      <c r="H425"/>
      <c r="I425"/>
      <c r="J425"/>
      <c r="N425" s="7"/>
      <c r="O425"/>
      <c r="P425" s="10"/>
      <c r="Q425" s="9"/>
      <c r="R425" s="10"/>
      <c r="S425" s="10"/>
      <c r="AA425" s="11"/>
      <c r="AD425"/>
      <c r="AE425"/>
      <c r="AF425"/>
      <c r="AG425"/>
      <c r="AH425" s="46"/>
      <c r="AI425"/>
      <c r="AJ425"/>
      <c r="AK425"/>
      <c r="AL425"/>
      <c r="AM425"/>
      <c r="AN425"/>
      <c r="AO425"/>
      <c r="AP425"/>
      <c r="AQ425"/>
      <c r="AR425"/>
      <c r="AS425"/>
      <c r="AT425" s="14"/>
      <c r="AU425"/>
      <c r="AV425"/>
      <c r="AW425"/>
      <c r="AX425" s="10"/>
      <c r="AY425" s="20"/>
      <c r="AZ425" s="16"/>
      <c r="BA425"/>
      <c r="BB425"/>
      <c r="BC425" s="16"/>
      <c r="BD425"/>
      <c r="BE425"/>
      <c r="BF425"/>
      <c r="BG425"/>
      <c r="BH425"/>
      <c r="BI425"/>
      <c r="BJ425"/>
      <c r="BK425"/>
      <c r="BL425"/>
      <c r="BM425"/>
      <c r="BN425" s="19"/>
      <c r="BO425"/>
      <c r="BP425"/>
      <c r="BQ425"/>
      <c r="BR425"/>
      <c r="BS425"/>
      <c r="BT425"/>
      <c r="BU425"/>
      <c r="BV425"/>
      <c r="BW425"/>
      <c r="BX425"/>
      <c r="BY425"/>
      <c r="BZ425"/>
      <c r="CA425"/>
      <c r="CB425"/>
      <c r="CC425"/>
      <c r="CD425"/>
      <c r="CE425"/>
      <c r="CF425"/>
      <c r="CG425"/>
      <c r="CH425"/>
      <c r="CI425"/>
      <c r="CJ425"/>
      <c r="CK425"/>
      <c r="CL425"/>
      <c r="CM425" s="20"/>
      <c r="CN425" s="20"/>
      <c r="CO425" s="20"/>
      <c r="CP425" s="20"/>
      <c r="CQ425" s="20"/>
      <c r="CR425" s="20"/>
      <c r="CS425" s="20"/>
      <c r="CT425" s="20"/>
      <c r="CU425" s="20"/>
      <c r="CV425" s="20"/>
      <c r="CW425" s="20"/>
      <c r="CX425" s="20"/>
      <c r="CY425" s="20"/>
    </row>
    <row r="426" spans="1:103" s="6" customFormat="1">
      <c r="A426"/>
      <c r="B426"/>
      <c r="C426"/>
      <c r="D426"/>
      <c r="E426"/>
      <c r="F426"/>
      <c r="G426"/>
      <c r="H426"/>
      <c r="I426"/>
      <c r="J426"/>
      <c r="N426" s="7"/>
      <c r="O426"/>
      <c r="P426" s="10"/>
      <c r="Q426" s="9"/>
      <c r="R426" s="10"/>
      <c r="S426" s="10"/>
      <c r="AA426" s="11"/>
      <c r="AD426"/>
      <c r="AE426"/>
      <c r="AF426"/>
      <c r="AG426"/>
      <c r="AH426" s="46"/>
      <c r="AI426"/>
      <c r="AJ426"/>
      <c r="AK426"/>
      <c r="AL426"/>
      <c r="AM426"/>
      <c r="AN426"/>
      <c r="AO426"/>
      <c r="AP426"/>
      <c r="AQ426"/>
      <c r="AR426"/>
      <c r="AS426"/>
      <c r="AT426" s="14"/>
      <c r="AU426"/>
      <c r="AV426"/>
      <c r="AW426"/>
      <c r="AX426" s="10"/>
      <c r="AY426" s="20"/>
      <c r="AZ426" s="16"/>
      <c r="BA426"/>
      <c r="BB426"/>
      <c r="BC426" s="16"/>
      <c r="BD426"/>
      <c r="BE426"/>
      <c r="BF426"/>
      <c r="BG426"/>
      <c r="BH426"/>
      <c r="BI426"/>
      <c r="BJ426"/>
      <c r="BK426"/>
      <c r="BL426"/>
      <c r="BM426"/>
      <c r="BN426" s="19"/>
      <c r="BO426"/>
      <c r="BP426"/>
      <c r="BQ426"/>
      <c r="BR426"/>
      <c r="BS426"/>
      <c r="BT426"/>
      <c r="BU426"/>
      <c r="BV426"/>
      <c r="BW426"/>
      <c r="BX426"/>
      <c r="BY426"/>
      <c r="BZ426"/>
      <c r="CA426"/>
      <c r="CB426"/>
      <c r="CC426"/>
      <c r="CD426"/>
      <c r="CE426"/>
      <c r="CF426"/>
      <c r="CG426"/>
      <c r="CH426"/>
      <c r="CI426"/>
      <c r="CJ426"/>
      <c r="CK426"/>
      <c r="CL426"/>
      <c r="CM426" s="20"/>
      <c r="CN426" s="20"/>
      <c r="CO426" s="20"/>
      <c r="CP426" s="20"/>
      <c r="CQ426" s="20"/>
      <c r="CR426" s="20"/>
      <c r="CS426" s="20"/>
      <c r="CT426" s="20"/>
      <c r="CU426" s="20"/>
      <c r="CV426" s="20"/>
      <c r="CW426" s="20"/>
      <c r="CX426" s="20"/>
      <c r="CY426" s="20"/>
    </row>
    <row r="427" spans="1:103" s="6" customFormat="1">
      <c r="A427"/>
      <c r="B427"/>
      <c r="C427"/>
      <c r="D427"/>
      <c r="E427"/>
      <c r="F427"/>
      <c r="G427"/>
      <c r="H427"/>
      <c r="I427"/>
      <c r="J427"/>
      <c r="N427" s="7"/>
      <c r="O427"/>
      <c r="P427" s="10"/>
      <c r="Q427" s="9"/>
      <c r="R427" s="10"/>
      <c r="S427" s="10"/>
      <c r="AA427" s="11"/>
      <c r="AD427"/>
      <c r="AE427"/>
      <c r="AF427"/>
      <c r="AG427"/>
      <c r="AH427" s="46"/>
      <c r="AI427"/>
      <c r="AJ427"/>
      <c r="AK427"/>
      <c r="AL427"/>
      <c r="AM427"/>
      <c r="AN427"/>
      <c r="AO427"/>
      <c r="AP427"/>
      <c r="AQ427"/>
      <c r="AR427"/>
      <c r="AS427"/>
      <c r="AT427" s="14"/>
      <c r="AU427"/>
      <c r="AV427"/>
      <c r="AW427"/>
      <c r="AX427" s="10"/>
      <c r="AY427" s="20"/>
      <c r="AZ427" s="16"/>
      <c r="BA427"/>
      <c r="BB427"/>
      <c r="BC427" s="16"/>
      <c r="BD427"/>
      <c r="BE427"/>
      <c r="BF427"/>
      <c r="BG427"/>
      <c r="BH427"/>
      <c r="BI427"/>
      <c r="BJ427"/>
      <c r="BK427"/>
      <c r="BL427"/>
      <c r="BM427"/>
      <c r="BN427" s="19"/>
      <c r="BO427"/>
      <c r="BP427"/>
      <c r="BQ427"/>
      <c r="BR427"/>
      <c r="BS427"/>
      <c r="BT427"/>
      <c r="BU427"/>
      <c r="BV427"/>
      <c r="BW427"/>
      <c r="BX427"/>
      <c r="BY427"/>
      <c r="BZ427"/>
      <c r="CA427"/>
      <c r="CB427"/>
      <c r="CC427"/>
      <c r="CD427"/>
      <c r="CE427"/>
      <c r="CF427"/>
      <c r="CG427"/>
      <c r="CH427"/>
      <c r="CI427"/>
      <c r="CJ427"/>
      <c r="CK427"/>
      <c r="CL427"/>
      <c r="CM427" s="20"/>
      <c r="CN427" s="20"/>
      <c r="CO427" s="20"/>
      <c r="CP427" s="20"/>
      <c r="CQ427" s="20"/>
      <c r="CR427" s="20"/>
      <c r="CS427" s="20"/>
      <c r="CT427" s="20"/>
      <c r="CU427" s="20"/>
      <c r="CV427" s="20"/>
      <c r="CW427" s="20"/>
      <c r="CX427" s="20"/>
      <c r="CY427" s="20"/>
    </row>
    <row r="428" spans="1:103" s="6" customFormat="1">
      <c r="A428"/>
      <c r="B428"/>
      <c r="C428"/>
      <c r="D428"/>
      <c r="E428"/>
      <c r="F428"/>
      <c r="G428"/>
      <c r="H428"/>
      <c r="I428"/>
      <c r="J428"/>
      <c r="N428" s="7"/>
      <c r="O428"/>
      <c r="P428" s="10"/>
      <c r="Q428" s="9"/>
      <c r="R428" s="10"/>
      <c r="S428" s="10"/>
      <c r="AA428" s="11"/>
      <c r="AD428"/>
      <c r="AE428"/>
      <c r="AF428"/>
      <c r="AG428"/>
      <c r="AH428" s="46"/>
      <c r="AI428"/>
      <c r="AJ428"/>
      <c r="AK428"/>
      <c r="AL428"/>
      <c r="AM428"/>
      <c r="AN428"/>
      <c r="AO428"/>
      <c r="AP428"/>
      <c r="AQ428"/>
      <c r="AR428"/>
      <c r="AS428"/>
      <c r="AT428" s="14"/>
      <c r="AU428"/>
      <c r="AV428"/>
      <c r="AW428"/>
      <c r="AX428" s="10"/>
      <c r="AY428" s="20"/>
      <c r="AZ428" s="16"/>
      <c r="BA428"/>
      <c r="BB428"/>
      <c r="BC428" s="16"/>
      <c r="BD428"/>
      <c r="BE428"/>
      <c r="BF428"/>
      <c r="BG428"/>
      <c r="BH428"/>
      <c r="BI428"/>
      <c r="BJ428"/>
      <c r="BK428"/>
      <c r="BL428"/>
      <c r="BM428"/>
      <c r="BN428" s="19"/>
      <c r="BO428"/>
      <c r="BP428"/>
      <c r="BQ428"/>
      <c r="BR428"/>
      <c r="BS428"/>
      <c r="BT428"/>
      <c r="BU428"/>
      <c r="BV428"/>
      <c r="BW428"/>
      <c r="BX428"/>
      <c r="BY428"/>
      <c r="BZ428"/>
      <c r="CA428"/>
      <c r="CB428"/>
      <c r="CC428"/>
      <c r="CD428"/>
      <c r="CE428"/>
      <c r="CF428"/>
      <c r="CG428"/>
      <c r="CH428"/>
      <c r="CI428"/>
      <c r="CJ428"/>
      <c r="CK428"/>
      <c r="CL428"/>
      <c r="CM428" s="20"/>
      <c r="CN428" s="20"/>
      <c r="CO428" s="20"/>
      <c r="CP428" s="20"/>
      <c r="CQ428" s="20"/>
      <c r="CR428" s="20"/>
      <c r="CS428" s="20"/>
      <c r="CT428" s="20"/>
      <c r="CU428" s="20"/>
      <c r="CV428" s="20"/>
      <c r="CW428" s="20"/>
      <c r="CX428" s="20"/>
      <c r="CY428" s="20"/>
    </row>
    <row r="429" spans="1:103" s="6" customFormat="1">
      <c r="A429"/>
      <c r="B429"/>
      <c r="C429"/>
      <c r="D429"/>
      <c r="E429"/>
      <c r="F429"/>
      <c r="G429"/>
      <c r="H429"/>
      <c r="I429"/>
      <c r="J429"/>
      <c r="N429" s="7"/>
      <c r="O429"/>
      <c r="P429" s="10"/>
      <c r="Q429" s="9"/>
      <c r="R429" s="10"/>
      <c r="S429" s="10"/>
      <c r="AA429" s="11"/>
      <c r="AD429"/>
      <c r="AE429"/>
      <c r="AF429"/>
      <c r="AG429"/>
      <c r="AH429" s="46"/>
      <c r="AI429"/>
      <c r="AJ429"/>
      <c r="AK429"/>
      <c r="AL429"/>
      <c r="AM429"/>
      <c r="AN429"/>
      <c r="AO429"/>
      <c r="AP429"/>
      <c r="AQ429"/>
      <c r="AR429"/>
      <c r="AS429"/>
      <c r="AT429" s="14"/>
      <c r="AU429"/>
      <c r="AV429"/>
      <c r="AW429"/>
      <c r="AX429" s="10"/>
      <c r="AY429" s="20"/>
      <c r="AZ429" s="16"/>
      <c r="BA429"/>
      <c r="BB429"/>
      <c r="BC429" s="16"/>
      <c r="BD429"/>
      <c r="BE429"/>
      <c r="BF429"/>
      <c r="BG429"/>
      <c r="BH429"/>
      <c r="BI429"/>
      <c r="BJ429"/>
      <c r="BK429"/>
      <c r="BL429"/>
      <c r="BM429"/>
      <c r="BN429" s="19"/>
      <c r="BO429"/>
      <c r="BP429"/>
      <c r="BQ429"/>
      <c r="BR429"/>
      <c r="BS429"/>
      <c r="BT429"/>
      <c r="BU429"/>
      <c r="BV429"/>
      <c r="BW429"/>
      <c r="BX429"/>
      <c r="BY429"/>
      <c r="BZ429"/>
      <c r="CA429"/>
      <c r="CB429"/>
      <c r="CC429"/>
      <c r="CD429"/>
      <c r="CE429"/>
      <c r="CF429"/>
      <c r="CG429"/>
      <c r="CH429"/>
      <c r="CI429"/>
      <c r="CJ429"/>
      <c r="CK429"/>
      <c r="CL429"/>
      <c r="CM429" s="20"/>
      <c r="CN429" s="20"/>
      <c r="CO429" s="20"/>
      <c r="CP429" s="20"/>
      <c r="CQ429" s="20"/>
      <c r="CR429" s="20"/>
      <c r="CS429" s="20"/>
      <c r="CT429" s="20"/>
      <c r="CU429" s="20"/>
      <c r="CV429" s="20"/>
      <c r="CW429" s="20"/>
      <c r="CX429" s="20"/>
      <c r="CY429" s="20"/>
    </row>
    <row r="430" spans="1:103" s="6" customFormat="1">
      <c r="A430"/>
      <c r="B430"/>
      <c r="C430"/>
      <c r="D430"/>
      <c r="E430"/>
      <c r="F430"/>
      <c r="G430"/>
      <c r="H430"/>
      <c r="I430"/>
      <c r="J430"/>
      <c r="N430" s="7"/>
      <c r="O430"/>
      <c r="P430" s="10"/>
      <c r="Q430" s="9"/>
      <c r="R430" s="10"/>
      <c r="S430" s="10"/>
      <c r="AA430" s="11"/>
      <c r="AD430"/>
      <c r="AE430"/>
      <c r="AF430"/>
      <c r="AG430"/>
      <c r="AH430" s="46"/>
      <c r="AI430"/>
      <c r="AJ430"/>
      <c r="AK430"/>
      <c r="AL430"/>
      <c r="AM430"/>
      <c r="AN430"/>
      <c r="AO430"/>
      <c r="AP430"/>
      <c r="AQ430"/>
      <c r="AR430"/>
      <c r="AS430"/>
      <c r="AT430" s="14"/>
      <c r="AU430"/>
      <c r="AV430"/>
      <c r="AW430"/>
      <c r="AX430" s="10"/>
      <c r="AY430" s="20"/>
      <c r="AZ430" s="16"/>
      <c r="BA430"/>
      <c r="BB430"/>
      <c r="BC430" s="16"/>
      <c r="BD430"/>
      <c r="BE430"/>
      <c r="BF430"/>
      <c r="BG430"/>
      <c r="BH430"/>
      <c r="BI430"/>
      <c r="BJ430"/>
      <c r="BK430"/>
      <c r="BL430"/>
      <c r="BM430"/>
      <c r="BN430" s="19"/>
      <c r="BO430"/>
      <c r="BP430"/>
      <c r="BQ430"/>
      <c r="BR430"/>
      <c r="BS430"/>
      <c r="BT430"/>
      <c r="BU430"/>
      <c r="BV430"/>
      <c r="BW430"/>
      <c r="BX430"/>
      <c r="BY430"/>
      <c r="BZ430"/>
      <c r="CA430"/>
      <c r="CB430"/>
      <c r="CC430"/>
      <c r="CD430"/>
      <c r="CE430"/>
      <c r="CF430"/>
      <c r="CG430"/>
      <c r="CH430"/>
      <c r="CI430"/>
      <c r="CJ430"/>
      <c r="CK430"/>
      <c r="CL430"/>
      <c r="CM430" s="20"/>
      <c r="CN430" s="20"/>
      <c r="CO430" s="20"/>
      <c r="CP430" s="20"/>
      <c r="CQ430" s="20"/>
      <c r="CR430" s="20"/>
      <c r="CS430" s="20"/>
      <c r="CT430" s="20"/>
      <c r="CU430" s="20"/>
      <c r="CV430" s="20"/>
      <c r="CW430" s="20"/>
      <c r="CX430" s="20"/>
      <c r="CY430" s="20"/>
    </row>
    <row r="431" spans="1:103" s="6" customFormat="1">
      <c r="A431"/>
      <c r="B431"/>
      <c r="C431"/>
      <c r="D431"/>
      <c r="E431"/>
      <c r="F431"/>
      <c r="G431"/>
      <c r="H431"/>
      <c r="I431"/>
      <c r="J431"/>
      <c r="N431" s="7"/>
      <c r="O431"/>
      <c r="P431" s="10"/>
      <c r="Q431" s="9"/>
      <c r="R431" s="10"/>
      <c r="S431" s="10"/>
      <c r="AA431" s="11"/>
      <c r="AD431"/>
      <c r="AE431"/>
      <c r="AF431"/>
      <c r="AG431"/>
      <c r="AH431" s="46"/>
      <c r="AI431"/>
      <c r="AJ431"/>
      <c r="AK431"/>
      <c r="AL431"/>
      <c r="AM431"/>
      <c r="AN431"/>
      <c r="AO431"/>
      <c r="AP431"/>
      <c r="AQ431"/>
      <c r="AR431"/>
      <c r="AS431"/>
      <c r="AT431" s="14"/>
      <c r="AU431"/>
      <c r="AV431"/>
      <c r="AW431"/>
      <c r="AX431" s="10"/>
      <c r="AY431" s="20"/>
      <c r="AZ431" s="16"/>
      <c r="BA431"/>
      <c r="BB431"/>
      <c r="BC431" s="16"/>
      <c r="BD431"/>
      <c r="BE431"/>
      <c r="BF431"/>
      <c r="BG431"/>
      <c r="BH431"/>
      <c r="BI431"/>
      <c r="BJ431"/>
      <c r="BK431"/>
      <c r="BL431"/>
      <c r="BM431"/>
      <c r="BN431" s="19"/>
      <c r="BO431"/>
      <c r="BP431"/>
      <c r="BQ431"/>
      <c r="BR431"/>
      <c r="BS431"/>
      <c r="BT431"/>
      <c r="BU431"/>
      <c r="BV431"/>
      <c r="BW431"/>
      <c r="BX431"/>
      <c r="BY431"/>
      <c r="BZ431"/>
      <c r="CA431"/>
      <c r="CB431"/>
      <c r="CC431"/>
      <c r="CD431"/>
      <c r="CE431"/>
      <c r="CF431"/>
      <c r="CG431"/>
      <c r="CH431"/>
      <c r="CI431"/>
      <c r="CJ431"/>
      <c r="CK431"/>
      <c r="CL431"/>
      <c r="CM431" s="20"/>
      <c r="CN431" s="20"/>
      <c r="CO431" s="20"/>
      <c r="CP431" s="20"/>
      <c r="CQ431" s="20"/>
      <c r="CR431" s="20"/>
      <c r="CS431" s="20"/>
      <c r="CT431" s="20"/>
      <c r="CU431" s="20"/>
      <c r="CV431" s="20"/>
      <c r="CW431" s="20"/>
      <c r="CX431" s="20"/>
      <c r="CY431" s="20"/>
    </row>
    <row r="432" spans="1:103" s="6" customFormat="1">
      <c r="A432"/>
      <c r="B432"/>
      <c r="C432"/>
      <c r="D432"/>
      <c r="E432"/>
      <c r="F432"/>
      <c r="G432"/>
      <c r="H432"/>
      <c r="I432"/>
      <c r="J432"/>
      <c r="N432" s="7"/>
      <c r="O432"/>
      <c r="P432" s="10"/>
      <c r="Q432" s="9"/>
      <c r="R432" s="10"/>
      <c r="S432" s="10"/>
      <c r="AA432" s="11"/>
      <c r="AD432"/>
      <c r="AE432"/>
      <c r="AF432"/>
      <c r="AG432"/>
      <c r="AH432" s="46"/>
      <c r="AI432"/>
      <c r="AJ432"/>
      <c r="AK432"/>
      <c r="AL432"/>
      <c r="AM432"/>
      <c r="AN432"/>
      <c r="AO432"/>
      <c r="AP432"/>
      <c r="AQ432"/>
      <c r="AR432"/>
      <c r="AS432"/>
      <c r="AT432" s="14"/>
      <c r="AU432"/>
      <c r="AV432"/>
      <c r="AW432"/>
      <c r="AX432" s="10"/>
      <c r="AY432" s="20"/>
      <c r="AZ432" s="16"/>
      <c r="BA432"/>
      <c r="BB432"/>
      <c r="BC432" s="16"/>
      <c r="BD432"/>
      <c r="BE432"/>
      <c r="BF432"/>
      <c r="BG432"/>
      <c r="BH432"/>
      <c r="BI432"/>
      <c r="BJ432"/>
      <c r="BK432"/>
      <c r="BL432"/>
      <c r="BM432"/>
      <c r="BN432" s="19"/>
      <c r="BO432"/>
      <c r="BP432"/>
      <c r="BQ432"/>
      <c r="BR432"/>
      <c r="BS432"/>
      <c r="BT432"/>
      <c r="BU432"/>
      <c r="BV432"/>
      <c r="BW432"/>
      <c r="BX432"/>
      <c r="BY432"/>
      <c r="BZ432"/>
      <c r="CA432"/>
      <c r="CB432"/>
      <c r="CC432"/>
      <c r="CD432"/>
      <c r="CE432"/>
      <c r="CF432"/>
      <c r="CG432"/>
      <c r="CH432"/>
      <c r="CI432"/>
      <c r="CJ432"/>
      <c r="CK432"/>
      <c r="CL432"/>
      <c r="CM432" s="20"/>
      <c r="CN432" s="20"/>
      <c r="CO432" s="20"/>
      <c r="CP432" s="20"/>
      <c r="CQ432" s="20"/>
      <c r="CR432" s="20"/>
      <c r="CS432" s="20"/>
      <c r="CT432" s="20"/>
      <c r="CU432" s="20"/>
      <c r="CV432" s="20"/>
      <c r="CW432" s="20"/>
      <c r="CX432" s="20"/>
      <c r="CY432" s="20"/>
    </row>
    <row r="433" spans="1:103" s="6" customFormat="1">
      <c r="A433"/>
      <c r="B433"/>
      <c r="C433"/>
      <c r="D433"/>
      <c r="E433"/>
      <c r="F433"/>
      <c r="G433"/>
      <c r="H433"/>
      <c r="I433"/>
      <c r="J433"/>
      <c r="N433" s="7"/>
      <c r="O433"/>
      <c r="P433" s="10"/>
      <c r="Q433" s="9"/>
      <c r="R433" s="10"/>
      <c r="S433" s="10"/>
      <c r="AA433" s="11"/>
      <c r="AD433"/>
      <c r="AE433"/>
      <c r="AF433"/>
      <c r="AG433"/>
      <c r="AH433" s="46"/>
      <c r="AI433"/>
      <c r="AJ433"/>
      <c r="AK433"/>
      <c r="AL433"/>
      <c r="AM433"/>
      <c r="AN433"/>
      <c r="AO433"/>
      <c r="AP433"/>
      <c r="AQ433"/>
      <c r="AR433"/>
      <c r="AS433"/>
      <c r="AT433" s="14"/>
      <c r="AU433"/>
      <c r="AV433"/>
      <c r="AW433"/>
      <c r="AX433" s="10"/>
      <c r="AY433" s="20"/>
      <c r="AZ433" s="16"/>
      <c r="BA433"/>
      <c r="BB433"/>
      <c r="BC433" s="16"/>
      <c r="BD433"/>
      <c r="BE433"/>
      <c r="BF433"/>
      <c r="BG433"/>
      <c r="BH433"/>
      <c r="BI433"/>
      <c r="BJ433"/>
      <c r="BK433"/>
      <c r="BL433"/>
      <c r="BM433"/>
      <c r="BN433" s="19"/>
      <c r="BO433"/>
      <c r="BP433"/>
      <c r="BQ433"/>
      <c r="BR433"/>
      <c r="BS433"/>
      <c r="BT433"/>
      <c r="BU433"/>
      <c r="BV433"/>
      <c r="BW433"/>
      <c r="BX433"/>
      <c r="BY433"/>
      <c r="BZ433"/>
      <c r="CA433"/>
      <c r="CB433"/>
      <c r="CC433"/>
      <c r="CD433"/>
      <c r="CE433"/>
      <c r="CF433"/>
      <c r="CG433"/>
      <c r="CH433"/>
      <c r="CI433"/>
      <c r="CJ433"/>
      <c r="CK433"/>
      <c r="CL433"/>
      <c r="CM433" s="20"/>
      <c r="CN433" s="20"/>
      <c r="CO433" s="20"/>
      <c r="CP433" s="20"/>
      <c r="CQ433" s="20"/>
      <c r="CR433" s="20"/>
      <c r="CS433" s="20"/>
      <c r="CT433" s="20"/>
      <c r="CU433" s="20"/>
      <c r="CV433" s="20"/>
      <c r="CW433" s="20"/>
      <c r="CX433" s="20"/>
      <c r="CY433" s="20"/>
    </row>
    <row r="434" spans="1:103" s="6" customFormat="1">
      <c r="A434"/>
      <c r="B434"/>
      <c r="C434"/>
      <c r="D434"/>
      <c r="E434"/>
      <c r="F434"/>
      <c r="G434"/>
      <c r="H434"/>
      <c r="I434"/>
      <c r="J434"/>
      <c r="N434" s="7"/>
      <c r="O434"/>
      <c r="P434" s="10"/>
      <c r="Q434" s="9"/>
      <c r="R434" s="10"/>
      <c r="S434" s="10"/>
      <c r="AA434" s="11"/>
      <c r="AD434"/>
      <c r="AE434"/>
      <c r="AF434"/>
      <c r="AG434"/>
      <c r="AH434" s="46"/>
      <c r="AI434"/>
      <c r="AJ434"/>
      <c r="AK434"/>
      <c r="AL434"/>
      <c r="AM434"/>
      <c r="AN434"/>
      <c r="AO434"/>
      <c r="AP434"/>
      <c r="AQ434"/>
      <c r="AR434"/>
      <c r="AS434"/>
      <c r="AT434" s="14"/>
      <c r="AU434"/>
      <c r="AV434"/>
      <c r="AW434"/>
      <c r="AX434" s="10"/>
      <c r="AY434" s="20"/>
      <c r="AZ434" s="16"/>
      <c r="BA434"/>
      <c r="BB434"/>
      <c r="BC434" s="16"/>
      <c r="BD434"/>
      <c r="BE434"/>
      <c r="BF434"/>
      <c r="BG434"/>
      <c r="BH434"/>
      <c r="BI434"/>
      <c r="BJ434"/>
      <c r="BK434"/>
      <c r="BL434"/>
      <c r="BM434"/>
      <c r="BN434" s="19"/>
      <c r="BO434"/>
      <c r="BP434"/>
      <c r="BQ434"/>
      <c r="BR434"/>
      <c r="BS434"/>
      <c r="BT434"/>
      <c r="BU434"/>
      <c r="BV434"/>
      <c r="BW434"/>
      <c r="BX434"/>
      <c r="BY434"/>
      <c r="BZ434"/>
      <c r="CA434"/>
      <c r="CB434"/>
      <c r="CC434"/>
      <c r="CD434"/>
      <c r="CE434"/>
      <c r="CF434"/>
      <c r="CG434"/>
      <c r="CH434"/>
      <c r="CI434"/>
      <c r="CJ434"/>
      <c r="CK434"/>
      <c r="CL434"/>
      <c r="CM434" s="20"/>
      <c r="CN434" s="20"/>
      <c r="CO434" s="20"/>
      <c r="CP434" s="20"/>
      <c r="CQ434" s="20"/>
      <c r="CR434" s="20"/>
      <c r="CS434" s="20"/>
      <c r="CT434" s="20"/>
      <c r="CU434" s="20"/>
      <c r="CV434" s="20"/>
      <c r="CW434" s="20"/>
      <c r="CX434" s="20"/>
      <c r="CY434" s="20"/>
    </row>
    <row r="435" spans="1:103" s="6" customFormat="1">
      <c r="A435"/>
      <c r="B435"/>
      <c r="C435"/>
      <c r="D435"/>
      <c r="E435"/>
      <c r="F435"/>
      <c r="G435"/>
      <c r="H435"/>
      <c r="I435"/>
      <c r="J435"/>
      <c r="N435" s="7"/>
      <c r="O435"/>
      <c r="P435" s="10"/>
      <c r="Q435" s="9"/>
      <c r="R435" s="10"/>
      <c r="S435" s="10"/>
      <c r="AA435" s="11"/>
      <c r="AD435"/>
      <c r="AE435"/>
      <c r="AF435"/>
      <c r="AG435"/>
      <c r="AH435" s="46"/>
      <c r="AI435"/>
      <c r="AJ435"/>
      <c r="AK435"/>
      <c r="AL435"/>
      <c r="AM435"/>
      <c r="AN435"/>
      <c r="AO435"/>
      <c r="AP435"/>
      <c r="AQ435"/>
      <c r="AR435"/>
      <c r="AS435"/>
      <c r="AT435" s="14"/>
      <c r="AU435"/>
      <c r="AV435"/>
      <c r="AW435"/>
      <c r="AX435" s="10"/>
      <c r="AY435" s="20"/>
      <c r="AZ435" s="16"/>
      <c r="BA435"/>
      <c r="BB435"/>
      <c r="BC435" s="16"/>
      <c r="BD435"/>
      <c r="BE435"/>
      <c r="BF435"/>
      <c r="BG435"/>
      <c r="BH435"/>
      <c r="BI435"/>
      <c r="BJ435"/>
      <c r="BK435"/>
      <c r="BL435"/>
      <c r="BM435"/>
      <c r="BN435" s="19"/>
      <c r="BO435"/>
      <c r="BP435"/>
      <c r="BQ435"/>
      <c r="BR435"/>
      <c r="BS435"/>
      <c r="BT435"/>
      <c r="BU435"/>
      <c r="BV435"/>
      <c r="BW435"/>
      <c r="BX435"/>
      <c r="BY435"/>
      <c r="BZ435"/>
      <c r="CA435"/>
      <c r="CB435"/>
      <c r="CC435"/>
      <c r="CD435"/>
      <c r="CE435"/>
      <c r="CF435"/>
      <c r="CG435"/>
      <c r="CH435"/>
      <c r="CI435"/>
      <c r="CJ435"/>
      <c r="CK435"/>
      <c r="CL435"/>
      <c r="CM435" s="20"/>
      <c r="CN435" s="20"/>
      <c r="CO435" s="20"/>
      <c r="CP435" s="20"/>
      <c r="CQ435" s="20"/>
      <c r="CR435" s="20"/>
      <c r="CS435" s="20"/>
      <c r="CT435" s="20"/>
      <c r="CU435" s="20"/>
      <c r="CV435" s="20"/>
      <c r="CW435" s="20"/>
      <c r="CX435" s="20"/>
      <c r="CY435" s="20"/>
    </row>
    <row r="436" spans="1:103" s="6" customFormat="1">
      <c r="A436"/>
      <c r="B436"/>
      <c r="C436"/>
      <c r="D436"/>
      <c r="E436"/>
      <c r="F436"/>
      <c r="G436"/>
      <c r="H436"/>
      <c r="I436"/>
      <c r="J436"/>
      <c r="N436" s="7"/>
      <c r="O436"/>
      <c r="P436" s="10"/>
      <c r="Q436" s="9"/>
      <c r="R436" s="10"/>
      <c r="S436" s="10"/>
      <c r="AA436" s="11"/>
      <c r="AD436"/>
      <c r="AE436"/>
      <c r="AF436"/>
      <c r="AG436"/>
      <c r="AH436" s="46"/>
      <c r="AI436"/>
      <c r="AJ436"/>
      <c r="AK436"/>
      <c r="AL436"/>
      <c r="AM436"/>
      <c r="AN436"/>
      <c r="AO436"/>
      <c r="AP436"/>
      <c r="AQ436"/>
      <c r="AR436"/>
      <c r="AS436"/>
      <c r="AT436" s="14"/>
      <c r="AU436"/>
      <c r="AV436"/>
      <c r="AW436"/>
      <c r="AX436" s="10"/>
      <c r="AY436" s="20"/>
      <c r="AZ436" s="16"/>
      <c r="BA436"/>
      <c r="BB436"/>
      <c r="BC436" s="16"/>
      <c r="BD436"/>
      <c r="BE436"/>
      <c r="BF436"/>
      <c r="BG436"/>
      <c r="BH436"/>
      <c r="BI436"/>
      <c r="BJ436"/>
      <c r="BK436"/>
      <c r="BL436"/>
      <c r="BM436"/>
      <c r="BN436" s="19"/>
      <c r="BO436"/>
      <c r="BP436"/>
      <c r="BQ436"/>
      <c r="BR436"/>
      <c r="BS436"/>
      <c r="BT436"/>
      <c r="BU436"/>
      <c r="BV436"/>
      <c r="BW436"/>
      <c r="BX436"/>
      <c r="BY436"/>
      <c r="BZ436"/>
      <c r="CA436"/>
      <c r="CB436"/>
      <c r="CC436"/>
      <c r="CD436"/>
      <c r="CE436"/>
      <c r="CF436"/>
      <c r="CG436"/>
      <c r="CH436"/>
      <c r="CI436"/>
      <c r="CJ436"/>
      <c r="CK436"/>
      <c r="CL436"/>
      <c r="CM436" s="20"/>
      <c r="CN436" s="20"/>
      <c r="CO436" s="20"/>
      <c r="CP436" s="20"/>
      <c r="CQ436" s="20"/>
      <c r="CR436" s="20"/>
      <c r="CS436" s="20"/>
      <c r="CT436" s="20"/>
      <c r="CU436" s="20"/>
      <c r="CV436" s="20"/>
      <c r="CW436" s="20"/>
      <c r="CX436" s="20"/>
      <c r="CY436" s="20"/>
    </row>
    <row r="437" spans="1:103" s="6" customFormat="1">
      <c r="A437"/>
      <c r="B437"/>
      <c r="C437"/>
      <c r="D437"/>
      <c r="E437"/>
      <c r="F437"/>
      <c r="G437"/>
      <c r="H437"/>
      <c r="I437"/>
      <c r="J437"/>
      <c r="N437" s="7"/>
      <c r="O437"/>
      <c r="P437" s="10"/>
      <c r="Q437" s="9"/>
      <c r="R437" s="10"/>
      <c r="S437" s="10"/>
      <c r="AA437" s="11"/>
      <c r="AD437"/>
      <c r="AE437"/>
      <c r="AF437"/>
      <c r="AG437"/>
      <c r="AH437" s="46"/>
      <c r="AI437"/>
      <c r="AJ437"/>
      <c r="AK437"/>
      <c r="AL437"/>
      <c r="AM437"/>
      <c r="AN437"/>
      <c r="AO437"/>
      <c r="AP437"/>
      <c r="AQ437"/>
      <c r="AR437"/>
      <c r="AS437"/>
      <c r="AT437" s="14"/>
      <c r="AU437"/>
      <c r="AV437"/>
      <c r="AW437"/>
      <c r="AX437" s="10"/>
      <c r="AY437" s="20"/>
      <c r="AZ437" s="16"/>
      <c r="BA437"/>
      <c r="BB437"/>
      <c r="BC437" s="16"/>
      <c r="BD437"/>
      <c r="BE437"/>
      <c r="BF437"/>
      <c r="BG437"/>
      <c r="BH437"/>
      <c r="BI437"/>
      <c r="BJ437"/>
      <c r="BK437"/>
      <c r="BL437"/>
      <c r="BM437"/>
      <c r="BN437" s="19"/>
      <c r="BO437"/>
      <c r="BP437"/>
      <c r="BQ437"/>
      <c r="BR437"/>
      <c r="BS437"/>
      <c r="BT437"/>
      <c r="BU437"/>
      <c r="BV437"/>
      <c r="BW437"/>
      <c r="BX437"/>
      <c r="BY437"/>
      <c r="BZ437"/>
      <c r="CA437"/>
      <c r="CB437"/>
      <c r="CC437"/>
      <c r="CD437"/>
      <c r="CE437"/>
      <c r="CF437"/>
      <c r="CG437"/>
      <c r="CH437"/>
      <c r="CI437"/>
      <c r="CJ437"/>
      <c r="CK437"/>
      <c r="CL437"/>
      <c r="CM437" s="20"/>
      <c r="CN437" s="20"/>
      <c r="CO437" s="20"/>
      <c r="CP437" s="20"/>
      <c r="CQ437" s="20"/>
      <c r="CR437" s="20"/>
      <c r="CS437" s="20"/>
      <c r="CT437" s="20"/>
      <c r="CU437" s="20"/>
      <c r="CV437" s="20"/>
      <c r="CW437" s="20"/>
      <c r="CX437" s="20"/>
      <c r="CY437" s="20"/>
    </row>
    <row r="438" spans="1:103" s="6" customFormat="1">
      <c r="A438"/>
      <c r="B438"/>
      <c r="C438"/>
      <c r="D438"/>
      <c r="E438"/>
      <c r="F438"/>
      <c r="G438"/>
      <c r="H438"/>
      <c r="I438"/>
      <c r="J438"/>
      <c r="N438" s="7"/>
      <c r="O438"/>
      <c r="P438" s="10"/>
      <c r="Q438" s="9"/>
      <c r="R438" s="10"/>
      <c r="S438" s="10"/>
      <c r="AA438" s="11"/>
      <c r="AD438"/>
      <c r="AE438"/>
      <c r="AF438"/>
      <c r="AG438"/>
      <c r="AH438" s="46"/>
      <c r="AI438"/>
      <c r="AJ438"/>
      <c r="AK438"/>
      <c r="AL438"/>
      <c r="AM438"/>
      <c r="AN438"/>
      <c r="AO438"/>
      <c r="AP438"/>
      <c r="AQ438"/>
      <c r="AR438"/>
      <c r="AS438"/>
      <c r="AT438" s="14"/>
      <c r="AU438"/>
      <c r="AV438"/>
      <c r="AW438"/>
      <c r="AX438" s="10"/>
      <c r="AY438" s="20"/>
      <c r="AZ438" s="16"/>
      <c r="BA438"/>
      <c r="BB438"/>
      <c r="BC438" s="16"/>
      <c r="BD438"/>
      <c r="BE438"/>
      <c r="BF438"/>
      <c r="BG438"/>
      <c r="BH438"/>
      <c r="BI438"/>
      <c r="BJ438"/>
      <c r="BK438"/>
      <c r="BL438"/>
      <c r="BM438"/>
      <c r="BN438" s="19"/>
      <c r="BO438"/>
      <c r="BP438"/>
      <c r="BQ438"/>
      <c r="BR438"/>
      <c r="BS438"/>
      <c r="BT438"/>
      <c r="BU438"/>
      <c r="BV438"/>
      <c r="BW438"/>
      <c r="BX438"/>
      <c r="BY438"/>
      <c r="BZ438"/>
      <c r="CA438"/>
      <c r="CB438"/>
      <c r="CC438"/>
      <c r="CD438"/>
      <c r="CE438"/>
      <c r="CF438"/>
      <c r="CG438"/>
      <c r="CH438"/>
      <c r="CI438"/>
      <c r="CJ438"/>
      <c r="CK438"/>
      <c r="CL438"/>
      <c r="CM438" s="20"/>
      <c r="CN438" s="20"/>
      <c r="CO438" s="20"/>
      <c r="CP438" s="20"/>
      <c r="CQ438" s="20"/>
      <c r="CR438" s="20"/>
      <c r="CS438" s="20"/>
      <c r="CT438" s="20"/>
      <c r="CU438" s="20"/>
      <c r="CV438" s="20"/>
      <c r="CW438" s="20"/>
      <c r="CX438" s="20"/>
      <c r="CY438" s="20"/>
    </row>
    <row r="439" spans="1:103" s="6" customFormat="1">
      <c r="A439"/>
      <c r="B439"/>
      <c r="C439"/>
      <c r="D439"/>
      <c r="E439"/>
      <c r="F439"/>
      <c r="G439"/>
      <c r="H439"/>
      <c r="I439"/>
      <c r="J439"/>
      <c r="N439" s="7"/>
      <c r="O439"/>
      <c r="P439" s="10"/>
      <c r="Q439" s="9"/>
      <c r="R439" s="10"/>
      <c r="S439" s="10"/>
      <c r="AA439" s="11"/>
      <c r="AD439"/>
      <c r="AE439"/>
      <c r="AF439"/>
      <c r="AG439"/>
      <c r="AH439" s="46"/>
      <c r="AI439"/>
      <c r="AJ439"/>
      <c r="AK439"/>
      <c r="AL439"/>
      <c r="AM439"/>
      <c r="AN439"/>
      <c r="AO439"/>
      <c r="AP439"/>
      <c r="AQ439"/>
      <c r="AR439"/>
      <c r="AS439"/>
      <c r="AT439" s="14"/>
      <c r="AU439"/>
      <c r="AV439"/>
      <c r="AW439"/>
      <c r="AX439" s="10"/>
      <c r="AY439" s="20"/>
      <c r="AZ439" s="16"/>
      <c r="BA439"/>
      <c r="BB439"/>
      <c r="BC439" s="16"/>
      <c r="BD439"/>
      <c r="BE439"/>
      <c r="BF439"/>
      <c r="BG439"/>
      <c r="BH439"/>
      <c r="BI439"/>
      <c r="BJ439"/>
      <c r="BK439"/>
      <c r="BL439"/>
      <c r="BM439"/>
      <c r="BN439" s="19"/>
      <c r="BO439"/>
      <c r="BP439"/>
      <c r="BQ439"/>
      <c r="BR439"/>
      <c r="BS439"/>
      <c r="BT439"/>
      <c r="BU439"/>
      <c r="BV439"/>
      <c r="BW439"/>
      <c r="BX439"/>
      <c r="BY439"/>
      <c r="BZ439"/>
      <c r="CA439"/>
      <c r="CB439"/>
      <c r="CC439"/>
      <c r="CD439"/>
      <c r="CE439"/>
      <c r="CF439"/>
      <c r="CG439"/>
      <c r="CH439"/>
      <c r="CI439"/>
      <c r="CJ439"/>
      <c r="CK439"/>
      <c r="CL439"/>
      <c r="CM439" s="20"/>
      <c r="CN439" s="20"/>
      <c r="CO439" s="20"/>
      <c r="CP439" s="20"/>
      <c r="CQ439" s="20"/>
      <c r="CR439" s="20"/>
      <c r="CS439" s="20"/>
      <c r="CT439" s="20"/>
      <c r="CU439" s="20"/>
      <c r="CV439" s="20"/>
      <c r="CW439" s="20"/>
      <c r="CX439" s="20"/>
      <c r="CY439" s="20"/>
    </row>
    <row r="440" spans="1:103" s="6" customFormat="1">
      <c r="A440"/>
      <c r="B440"/>
      <c r="C440"/>
      <c r="D440"/>
      <c r="E440"/>
      <c r="F440"/>
      <c r="G440"/>
      <c r="H440"/>
      <c r="I440"/>
      <c r="J440"/>
      <c r="N440" s="7"/>
      <c r="O440"/>
      <c r="P440" s="10"/>
      <c r="Q440" s="9"/>
      <c r="R440" s="10"/>
      <c r="S440" s="10"/>
      <c r="AA440" s="11"/>
      <c r="AD440"/>
      <c r="AE440"/>
      <c r="AF440"/>
      <c r="AG440"/>
      <c r="AH440" s="46"/>
      <c r="AI440"/>
      <c r="AJ440"/>
      <c r="AK440"/>
      <c r="AL440"/>
      <c r="AM440"/>
      <c r="AN440"/>
      <c r="AO440"/>
      <c r="AP440"/>
      <c r="AQ440"/>
      <c r="AR440"/>
      <c r="AS440"/>
      <c r="AT440" s="14"/>
      <c r="AU440"/>
      <c r="AV440"/>
      <c r="AW440"/>
      <c r="AX440" s="10"/>
      <c r="AY440" s="20"/>
      <c r="AZ440" s="16"/>
      <c r="BA440"/>
      <c r="BB440"/>
      <c r="BC440" s="16"/>
      <c r="BD440"/>
      <c r="BE440"/>
      <c r="BF440"/>
      <c r="BG440"/>
      <c r="BH440"/>
      <c r="BI440"/>
      <c r="BJ440"/>
      <c r="BK440"/>
      <c r="BL440"/>
      <c r="BM440"/>
      <c r="BN440" s="19"/>
      <c r="BO440"/>
      <c r="BP440"/>
      <c r="BQ440"/>
      <c r="BR440"/>
      <c r="BS440"/>
      <c r="BT440"/>
      <c r="BU440"/>
      <c r="BV440"/>
      <c r="BW440"/>
      <c r="BX440"/>
      <c r="BY440"/>
      <c r="BZ440"/>
      <c r="CA440"/>
      <c r="CB440"/>
      <c r="CC440"/>
      <c r="CD440"/>
      <c r="CE440"/>
      <c r="CF440"/>
      <c r="CG440"/>
      <c r="CH440"/>
      <c r="CI440"/>
      <c r="CJ440"/>
      <c r="CK440"/>
      <c r="CL440"/>
      <c r="CM440" s="20"/>
      <c r="CN440" s="20"/>
      <c r="CO440" s="20"/>
      <c r="CP440" s="20"/>
      <c r="CQ440" s="20"/>
      <c r="CR440" s="20"/>
      <c r="CS440" s="20"/>
      <c r="CT440" s="20"/>
      <c r="CU440" s="20"/>
      <c r="CV440" s="20"/>
      <c r="CW440" s="20"/>
      <c r="CX440" s="20"/>
      <c r="CY440" s="20"/>
    </row>
    <row r="441" spans="1:103" s="6" customFormat="1">
      <c r="A441"/>
      <c r="B441"/>
      <c r="C441"/>
      <c r="D441"/>
      <c r="E441"/>
      <c r="F441"/>
      <c r="G441"/>
      <c r="H441"/>
      <c r="I441"/>
      <c r="J441"/>
      <c r="N441" s="7"/>
      <c r="O441"/>
      <c r="P441" s="10"/>
      <c r="Q441" s="9"/>
      <c r="R441" s="10"/>
      <c r="S441" s="10"/>
      <c r="AA441" s="11"/>
      <c r="AD441"/>
      <c r="AE441"/>
      <c r="AF441"/>
      <c r="AG441"/>
      <c r="AH441" s="46"/>
      <c r="AI441"/>
      <c r="AJ441"/>
      <c r="AK441"/>
      <c r="AL441"/>
      <c r="AM441"/>
      <c r="AN441"/>
      <c r="AO441"/>
      <c r="AP441"/>
      <c r="AQ441"/>
      <c r="AR441"/>
      <c r="AS441"/>
      <c r="AT441" s="14"/>
      <c r="AU441"/>
      <c r="AV441"/>
      <c r="AW441"/>
      <c r="AX441" s="10"/>
      <c r="AY441" s="20"/>
      <c r="AZ441" s="16"/>
      <c r="BA441"/>
      <c r="BB441"/>
      <c r="BC441" s="16"/>
      <c r="BD441"/>
      <c r="BE441"/>
      <c r="BF441"/>
      <c r="BG441"/>
      <c r="BH441"/>
      <c r="BI441"/>
      <c r="BJ441"/>
      <c r="BK441"/>
      <c r="BL441"/>
      <c r="BM441"/>
      <c r="BN441" s="19"/>
      <c r="BO441"/>
      <c r="BP441"/>
      <c r="BQ441"/>
      <c r="BR441"/>
      <c r="BS441"/>
      <c r="BT441"/>
      <c r="BU441"/>
      <c r="BV441"/>
      <c r="BW441"/>
      <c r="BX441"/>
      <c r="BY441"/>
      <c r="BZ441"/>
      <c r="CA441"/>
      <c r="CB441"/>
      <c r="CC441"/>
      <c r="CD441"/>
      <c r="CE441"/>
      <c r="CF441"/>
      <c r="CG441"/>
      <c r="CH441"/>
      <c r="CI441"/>
      <c r="CJ441"/>
      <c r="CK441"/>
      <c r="CL441"/>
      <c r="CM441" s="20"/>
      <c r="CN441" s="20"/>
      <c r="CO441" s="20"/>
      <c r="CP441" s="20"/>
      <c r="CQ441" s="20"/>
      <c r="CR441" s="20"/>
      <c r="CS441" s="20"/>
      <c r="CT441" s="20"/>
      <c r="CU441" s="20"/>
      <c r="CV441" s="20"/>
      <c r="CW441" s="20"/>
      <c r="CX441" s="20"/>
      <c r="CY441" s="20"/>
    </row>
    <row r="442" spans="1:103" s="6" customFormat="1">
      <c r="A442"/>
      <c r="B442"/>
      <c r="C442"/>
      <c r="D442"/>
      <c r="E442"/>
      <c r="F442"/>
      <c r="G442"/>
      <c r="H442"/>
      <c r="I442"/>
      <c r="J442"/>
      <c r="N442" s="7"/>
      <c r="O442"/>
      <c r="P442" s="10"/>
      <c r="Q442" s="9"/>
      <c r="R442" s="10"/>
      <c r="S442" s="10"/>
      <c r="AA442" s="11"/>
      <c r="AD442"/>
      <c r="AE442"/>
      <c r="AF442"/>
      <c r="AG442"/>
      <c r="AH442" s="46"/>
      <c r="AI442"/>
      <c r="AJ442"/>
      <c r="AK442"/>
      <c r="AL442"/>
      <c r="AM442"/>
      <c r="AN442"/>
      <c r="AO442"/>
      <c r="AP442"/>
      <c r="AQ442"/>
      <c r="AR442"/>
      <c r="AS442"/>
      <c r="AT442" s="14"/>
      <c r="AU442"/>
      <c r="AV442"/>
      <c r="AW442"/>
      <c r="AX442" s="10"/>
      <c r="AY442" s="20"/>
      <c r="AZ442" s="16"/>
      <c r="BA442"/>
      <c r="BB442"/>
      <c r="BC442" s="16"/>
      <c r="BD442"/>
      <c r="BE442"/>
      <c r="BF442"/>
      <c r="BG442"/>
      <c r="BH442"/>
      <c r="BI442"/>
      <c r="BJ442"/>
      <c r="BK442"/>
      <c r="BL442"/>
      <c r="BM442"/>
      <c r="BN442" s="19"/>
      <c r="BO442"/>
      <c r="BP442"/>
      <c r="BQ442"/>
      <c r="BR442"/>
      <c r="BS442"/>
      <c r="BT442"/>
      <c r="BU442"/>
      <c r="BV442"/>
      <c r="BW442"/>
      <c r="BX442"/>
      <c r="BY442"/>
      <c r="BZ442"/>
      <c r="CA442"/>
      <c r="CB442"/>
      <c r="CC442"/>
      <c r="CD442"/>
      <c r="CE442"/>
      <c r="CF442"/>
      <c r="CG442"/>
      <c r="CH442"/>
      <c r="CI442"/>
      <c r="CJ442"/>
      <c r="CK442"/>
      <c r="CL442"/>
      <c r="CM442" s="20"/>
      <c r="CN442" s="20"/>
      <c r="CO442" s="20"/>
      <c r="CP442" s="20"/>
      <c r="CQ442" s="20"/>
      <c r="CR442" s="20"/>
      <c r="CS442" s="20"/>
      <c r="CT442" s="20"/>
      <c r="CU442" s="20"/>
      <c r="CV442" s="20"/>
      <c r="CW442" s="20"/>
      <c r="CX442" s="20"/>
      <c r="CY442" s="20"/>
    </row>
    <row r="443" spans="1:103" s="6" customFormat="1">
      <c r="A443"/>
      <c r="B443"/>
      <c r="C443"/>
      <c r="D443"/>
      <c r="E443"/>
      <c r="F443"/>
      <c r="G443"/>
      <c r="H443"/>
      <c r="I443"/>
      <c r="J443"/>
      <c r="N443" s="7"/>
      <c r="O443"/>
      <c r="P443" s="10"/>
      <c r="Q443" s="9"/>
      <c r="R443" s="10"/>
      <c r="S443" s="10"/>
      <c r="AA443" s="11"/>
      <c r="AD443"/>
      <c r="AE443"/>
      <c r="AF443"/>
      <c r="AG443"/>
      <c r="AH443" s="46"/>
      <c r="AI443"/>
      <c r="AJ443"/>
      <c r="AK443"/>
      <c r="AL443"/>
      <c r="AM443"/>
      <c r="AN443"/>
      <c r="AO443"/>
      <c r="AP443"/>
      <c r="AQ443"/>
      <c r="AR443"/>
      <c r="AS443"/>
      <c r="AT443" s="14"/>
      <c r="AU443"/>
      <c r="AV443"/>
      <c r="AW443"/>
      <c r="AX443" s="10"/>
      <c r="AY443" s="20"/>
      <c r="AZ443" s="16"/>
      <c r="BA443"/>
      <c r="BB443"/>
      <c r="BC443" s="16"/>
      <c r="BD443"/>
      <c r="BE443"/>
      <c r="BF443"/>
      <c r="BG443"/>
      <c r="BH443"/>
      <c r="BI443"/>
      <c r="BJ443"/>
      <c r="BK443"/>
      <c r="BL443"/>
      <c r="BM443"/>
      <c r="BN443" s="19"/>
      <c r="BO443"/>
      <c r="BP443"/>
      <c r="BQ443"/>
      <c r="BR443"/>
      <c r="BS443"/>
      <c r="BT443"/>
      <c r="BU443"/>
      <c r="BV443"/>
      <c r="BW443"/>
      <c r="BX443"/>
      <c r="BY443"/>
      <c r="BZ443"/>
      <c r="CA443"/>
      <c r="CB443"/>
      <c r="CC443"/>
      <c r="CD443"/>
      <c r="CE443"/>
      <c r="CF443"/>
      <c r="CG443"/>
      <c r="CH443"/>
      <c r="CI443"/>
      <c r="CJ443"/>
      <c r="CK443"/>
      <c r="CL443"/>
      <c r="CM443" s="20"/>
      <c r="CN443" s="20"/>
      <c r="CO443" s="20"/>
      <c r="CP443" s="20"/>
      <c r="CQ443" s="20"/>
      <c r="CR443" s="20"/>
      <c r="CS443" s="20"/>
      <c r="CT443" s="20"/>
      <c r="CU443" s="20"/>
      <c r="CV443" s="20"/>
      <c r="CW443" s="20"/>
      <c r="CX443" s="20"/>
      <c r="CY443" s="20"/>
    </row>
    <row r="444" spans="1:103" s="6" customFormat="1">
      <c r="A444"/>
      <c r="B444"/>
      <c r="C444"/>
      <c r="D444"/>
      <c r="E444"/>
      <c r="F444"/>
      <c r="G444"/>
      <c r="H444"/>
      <c r="I444"/>
      <c r="J444"/>
      <c r="N444" s="7"/>
      <c r="O444"/>
      <c r="P444" s="10"/>
      <c r="Q444" s="9"/>
      <c r="R444" s="10"/>
      <c r="S444" s="10"/>
      <c r="AA444" s="11"/>
      <c r="AD444"/>
      <c r="AE444"/>
      <c r="AF444"/>
      <c r="AG444"/>
      <c r="AH444" s="46"/>
      <c r="AI444"/>
      <c r="AJ444"/>
      <c r="AK444"/>
      <c r="AL444"/>
      <c r="AM444"/>
      <c r="AN444"/>
      <c r="AO444"/>
      <c r="AP444"/>
      <c r="AQ444"/>
      <c r="AR444"/>
      <c r="AS444"/>
      <c r="AT444" s="14"/>
      <c r="AU444"/>
      <c r="AV444"/>
      <c r="AW444"/>
      <c r="AX444" s="10"/>
      <c r="AY444" s="20"/>
      <c r="AZ444" s="16"/>
      <c r="BA444"/>
      <c r="BB444"/>
      <c r="BC444" s="16"/>
      <c r="BD444"/>
      <c r="BE444"/>
      <c r="BF444"/>
      <c r="BG444"/>
      <c r="BH444"/>
      <c r="BI444"/>
      <c r="BJ444"/>
      <c r="BK444"/>
      <c r="BL444"/>
      <c r="BM444"/>
      <c r="BN444" s="19"/>
      <c r="BO444"/>
      <c r="BP444"/>
      <c r="BQ444"/>
      <c r="BR444"/>
      <c r="BS444"/>
      <c r="BT444"/>
      <c r="BU444"/>
      <c r="BV444"/>
      <c r="BW444"/>
      <c r="BX444"/>
      <c r="BY444"/>
      <c r="BZ444"/>
      <c r="CA444"/>
      <c r="CB444"/>
      <c r="CC444"/>
      <c r="CD444"/>
      <c r="CE444"/>
      <c r="CF444"/>
      <c r="CG444"/>
      <c r="CH444"/>
      <c r="CI444"/>
      <c r="CJ444"/>
      <c r="CK444"/>
      <c r="CL444"/>
      <c r="CM444" s="20"/>
      <c r="CN444" s="20"/>
      <c r="CO444" s="20"/>
      <c r="CP444" s="20"/>
      <c r="CQ444" s="20"/>
      <c r="CR444" s="20"/>
      <c r="CS444" s="20"/>
      <c r="CT444" s="20"/>
      <c r="CU444" s="20"/>
      <c r="CV444" s="20"/>
      <c r="CW444" s="20"/>
      <c r="CX444" s="20"/>
      <c r="CY444" s="20"/>
    </row>
    <row r="445" spans="1:103" s="6" customFormat="1">
      <c r="A445"/>
      <c r="B445"/>
      <c r="C445"/>
      <c r="D445"/>
      <c r="E445"/>
      <c r="F445"/>
      <c r="G445"/>
      <c r="H445"/>
      <c r="I445"/>
      <c r="J445"/>
      <c r="N445" s="7"/>
      <c r="O445"/>
      <c r="P445" s="10"/>
      <c r="Q445" s="9"/>
      <c r="R445" s="10"/>
      <c r="S445" s="10"/>
      <c r="AA445" s="11"/>
      <c r="AD445"/>
      <c r="AE445"/>
      <c r="AF445"/>
      <c r="AG445"/>
      <c r="AH445" s="46"/>
      <c r="AI445"/>
      <c r="AJ445"/>
      <c r="AK445"/>
      <c r="AL445"/>
      <c r="AM445"/>
      <c r="AN445"/>
      <c r="AO445"/>
      <c r="AP445"/>
      <c r="AQ445"/>
      <c r="AR445"/>
      <c r="AS445"/>
      <c r="AT445" s="14"/>
      <c r="AU445"/>
      <c r="AV445"/>
      <c r="AW445"/>
      <c r="AX445" s="10"/>
      <c r="AY445" s="20"/>
      <c r="AZ445" s="16"/>
      <c r="BA445"/>
      <c r="BB445"/>
      <c r="BC445" s="16"/>
      <c r="BD445"/>
      <c r="BE445"/>
      <c r="BF445"/>
      <c r="BG445"/>
      <c r="BH445"/>
      <c r="BI445"/>
      <c r="BJ445"/>
      <c r="BK445"/>
      <c r="BL445"/>
      <c r="BM445"/>
      <c r="BN445" s="19"/>
      <c r="BO445"/>
      <c r="BP445"/>
      <c r="BQ445"/>
      <c r="BR445"/>
      <c r="BS445"/>
      <c r="BT445"/>
      <c r="BU445"/>
      <c r="BV445"/>
      <c r="BW445"/>
      <c r="BX445"/>
      <c r="BY445"/>
      <c r="BZ445"/>
      <c r="CA445"/>
      <c r="CB445"/>
      <c r="CC445"/>
      <c r="CD445"/>
      <c r="CE445"/>
      <c r="CF445"/>
      <c r="CG445"/>
      <c r="CH445"/>
      <c r="CI445"/>
      <c r="CJ445"/>
      <c r="CK445"/>
      <c r="CL445"/>
      <c r="CM445" s="20"/>
      <c r="CN445" s="20"/>
      <c r="CO445" s="20"/>
      <c r="CP445" s="20"/>
      <c r="CQ445" s="20"/>
      <c r="CR445" s="20"/>
      <c r="CS445" s="20"/>
      <c r="CT445" s="20"/>
      <c r="CU445" s="20"/>
      <c r="CV445" s="20"/>
      <c r="CW445" s="20"/>
      <c r="CX445" s="20"/>
      <c r="CY445" s="20"/>
    </row>
    <row r="446" spans="1:103" s="6" customFormat="1">
      <c r="A446"/>
      <c r="B446"/>
      <c r="C446"/>
      <c r="D446"/>
      <c r="E446"/>
      <c r="F446"/>
      <c r="G446"/>
      <c r="H446"/>
      <c r="I446"/>
      <c r="J446"/>
      <c r="N446" s="7"/>
      <c r="O446"/>
      <c r="P446" s="10"/>
      <c r="Q446" s="9"/>
      <c r="R446" s="10"/>
      <c r="S446" s="10"/>
      <c r="AA446" s="11"/>
      <c r="AD446"/>
      <c r="AE446"/>
      <c r="AF446"/>
      <c r="AG446"/>
      <c r="AH446" s="46"/>
      <c r="AI446"/>
      <c r="AJ446"/>
      <c r="AK446"/>
      <c r="AL446"/>
      <c r="AM446"/>
      <c r="AN446"/>
      <c r="AO446"/>
      <c r="AP446"/>
      <c r="AQ446"/>
      <c r="AR446"/>
      <c r="AS446"/>
      <c r="AT446" s="14"/>
      <c r="AU446"/>
      <c r="AV446"/>
      <c r="AW446"/>
      <c r="AX446" s="10"/>
      <c r="AY446" s="20"/>
      <c r="AZ446" s="16"/>
      <c r="BA446"/>
      <c r="BB446"/>
      <c r="BC446" s="16"/>
      <c r="BD446"/>
      <c r="BE446"/>
      <c r="BF446"/>
      <c r="BG446"/>
      <c r="BH446"/>
      <c r="BI446"/>
      <c r="BJ446"/>
      <c r="BK446"/>
      <c r="BL446"/>
      <c r="BM446"/>
      <c r="BN446" s="19"/>
      <c r="BO446"/>
      <c r="BP446"/>
      <c r="BQ446"/>
      <c r="BR446"/>
      <c r="BS446"/>
      <c r="BT446"/>
      <c r="BU446"/>
      <c r="BV446"/>
      <c r="BW446"/>
      <c r="BX446"/>
      <c r="BY446"/>
      <c r="BZ446"/>
      <c r="CA446"/>
      <c r="CB446"/>
      <c r="CC446"/>
      <c r="CD446"/>
      <c r="CE446"/>
      <c r="CF446"/>
      <c r="CG446"/>
      <c r="CH446"/>
      <c r="CI446"/>
      <c r="CJ446"/>
      <c r="CK446"/>
      <c r="CL446"/>
      <c r="CM446" s="20"/>
      <c r="CN446" s="20"/>
      <c r="CO446" s="20"/>
      <c r="CP446" s="20"/>
      <c r="CQ446" s="20"/>
      <c r="CR446" s="20"/>
      <c r="CS446" s="20"/>
      <c r="CT446" s="20"/>
      <c r="CU446" s="20"/>
      <c r="CV446" s="20"/>
      <c r="CW446" s="20"/>
      <c r="CX446" s="20"/>
      <c r="CY446" s="20"/>
    </row>
    <row r="447" spans="1:103" s="6" customFormat="1">
      <c r="A447"/>
      <c r="B447"/>
      <c r="C447"/>
      <c r="D447"/>
      <c r="E447"/>
      <c r="F447"/>
      <c r="G447"/>
      <c r="H447"/>
      <c r="I447"/>
      <c r="J447"/>
      <c r="N447" s="7"/>
      <c r="O447"/>
      <c r="P447" s="10"/>
      <c r="Q447" s="9"/>
      <c r="R447" s="10"/>
      <c r="S447" s="10"/>
      <c r="AA447" s="11"/>
      <c r="AD447"/>
      <c r="AE447"/>
      <c r="AF447"/>
      <c r="AG447"/>
      <c r="AH447" s="46"/>
      <c r="AI447"/>
      <c r="AJ447"/>
      <c r="AK447"/>
      <c r="AL447"/>
      <c r="AM447"/>
      <c r="AN447"/>
      <c r="AO447"/>
      <c r="AP447"/>
      <c r="AQ447"/>
      <c r="AR447"/>
      <c r="AS447"/>
      <c r="AT447" s="14"/>
      <c r="AU447"/>
      <c r="AV447"/>
      <c r="AW447"/>
      <c r="AX447" s="10"/>
      <c r="AY447" s="20"/>
      <c r="AZ447" s="16"/>
      <c r="BA447"/>
      <c r="BB447"/>
      <c r="BC447" s="16"/>
      <c r="BD447"/>
      <c r="BE447"/>
      <c r="BF447"/>
      <c r="BG447"/>
      <c r="BH447"/>
      <c r="BI447"/>
      <c r="BJ447"/>
      <c r="BK447"/>
      <c r="BL447"/>
      <c r="BM447"/>
      <c r="BN447" s="19"/>
      <c r="BO447"/>
      <c r="BP447"/>
      <c r="BQ447"/>
      <c r="BR447"/>
      <c r="BS447"/>
      <c r="BT447"/>
      <c r="BU447"/>
      <c r="BV447"/>
      <c r="BW447"/>
      <c r="BX447"/>
      <c r="BY447"/>
      <c r="BZ447"/>
      <c r="CA447"/>
      <c r="CB447"/>
      <c r="CC447"/>
      <c r="CD447"/>
      <c r="CE447"/>
      <c r="CF447"/>
      <c r="CG447"/>
      <c r="CH447"/>
      <c r="CI447"/>
      <c r="CJ447"/>
      <c r="CK447"/>
      <c r="CL447"/>
      <c r="CM447" s="20"/>
      <c r="CN447" s="20"/>
      <c r="CO447" s="20"/>
      <c r="CP447" s="20"/>
      <c r="CQ447" s="20"/>
      <c r="CR447" s="20"/>
      <c r="CS447" s="20"/>
      <c r="CT447" s="20"/>
      <c r="CU447" s="20"/>
      <c r="CV447" s="20"/>
      <c r="CW447" s="20"/>
      <c r="CX447" s="20"/>
      <c r="CY447" s="20"/>
    </row>
    <row r="448" spans="1:103" s="6" customFormat="1">
      <c r="A448"/>
      <c r="B448"/>
      <c r="C448"/>
      <c r="D448"/>
      <c r="E448"/>
      <c r="F448"/>
      <c r="G448"/>
      <c r="H448"/>
      <c r="I448"/>
      <c r="J448"/>
      <c r="N448" s="7"/>
      <c r="O448"/>
      <c r="P448" s="10"/>
      <c r="Q448" s="9"/>
      <c r="R448" s="10"/>
      <c r="S448" s="10"/>
      <c r="AA448" s="11"/>
      <c r="AD448"/>
      <c r="AE448"/>
      <c r="AF448"/>
      <c r="AG448"/>
      <c r="AH448" s="46"/>
      <c r="AI448"/>
      <c r="AJ448"/>
      <c r="AK448"/>
      <c r="AL448"/>
      <c r="AM448"/>
      <c r="AN448"/>
      <c r="AO448"/>
      <c r="AP448"/>
      <c r="AQ448"/>
      <c r="AR448"/>
      <c r="AS448"/>
      <c r="AT448" s="14"/>
      <c r="AU448"/>
      <c r="AV448"/>
      <c r="AW448"/>
      <c r="AX448" s="10"/>
      <c r="AY448" s="20"/>
      <c r="AZ448" s="16"/>
      <c r="BA448"/>
      <c r="BB448"/>
      <c r="BC448" s="16"/>
      <c r="BD448"/>
      <c r="BE448"/>
      <c r="BF448"/>
      <c r="BG448"/>
      <c r="BH448"/>
      <c r="BI448"/>
      <c r="BJ448"/>
      <c r="BK448"/>
      <c r="BL448"/>
      <c r="BM448"/>
      <c r="BN448" s="19"/>
      <c r="BO448"/>
      <c r="BP448"/>
      <c r="BQ448"/>
      <c r="BR448"/>
      <c r="BS448"/>
      <c r="BT448"/>
      <c r="BU448"/>
      <c r="BV448"/>
      <c r="BW448"/>
      <c r="BX448"/>
      <c r="BY448"/>
      <c r="BZ448"/>
      <c r="CA448"/>
      <c r="CB448"/>
      <c r="CC448"/>
      <c r="CD448"/>
      <c r="CE448"/>
      <c r="CF448"/>
      <c r="CG448"/>
      <c r="CH448"/>
      <c r="CI448"/>
      <c r="CJ448"/>
      <c r="CK448"/>
      <c r="CL448"/>
      <c r="CM448" s="20"/>
      <c r="CN448" s="20"/>
      <c r="CO448" s="20"/>
      <c r="CP448" s="20"/>
      <c r="CQ448" s="20"/>
      <c r="CR448" s="20"/>
      <c r="CS448" s="20"/>
      <c r="CT448" s="20"/>
      <c r="CU448" s="20"/>
      <c r="CV448" s="20"/>
      <c r="CW448" s="20"/>
      <c r="CX448" s="20"/>
      <c r="CY448" s="20"/>
    </row>
    <row r="449" spans="1:103" s="6" customFormat="1">
      <c r="A449"/>
      <c r="B449"/>
      <c r="C449"/>
      <c r="D449"/>
      <c r="E449"/>
      <c r="F449"/>
      <c r="G449"/>
      <c r="H449"/>
      <c r="I449"/>
      <c r="J449"/>
      <c r="N449" s="7"/>
      <c r="O449"/>
      <c r="P449" s="10"/>
      <c r="Q449" s="9"/>
      <c r="R449" s="10"/>
      <c r="S449" s="10"/>
      <c r="AA449" s="11"/>
      <c r="AD449"/>
      <c r="AE449"/>
      <c r="AF449"/>
      <c r="AG449"/>
      <c r="AH449" s="46"/>
      <c r="AI449"/>
      <c r="AJ449"/>
      <c r="AK449"/>
      <c r="AL449"/>
      <c r="AM449"/>
      <c r="AN449"/>
      <c r="AO449"/>
      <c r="AP449"/>
      <c r="AQ449"/>
      <c r="AR449"/>
      <c r="AS449"/>
      <c r="AT449" s="14"/>
      <c r="AU449"/>
      <c r="AV449"/>
      <c r="AW449"/>
      <c r="AX449" s="10"/>
      <c r="AY449" s="20"/>
      <c r="AZ449" s="16"/>
      <c r="BA449"/>
      <c r="BB449"/>
      <c r="BC449" s="16"/>
      <c r="BD449"/>
      <c r="BE449"/>
      <c r="BF449"/>
      <c r="BG449"/>
      <c r="BH449"/>
      <c r="BI449"/>
      <c r="BJ449"/>
      <c r="BK449"/>
      <c r="BL449"/>
      <c r="BM449"/>
      <c r="BN449" s="19"/>
      <c r="BO449"/>
      <c r="BP449"/>
      <c r="BQ449"/>
      <c r="BR449"/>
      <c r="BS449"/>
      <c r="BT449"/>
      <c r="BU449"/>
      <c r="BV449"/>
      <c r="BW449"/>
      <c r="BX449"/>
      <c r="BY449"/>
      <c r="BZ449"/>
      <c r="CA449"/>
      <c r="CB449"/>
      <c r="CC449"/>
      <c r="CD449"/>
      <c r="CE449"/>
      <c r="CF449"/>
      <c r="CG449"/>
      <c r="CH449"/>
      <c r="CI449"/>
      <c r="CJ449"/>
      <c r="CK449"/>
      <c r="CL449"/>
      <c r="CM449" s="20"/>
      <c r="CN449" s="20"/>
      <c r="CO449" s="20"/>
      <c r="CP449" s="20"/>
      <c r="CQ449" s="20"/>
      <c r="CR449" s="20"/>
      <c r="CS449" s="20"/>
      <c r="CT449" s="20"/>
      <c r="CU449" s="20"/>
      <c r="CV449" s="20"/>
      <c r="CW449" s="20"/>
      <c r="CX449" s="20"/>
      <c r="CY449" s="20"/>
    </row>
    <row r="450" spans="1:103" s="6" customFormat="1">
      <c r="A450"/>
      <c r="B450"/>
      <c r="C450"/>
      <c r="D450"/>
      <c r="E450"/>
      <c r="F450"/>
      <c r="G450"/>
      <c r="H450"/>
      <c r="I450"/>
      <c r="J450"/>
      <c r="N450" s="7"/>
      <c r="O450"/>
      <c r="P450" s="10"/>
      <c r="Q450" s="9"/>
      <c r="R450" s="10"/>
      <c r="S450" s="10"/>
      <c r="AA450" s="11"/>
      <c r="AD450"/>
      <c r="AE450"/>
      <c r="AF450"/>
      <c r="AG450"/>
      <c r="AH450" s="46"/>
      <c r="AI450"/>
      <c r="AJ450"/>
      <c r="AK450"/>
      <c r="AL450"/>
      <c r="AM450"/>
      <c r="AN450"/>
      <c r="AO450"/>
      <c r="AP450"/>
      <c r="AQ450"/>
      <c r="AR450"/>
      <c r="AS450"/>
      <c r="AT450" s="14"/>
      <c r="AU450"/>
      <c r="AV450"/>
      <c r="AW450"/>
      <c r="AX450" s="10"/>
      <c r="AY450" s="20"/>
      <c r="AZ450" s="16"/>
      <c r="BA450"/>
      <c r="BB450"/>
      <c r="BC450" s="16"/>
      <c r="BD450"/>
      <c r="BE450"/>
      <c r="BF450"/>
      <c r="BG450"/>
      <c r="BH450"/>
      <c r="BI450"/>
      <c r="BJ450"/>
      <c r="BK450"/>
      <c r="BL450"/>
      <c r="BM450"/>
      <c r="BN450" s="19"/>
      <c r="BO450"/>
      <c r="BP450"/>
      <c r="BQ450"/>
      <c r="BR450"/>
      <c r="BS450"/>
      <c r="BT450"/>
      <c r="BU450"/>
      <c r="BV450"/>
      <c r="BW450"/>
      <c r="BX450"/>
      <c r="BY450"/>
      <c r="BZ450"/>
      <c r="CA450"/>
      <c r="CB450"/>
      <c r="CC450"/>
      <c r="CD450"/>
      <c r="CE450"/>
      <c r="CF450"/>
      <c r="CG450"/>
      <c r="CH450"/>
      <c r="CI450"/>
      <c r="CJ450"/>
      <c r="CK450"/>
      <c r="CL450"/>
      <c r="CM450" s="20"/>
      <c r="CN450" s="20"/>
      <c r="CO450" s="20"/>
      <c r="CP450" s="20"/>
      <c r="CQ450" s="20"/>
      <c r="CR450" s="20"/>
      <c r="CS450" s="20"/>
      <c r="CT450" s="20"/>
      <c r="CU450" s="20"/>
      <c r="CV450" s="20"/>
      <c r="CW450" s="20"/>
      <c r="CX450" s="20"/>
      <c r="CY450" s="20"/>
    </row>
    <row r="451" spans="1:103" s="6" customFormat="1">
      <c r="A451"/>
      <c r="B451"/>
      <c r="C451"/>
      <c r="D451"/>
      <c r="E451"/>
      <c r="F451"/>
      <c r="G451"/>
      <c r="H451"/>
      <c r="I451"/>
      <c r="J451"/>
      <c r="N451" s="7"/>
      <c r="O451"/>
      <c r="P451" s="10"/>
      <c r="Q451" s="9"/>
      <c r="R451" s="10"/>
      <c r="S451" s="10"/>
      <c r="AA451" s="11"/>
      <c r="AD451"/>
      <c r="AE451"/>
      <c r="AF451"/>
      <c r="AG451"/>
      <c r="AH451" s="46"/>
      <c r="AI451"/>
      <c r="AJ451"/>
      <c r="AK451"/>
      <c r="AL451"/>
      <c r="AM451"/>
      <c r="AN451"/>
      <c r="AO451"/>
      <c r="AP451"/>
      <c r="AQ451"/>
      <c r="AR451"/>
      <c r="AS451"/>
      <c r="AT451" s="14"/>
      <c r="AU451"/>
      <c r="AV451"/>
      <c r="AW451"/>
      <c r="AX451" s="10"/>
      <c r="AY451" s="20"/>
      <c r="AZ451" s="16"/>
      <c r="BA451"/>
      <c r="BB451"/>
      <c r="BC451" s="16"/>
      <c r="BD451"/>
      <c r="BE451"/>
      <c r="BF451"/>
      <c r="BG451"/>
      <c r="BH451"/>
      <c r="BI451"/>
      <c r="BJ451"/>
      <c r="BK451"/>
      <c r="BL451"/>
      <c r="BM451"/>
      <c r="BN451" s="19"/>
      <c r="BO451"/>
      <c r="BP451"/>
      <c r="BQ451"/>
      <c r="BR451"/>
      <c r="BS451"/>
      <c r="BT451"/>
      <c r="BU451"/>
      <c r="BV451"/>
      <c r="BW451"/>
      <c r="BX451"/>
      <c r="BY451"/>
      <c r="BZ451"/>
      <c r="CA451"/>
      <c r="CB451"/>
      <c r="CC451"/>
      <c r="CD451"/>
      <c r="CE451"/>
      <c r="CF451"/>
      <c r="CG451"/>
      <c r="CH451"/>
      <c r="CI451"/>
      <c r="CJ451"/>
      <c r="CK451"/>
      <c r="CL451"/>
      <c r="CM451" s="20"/>
      <c r="CN451" s="20"/>
      <c r="CO451" s="20"/>
      <c r="CP451" s="20"/>
      <c r="CQ451" s="20"/>
      <c r="CR451" s="20"/>
      <c r="CS451" s="20"/>
      <c r="CT451" s="20"/>
      <c r="CU451" s="20"/>
      <c r="CV451" s="20"/>
      <c r="CW451" s="20"/>
      <c r="CX451" s="20"/>
      <c r="CY451" s="20"/>
    </row>
    <row r="452" spans="1:103" s="6" customFormat="1">
      <c r="A452"/>
      <c r="B452"/>
      <c r="C452"/>
      <c r="D452"/>
      <c r="E452"/>
      <c r="F452"/>
      <c r="G452"/>
      <c r="H452"/>
      <c r="I452"/>
      <c r="J452"/>
      <c r="N452" s="7"/>
      <c r="O452"/>
      <c r="P452" s="10"/>
      <c r="Q452" s="9"/>
      <c r="R452" s="10"/>
      <c r="S452" s="10"/>
      <c r="AA452" s="11"/>
      <c r="AD452"/>
      <c r="AE452"/>
      <c r="AF452"/>
      <c r="AG452"/>
      <c r="AH452" s="46"/>
      <c r="AI452"/>
      <c r="AJ452"/>
      <c r="AK452"/>
      <c r="AL452"/>
      <c r="AM452"/>
      <c r="AN452"/>
      <c r="AO452"/>
      <c r="AP452"/>
      <c r="AQ452"/>
      <c r="AR452"/>
      <c r="AS452"/>
      <c r="AT452" s="14"/>
      <c r="AU452"/>
      <c r="AV452"/>
      <c r="AW452"/>
      <c r="AX452" s="10"/>
      <c r="AY452" s="20"/>
      <c r="AZ452" s="16"/>
      <c r="BA452"/>
      <c r="BB452"/>
      <c r="BC452" s="16"/>
      <c r="BD452"/>
      <c r="BE452"/>
      <c r="BF452"/>
      <c r="BG452"/>
      <c r="BH452"/>
      <c r="BI452"/>
      <c r="BJ452"/>
      <c r="BK452"/>
      <c r="BL452"/>
      <c r="BM452"/>
      <c r="BN452" s="19"/>
      <c r="BO452"/>
      <c r="BP452"/>
      <c r="BQ452"/>
      <c r="BR452"/>
      <c r="BS452"/>
      <c r="BT452"/>
      <c r="BU452"/>
      <c r="BV452"/>
      <c r="BW452"/>
      <c r="BX452"/>
      <c r="BY452"/>
      <c r="BZ452"/>
      <c r="CA452"/>
      <c r="CB452"/>
      <c r="CC452"/>
      <c r="CD452"/>
      <c r="CE452"/>
      <c r="CF452"/>
      <c r="CG452"/>
      <c r="CH452"/>
      <c r="CI452"/>
      <c r="CJ452"/>
      <c r="CK452"/>
      <c r="CL452"/>
      <c r="CM452" s="20"/>
      <c r="CN452" s="20"/>
      <c r="CO452" s="20"/>
      <c r="CP452" s="20"/>
      <c r="CQ452" s="20"/>
      <c r="CR452" s="20"/>
      <c r="CS452" s="20"/>
      <c r="CT452" s="20"/>
      <c r="CU452" s="20"/>
      <c r="CV452" s="20"/>
      <c r="CW452" s="20"/>
      <c r="CX452" s="20"/>
      <c r="CY452" s="20"/>
    </row>
    <row r="453" spans="1:103" s="6" customFormat="1">
      <c r="A453"/>
      <c r="B453"/>
      <c r="C453"/>
      <c r="D453"/>
      <c r="E453"/>
      <c r="F453"/>
      <c r="G453"/>
      <c r="H453"/>
      <c r="I453"/>
      <c r="J453"/>
      <c r="N453" s="7"/>
      <c r="O453"/>
      <c r="P453" s="10"/>
      <c r="Q453" s="9"/>
      <c r="R453" s="10"/>
      <c r="S453" s="10"/>
      <c r="AA453" s="11"/>
      <c r="AD453"/>
      <c r="AE453"/>
      <c r="AF453"/>
      <c r="AG453"/>
      <c r="AH453" s="46"/>
      <c r="AI453"/>
      <c r="AJ453"/>
      <c r="AK453"/>
      <c r="AL453"/>
      <c r="AM453"/>
      <c r="AN453"/>
      <c r="AO453"/>
      <c r="AP453"/>
      <c r="AQ453"/>
      <c r="AR453"/>
      <c r="AS453"/>
      <c r="AT453" s="14"/>
      <c r="AU453"/>
      <c r="AV453"/>
      <c r="AW453"/>
      <c r="AX453" s="10"/>
      <c r="AY453" s="20"/>
      <c r="AZ453" s="16"/>
      <c r="BA453"/>
      <c r="BB453"/>
      <c r="BC453" s="16"/>
      <c r="BD453"/>
      <c r="BE453"/>
      <c r="BF453"/>
      <c r="BG453"/>
      <c r="BH453"/>
      <c r="BI453"/>
      <c r="BJ453"/>
      <c r="BK453"/>
      <c r="BL453"/>
      <c r="BM453"/>
      <c r="BN453" s="19"/>
      <c r="BO453"/>
      <c r="BP453"/>
      <c r="BQ453"/>
      <c r="BR453"/>
      <c r="BS453"/>
      <c r="BT453"/>
      <c r="BU453"/>
      <c r="BV453"/>
      <c r="BW453"/>
      <c r="BX453"/>
      <c r="BY453"/>
      <c r="BZ453"/>
      <c r="CA453"/>
      <c r="CB453"/>
      <c r="CC453"/>
      <c r="CD453"/>
      <c r="CE453"/>
      <c r="CF453"/>
      <c r="CG453"/>
      <c r="CH453"/>
      <c r="CI453"/>
      <c r="CJ453"/>
      <c r="CK453"/>
      <c r="CL453"/>
      <c r="CM453" s="20"/>
      <c r="CN453" s="20"/>
      <c r="CO453" s="20"/>
      <c r="CP453" s="20"/>
      <c r="CQ453" s="20"/>
      <c r="CR453" s="20"/>
      <c r="CS453" s="20"/>
      <c r="CT453" s="20"/>
      <c r="CU453" s="20"/>
      <c r="CV453" s="20"/>
      <c r="CW453" s="20"/>
      <c r="CX453" s="20"/>
      <c r="CY453" s="20"/>
    </row>
    <row r="454" spans="1:103" s="6" customFormat="1">
      <c r="A454"/>
      <c r="B454"/>
      <c r="C454"/>
      <c r="D454"/>
      <c r="E454"/>
      <c r="F454"/>
      <c r="G454"/>
      <c r="H454"/>
      <c r="I454"/>
      <c r="J454"/>
      <c r="N454" s="7"/>
      <c r="O454"/>
      <c r="P454" s="10"/>
      <c r="Q454" s="9"/>
      <c r="R454" s="10"/>
      <c r="S454" s="10"/>
      <c r="AA454" s="11"/>
      <c r="AD454"/>
      <c r="AE454"/>
      <c r="AF454"/>
      <c r="AG454"/>
      <c r="AH454" s="46"/>
      <c r="AI454"/>
      <c r="AJ454"/>
      <c r="AK454"/>
      <c r="AL454"/>
      <c r="AM454"/>
      <c r="AN454"/>
      <c r="AO454"/>
      <c r="AP454"/>
      <c r="AQ454"/>
      <c r="AR454"/>
      <c r="AS454"/>
      <c r="AT454" s="14"/>
      <c r="AU454"/>
      <c r="AV454"/>
      <c r="AW454"/>
      <c r="AX454" s="10"/>
      <c r="AY454" s="20"/>
      <c r="AZ454" s="16"/>
      <c r="BA454"/>
      <c r="BB454"/>
      <c r="BC454" s="16"/>
      <c r="BD454"/>
      <c r="BE454"/>
      <c r="BF454"/>
      <c r="BG454"/>
      <c r="BH454"/>
      <c r="BI454"/>
      <c r="BJ454"/>
      <c r="BK454"/>
      <c r="BL454"/>
      <c r="BM454"/>
      <c r="BN454" s="19"/>
      <c r="BO454"/>
      <c r="BP454"/>
      <c r="BQ454"/>
      <c r="BR454"/>
      <c r="BS454"/>
      <c r="BT454"/>
      <c r="BU454"/>
      <c r="BV454"/>
      <c r="BW454"/>
      <c r="BX454"/>
      <c r="BY454"/>
      <c r="BZ454"/>
      <c r="CA454"/>
      <c r="CB454"/>
      <c r="CC454"/>
      <c r="CD454"/>
      <c r="CE454"/>
      <c r="CF454"/>
      <c r="CG454"/>
      <c r="CH454"/>
      <c r="CI454"/>
      <c r="CJ454"/>
      <c r="CK454"/>
      <c r="CL454"/>
      <c r="CM454" s="20"/>
      <c r="CN454" s="20"/>
      <c r="CO454" s="20"/>
      <c r="CP454" s="20"/>
      <c r="CQ454" s="20"/>
      <c r="CR454" s="20"/>
      <c r="CS454" s="20"/>
      <c r="CT454" s="20"/>
      <c r="CU454" s="20"/>
      <c r="CV454" s="20"/>
      <c r="CW454" s="20"/>
      <c r="CX454" s="20"/>
      <c r="CY454" s="20"/>
    </row>
    <row r="455" spans="1:103" s="6" customFormat="1">
      <c r="A455"/>
      <c r="B455"/>
      <c r="C455"/>
      <c r="D455"/>
      <c r="E455"/>
      <c r="F455"/>
      <c r="G455"/>
      <c r="H455"/>
      <c r="I455"/>
      <c r="J455"/>
      <c r="N455" s="7"/>
      <c r="O455"/>
      <c r="P455" s="10"/>
      <c r="Q455" s="9"/>
      <c r="R455" s="10"/>
      <c r="S455" s="10"/>
      <c r="AA455" s="11"/>
      <c r="AD455"/>
      <c r="AE455"/>
      <c r="AF455"/>
      <c r="AG455"/>
      <c r="AH455" s="46"/>
      <c r="AI455"/>
      <c r="AJ455"/>
      <c r="AK455"/>
      <c r="AL455"/>
      <c r="AM455"/>
      <c r="AN455"/>
      <c r="AO455"/>
      <c r="AP455"/>
      <c r="AQ455"/>
      <c r="AR455"/>
      <c r="AS455"/>
      <c r="AT455" s="14"/>
      <c r="AU455"/>
      <c r="AV455"/>
      <c r="AW455"/>
      <c r="AX455" s="10"/>
      <c r="AY455" s="20"/>
      <c r="AZ455" s="16"/>
      <c r="BA455"/>
      <c r="BB455"/>
      <c r="BC455" s="16"/>
      <c r="BD455"/>
      <c r="BE455"/>
      <c r="BF455"/>
      <c r="BG455"/>
      <c r="BH455"/>
      <c r="BI455"/>
      <c r="BJ455"/>
      <c r="BK455"/>
      <c r="BL455"/>
      <c r="BM455"/>
      <c r="BN455" s="19"/>
      <c r="BO455"/>
      <c r="BP455"/>
      <c r="BQ455"/>
      <c r="BR455"/>
      <c r="BS455"/>
      <c r="BT455"/>
      <c r="BU455"/>
      <c r="BV455"/>
      <c r="BW455"/>
      <c r="BX455"/>
      <c r="BY455"/>
      <c r="BZ455"/>
      <c r="CA455"/>
      <c r="CB455"/>
      <c r="CC455"/>
      <c r="CD455"/>
      <c r="CE455"/>
      <c r="CF455"/>
      <c r="CG455"/>
      <c r="CH455"/>
      <c r="CI455"/>
      <c r="CJ455"/>
      <c r="CK455"/>
      <c r="CL455"/>
      <c r="CM455" s="20"/>
      <c r="CN455" s="20"/>
      <c r="CO455" s="20"/>
      <c r="CP455" s="20"/>
      <c r="CQ455" s="20"/>
      <c r="CR455" s="20"/>
      <c r="CS455" s="20"/>
      <c r="CT455" s="20"/>
      <c r="CU455" s="20"/>
      <c r="CV455" s="20"/>
      <c r="CW455" s="20"/>
      <c r="CX455" s="20"/>
      <c r="CY455" s="20"/>
    </row>
    <row r="456" spans="1:103" s="6" customFormat="1">
      <c r="A456"/>
      <c r="B456"/>
      <c r="C456"/>
      <c r="D456"/>
      <c r="E456"/>
      <c r="F456"/>
      <c r="G456"/>
      <c r="H456"/>
      <c r="I456"/>
      <c r="J456"/>
      <c r="N456" s="7"/>
      <c r="O456"/>
      <c r="P456" s="10"/>
      <c r="Q456" s="9"/>
      <c r="R456" s="10"/>
      <c r="S456" s="10"/>
      <c r="AA456" s="11"/>
      <c r="AD456"/>
      <c r="AE456"/>
      <c r="AF456"/>
      <c r="AG456"/>
      <c r="AH456" s="46"/>
      <c r="AI456"/>
      <c r="AJ456"/>
      <c r="AK456"/>
      <c r="AL456"/>
      <c r="AM456"/>
      <c r="AN456"/>
      <c r="AO456"/>
      <c r="AP456"/>
      <c r="AQ456"/>
      <c r="AR456"/>
      <c r="AS456"/>
      <c r="AT456" s="14"/>
      <c r="AU456"/>
      <c r="AV456"/>
      <c r="AW456"/>
      <c r="AX456" s="10"/>
      <c r="AY456" s="20"/>
      <c r="AZ456" s="16"/>
      <c r="BA456"/>
      <c r="BB456"/>
      <c r="BC456" s="16"/>
      <c r="BD456"/>
      <c r="BE456"/>
      <c r="BF456"/>
      <c r="BG456"/>
      <c r="BH456"/>
      <c r="BI456"/>
      <c r="BJ456"/>
      <c r="BK456"/>
      <c r="BL456"/>
      <c r="BM456"/>
      <c r="BN456" s="19"/>
      <c r="BO456"/>
      <c r="BP456"/>
      <c r="BQ456"/>
      <c r="BR456"/>
      <c r="BS456"/>
      <c r="BT456"/>
      <c r="BU456"/>
      <c r="BV456"/>
      <c r="BW456"/>
      <c r="BX456"/>
      <c r="BY456"/>
      <c r="BZ456"/>
      <c r="CA456"/>
      <c r="CB456"/>
      <c r="CC456"/>
      <c r="CD456"/>
      <c r="CE456"/>
      <c r="CF456"/>
      <c r="CG456"/>
      <c r="CH456"/>
      <c r="CI456"/>
      <c r="CJ456"/>
      <c r="CK456"/>
      <c r="CL456"/>
      <c r="CM456" s="20"/>
      <c r="CN456" s="20"/>
      <c r="CO456" s="20"/>
      <c r="CP456" s="20"/>
      <c r="CQ456" s="20"/>
      <c r="CR456" s="20"/>
      <c r="CS456" s="20"/>
      <c r="CT456" s="20"/>
      <c r="CU456" s="20"/>
      <c r="CV456" s="20"/>
      <c r="CW456" s="20"/>
      <c r="CX456" s="20"/>
      <c r="CY456" s="20"/>
    </row>
    <row r="457" spans="1:103" s="6" customFormat="1">
      <c r="A457"/>
      <c r="B457"/>
      <c r="C457"/>
      <c r="D457"/>
      <c r="E457"/>
      <c r="F457"/>
      <c r="G457"/>
      <c r="H457"/>
      <c r="I457"/>
      <c r="J457"/>
      <c r="N457" s="7"/>
      <c r="O457"/>
      <c r="P457" s="10"/>
      <c r="Q457" s="9"/>
      <c r="R457" s="10"/>
      <c r="S457" s="10"/>
      <c r="AA457" s="11"/>
      <c r="AD457"/>
      <c r="AE457"/>
      <c r="AF457"/>
      <c r="AG457"/>
      <c r="AH457" s="46"/>
      <c r="AI457"/>
      <c r="AJ457"/>
      <c r="AK457"/>
      <c r="AL457"/>
      <c r="AM457"/>
      <c r="AN457"/>
      <c r="AO457"/>
      <c r="AP457"/>
      <c r="AQ457"/>
      <c r="AR457"/>
      <c r="AS457"/>
      <c r="AT457" s="14"/>
      <c r="AU457"/>
      <c r="AV457"/>
      <c r="AW457"/>
      <c r="AX457" s="10"/>
      <c r="AY457" s="20"/>
      <c r="AZ457" s="16"/>
      <c r="BA457"/>
      <c r="BB457"/>
      <c r="BC457" s="16"/>
      <c r="BD457"/>
      <c r="BE457"/>
      <c r="BF457"/>
      <c r="BG457"/>
      <c r="BH457"/>
      <c r="BI457"/>
      <c r="BJ457"/>
      <c r="BK457"/>
      <c r="BL457"/>
      <c r="BM457"/>
      <c r="BN457" s="19"/>
      <c r="BO457"/>
      <c r="BP457"/>
      <c r="BQ457"/>
      <c r="BR457"/>
      <c r="BS457"/>
      <c r="BT457"/>
      <c r="BU457"/>
      <c r="BV457"/>
      <c r="BW457"/>
      <c r="BX457"/>
      <c r="BY457"/>
      <c r="BZ457"/>
      <c r="CA457"/>
      <c r="CB457"/>
      <c r="CC457"/>
      <c r="CD457"/>
      <c r="CE457"/>
      <c r="CF457"/>
      <c r="CG457"/>
      <c r="CH457"/>
      <c r="CI457"/>
      <c r="CJ457"/>
      <c r="CK457"/>
      <c r="CL457"/>
      <c r="CM457" s="20"/>
      <c r="CN457" s="20"/>
      <c r="CO457" s="20"/>
      <c r="CP457" s="20"/>
      <c r="CQ457" s="20"/>
      <c r="CR457" s="20"/>
      <c r="CS457" s="20"/>
      <c r="CT457" s="20"/>
      <c r="CU457" s="20"/>
      <c r="CV457" s="20"/>
      <c r="CW457" s="20"/>
      <c r="CX457" s="20"/>
      <c r="CY457" s="20"/>
    </row>
    <row r="458" spans="1:103" s="6" customFormat="1">
      <c r="A458"/>
      <c r="B458"/>
      <c r="C458"/>
      <c r="D458"/>
      <c r="E458"/>
      <c r="F458"/>
      <c r="G458"/>
      <c r="H458"/>
      <c r="I458"/>
      <c r="J458"/>
      <c r="N458" s="7"/>
      <c r="O458"/>
      <c r="P458" s="10"/>
      <c r="Q458" s="9"/>
      <c r="R458" s="10"/>
      <c r="S458" s="10"/>
      <c r="AA458" s="11"/>
      <c r="AD458"/>
      <c r="AE458"/>
      <c r="AF458"/>
      <c r="AG458"/>
      <c r="AH458" s="46"/>
      <c r="AI458"/>
      <c r="AJ458"/>
      <c r="AK458"/>
      <c r="AL458"/>
      <c r="AM458"/>
      <c r="AN458"/>
      <c r="AO458"/>
      <c r="AP458"/>
      <c r="AQ458"/>
      <c r="AR458"/>
      <c r="AS458"/>
      <c r="AT458" s="14"/>
      <c r="AU458"/>
      <c r="AV458"/>
      <c r="AW458"/>
      <c r="AX458" s="10"/>
      <c r="AY458" s="20"/>
      <c r="AZ458" s="16"/>
      <c r="BA458"/>
      <c r="BB458"/>
      <c r="BC458" s="16"/>
      <c r="BD458"/>
      <c r="BE458"/>
      <c r="BF458"/>
      <c r="BG458"/>
      <c r="BH458"/>
      <c r="BI458"/>
      <c r="BJ458"/>
      <c r="BK458"/>
      <c r="BL458"/>
      <c r="BM458"/>
      <c r="BN458" s="19"/>
      <c r="BO458"/>
      <c r="BP458"/>
      <c r="BQ458"/>
      <c r="BR458"/>
      <c r="BS458"/>
      <c r="BT458"/>
      <c r="BU458"/>
      <c r="BV458"/>
      <c r="BW458"/>
      <c r="BX458"/>
      <c r="BY458"/>
      <c r="BZ458"/>
      <c r="CA458"/>
      <c r="CB458"/>
      <c r="CC458"/>
      <c r="CD458"/>
      <c r="CE458"/>
      <c r="CF458"/>
      <c r="CG458"/>
      <c r="CH458"/>
      <c r="CI458"/>
      <c r="CJ458"/>
      <c r="CK458"/>
      <c r="CL458"/>
      <c r="CM458" s="20"/>
      <c r="CN458" s="20"/>
      <c r="CO458" s="20"/>
      <c r="CP458" s="20"/>
      <c r="CQ458" s="20"/>
      <c r="CR458" s="20"/>
      <c r="CS458" s="20"/>
      <c r="CT458" s="20"/>
      <c r="CU458" s="20"/>
      <c r="CV458" s="20"/>
      <c r="CW458" s="20"/>
      <c r="CX458" s="20"/>
      <c r="CY458" s="20"/>
    </row>
    <row r="459" spans="1:103" s="6" customFormat="1">
      <c r="A459"/>
      <c r="B459"/>
      <c r="C459"/>
      <c r="D459"/>
      <c r="E459"/>
      <c r="F459"/>
      <c r="G459"/>
      <c r="H459"/>
      <c r="I459"/>
      <c r="J459"/>
      <c r="N459" s="7"/>
      <c r="O459"/>
      <c r="P459" s="10"/>
      <c r="Q459" s="9"/>
      <c r="R459" s="10"/>
      <c r="S459" s="10"/>
      <c r="AA459" s="11"/>
      <c r="AD459"/>
      <c r="AE459"/>
      <c r="AF459"/>
      <c r="AG459"/>
      <c r="AH459" s="46"/>
      <c r="AI459"/>
      <c r="AJ459"/>
      <c r="AK459"/>
      <c r="AL459"/>
      <c r="AM459"/>
      <c r="AN459"/>
      <c r="AO459"/>
      <c r="AP459"/>
      <c r="AQ459"/>
      <c r="AR459"/>
      <c r="AS459"/>
      <c r="AT459" s="14"/>
      <c r="AU459"/>
      <c r="AV459"/>
      <c r="AW459"/>
      <c r="AX459" s="10"/>
      <c r="AY459" s="20"/>
      <c r="AZ459" s="16"/>
      <c r="BA459"/>
      <c r="BB459"/>
      <c r="BC459" s="16"/>
      <c r="BD459"/>
      <c r="BE459"/>
      <c r="BF459"/>
      <c r="BG459"/>
      <c r="BH459"/>
      <c r="BI459"/>
      <c r="BJ459"/>
      <c r="BK459"/>
      <c r="BL459"/>
      <c r="BM459"/>
      <c r="BN459" s="19"/>
      <c r="BO459"/>
      <c r="BP459"/>
      <c r="BQ459"/>
      <c r="BR459"/>
      <c r="BS459"/>
      <c r="BT459"/>
      <c r="BU459"/>
      <c r="BV459"/>
      <c r="BW459"/>
      <c r="BX459"/>
      <c r="BY459"/>
      <c r="BZ459"/>
      <c r="CA459"/>
      <c r="CB459"/>
      <c r="CC459"/>
      <c r="CD459"/>
      <c r="CE459"/>
      <c r="CF459"/>
      <c r="CG459"/>
      <c r="CH459"/>
      <c r="CI459"/>
      <c r="CJ459"/>
      <c r="CK459"/>
      <c r="CL459"/>
      <c r="CM459" s="20"/>
      <c r="CN459" s="20"/>
      <c r="CO459" s="20"/>
      <c r="CP459" s="20"/>
      <c r="CQ459" s="20"/>
      <c r="CR459" s="20"/>
      <c r="CS459" s="20"/>
      <c r="CT459" s="20"/>
      <c r="CU459" s="20"/>
      <c r="CV459" s="20"/>
      <c r="CW459" s="20"/>
      <c r="CX459" s="20"/>
      <c r="CY459" s="20"/>
    </row>
    <row r="460" spans="1:103" s="6" customFormat="1">
      <c r="A460"/>
      <c r="B460"/>
      <c r="C460"/>
      <c r="D460"/>
      <c r="E460"/>
      <c r="F460"/>
      <c r="G460"/>
      <c r="H460"/>
      <c r="I460"/>
      <c r="J460"/>
      <c r="N460" s="7"/>
      <c r="O460"/>
      <c r="P460" s="10"/>
      <c r="Q460" s="9"/>
      <c r="R460" s="10"/>
      <c r="S460" s="10"/>
      <c r="AA460" s="11"/>
      <c r="AD460"/>
      <c r="AE460"/>
      <c r="AF460"/>
      <c r="AG460"/>
      <c r="AH460" s="46"/>
      <c r="AI460"/>
      <c r="AJ460"/>
      <c r="AK460"/>
      <c r="AL460"/>
      <c r="AM460"/>
      <c r="AN460"/>
      <c r="AO460"/>
      <c r="AP460"/>
      <c r="AQ460"/>
      <c r="AR460"/>
      <c r="AS460"/>
      <c r="AT460" s="14"/>
      <c r="AU460"/>
      <c r="AV460"/>
      <c r="AW460"/>
      <c r="AX460" s="10"/>
      <c r="AY460" s="20"/>
      <c r="AZ460" s="16"/>
      <c r="BA460"/>
      <c r="BB460"/>
      <c r="BC460" s="16"/>
      <c r="BD460"/>
      <c r="BE460"/>
      <c r="BF460"/>
      <c r="BG460"/>
      <c r="BH460"/>
      <c r="BI460"/>
      <c r="BJ460"/>
      <c r="BK460"/>
      <c r="BL460"/>
      <c r="BM460"/>
      <c r="BN460" s="19"/>
      <c r="BO460"/>
      <c r="BP460"/>
      <c r="BQ460"/>
      <c r="BR460"/>
      <c r="BS460"/>
      <c r="BT460"/>
      <c r="BU460"/>
      <c r="BV460"/>
      <c r="BW460"/>
      <c r="BX460"/>
      <c r="BY460"/>
      <c r="BZ460"/>
      <c r="CA460"/>
      <c r="CB460"/>
      <c r="CC460"/>
      <c r="CD460"/>
      <c r="CE460"/>
      <c r="CF460"/>
      <c r="CG460"/>
      <c r="CH460"/>
      <c r="CI460"/>
      <c r="CJ460"/>
      <c r="CK460"/>
      <c r="CL460"/>
      <c r="CM460" s="20"/>
      <c r="CN460" s="20"/>
      <c r="CO460" s="20"/>
      <c r="CP460" s="20"/>
      <c r="CQ460" s="20"/>
      <c r="CR460" s="20"/>
      <c r="CS460" s="20"/>
      <c r="CT460" s="20"/>
      <c r="CU460" s="20"/>
      <c r="CV460" s="20"/>
      <c r="CW460" s="20"/>
      <c r="CX460" s="20"/>
      <c r="CY460" s="20"/>
    </row>
    <row r="461" spans="1:103" s="6" customFormat="1">
      <c r="A461"/>
      <c r="B461"/>
      <c r="C461"/>
      <c r="D461"/>
      <c r="E461"/>
      <c r="F461"/>
      <c r="G461"/>
      <c r="H461"/>
      <c r="I461"/>
      <c r="J461"/>
      <c r="N461" s="7"/>
      <c r="O461"/>
      <c r="P461" s="10"/>
      <c r="Q461" s="9"/>
      <c r="R461" s="10"/>
      <c r="S461" s="10"/>
      <c r="AA461" s="11"/>
      <c r="AD461"/>
      <c r="AE461"/>
      <c r="AF461"/>
      <c r="AG461"/>
      <c r="AH461" s="46"/>
      <c r="AI461"/>
      <c r="AJ461"/>
      <c r="AK461"/>
      <c r="AL461"/>
      <c r="AM461"/>
      <c r="AN461"/>
      <c r="AO461"/>
      <c r="AP461"/>
      <c r="AQ461"/>
      <c r="AR461"/>
      <c r="AS461"/>
      <c r="AT461" s="14"/>
      <c r="AU461"/>
      <c r="AV461"/>
      <c r="AW461"/>
      <c r="AX461" s="10"/>
      <c r="AY461" s="20"/>
      <c r="AZ461" s="16"/>
      <c r="BA461"/>
      <c r="BB461"/>
      <c r="BC461" s="16"/>
      <c r="BD461"/>
      <c r="BE461"/>
      <c r="BF461"/>
      <c r="BG461"/>
      <c r="BH461"/>
      <c r="BI461"/>
      <c r="BJ461"/>
      <c r="BK461"/>
      <c r="BL461"/>
      <c r="BM461"/>
      <c r="BN461" s="19"/>
      <c r="BO461"/>
      <c r="BP461"/>
      <c r="BQ461"/>
      <c r="BR461"/>
      <c r="BS461"/>
      <c r="BT461"/>
      <c r="BU461"/>
      <c r="BV461"/>
      <c r="BW461"/>
      <c r="BX461"/>
      <c r="BY461"/>
      <c r="BZ461"/>
      <c r="CA461"/>
      <c r="CB461"/>
      <c r="CC461"/>
      <c r="CD461"/>
      <c r="CE461"/>
      <c r="CF461"/>
      <c r="CG461"/>
      <c r="CH461"/>
      <c r="CI461"/>
      <c r="CJ461"/>
      <c r="CK461"/>
      <c r="CL461"/>
      <c r="CM461" s="20"/>
      <c r="CN461" s="20"/>
      <c r="CO461" s="20"/>
      <c r="CP461" s="20"/>
      <c r="CQ461" s="20"/>
      <c r="CR461" s="20"/>
      <c r="CS461" s="20"/>
      <c r="CT461" s="20"/>
      <c r="CU461" s="20"/>
      <c r="CV461" s="20"/>
      <c r="CW461" s="20"/>
      <c r="CX461" s="20"/>
      <c r="CY461" s="20"/>
    </row>
    <row r="462" spans="1:103" s="6" customFormat="1">
      <c r="A462"/>
      <c r="B462"/>
      <c r="C462"/>
      <c r="D462"/>
      <c r="E462"/>
      <c r="F462"/>
      <c r="G462"/>
      <c r="H462"/>
      <c r="I462"/>
      <c r="J462"/>
      <c r="N462" s="7"/>
      <c r="O462"/>
      <c r="P462" s="10"/>
      <c r="Q462" s="9"/>
      <c r="R462" s="10"/>
      <c r="S462" s="10"/>
      <c r="AA462" s="11"/>
      <c r="AD462"/>
      <c r="AE462"/>
      <c r="AF462"/>
      <c r="AG462"/>
      <c r="AH462" s="46"/>
      <c r="AI462"/>
      <c r="AJ462"/>
      <c r="AK462"/>
      <c r="AL462"/>
      <c r="AM462"/>
      <c r="AN462"/>
      <c r="AO462"/>
      <c r="AP462"/>
      <c r="AQ462"/>
      <c r="AR462"/>
      <c r="AS462"/>
      <c r="AT462" s="14"/>
      <c r="AU462"/>
      <c r="AV462"/>
      <c r="AW462"/>
      <c r="AX462" s="10"/>
      <c r="AY462" s="20"/>
      <c r="AZ462" s="16"/>
      <c r="BA462"/>
      <c r="BB462"/>
      <c r="BC462" s="16"/>
      <c r="BD462"/>
      <c r="BE462"/>
      <c r="BF462"/>
      <c r="BG462"/>
      <c r="BH462"/>
      <c r="BI462"/>
      <c r="BJ462"/>
      <c r="BK462"/>
      <c r="BL462"/>
      <c r="BM462"/>
      <c r="BN462" s="19"/>
      <c r="BO462"/>
      <c r="BP462"/>
      <c r="BQ462"/>
      <c r="BR462"/>
      <c r="BS462"/>
      <c r="BT462"/>
      <c r="BU462"/>
      <c r="BV462"/>
      <c r="BW462"/>
      <c r="BX462"/>
      <c r="BY462"/>
      <c r="BZ462"/>
      <c r="CA462"/>
      <c r="CB462"/>
      <c r="CC462"/>
      <c r="CD462"/>
      <c r="CE462"/>
      <c r="CF462"/>
      <c r="CG462"/>
      <c r="CH462"/>
      <c r="CI462"/>
      <c r="CJ462"/>
      <c r="CK462"/>
      <c r="CL462"/>
      <c r="CM462" s="20"/>
      <c r="CN462" s="20"/>
      <c r="CO462" s="20"/>
      <c r="CP462" s="20"/>
      <c r="CQ462" s="20"/>
      <c r="CR462" s="20"/>
      <c r="CS462" s="20"/>
      <c r="CT462" s="20"/>
      <c r="CU462" s="20"/>
      <c r="CV462" s="20"/>
      <c r="CW462" s="20"/>
      <c r="CX462" s="20"/>
      <c r="CY462" s="20"/>
    </row>
    <row r="463" spans="1:103" s="6" customFormat="1">
      <c r="A463"/>
      <c r="B463"/>
      <c r="C463"/>
      <c r="D463"/>
      <c r="E463"/>
      <c r="F463"/>
      <c r="G463"/>
      <c r="H463"/>
      <c r="I463"/>
      <c r="J463"/>
      <c r="N463" s="7"/>
      <c r="O463"/>
      <c r="P463" s="10"/>
      <c r="Q463" s="9"/>
      <c r="R463" s="10"/>
      <c r="S463" s="10"/>
      <c r="AA463" s="11"/>
      <c r="AD463"/>
      <c r="AE463"/>
      <c r="AF463"/>
      <c r="AG463"/>
      <c r="AH463" s="46"/>
      <c r="AI463"/>
      <c r="AJ463"/>
      <c r="AK463"/>
      <c r="AL463"/>
      <c r="AM463"/>
      <c r="AN463"/>
      <c r="AO463"/>
      <c r="AP463"/>
      <c r="AQ463"/>
      <c r="AR463"/>
      <c r="AS463"/>
      <c r="AT463" s="14"/>
      <c r="AU463"/>
      <c r="AV463"/>
      <c r="AW463"/>
      <c r="AX463" s="10"/>
      <c r="AY463" s="20"/>
      <c r="AZ463" s="16"/>
      <c r="BA463"/>
      <c r="BB463"/>
      <c r="BC463" s="16"/>
      <c r="BD463"/>
      <c r="BE463"/>
      <c r="BF463"/>
      <c r="BG463"/>
      <c r="BH463"/>
      <c r="BI463"/>
      <c r="BJ463"/>
      <c r="BK463"/>
      <c r="BL463"/>
      <c r="BM463"/>
      <c r="BN463" s="19"/>
      <c r="BO463"/>
      <c r="BP463"/>
      <c r="BQ463"/>
      <c r="BR463"/>
      <c r="BS463"/>
      <c r="BT463"/>
      <c r="BU463"/>
      <c r="BV463"/>
      <c r="BW463"/>
      <c r="BX463"/>
      <c r="BY463"/>
      <c r="BZ463"/>
      <c r="CA463"/>
      <c r="CB463"/>
      <c r="CC463"/>
      <c r="CD463"/>
      <c r="CE463"/>
      <c r="CF463"/>
      <c r="CG463"/>
      <c r="CH463"/>
      <c r="CI463"/>
      <c r="CJ463"/>
      <c r="CK463"/>
      <c r="CL463"/>
      <c r="CM463" s="20"/>
      <c r="CN463" s="20"/>
      <c r="CO463" s="20"/>
      <c r="CP463" s="20"/>
      <c r="CQ463" s="20"/>
      <c r="CR463" s="20"/>
      <c r="CS463" s="20"/>
      <c r="CT463" s="20"/>
      <c r="CU463" s="20"/>
      <c r="CV463" s="20"/>
      <c r="CW463" s="20"/>
      <c r="CX463" s="20"/>
      <c r="CY463" s="20"/>
    </row>
    <row r="464" spans="1:103" s="6" customFormat="1">
      <c r="A464"/>
      <c r="B464"/>
      <c r="C464"/>
      <c r="D464"/>
      <c r="E464"/>
      <c r="F464"/>
      <c r="G464"/>
      <c r="H464"/>
      <c r="I464"/>
      <c r="J464"/>
      <c r="N464" s="7"/>
      <c r="O464"/>
      <c r="P464" s="10"/>
      <c r="Q464" s="9"/>
      <c r="R464" s="10"/>
      <c r="S464" s="10"/>
      <c r="AA464" s="11"/>
      <c r="AD464"/>
      <c r="AE464"/>
      <c r="AF464"/>
      <c r="AG464"/>
      <c r="AH464" s="46"/>
      <c r="AI464"/>
      <c r="AJ464"/>
      <c r="AK464"/>
      <c r="AL464"/>
      <c r="AM464"/>
      <c r="AN464"/>
      <c r="AO464"/>
      <c r="AP464"/>
      <c r="AQ464"/>
      <c r="AR464"/>
      <c r="AS464"/>
      <c r="AT464" s="14"/>
      <c r="AU464"/>
      <c r="AV464"/>
      <c r="AW464"/>
      <c r="AX464" s="10"/>
      <c r="AY464" s="20"/>
      <c r="AZ464" s="16"/>
      <c r="BA464"/>
      <c r="BB464"/>
      <c r="BC464" s="16"/>
      <c r="BD464"/>
      <c r="BE464"/>
      <c r="BF464"/>
      <c r="BG464"/>
      <c r="BH464"/>
      <c r="BI464"/>
      <c r="BJ464"/>
      <c r="BK464"/>
      <c r="BL464"/>
      <c r="BM464"/>
      <c r="BN464" s="19"/>
      <c r="BO464"/>
      <c r="BP464"/>
      <c r="BQ464"/>
      <c r="BR464"/>
      <c r="BS464"/>
      <c r="BT464"/>
      <c r="BU464"/>
      <c r="BV464"/>
      <c r="BW464"/>
      <c r="BX464"/>
      <c r="BY464"/>
      <c r="BZ464"/>
      <c r="CA464"/>
      <c r="CB464"/>
      <c r="CC464"/>
      <c r="CD464"/>
      <c r="CE464"/>
      <c r="CF464"/>
      <c r="CG464"/>
      <c r="CH464"/>
      <c r="CI464"/>
      <c r="CJ464"/>
      <c r="CK464"/>
      <c r="CL464"/>
      <c r="CM464" s="20"/>
      <c r="CN464" s="20"/>
      <c r="CO464" s="20"/>
      <c r="CP464" s="20"/>
      <c r="CQ464" s="20"/>
      <c r="CR464" s="20"/>
      <c r="CS464" s="20"/>
      <c r="CT464" s="20"/>
      <c r="CU464" s="20"/>
      <c r="CV464" s="20"/>
      <c r="CW464" s="20"/>
      <c r="CX464" s="20"/>
      <c r="CY464" s="20"/>
    </row>
    <row r="465" spans="1:103" s="6" customFormat="1">
      <c r="A465"/>
      <c r="B465"/>
      <c r="C465"/>
      <c r="D465"/>
      <c r="E465"/>
      <c r="F465"/>
      <c r="G465"/>
      <c r="H465"/>
      <c r="I465"/>
      <c r="J465"/>
      <c r="N465" s="7"/>
      <c r="O465"/>
      <c r="P465" s="10"/>
      <c r="Q465" s="9"/>
      <c r="R465" s="10"/>
      <c r="S465" s="10"/>
      <c r="AA465" s="11"/>
      <c r="AD465"/>
      <c r="AE465"/>
      <c r="AF465"/>
      <c r="AG465"/>
      <c r="AH465" s="46"/>
      <c r="AI465"/>
      <c r="AJ465"/>
      <c r="AK465"/>
      <c r="AL465"/>
      <c r="AM465"/>
      <c r="AN465"/>
      <c r="AO465"/>
      <c r="AP465"/>
      <c r="AQ465"/>
      <c r="AR465"/>
      <c r="AS465"/>
      <c r="AT465" s="14"/>
      <c r="AU465"/>
      <c r="AV465"/>
      <c r="AW465"/>
      <c r="AX465" s="10"/>
      <c r="AY465" s="20"/>
      <c r="AZ465" s="16"/>
      <c r="BA465"/>
      <c r="BB465"/>
      <c r="BC465" s="16"/>
      <c r="BD465"/>
      <c r="BE465"/>
      <c r="BF465"/>
      <c r="BG465"/>
      <c r="BH465"/>
      <c r="BI465"/>
      <c r="BJ465"/>
      <c r="BK465"/>
      <c r="BL465"/>
      <c r="BM465"/>
      <c r="BN465" s="19"/>
      <c r="BO465"/>
      <c r="BP465"/>
      <c r="BQ465"/>
      <c r="BR465"/>
      <c r="BS465"/>
      <c r="BT465"/>
      <c r="BU465"/>
      <c r="BV465"/>
      <c r="BW465"/>
      <c r="BX465"/>
      <c r="BY465"/>
      <c r="BZ465"/>
      <c r="CA465"/>
      <c r="CB465"/>
      <c r="CC465"/>
      <c r="CD465"/>
      <c r="CE465"/>
      <c r="CF465"/>
      <c r="CG465"/>
      <c r="CH465"/>
      <c r="CI465"/>
      <c r="CJ465"/>
      <c r="CK465"/>
      <c r="CL465"/>
      <c r="CM465" s="20"/>
      <c r="CN465" s="20"/>
      <c r="CO465" s="20"/>
      <c r="CP465" s="20"/>
      <c r="CQ465" s="20"/>
      <c r="CR465" s="20"/>
      <c r="CS465" s="20"/>
      <c r="CT465" s="20"/>
      <c r="CU465" s="20"/>
      <c r="CV465" s="20"/>
      <c r="CW465" s="20"/>
      <c r="CX465" s="20"/>
      <c r="CY465" s="20"/>
    </row>
    <row r="466" spans="1:103" s="6" customFormat="1">
      <c r="A466"/>
      <c r="B466"/>
      <c r="C466"/>
      <c r="D466"/>
      <c r="E466"/>
      <c r="F466"/>
      <c r="G466"/>
      <c r="H466"/>
      <c r="I466"/>
      <c r="J466"/>
      <c r="N466" s="7"/>
      <c r="O466"/>
      <c r="P466" s="10"/>
      <c r="Q466" s="9"/>
      <c r="R466" s="10"/>
      <c r="S466" s="10"/>
      <c r="AA466" s="11"/>
      <c r="AD466"/>
      <c r="AE466"/>
      <c r="AF466"/>
      <c r="AG466"/>
      <c r="AH466" s="46"/>
      <c r="AI466"/>
      <c r="AJ466"/>
      <c r="AK466"/>
      <c r="AL466"/>
      <c r="AM466"/>
      <c r="AN466"/>
      <c r="AO466"/>
      <c r="AP466"/>
      <c r="AQ466"/>
      <c r="AR466"/>
      <c r="AS466"/>
      <c r="AT466" s="14"/>
      <c r="AU466"/>
      <c r="AV466"/>
      <c r="AW466"/>
      <c r="AX466" s="10"/>
      <c r="AY466" s="20"/>
      <c r="AZ466" s="16"/>
      <c r="BA466"/>
      <c r="BB466"/>
      <c r="BC466" s="16"/>
      <c r="BD466"/>
      <c r="BE466"/>
      <c r="BF466"/>
      <c r="BG466"/>
      <c r="BH466"/>
      <c r="BI466"/>
      <c r="BJ466"/>
      <c r="BK466"/>
      <c r="BL466"/>
      <c r="BM466"/>
      <c r="BN466" s="19"/>
      <c r="BO466"/>
      <c r="BP466"/>
      <c r="BQ466"/>
      <c r="BR466"/>
      <c r="BS466"/>
      <c r="BT466"/>
      <c r="BU466"/>
      <c r="BV466"/>
      <c r="BW466"/>
      <c r="BX466"/>
      <c r="BY466"/>
      <c r="BZ466"/>
      <c r="CA466"/>
      <c r="CB466"/>
      <c r="CC466"/>
      <c r="CD466"/>
      <c r="CE466"/>
      <c r="CF466"/>
      <c r="CG466"/>
      <c r="CH466"/>
      <c r="CI466"/>
      <c r="CJ466"/>
      <c r="CK466"/>
      <c r="CL466"/>
      <c r="CM466" s="20"/>
      <c r="CN466" s="20"/>
      <c r="CO466" s="20"/>
      <c r="CP466" s="20"/>
      <c r="CQ466" s="20"/>
      <c r="CR466" s="20"/>
      <c r="CS466" s="20"/>
      <c r="CT466" s="20"/>
      <c r="CU466" s="20"/>
      <c r="CV466" s="20"/>
      <c r="CW466" s="20"/>
      <c r="CX466" s="20"/>
      <c r="CY466" s="20"/>
    </row>
    <row r="467" spans="1:103" s="6" customFormat="1">
      <c r="A467"/>
      <c r="B467"/>
      <c r="C467"/>
      <c r="D467"/>
      <c r="E467"/>
      <c r="F467"/>
      <c r="G467"/>
      <c r="H467"/>
      <c r="I467"/>
      <c r="J467"/>
      <c r="N467" s="7"/>
      <c r="O467"/>
      <c r="P467" s="10"/>
      <c r="Q467" s="9"/>
      <c r="R467" s="10"/>
      <c r="S467" s="10"/>
      <c r="AA467" s="11"/>
      <c r="AD467"/>
      <c r="AE467"/>
      <c r="AF467"/>
      <c r="AG467"/>
      <c r="AH467" s="46"/>
      <c r="AI467"/>
      <c r="AJ467"/>
      <c r="AK467"/>
      <c r="AL467"/>
      <c r="AM467"/>
      <c r="AN467"/>
      <c r="AO467"/>
      <c r="AP467"/>
      <c r="AQ467"/>
      <c r="AR467"/>
      <c r="AS467"/>
      <c r="AT467" s="14"/>
      <c r="AU467"/>
      <c r="AV467"/>
      <c r="AW467"/>
      <c r="AX467" s="10"/>
      <c r="AY467" s="20"/>
      <c r="AZ467" s="16"/>
      <c r="BA467"/>
      <c r="BB467"/>
      <c r="BC467" s="16"/>
      <c r="BD467"/>
      <c r="BE467"/>
      <c r="BF467"/>
      <c r="BG467"/>
      <c r="BH467"/>
      <c r="BI467"/>
      <c r="BJ467"/>
      <c r="BK467"/>
      <c r="BL467"/>
      <c r="BM467"/>
      <c r="BN467" s="19"/>
      <c r="BO467"/>
      <c r="BP467"/>
      <c r="BQ467"/>
      <c r="BR467"/>
      <c r="BS467"/>
      <c r="BT467"/>
      <c r="BU467"/>
      <c r="BV467"/>
      <c r="BW467"/>
      <c r="BX467"/>
      <c r="BY467"/>
      <c r="BZ467"/>
      <c r="CA467"/>
      <c r="CB467"/>
      <c r="CC467"/>
      <c r="CD467"/>
      <c r="CE467"/>
      <c r="CF467"/>
      <c r="CG467"/>
      <c r="CH467"/>
      <c r="CI467"/>
      <c r="CJ467"/>
      <c r="CK467"/>
      <c r="CL467"/>
      <c r="CM467" s="20"/>
      <c r="CN467" s="20"/>
      <c r="CO467" s="20"/>
      <c r="CP467" s="20"/>
      <c r="CQ467" s="20"/>
      <c r="CR467" s="20"/>
      <c r="CS467" s="20"/>
      <c r="CT467" s="20"/>
      <c r="CU467" s="20"/>
      <c r="CV467" s="20"/>
      <c r="CW467" s="20"/>
      <c r="CX467" s="20"/>
      <c r="CY467" s="20"/>
    </row>
    <row r="468" spans="1:103" s="6" customFormat="1">
      <c r="A468"/>
      <c r="B468"/>
      <c r="C468"/>
      <c r="D468"/>
      <c r="E468"/>
      <c r="F468"/>
      <c r="G468"/>
      <c r="H468"/>
      <c r="I468"/>
      <c r="J468"/>
      <c r="N468" s="7"/>
      <c r="O468"/>
      <c r="P468" s="10"/>
      <c r="Q468" s="9"/>
      <c r="R468" s="10"/>
      <c r="S468" s="10"/>
      <c r="AA468" s="11"/>
      <c r="AD468"/>
      <c r="AE468"/>
      <c r="AF468"/>
      <c r="AG468"/>
      <c r="AH468" s="46"/>
      <c r="AI468"/>
      <c r="AJ468"/>
      <c r="AK468"/>
      <c r="AL468"/>
      <c r="AM468"/>
      <c r="AN468"/>
      <c r="AO468"/>
      <c r="AP468"/>
      <c r="AQ468"/>
      <c r="AR468"/>
      <c r="AS468"/>
      <c r="AT468" s="14"/>
      <c r="AU468"/>
      <c r="AV468"/>
      <c r="AW468"/>
      <c r="AX468" s="10"/>
      <c r="AY468" s="20"/>
      <c r="AZ468" s="16"/>
      <c r="BA468"/>
      <c r="BB468"/>
      <c r="BC468" s="16"/>
      <c r="BD468"/>
      <c r="BE468"/>
      <c r="BF468"/>
      <c r="BG468"/>
      <c r="BH468"/>
      <c r="BI468"/>
      <c r="BJ468"/>
      <c r="BK468"/>
      <c r="BL468"/>
      <c r="BM468"/>
      <c r="BN468" s="19"/>
      <c r="BO468"/>
      <c r="BP468"/>
      <c r="BQ468"/>
      <c r="BR468"/>
      <c r="BS468"/>
      <c r="BT468"/>
      <c r="BU468"/>
      <c r="BV468"/>
      <c r="BW468"/>
      <c r="BX468"/>
      <c r="BY468"/>
      <c r="BZ468"/>
      <c r="CA468"/>
      <c r="CB468"/>
      <c r="CC468"/>
      <c r="CD468"/>
      <c r="CE468"/>
      <c r="CF468"/>
      <c r="CG468"/>
      <c r="CH468"/>
      <c r="CI468"/>
      <c r="CJ468"/>
      <c r="CK468"/>
      <c r="CL468"/>
      <c r="CM468" s="20"/>
      <c r="CN468" s="20"/>
      <c r="CO468" s="20"/>
      <c r="CP468" s="20"/>
      <c r="CQ468" s="20"/>
      <c r="CR468" s="20"/>
      <c r="CS468" s="20"/>
      <c r="CT468" s="20"/>
      <c r="CU468" s="20"/>
      <c r="CV468" s="20"/>
      <c r="CW468" s="20"/>
      <c r="CX468" s="20"/>
      <c r="CY468" s="20"/>
    </row>
    <row r="469" spans="1:103" s="6" customFormat="1">
      <c r="A469"/>
      <c r="B469"/>
      <c r="C469"/>
      <c r="D469"/>
      <c r="E469"/>
      <c r="F469"/>
      <c r="G469"/>
      <c r="H469"/>
      <c r="I469"/>
      <c r="J469"/>
      <c r="N469" s="7"/>
      <c r="O469"/>
      <c r="P469" s="10"/>
      <c r="Q469" s="9"/>
      <c r="R469" s="10"/>
      <c r="S469" s="10"/>
      <c r="AA469" s="11"/>
      <c r="AD469"/>
      <c r="AE469"/>
      <c r="AF469"/>
      <c r="AG469"/>
      <c r="AH469" s="46"/>
      <c r="AI469"/>
      <c r="AJ469"/>
      <c r="AK469"/>
      <c r="AL469"/>
      <c r="AM469"/>
      <c r="AN469"/>
      <c r="AO469"/>
      <c r="AP469"/>
      <c r="AQ469"/>
      <c r="AR469"/>
      <c r="AS469"/>
      <c r="AT469" s="14"/>
      <c r="AU469"/>
      <c r="AV469"/>
      <c r="AW469"/>
      <c r="AX469" s="10"/>
      <c r="AY469" s="20"/>
      <c r="AZ469" s="16"/>
      <c r="BA469"/>
      <c r="BB469"/>
      <c r="BC469" s="16"/>
      <c r="BD469"/>
      <c r="BE469"/>
      <c r="BF469"/>
      <c r="BG469"/>
      <c r="BH469"/>
      <c r="BI469"/>
      <c r="BJ469"/>
      <c r="BK469"/>
      <c r="BL469"/>
      <c r="BM469"/>
      <c r="BN469" s="19"/>
      <c r="BO469"/>
      <c r="BP469"/>
      <c r="BQ469"/>
      <c r="BR469"/>
      <c r="BS469"/>
      <c r="BT469"/>
      <c r="BU469"/>
      <c r="BV469"/>
      <c r="BW469"/>
      <c r="BX469"/>
      <c r="BY469"/>
      <c r="BZ469"/>
      <c r="CA469"/>
      <c r="CB469"/>
      <c r="CC469"/>
      <c r="CD469"/>
      <c r="CE469"/>
      <c r="CF469"/>
      <c r="CG469"/>
      <c r="CH469"/>
      <c r="CI469"/>
      <c r="CJ469"/>
      <c r="CK469"/>
      <c r="CL469"/>
      <c r="CM469" s="20"/>
      <c r="CN469" s="20"/>
      <c r="CO469" s="20"/>
      <c r="CP469" s="20"/>
      <c r="CQ469" s="20"/>
      <c r="CR469" s="20"/>
      <c r="CS469" s="20"/>
      <c r="CT469" s="20"/>
      <c r="CU469" s="20"/>
      <c r="CV469" s="20"/>
      <c r="CW469" s="20"/>
      <c r="CX469" s="20"/>
      <c r="CY469" s="20"/>
    </row>
    <row r="470" spans="1:103" s="6" customFormat="1">
      <c r="A470"/>
      <c r="B470"/>
      <c r="C470"/>
      <c r="D470"/>
      <c r="E470"/>
      <c r="F470"/>
      <c r="G470"/>
      <c r="H470"/>
      <c r="I470"/>
      <c r="J470"/>
      <c r="N470" s="7"/>
      <c r="O470"/>
      <c r="P470" s="10"/>
      <c r="Q470" s="9"/>
      <c r="R470" s="10"/>
      <c r="S470" s="10"/>
      <c r="AA470" s="11"/>
      <c r="AD470"/>
      <c r="AE470"/>
      <c r="AF470"/>
      <c r="AG470"/>
      <c r="AH470" s="46"/>
      <c r="AI470"/>
      <c r="AJ470"/>
      <c r="AK470"/>
      <c r="AL470"/>
      <c r="AM470"/>
      <c r="AN470"/>
      <c r="AO470"/>
      <c r="AP470"/>
      <c r="AQ470"/>
      <c r="AR470"/>
      <c r="AS470"/>
      <c r="AT470" s="14"/>
      <c r="AU470"/>
      <c r="AV470"/>
      <c r="AW470"/>
      <c r="AX470" s="10"/>
      <c r="AY470" s="20"/>
      <c r="AZ470" s="16"/>
      <c r="BA470"/>
      <c r="BB470"/>
      <c r="BC470" s="16"/>
      <c r="BD470"/>
      <c r="BE470"/>
      <c r="BF470"/>
      <c r="BG470"/>
      <c r="BH470"/>
      <c r="BI470"/>
      <c r="BJ470"/>
      <c r="BK470"/>
      <c r="BL470"/>
      <c r="BM470"/>
      <c r="BN470" s="19"/>
      <c r="BO470"/>
      <c r="BP470"/>
      <c r="BQ470"/>
      <c r="BR470"/>
      <c r="BS470"/>
      <c r="BT470"/>
      <c r="BU470"/>
      <c r="BV470"/>
      <c r="BW470"/>
      <c r="BX470"/>
      <c r="BY470"/>
      <c r="BZ470"/>
      <c r="CA470"/>
      <c r="CB470"/>
      <c r="CC470"/>
      <c r="CD470"/>
      <c r="CE470"/>
      <c r="CF470"/>
      <c r="CG470"/>
      <c r="CH470"/>
      <c r="CI470"/>
      <c r="CJ470"/>
      <c r="CK470"/>
      <c r="CL470"/>
      <c r="CM470" s="20"/>
      <c r="CN470" s="20"/>
      <c r="CO470" s="20"/>
      <c r="CP470" s="20"/>
      <c r="CQ470" s="20"/>
      <c r="CR470" s="20"/>
      <c r="CS470" s="20"/>
      <c r="CT470" s="20"/>
      <c r="CU470" s="20"/>
      <c r="CV470" s="20"/>
      <c r="CW470" s="20"/>
      <c r="CX470" s="20"/>
      <c r="CY470" s="20"/>
    </row>
    <row r="471" spans="1:103" s="6" customFormat="1">
      <c r="A471"/>
      <c r="B471"/>
      <c r="C471"/>
      <c r="D471"/>
      <c r="E471"/>
      <c r="F471"/>
      <c r="G471"/>
      <c r="H471"/>
      <c r="I471"/>
      <c r="J471"/>
      <c r="N471" s="7"/>
      <c r="O471"/>
      <c r="P471" s="10"/>
      <c r="Q471" s="9"/>
      <c r="R471" s="10"/>
      <c r="S471" s="10"/>
      <c r="AA471" s="11"/>
      <c r="AD471"/>
      <c r="AE471"/>
      <c r="AF471"/>
      <c r="AG471"/>
      <c r="AH471" s="46"/>
      <c r="AI471"/>
      <c r="AJ471"/>
      <c r="AK471"/>
      <c r="AL471"/>
      <c r="AM471"/>
      <c r="AN471"/>
      <c r="AO471"/>
      <c r="AP471"/>
      <c r="AQ471"/>
      <c r="AR471"/>
      <c r="AS471"/>
      <c r="AT471" s="14"/>
      <c r="AU471"/>
      <c r="AV471"/>
      <c r="AW471"/>
      <c r="AX471" s="10"/>
      <c r="AY471" s="20"/>
      <c r="AZ471" s="16"/>
      <c r="BA471"/>
      <c r="BB471"/>
      <c r="BC471" s="16"/>
      <c r="BD471"/>
      <c r="BE471"/>
      <c r="BF471"/>
      <c r="BG471"/>
      <c r="BH471"/>
      <c r="BI471"/>
      <c r="BJ471"/>
      <c r="BK471"/>
      <c r="BL471"/>
      <c r="BM471"/>
      <c r="BN471" s="19"/>
      <c r="BO471"/>
      <c r="BP471"/>
      <c r="BQ471"/>
      <c r="BR471"/>
      <c r="BS471"/>
      <c r="BT471"/>
      <c r="BU471"/>
      <c r="BV471"/>
      <c r="BW471"/>
      <c r="BX471"/>
      <c r="BY471"/>
      <c r="BZ471"/>
      <c r="CA471"/>
      <c r="CB471"/>
      <c r="CC471"/>
      <c r="CD471"/>
      <c r="CE471"/>
      <c r="CF471"/>
      <c r="CG471"/>
      <c r="CH471"/>
      <c r="CI471"/>
      <c r="CJ471"/>
      <c r="CK471"/>
      <c r="CL471"/>
      <c r="CM471" s="20"/>
      <c r="CN471" s="20"/>
      <c r="CO471" s="20"/>
      <c r="CP471" s="20"/>
      <c r="CQ471" s="20"/>
      <c r="CR471" s="20"/>
      <c r="CS471" s="20"/>
      <c r="CT471" s="20"/>
      <c r="CU471" s="20"/>
      <c r="CV471" s="20"/>
      <c r="CW471" s="20"/>
      <c r="CX471" s="20"/>
      <c r="CY471" s="20"/>
    </row>
    <row r="472" spans="1:103" s="6" customFormat="1">
      <c r="A472"/>
      <c r="B472"/>
      <c r="C472"/>
      <c r="D472"/>
      <c r="E472"/>
      <c r="F472"/>
      <c r="G472"/>
      <c r="H472"/>
      <c r="I472"/>
      <c r="J472"/>
      <c r="N472" s="7"/>
      <c r="O472"/>
      <c r="P472" s="10"/>
      <c r="Q472" s="9"/>
      <c r="R472" s="10"/>
      <c r="S472" s="10"/>
      <c r="AA472" s="11"/>
      <c r="AD472"/>
      <c r="AE472"/>
      <c r="AF472"/>
      <c r="AG472"/>
      <c r="AH472" s="46"/>
      <c r="AI472"/>
      <c r="AJ472"/>
      <c r="AK472"/>
      <c r="AL472"/>
      <c r="AM472"/>
      <c r="AN472"/>
      <c r="AO472"/>
      <c r="AP472"/>
      <c r="AQ472"/>
      <c r="AR472"/>
      <c r="AS472"/>
      <c r="AT472" s="14"/>
      <c r="AU472"/>
      <c r="AV472"/>
      <c r="AW472"/>
      <c r="AX472" s="10"/>
      <c r="AY472" s="20"/>
      <c r="AZ472" s="16"/>
      <c r="BA472"/>
      <c r="BB472"/>
      <c r="BC472" s="16"/>
      <c r="BD472"/>
      <c r="BE472"/>
      <c r="BF472"/>
      <c r="BG472"/>
      <c r="BH472"/>
      <c r="BI472"/>
      <c r="BJ472"/>
      <c r="BK472"/>
      <c r="BL472"/>
      <c r="BM472"/>
      <c r="BN472" s="19"/>
      <c r="BO472"/>
      <c r="BP472"/>
      <c r="BQ472"/>
      <c r="BR472"/>
      <c r="BS472"/>
      <c r="BT472"/>
      <c r="BU472"/>
      <c r="BV472"/>
      <c r="BW472"/>
      <c r="BX472"/>
      <c r="BY472"/>
      <c r="BZ472"/>
      <c r="CA472"/>
      <c r="CB472"/>
      <c r="CC472"/>
      <c r="CD472"/>
      <c r="CE472"/>
      <c r="CF472"/>
      <c r="CG472"/>
      <c r="CH472"/>
      <c r="CI472"/>
      <c r="CJ472"/>
      <c r="CK472"/>
      <c r="CL472"/>
      <c r="CM472" s="20"/>
      <c r="CN472" s="20"/>
      <c r="CO472" s="20"/>
      <c r="CP472" s="20"/>
      <c r="CQ472" s="20"/>
      <c r="CR472" s="20"/>
      <c r="CS472" s="20"/>
      <c r="CT472" s="20"/>
      <c r="CU472" s="20"/>
      <c r="CV472" s="20"/>
      <c r="CW472" s="20"/>
      <c r="CX472" s="20"/>
      <c r="CY472" s="20"/>
    </row>
    <row r="473" spans="1:103" s="6" customFormat="1">
      <c r="A473"/>
      <c r="B473"/>
      <c r="C473"/>
      <c r="D473"/>
      <c r="E473"/>
      <c r="F473"/>
      <c r="G473"/>
      <c r="H473"/>
      <c r="I473"/>
      <c r="J473"/>
      <c r="N473" s="7"/>
      <c r="O473"/>
      <c r="P473" s="10"/>
      <c r="Q473" s="9"/>
      <c r="R473" s="10"/>
      <c r="S473" s="10"/>
      <c r="AA473" s="11"/>
      <c r="AD473"/>
      <c r="AE473"/>
      <c r="AF473"/>
      <c r="AG473"/>
      <c r="AH473" s="46"/>
      <c r="AI473"/>
      <c r="AJ473"/>
      <c r="AK473"/>
      <c r="AL473"/>
      <c r="AM473"/>
      <c r="AN473"/>
      <c r="AO473"/>
      <c r="AP473"/>
      <c r="AQ473"/>
      <c r="AR473"/>
      <c r="AS473"/>
      <c r="AT473" s="14"/>
      <c r="AU473"/>
      <c r="AV473"/>
      <c r="AW473"/>
      <c r="AX473" s="10"/>
      <c r="AY473" s="20"/>
      <c r="AZ473" s="16"/>
      <c r="BA473"/>
      <c r="BB473"/>
      <c r="BC473" s="16"/>
      <c r="BD473"/>
      <c r="BE473"/>
      <c r="BF473"/>
      <c r="BG473"/>
      <c r="BH473"/>
      <c r="BI473"/>
      <c r="BJ473"/>
      <c r="BK473"/>
      <c r="BL473"/>
      <c r="BM473"/>
      <c r="BN473" s="19"/>
      <c r="BO473"/>
      <c r="BP473"/>
      <c r="BQ473"/>
      <c r="BR473"/>
      <c r="BS473"/>
      <c r="BT473"/>
      <c r="BU473"/>
      <c r="BV473"/>
      <c r="BW473"/>
      <c r="BX473"/>
      <c r="BY473"/>
      <c r="BZ473"/>
      <c r="CA473"/>
      <c r="CB473"/>
      <c r="CC473"/>
      <c r="CD473"/>
      <c r="CE473"/>
      <c r="CF473"/>
      <c r="CG473"/>
      <c r="CH473"/>
      <c r="CI473"/>
      <c r="CJ473"/>
      <c r="CK473"/>
      <c r="CL473"/>
      <c r="CM473" s="20"/>
      <c r="CN473" s="20"/>
      <c r="CO473" s="20"/>
      <c r="CP473" s="20"/>
      <c r="CQ473" s="20"/>
      <c r="CR473" s="20"/>
      <c r="CS473" s="20"/>
      <c r="CT473" s="20"/>
      <c r="CU473" s="20"/>
      <c r="CV473" s="20"/>
      <c r="CW473" s="20"/>
      <c r="CX473" s="20"/>
      <c r="CY473" s="20"/>
    </row>
    <row r="474" spans="1:103" s="6" customFormat="1">
      <c r="A474"/>
      <c r="B474"/>
      <c r="C474"/>
      <c r="D474"/>
      <c r="E474"/>
      <c r="F474"/>
      <c r="G474"/>
      <c r="H474"/>
      <c r="I474"/>
      <c r="J474"/>
      <c r="N474" s="7"/>
      <c r="O474"/>
      <c r="P474" s="10"/>
      <c r="Q474" s="9"/>
      <c r="R474" s="10"/>
      <c r="S474" s="10"/>
      <c r="AA474" s="11"/>
      <c r="AD474"/>
      <c r="AE474"/>
      <c r="AF474"/>
      <c r="AG474"/>
      <c r="AH474" s="46"/>
      <c r="AI474"/>
      <c r="AJ474"/>
      <c r="AK474"/>
      <c r="AL474"/>
      <c r="AM474"/>
      <c r="AN474"/>
      <c r="AO474"/>
      <c r="AP474"/>
      <c r="AQ474"/>
      <c r="AR474"/>
      <c r="AS474"/>
      <c r="AT474" s="14"/>
      <c r="AU474"/>
      <c r="AV474"/>
      <c r="AW474"/>
      <c r="AX474" s="10"/>
      <c r="AY474" s="20"/>
      <c r="AZ474" s="16"/>
      <c r="BA474"/>
      <c r="BB474"/>
      <c r="BC474" s="16"/>
      <c r="BD474"/>
      <c r="BE474"/>
      <c r="BF474"/>
      <c r="BG474"/>
      <c r="BH474"/>
      <c r="BI474"/>
      <c r="BJ474"/>
      <c r="BK474"/>
      <c r="BL474"/>
      <c r="BM474"/>
      <c r="BN474" s="19"/>
      <c r="BO474"/>
      <c r="BP474"/>
      <c r="BQ474"/>
      <c r="BR474"/>
      <c r="BS474"/>
      <c r="BT474"/>
      <c r="BU474"/>
      <c r="BV474"/>
      <c r="BW474"/>
      <c r="BX474"/>
      <c r="BY474"/>
      <c r="BZ474"/>
      <c r="CA474"/>
      <c r="CB474"/>
      <c r="CC474"/>
      <c r="CD474"/>
      <c r="CE474"/>
      <c r="CF474"/>
      <c r="CG474"/>
      <c r="CH474"/>
      <c r="CI474"/>
      <c r="CJ474"/>
      <c r="CK474"/>
      <c r="CL474"/>
      <c r="CM474" s="20"/>
      <c r="CN474" s="20"/>
      <c r="CO474" s="20"/>
      <c r="CP474" s="20"/>
      <c r="CQ474" s="20"/>
      <c r="CR474" s="20"/>
      <c r="CS474" s="20"/>
      <c r="CT474" s="20"/>
      <c r="CU474" s="20"/>
      <c r="CV474" s="20"/>
      <c r="CW474" s="20"/>
      <c r="CX474" s="20"/>
      <c r="CY474" s="20"/>
    </row>
    <row r="475" spans="1:103" s="6" customFormat="1">
      <c r="A475"/>
      <c r="B475"/>
      <c r="C475"/>
      <c r="D475"/>
      <c r="E475"/>
      <c r="F475"/>
      <c r="G475"/>
      <c r="H475"/>
      <c r="I475"/>
      <c r="J475"/>
      <c r="N475" s="7"/>
      <c r="O475"/>
      <c r="P475" s="10"/>
      <c r="Q475" s="9"/>
      <c r="R475" s="10"/>
      <c r="S475" s="10"/>
      <c r="AA475" s="11"/>
      <c r="AD475"/>
      <c r="AE475"/>
      <c r="AF475"/>
      <c r="AG475"/>
      <c r="AH475" s="46"/>
      <c r="AI475"/>
      <c r="AJ475"/>
      <c r="AK475"/>
      <c r="AL475"/>
      <c r="AM475"/>
      <c r="AN475"/>
      <c r="AO475"/>
      <c r="AP475"/>
      <c r="AQ475"/>
      <c r="AR475"/>
      <c r="AS475"/>
      <c r="AT475" s="14"/>
      <c r="AU475"/>
      <c r="AV475"/>
      <c r="AW475"/>
      <c r="AX475" s="10"/>
      <c r="AY475" s="20"/>
      <c r="AZ475" s="16"/>
      <c r="BA475"/>
      <c r="BB475"/>
      <c r="BC475" s="16"/>
      <c r="BD475"/>
      <c r="BE475"/>
      <c r="BF475"/>
      <c r="BG475"/>
      <c r="BH475"/>
      <c r="BI475"/>
      <c r="BJ475"/>
      <c r="BK475"/>
      <c r="BL475"/>
      <c r="BM475"/>
      <c r="BN475" s="19"/>
      <c r="BO475"/>
      <c r="BP475"/>
      <c r="BQ475"/>
      <c r="BR475"/>
      <c r="BS475"/>
      <c r="BT475"/>
      <c r="BU475"/>
      <c r="BV475"/>
      <c r="BW475"/>
      <c r="BX475"/>
      <c r="BY475"/>
      <c r="BZ475"/>
      <c r="CA475"/>
      <c r="CB475"/>
      <c r="CC475"/>
      <c r="CD475"/>
      <c r="CE475"/>
      <c r="CF475"/>
      <c r="CG475"/>
      <c r="CH475"/>
      <c r="CI475"/>
      <c r="CJ475"/>
      <c r="CK475"/>
      <c r="CL475"/>
      <c r="CM475" s="20"/>
      <c r="CN475" s="20"/>
      <c r="CO475" s="20"/>
      <c r="CP475" s="20"/>
      <c r="CQ475" s="20"/>
      <c r="CR475" s="20"/>
      <c r="CS475" s="20"/>
      <c r="CT475" s="20"/>
      <c r="CU475" s="20"/>
      <c r="CV475" s="20"/>
      <c r="CW475" s="20"/>
      <c r="CX475" s="20"/>
      <c r="CY475" s="20"/>
    </row>
    <row r="476" spans="1:103" s="6" customFormat="1">
      <c r="A476"/>
      <c r="B476"/>
      <c r="C476"/>
      <c r="D476"/>
      <c r="E476"/>
      <c r="F476"/>
      <c r="G476"/>
      <c r="H476"/>
      <c r="I476"/>
      <c r="J476"/>
      <c r="N476" s="7"/>
      <c r="O476"/>
      <c r="P476" s="10"/>
      <c r="Q476" s="9"/>
      <c r="R476" s="10"/>
      <c r="S476" s="10"/>
      <c r="AA476" s="11"/>
      <c r="AD476"/>
      <c r="AE476"/>
      <c r="AF476"/>
      <c r="AG476"/>
      <c r="AH476" s="46"/>
      <c r="AI476"/>
      <c r="AJ476"/>
      <c r="AK476"/>
      <c r="AL476"/>
      <c r="AM476"/>
      <c r="AN476"/>
      <c r="AO476"/>
      <c r="AP476"/>
      <c r="AQ476"/>
      <c r="AR476"/>
      <c r="AS476"/>
      <c r="AT476" s="14"/>
      <c r="AU476"/>
      <c r="AV476"/>
      <c r="AW476"/>
      <c r="AX476" s="10"/>
      <c r="AY476" s="20"/>
      <c r="AZ476" s="16"/>
      <c r="BA476"/>
      <c r="BB476"/>
      <c r="BC476" s="16"/>
      <c r="BD476"/>
      <c r="BE476"/>
      <c r="BF476"/>
      <c r="BG476"/>
      <c r="BH476"/>
      <c r="BI476"/>
      <c r="BJ476"/>
      <c r="BK476"/>
      <c r="BL476"/>
      <c r="BM476"/>
      <c r="BN476" s="19"/>
      <c r="BO476"/>
      <c r="BP476"/>
      <c r="BQ476"/>
      <c r="BR476"/>
      <c r="BS476"/>
      <c r="BT476"/>
      <c r="BU476"/>
      <c r="BV476"/>
      <c r="BW476"/>
      <c r="BX476"/>
      <c r="BY476"/>
      <c r="BZ476"/>
      <c r="CA476"/>
      <c r="CB476"/>
      <c r="CC476"/>
      <c r="CD476"/>
      <c r="CE476"/>
      <c r="CF476"/>
      <c r="CG476"/>
      <c r="CH476"/>
      <c r="CI476"/>
      <c r="CJ476"/>
      <c r="CK476"/>
      <c r="CL476"/>
      <c r="CM476" s="20"/>
      <c r="CN476" s="20"/>
      <c r="CO476" s="20"/>
      <c r="CP476" s="20"/>
      <c r="CQ476" s="20"/>
      <c r="CR476" s="20"/>
      <c r="CS476" s="20"/>
      <c r="CT476" s="20"/>
      <c r="CU476" s="20"/>
      <c r="CV476" s="20"/>
      <c r="CW476" s="20"/>
      <c r="CX476" s="20"/>
      <c r="CY476" s="20"/>
    </row>
    <row r="477" spans="1:103" s="6" customFormat="1">
      <c r="A477"/>
      <c r="B477"/>
      <c r="C477"/>
      <c r="D477"/>
      <c r="E477"/>
      <c r="F477"/>
      <c r="G477"/>
      <c r="H477"/>
      <c r="I477"/>
      <c r="J477"/>
      <c r="N477" s="7"/>
      <c r="O477"/>
      <c r="P477" s="10"/>
      <c r="Q477" s="9"/>
      <c r="R477" s="10"/>
      <c r="S477" s="10"/>
      <c r="AA477" s="11"/>
      <c r="AD477"/>
      <c r="AE477"/>
      <c r="AF477"/>
      <c r="AG477"/>
      <c r="AH477" s="46"/>
      <c r="AI477"/>
      <c r="AJ477"/>
      <c r="AK477"/>
      <c r="AL477"/>
      <c r="AM477"/>
      <c r="AN477"/>
      <c r="AO477"/>
      <c r="AP477"/>
      <c r="AQ477"/>
      <c r="AR477"/>
      <c r="AS477"/>
      <c r="AT477" s="14"/>
      <c r="AU477"/>
      <c r="AV477"/>
      <c r="AW477"/>
      <c r="AX477" s="10"/>
      <c r="AY477" s="20"/>
      <c r="AZ477" s="16"/>
      <c r="BA477"/>
      <c r="BB477"/>
      <c r="BC477" s="16"/>
      <c r="BD477"/>
      <c r="BE477"/>
      <c r="BF477"/>
      <c r="BG477"/>
      <c r="BH477"/>
      <c r="BI477"/>
      <c r="BJ477"/>
      <c r="BK477"/>
      <c r="BL477"/>
      <c r="BM477"/>
      <c r="BN477" s="19"/>
      <c r="BO477"/>
      <c r="BP477"/>
      <c r="BQ477"/>
      <c r="BR477"/>
      <c r="BS477"/>
      <c r="BT477"/>
      <c r="BU477"/>
      <c r="BV477"/>
      <c r="BW477"/>
      <c r="BX477"/>
      <c r="BY477"/>
      <c r="BZ477"/>
      <c r="CA477"/>
      <c r="CB477"/>
      <c r="CC477"/>
      <c r="CD477"/>
      <c r="CE477"/>
      <c r="CF477"/>
      <c r="CG477"/>
      <c r="CH477"/>
      <c r="CI477"/>
      <c r="CJ477"/>
      <c r="CK477"/>
      <c r="CL477"/>
      <c r="CM477" s="20"/>
      <c r="CN477" s="20"/>
      <c r="CO477" s="20"/>
      <c r="CP477" s="20"/>
      <c r="CQ477" s="20"/>
      <c r="CR477" s="20"/>
      <c r="CS477" s="20"/>
      <c r="CT477" s="20"/>
      <c r="CU477" s="20"/>
      <c r="CV477" s="20"/>
      <c r="CW477" s="20"/>
      <c r="CX477" s="20"/>
      <c r="CY477" s="20"/>
    </row>
    <row r="478" spans="1:103" s="6" customFormat="1">
      <c r="A478"/>
      <c r="B478"/>
      <c r="C478"/>
      <c r="D478"/>
      <c r="E478"/>
      <c r="F478"/>
      <c r="G478"/>
      <c r="H478"/>
      <c r="I478"/>
      <c r="J478"/>
      <c r="N478" s="7"/>
      <c r="O478"/>
      <c r="P478" s="10"/>
      <c r="Q478" s="9"/>
      <c r="R478" s="10"/>
      <c r="S478" s="10"/>
      <c r="AA478" s="11"/>
      <c r="AD478"/>
      <c r="AE478"/>
      <c r="AF478"/>
      <c r="AG478"/>
      <c r="AH478" s="46"/>
      <c r="AI478"/>
      <c r="AJ478"/>
      <c r="AK478"/>
      <c r="AL478"/>
      <c r="AM478"/>
      <c r="AN478"/>
      <c r="AO478"/>
      <c r="AP478"/>
      <c r="AQ478"/>
      <c r="AR478"/>
      <c r="AS478"/>
      <c r="AT478" s="14"/>
      <c r="AU478"/>
      <c r="AV478"/>
      <c r="AW478"/>
      <c r="AX478" s="10"/>
      <c r="AY478" s="20"/>
      <c r="AZ478" s="16"/>
      <c r="BA478"/>
      <c r="BB478"/>
      <c r="BC478" s="16"/>
      <c r="BD478"/>
      <c r="BE478"/>
      <c r="BF478"/>
      <c r="BG478"/>
      <c r="BH478"/>
      <c r="BI478"/>
      <c r="BJ478"/>
      <c r="BK478"/>
      <c r="BL478"/>
      <c r="BM478"/>
      <c r="BN478" s="19"/>
      <c r="BO478"/>
      <c r="BP478"/>
      <c r="BQ478"/>
      <c r="BR478"/>
      <c r="BS478"/>
      <c r="BT478"/>
      <c r="BU478"/>
      <c r="BV478"/>
      <c r="BW478"/>
      <c r="BX478"/>
      <c r="BY478"/>
      <c r="BZ478"/>
      <c r="CA478"/>
      <c r="CB478"/>
      <c r="CC478"/>
      <c r="CD478"/>
      <c r="CE478"/>
      <c r="CF478"/>
      <c r="CG478"/>
      <c r="CH478"/>
      <c r="CI478"/>
      <c r="CJ478"/>
      <c r="CK478"/>
      <c r="CL478"/>
      <c r="CM478" s="20"/>
      <c r="CN478" s="20"/>
      <c r="CO478" s="20"/>
      <c r="CP478" s="20"/>
      <c r="CQ478" s="20"/>
      <c r="CR478" s="20"/>
      <c r="CS478" s="20"/>
      <c r="CT478" s="20"/>
      <c r="CU478" s="20"/>
      <c r="CV478" s="20"/>
      <c r="CW478" s="20"/>
      <c r="CX478" s="20"/>
      <c r="CY478" s="20"/>
    </row>
    <row r="479" spans="1:103" s="6" customFormat="1">
      <c r="A479"/>
      <c r="B479"/>
      <c r="C479"/>
      <c r="D479"/>
      <c r="E479"/>
      <c r="F479"/>
      <c r="G479"/>
      <c r="H479"/>
      <c r="I479"/>
      <c r="J479"/>
      <c r="N479" s="7"/>
      <c r="O479"/>
      <c r="P479" s="10"/>
      <c r="Q479" s="9"/>
      <c r="R479" s="10"/>
      <c r="S479" s="10"/>
      <c r="AA479" s="11"/>
      <c r="AD479"/>
      <c r="AE479"/>
      <c r="AF479"/>
      <c r="AG479"/>
      <c r="AH479" s="46"/>
      <c r="AI479"/>
      <c r="AJ479"/>
      <c r="AK479"/>
      <c r="AL479"/>
      <c r="AM479"/>
      <c r="AN479"/>
      <c r="AO479"/>
      <c r="AP479"/>
      <c r="AQ479"/>
      <c r="AR479"/>
      <c r="AS479"/>
      <c r="AT479" s="14"/>
      <c r="AU479"/>
      <c r="AV479"/>
      <c r="AW479"/>
      <c r="AX479" s="10"/>
      <c r="AY479" s="20"/>
      <c r="AZ479" s="16"/>
      <c r="BA479"/>
      <c r="BB479"/>
      <c r="BC479" s="16"/>
      <c r="BD479"/>
      <c r="BE479"/>
      <c r="BF479"/>
      <c r="BG479"/>
      <c r="BH479"/>
      <c r="BI479"/>
      <c r="BJ479"/>
      <c r="BK479"/>
      <c r="BL479"/>
      <c r="BM479"/>
      <c r="BN479" s="19"/>
      <c r="BO479"/>
      <c r="BP479"/>
      <c r="BQ479"/>
      <c r="BR479"/>
      <c r="BS479"/>
      <c r="BT479"/>
      <c r="BU479"/>
      <c r="BV479"/>
      <c r="BW479"/>
      <c r="BX479"/>
      <c r="BY479"/>
      <c r="BZ479"/>
      <c r="CA479"/>
      <c r="CB479"/>
      <c r="CC479"/>
      <c r="CD479"/>
      <c r="CE479"/>
      <c r="CF479"/>
      <c r="CG479"/>
      <c r="CH479"/>
      <c r="CI479"/>
      <c r="CJ479"/>
      <c r="CK479"/>
      <c r="CL479"/>
      <c r="CM479" s="20"/>
      <c r="CN479" s="20"/>
      <c r="CO479" s="20"/>
      <c r="CP479" s="20"/>
      <c r="CQ479" s="20"/>
      <c r="CR479" s="20"/>
      <c r="CS479" s="20"/>
      <c r="CT479" s="20"/>
      <c r="CU479" s="20"/>
      <c r="CV479" s="20"/>
      <c r="CW479" s="20"/>
      <c r="CX479" s="20"/>
      <c r="CY479" s="20"/>
    </row>
    <row r="480" spans="1:103" s="6" customFormat="1">
      <c r="A480"/>
      <c r="B480"/>
      <c r="C480"/>
      <c r="D480"/>
      <c r="E480"/>
      <c r="F480"/>
      <c r="G480"/>
      <c r="H480"/>
      <c r="I480"/>
      <c r="J480"/>
      <c r="N480" s="7"/>
      <c r="O480"/>
      <c r="P480" s="10"/>
      <c r="Q480" s="9"/>
      <c r="R480" s="10"/>
      <c r="S480" s="10"/>
      <c r="AA480" s="11"/>
      <c r="AD480"/>
      <c r="AE480"/>
      <c r="AF480"/>
      <c r="AG480"/>
      <c r="AH480" s="46"/>
      <c r="AI480"/>
      <c r="AJ480"/>
      <c r="AK480"/>
      <c r="AL480"/>
      <c r="AM480"/>
      <c r="AN480"/>
      <c r="AO480"/>
      <c r="AP480"/>
      <c r="AQ480"/>
      <c r="AR480"/>
      <c r="AS480"/>
      <c r="AT480" s="14"/>
      <c r="AU480"/>
      <c r="AV480"/>
      <c r="AW480"/>
      <c r="AX480" s="10"/>
      <c r="AY480" s="20"/>
      <c r="AZ480" s="16"/>
      <c r="BA480"/>
      <c r="BB480"/>
      <c r="BC480" s="16"/>
      <c r="BD480"/>
      <c r="BE480"/>
      <c r="BF480"/>
      <c r="BG480"/>
      <c r="BH480"/>
      <c r="BI480"/>
      <c r="BJ480"/>
      <c r="BK480"/>
      <c r="BL480"/>
      <c r="BM480"/>
      <c r="BN480" s="19"/>
      <c r="BO480"/>
      <c r="BP480"/>
      <c r="BQ480"/>
      <c r="BR480"/>
      <c r="BS480"/>
      <c r="BT480"/>
      <c r="BU480"/>
      <c r="BV480"/>
      <c r="BW480"/>
      <c r="BX480"/>
      <c r="BY480"/>
      <c r="BZ480"/>
      <c r="CA480"/>
      <c r="CB480"/>
      <c r="CC480"/>
      <c r="CD480"/>
      <c r="CE480"/>
      <c r="CF480"/>
      <c r="CG480"/>
      <c r="CH480"/>
      <c r="CI480"/>
      <c r="CJ480"/>
      <c r="CK480"/>
      <c r="CL480"/>
      <c r="CM480" s="20"/>
      <c r="CN480" s="20"/>
      <c r="CO480" s="20"/>
      <c r="CP480" s="20"/>
      <c r="CQ480" s="20"/>
      <c r="CR480" s="20"/>
      <c r="CS480" s="20"/>
      <c r="CT480" s="20"/>
      <c r="CU480" s="20"/>
      <c r="CV480" s="20"/>
      <c r="CW480" s="20"/>
      <c r="CX480" s="20"/>
      <c r="CY480" s="20"/>
    </row>
    <row r="481" spans="1:103" s="6" customFormat="1">
      <c r="A481"/>
      <c r="B481"/>
      <c r="C481"/>
      <c r="D481"/>
      <c r="E481"/>
      <c r="F481"/>
      <c r="G481"/>
      <c r="H481"/>
      <c r="I481"/>
      <c r="J481"/>
      <c r="N481" s="7"/>
      <c r="O481"/>
      <c r="P481" s="10"/>
      <c r="Q481" s="9"/>
      <c r="R481" s="10"/>
      <c r="S481" s="10"/>
      <c r="AA481" s="11"/>
      <c r="AD481"/>
      <c r="AE481"/>
      <c r="AF481"/>
      <c r="AG481"/>
      <c r="AH481" s="46"/>
      <c r="AI481"/>
      <c r="AJ481"/>
      <c r="AK481"/>
      <c r="AL481"/>
      <c r="AM481"/>
      <c r="AN481"/>
      <c r="AO481"/>
      <c r="AP481"/>
      <c r="AQ481"/>
      <c r="AR481"/>
      <c r="AS481"/>
      <c r="AT481" s="14"/>
      <c r="AU481"/>
      <c r="AV481"/>
      <c r="AW481"/>
      <c r="AX481" s="10"/>
      <c r="AY481" s="20"/>
      <c r="AZ481" s="16"/>
      <c r="BA481"/>
      <c r="BB481"/>
      <c r="BC481" s="16"/>
      <c r="BD481"/>
      <c r="BE481"/>
      <c r="BF481"/>
      <c r="BG481"/>
      <c r="BH481"/>
      <c r="BI481"/>
      <c r="BJ481"/>
      <c r="BK481"/>
      <c r="BL481"/>
      <c r="BM481"/>
      <c r="BN481" s="19"/>
      <c r="BO481"/>
      <c r="BP481"/>
      <c r="BQ481"/>
      <c r="BR481"/>
      <c r="BS481"/>
      <c r="BT481"/>
      <c r="BU481"/>
      <c r="BV481"/>
      <c r="BW481"/>
      <c r="BX481"/>
      <c r="BY481"/>
      <c r="BZ481"/>
      <c r="CA481"/>
      <c r="CB481"/>
      <c r="CC481"/>
      <c r="CD481"/>
      <c r="CE481"/>
      <c r="CF481"/>
      <c r="CG481"/>
      <c r="CH481"/>
      <c r="CI481"/>
      <c r="CJ481"/>
      <c r="CK481"/>
      <c r="CL481"/>
      <c r="CM481" s="20"/>
      <c r="CN481" s="20"/>
      <c r="CO481" s="20"/>
      <c r="CP481" s="20"/>
      <c r="CQ481" s="20"/>
      <c r="CR481" s="20"/>
      <c r="CS481" s="20"/>
      <c r="CT481" s="20"/>
      <c r="CU481" s="20"/>
      <c r="CV481" s="20"/>
      <c r="CW481" s="20"/>
      <c r="CX481" s="20"/>
      <c r="CY481" s="20"/>
    </row>
    <row r="482" spans="1:103" s="6" customFormat="1">
      <c r="A482"/>
      <c r="B482"/>
      <c r="C482"/>
      <c r="D482"/>
      <c r="E482"/>
      <c r="F482"/>
      <c r="G482"/>
      <c r="H482"/>
      <c r="I482"/>
      <c r="J482"/>
      <c r="N482" s="7"/>
      <c r="O482"/>
      <c r="P482" s="10"/>
      <c r="Q482" s="9"/>
      <c r="R482" s="10"/>
      <c r="S482" s="10"/>
      <c r="AA482" s="11"/>
      <c r="AD482"/>
      <c r="AE482"/>
      <c r="AF482"/>
      <c r="AG482"/>
      <c r="AH482" s="46"/>
      <c r="AI482"/>
      <c r="AJ482"/>
      <c r="AK482"/>
      <c r="AL482"/>
      <c r="AM482"/>
      <c r="AN482"/>
      <c r="AO482"/>
      <c r="AP482"/>
      <c r="AQ482"/>
      <c r="AR482"/>
      <c r="AS482"/>
      <c r="AT482" s="14"/>
      <c r="AU482"/>
      <c r="AV482"/>
      <c r="AW482"/>
      <c r="AX482" s="10"/>
      <c r="AY482" s="20"/>
      <c r="AZ482" s="16"/>
      <c r="BA482"/>
      <c r="BB482"/>
      <c r="BC482" s="16"/>
      <c r="BD482"/>
      <c r="BE482"/>
      <c r="BF482"/>
      <c r="BG482"/>
      <c r="BH482"/>
      <c r="BI482"/>
      <c r="BJ482"/>
      <c r="BK482"/>
      <c r="BL482"/>
      <c r="BM482"/>
      <c r="BN482" s="19"/>
      <c r="BO482"/>
      <c r="BP482"/>
      <c r="BQ482"/>
      <c r="BR482"/>
      <c r="BS482"/>
      <c r="BT482"/>
      <c r="BU482"/>
      <c r="BV482"/>
      <c r="BW482"/>
      <c r="BX482"/>
      <c r="BY482"/>
      <c r="BZ482"/>
      <c r="CA482"/>
      <c r="CB482"/>
      <c r="CC482"/>
      <c r="CD482"/>
      <c r="CE482"/>
      <c r="CF482"/>
      <c r="CG482"/>
      <c r="CH482"/>
      <c r="CI482"/>
      <c r="CJ482"/>
      <c r="CK482"/>
      <c r="CL482"/>
      <c r="CM482" s="20"/>
      <c r="CN482" s="20"/>
      <c r="CO482" s="20"/>
      <c r="CP482" s="20"/>
      <c r="CQ482" s="20"/>
      <c r="CR482" s="20"/>
      <c r="CS482" s="20"/>
      <c r="CT482" s="20"/>
      <c r="CU482" s="20"/>
      <c r="CV482" s="20"/>
      <c r="CW482" s="20"/>
      <c r="CX482" s="20"/>
      <c r="CY482" s="20"/>
    </row>
    <row r="483" spans="1:103" s="6" customFormat="1">
      <c r="A483"/>
      <c r="B483"/>
      <c r="C483"/>
      <c r="D483"/>
      <c r="E483"/>
      <c r="F483"/>
      <c r="G483"/>
      <c r="H483"/>
      <c r="I483"/>
      <c r="J483"/>
      <c r="N483" s="7"/>
      <c r="O483"/>
      <c r="P483" s="10"/>
      <c r="Q483" s="9"/>
      <c r="R483" s="10"/>
      <c r="S483" s="10"/>
      <c r="AA483" s="11"/>
      <c r="AD483"/>
      <c r="AE483"/>
      <c r="AF483"/>
      <c r="AG483"/>
      <c r="AH483" s="46"/>
      <c r="AI483"/>
      <c r="AJ483"/>
      <c r="AK483"/>
      <c r="AL483"/>
      <c r="AM483"/>
      <c r="AN483"/>
      <c r="AO483"/>
      <c r="AP483"/>
      <c r="AQ483"/>
      <c r="AR483"/>
      <c r="AS483"/>
      <c r="AT483" s="14"/>
      <c r="AU483"/>
      <c r="AV483"/>
      <c r="AW483"/>
      <c r="AX483" s="10"/>
      <c r="AY483" s="20"/>
      <c r="AZ483" s="16"/>
      <c r="BA483"/>
      <c r="BB483"/>
      <c r="BC483" s="16"/>
      <c r="BD483"/>
      <c r="BE483"/>
      <c r="BF483"/>
      <c r="BG483"/>
      <c r="BH483"/>
      <c r="BI483"/>
      <c r="BJ483"/>
      <c r="BK483"/>
      <c r="BL483"/>
      <c r="BM483"/>
      <c r="BN483" s="19"/>
      <c r="BO483"/>
      <c r="BP483"/>
      <c r="BQ483"/>
      <c r="BR483"/>
      <c r="BS483"/>
      <c r="BT483"/>
      <c r="BU483"/>
      <c r="BV483"/>
      <c r="BW483"/>
      <c r="BX483"/>
      <c r="BY483"/>
      <c r="BZ483"/>
      <c r="CA483"/>
      <c r="CB483"/>
      <c r="CC483"/>
      <c r="CD483"/>
      <c r="CE483"/>
      <c r="CF483"/>
      <c r="CG483"/>
      <c r="CH483"/>
      <c r="CI483"/>
      <c r="CJ483"/>
      <c r="CK483"/>
      <c r="CL483"/>
      <c r="CM483" s="20"/>
      <c r="CN483" s="20"/>
      <c r="CO483" s="20"/>
      <c r="CP483" s="20"/>
      <c r="CQ483" s="20"/>
      <c r="CR483" s="20"/>
      <c r="CS483" s="20"/>
      <c r="CT483" s="20"/>
      <c r="CU483" s="20"/>
      <c r="CV483" s="20"/>
      <c r="CW483" s="20"/>
      <c r="CX483" s="20"/>
      <c r="CY483" s="20"/>
    </row>
    <row r="484" spans="1:103" s="6" customFormat="1">
      <c r="A484"/>
      <c r="B484"/>
      <c r="C484"/>
      <c r="D484"/>
      <c r="E484"/>
      <c r="F484"/>
      <c r="G484"/>
      <c r="H484"/>
      <c r="I484"/>
      <c r="J484"/>
      <c r="N484" s="7"/>
      <c r="O484"/>
      <c r="P484" s="10"/>
      <c r="Q484" s="9"/>
      <c r="R484" s="10"/>
      <c r="S484" s="10"/>
      <c r="AA484" s="11"/>
      <c r="AD484"/>
      <c r="AE484"/>
      <c r="AF484"/>
      <c r="AG484"/>
      <c r="AH484" s="46"/>
      <c r="AI484"/>
      <c r="AJ484"/>
      <c r="AK484"/>
      <c r="AL484"/>
      <c r="AM484"/>
      <c r="AN484"/>
      <c r="AO484"/>
      <c r="AP484"/>
      <c r="AQ484"/>
      <c r="AR484"/>
      <c r="AS484"/>
      <c r="AT484" s="14"/>
      <c r="AU484"/>
      <c r="AV484"/>
      <c r="AW484"/>
      <c r="AX484" s="10"/>
      <c r="AY484" s="20"/>
      <c r="AZ484" s="16"/>
      <c r="BA484"/>
      <c r="BB484"/>
      <c r="BC484" s="16"/>
      <c r="BD484"/>
      <c r="BE484"/>
      <c r="BF484"/>
      <c r="BG484"/>
      <c r="BH484"/>
      <c r="BI484"/>
      <c r="BJ484"/>
      <c r="BK484"/>
      <c r="BL484"/>
      <c r="BM484"/>
      <c r="BN484" s="19"/>
      <c r="BO484"/>
      <c r="BP484"/>
      <c r="BQ484"/>
      <c r="BR484"/>
      <c r="BS484"/>
      <c r="BT484"/>
      <c r="BU484"/>
      <c r="BV484"/>
      <c r="BW484"/>
      <c r="BX484"/>
      <c r="BY484"/>
      <c r="BZ484"/>
      <c r="CA484"/>
      <c r="CB484"/>
      <c r="CC484"/>
      <c r="CD484"/>
      <c r="CE484"/>
      <c r="CF484"/>
      <c r="CG484"/>
      <c r="CH484"/>
      <c r="CI484"/>
      <c r="CJ484"/>
      <c r="CK484"/>
      <c r="CL484"/>
      <c r="CM484" s="20"/>
      <c r="CN484" s="20"/>
      <c r="CO484" s="20"/>
      <c r="CP484" s="20"/>
      <c r="CQ484" s="20"/>
      <c r="CR484" s="20"/>
      <c r="CS484" s="20"/>
      <c r="CT484" s="20"/>
      <c r="CU484" s="20"/>
      <c r="CV484" s="20"/>
      <c r="CW484" s="20"/>
      <c r="CX484" s="20"/>
      <c r="CY484" s="20"/>
    </row>
    <row r="485" spans="1:103" s="6" customFormat="1">
      <c r="A485"/>
      <c r="B485"/>
      <c r="C485"/>
      <c r="D485"/>
      <c r="E485"/>
      <c r="F485"/>
      <c r="G485"/>
      <c r="H485"/>
      <c r="I485"/>
      <c r="J485"/>
      <c r="N485" s="7"/>
      <c r="O485"/>
      <c r="P485" s="10"/>
      <c r="Q485" s="9"/>
      <c r="R485" s="10"/>
      <c r="S485" s="10"/>
      <c r="AA485" s="11"/>
      <c r="AD485"/>
      <c r="AE485"/>
      <c r="AF485"/>
      <c r="AG485"/>
      <c r="AH485" s="46"/>
      <c r="AI485"/>
      <c r="AJ485"/>
      <c r="AK485"/>
      <c r="AL485"/>
      <c r="AM485"/>
      <c r="AN485"/>
      <c r="AO485"/>
      <c r="AP485"/>
      <c r="AQ485"/>
      <c r="AR485"/>
      <c r="AS485"/>
      <c r="AT485" s="14"/>
      <c r="AU485"/>
      <c r="AV485"/>
      <c r="AW485"/>
      <c r="AX485" s="10"/>
      <c r="AY485" s="20"/>
      <c r="AZ485" s="16"/>
      <c r="BA485"/>
      <c r="BB485"/>
      <c r="BC485" s="16"/>
      <c r="BD485"/>
      <c r="BE485"/>
      <c r="BF485"/>
      <c r="BG485"/>
      <c r="BH485"/>
      <c r="BI485"/>
      <c r="BJ485"/>
      <c r="BK485"/>
      <c r="BL485"/>
      <c r="BM485"/>
      <c r="BN485" s="19"/>
      <c r="BO485"/>
      <c r="BP485"/>
      <c r="BQ485"/>
      <c r="BR485"/>
      <c r="BS485"/>
      <c r="BT485"/>
      <c r="BU485"/>
      <c r="BV485"/>
      <c r="BW485"/>
      <c r="BX485"/>
      <c r="BY485"/>
      <c r="BZ485"/>
      <c r="CA485"/>
      <c r="CB485"/>
      <c r="CC485"/>
      <c r="CD485"/>
      <c r="CE485"/>
      <c r="CF485"/>
      <c r="CG485"/>
      <c r="CH485"/>
      <c r="CI485"/>
      <c r="CJ485"/>
      <c r="CK485"/>
      <c r="CL485"/>
      <c r="CM485" s="20"/>
      <c r="CN485" s="20"/>
      <c r="CO485" s="20"/>
      <c r="CP485" s="20"/>
      <c r="CQ485" s="20"/>
      <c r="CR485" s="20"/>
      <c r="CS485" s="20"/>
      <c r="CT485" s="20"/>
      <c r="CU485" s="20"/>
      <c r="CV485" s="20"/>
      <c r="CW485" s="20"/>
      <c r="CX485" s="20"/>
      <c r="CY485" s="20"/>
    </row>
    <row r="486" spans="1:103" s="6" customFormat="1">
      <c r="A486"/>
      <c r="B486"/>
      <c r="C486"/>
      <c r="D486"/>
      <c r="E486"/>
      <c r="F486"/>
      <c r="G486"/>
      <c r="H486"/>
      <c r="I486"/>
      <c r="J486"/>
      <c r="N486" s="7"/>
      <c r="O486"/>
      <c r="P486" s="10"/>
      <c r="Q486" s="9"/>
      <c r="R486" s="10"/>
      <c r="S486" s="10"/>
      <c r="AA486" s="11"/>
      <c r="AD486"/>
      <c r="AE486"/>
      <c r="AF486"/>
      <c r="AG486"/>
      <c r="AH486" s="46"/>
      <c r="AI486"/>
      <c r="AJ486"/>
      <c r="AK486"/>
      <c r="AL486"/>
      <c r="AM486"/>
      <c r="AN486"/>
      <c r="AO486"/>
      <c r="AP486"/>
      <c r="AQ486"/>
      <c r="AR486"/>
      <c r="AS486"/>
      <c r="AT486" s="14"/>
      <c r="AU486"/>
      <c r="AV486"/>
      <c r="AW486"/>
      <c r="AX486" s="10"/>
      <c r="AY486" s="20"/>
      <c r="AZ486" s="16"/>
      <c r="BA486"/>
      <c r="BB486"/>
      <c r="BC486" s="16"/>
      <c r="BD486"/>
      <c r="BE486"/>
      <c r="BF486"/>
      <c r="BG486"/>
      <c r="BH486"/>
      <c r="BI486"/>
      <c r="BJ486"/>
      <c r="BK486"/>
      <c r="BL486"/>
      <c r="BM486"/>
      <c r="BN486" s="19"/>
      <c r="BO486"/>
      <c r="BP486"/>
      <c r="BQ486"/>
      <c r="BR486"/>
      <c r="BS486"/>
      <c r="BT486"/>
      <c r="BU486"/>
      <c r="BV486"/>
      <c r="BW486"/>
      <c r="BX486"/>
      <c r="BY486"/>
      <c r="BZ486"/>
      <c r="CA486"/>
      <c r="CB486"/>
      <c r="CC486"/>
      <c r="CD486"/>
      <c r="CE486"/>
      <c r="CF486"/>
      <c r="CG486"/>
      <c r="CH486"/>
      <c r="CI486"/>
      <c r="CJ486"/>
      <c r="CK486"/>
      <c r="CL486"/>
      <c r="CM486" s="20"/>
      <c r="CN486" s="20"/>
      <c r="CO486" s="20"/>
      <c r="CP486" s="20"/>
      <c r="CQ486" s="20"/>
      <c r="CR486" s="20"/>
      <c r="CS486" s="20"/>
      <c r="CT486" s="20"/>
      <c r="CU486" s="20"/>
      <c r="CV486" s="20"/>
      <c r="CW486" s="20"/>
      <c r="CX486" s="20"/>
      <c r="CY486" s="20"/>
    </row>
    <row r="487" spans="1:103" s="6" customFormat="1">
      <c r="A487"/>
      <c r="B487"/>
      <c r="C487"/>
      <c r="D487"/>
      <c r="E487"/>
      <c r="F487"/>
      <c r="G487"/>
      <c r="H487"/>
      <c r="I487"/>
      <c r="J487"/>
      <c r="N487" s="7"/>
      <c r="O487"/>
      <c r="P487" s="10"/>
      <c r="Q487" s="9"/>
      <c r="R487" s="10"/>
      <c r="S487" s="10"/>
      <c r="AA487" s="11"/>
      <c r="AD487"/>
      <c r="AE487"/>
      <c r="AF487"/>
      <c r="AG487"/>
      <c r="AH487" s="46"/>
      <c r="AI487"/>
      <c r="AJ487"/>
      <c r="AK487"/>
      <c r="AL487"/>
      <c r="AM487"/>
      <c r="AN487"/>
      <c r="AO487"/>
      <c r="AP487"/>
      <c r="AQ487"/>
      <c r="AR487"/>
      <c r="AS487"/>
      <c r="AT487" s="14"/>
      <c r="AU487"/>
      <c r="AV487"/>
      <c r="AW487"/>
      <c r="AX487" s="10"/>
      <c r="AY487" s="20"/>
      <c r="AZ487" s="16"/>
      <c r="BA487"/>
      <c r="BB487"/>
      <c r="BC487" s="16"/>
      <c r="BD487"/>
      <c r="BE487"/>
      <c r="BF487"/>
      <c r="BG487"/>
      <c r="BH487"/>
      <c r="BI487"/>
      <c r="BJ487"/>
      <c r="BK487"/>
      <c r="BL487"/>
      <c r="BM487"/>
      <c r="BN487" s="19"/>
      <c r="BO487"/>
      <c r="BP487"/>
      <c r="BQ487"/>
      <c r="BR487"/>
      <c r="BS487"/>
      <c r="BT487"/>
      <c r="BU487"/>
      <c r="BV487"/>
      <c r="BW487"/>
      <c r="BX487"/>
      <c r="BY487"/>
      <c r="BZ487"/>
      <c r="CA487"/>
      <c r="CB487"/>
      <c r="CC487"/>
      <c r="CD487"/>
      <c r="CE487"/>
      <c r="CF487"/>
      <c r="CG487"/>
      <c r="CH487"/>
      <c r="CI487"/>
      <c r="CJ487"/>
      <c r="CK487"/>
      <c r="CL487"/>
      <c r="CM487" s="20"/>
      <c r="CN487" s="20"/>
      <c r="CO487" s="20"/>
      <c r="CP487" s="20"/>
      <c r="CQ487" s="20"/>
      <c r="CR487" s="20"/>
      <c r="CS487" s="20"/>
      <c r="CT487" s="20"/>
      <c r="CU487" s="20"/>
      <c r="CV487" s="20"/>
      <c r="CW487" s="20"/>
      <c r="CX487" s="20"/>
      <c r="CY487" s="20"/>
    </row>
    <row r="488" spans="1:103" s="6" customFormat="1">
      <c r="A488"/>
      <c r="B488"/>
      <c r="C488"/>
      <c r="D488"/>
      <c r="E488"/>
      <c r="F488"/>
      <c r="G488"/>
      <c r="H488"/>
      <c r="I488"/>
      <c r="J488"/>
      <c r="N488" s="7"/>
      <c r="O488"/>
      <c r="P488" s="10"/>
      <c r="Q488" s="9"/>
      <c r="R488" s="10"/>
      <c r="S488" s="10"/>
      <c r="AA488" s="11"/>
      <c r="AD488"/>
      <c r="AE488"/>
      <c r="AF488"/>
      <c r="AG488"/>
      <c r="AH488" s="46"/>
      <c r="AI488"/>
      <c r="AJ488"/>
      <c r="AK488"/>
      <c r="AL488"/>
      <c r="AM488"/>
      <c r="AN488"/>
      <c r="AO488"/>
      <c r="AP488"/>
      <c r="AQ488"/>
      <c r="AR488"/>
      <c r="AS488"/>
      <c r="AT488" s="14"/>
      <c r="AU488"/>
      <c r="AV488"/>
      <c r="AW488"/>
      <c r="AX488" s="10"/>
      <c r="AY488" s="20"/>
      <c r="AZ488" s="16"/>
      <c r="BA488"/>
      <c r="BB488"/>
      <c r="BC488" s="16"/>
      <c r="BD488"/>
      <c r="BE488"/>
      <c r="BF488"/>
      <c r="BG488"/>
      <c r="BH488"/>
      <c r="BI488"/>
      <c r="BJ488"/>
      <c r="BK488"/>
      <c r="BL488"/>
      <c r="BM488"/>
      <c r="BN488" s="19"/>
      <c r="BO488"/>
      <c r="BP488"/>
      <c r="BQ488"/>
      <c r="BR488"/>
      <c r="BS488"/>
      <c r="BT488"/>
      <c r="BU488"/>
      <c r="BV488"/>
      <c r="BW488"/>
      <c r="BX488"/>
      <c r="BY488"/>
      <c r="BZ488"/>
      <c r="CA488"/>
      <c r="CB488"/>
      <c r="CC488"/>
      <c r="CD488"/>
      <c r="CE488"/>
      <c r="CF488"/>
      <c r="CG488"/>
      <c r="CH488"/>
      <c r="CI488"/>
      <c r="CJ488"/>
      <c r="CK488"/>
      <c r="CL488"/>
      <c r="CM488" s="20"/>
      <c r="CN488" s="20"/>
      <c r="CO488" s="20"/>
      <c r="CP488" s="20"/>
      <c r="CQ488" s="20"/>
      <c r="CR488" s="20"/>
      <c r="CS488" s="20"/>
      <c r="CT488" s="20"/>
      <c r="CU488" s="20"/>
      <c r="CV488" s="20"/>
      <c r="CW488" s="20"/>
      <c r="CX488" s="20"/>
      <c r="CY488" s="20"/>
    </row>
    <row r="489" spans="1:103" s="6" customFormat="1">
      <c r="A489"/>
      <c r="B489"/>
      <c r="C489"/>
      <c r="D489"/>
      <c r="E489"/>
      <c r="F489"/>
      <c r="G489"/>
      <c r="H489"/>
      <c r="I489"/>
      <c r="J489"/>
      <c r="N489" s="7"/>
      <c r="O489"/>
      <c r="P489" s="10"/>
      <c r="Q489" s="9"/>
      <c r="R489" s="10"/>
      <c r="S489" s="10"/>
      <c r="AA489" s="11"/>
      <c r="AD489"/>
      <c r="AE489"/>
      <c r="AF489"/>
      <c r="AG489"/>
      <c r="AH489" s="46"/>
      <c r="AI489"/>
      <c r="AJ489"/>
      <c r="AK489"/>
      <c r="AL489"/>
      <c r="AM489"/>
      <c r="AN489"/>
      <c r="AO489"/>
      <c r="AP489"/>
      <c r="AQ489"/>
      <c r="AR489"/>
      <c r="AS489"/>
      <c r="AT489" s="14"/>
      <c r="AU489"/>
      <c r="AV489"/>
      <c r="AW489"/>
      <c r="AX489" s="10"/>
      <c r="AY489" s="20"/>
      <c r="AZ489" s="16"/>
      <c r="BA489"/>
      <c r="BB489"/>
      <c r="BC489" s="16"/>
      <c r="BD489"/>
      <c r="BE489"/>
      <c r="BF489"/>
      <c r="BG489"/>
      <c r="BH489"/>
      <c r="BI489"/>
      <c r="BJ489"/>
      <c r="BK489"/>
      <c r="BL489"/>
      <c r="BM489"/>
      <c r="BN489" s="19"/>
      <c r="BO489"/>
      <c r="BP489"/>
      <c r="BQ489"/>
      <c r="BR489"/>
      <c r="BS489"/>
      <c r="BT489"/>
      <c r="BU489"/>
      <c r="BV489"/>
      <c r="BW489"/>
      <c r="BX489"/>
      <c r="BY489"/>
      <c r="BZ489"/>
      <c r="CA489"/>
      <c r="CB489"/>
      <c r="CC489"/>
      <c r="CD489"/>
      <c r="CE489"/>
      <c r="CF489"/>
      <c r="CG489"/>
      <c r="CH489"/>
      <c r="CI489"/>
      <c r="CJ489"/>
      <c r="CK489"/>
      <c r="CL489"/>
      <c r="CM489" s="20"/>
      <c r="CN489" s="20"/>
      <c r="CO489" s="20"/>
      <c r="CP489" s="20"/>
      <c r="CQ489" s="20"/>
      <c r="CR489" s="20"/>
      <c r="CS489" s="20"/>
      <c r="CT489" s="20"/>
      <c r="CU489" s="20"/>
      <c r="CV489" s="20"/>
      <c r="CW489" s="20"/>
      <c r="CX489" s="20"/>
      <c r="CY489" s="20"/>
    </row>
    <row r="490" spans="1:103" s="6" customFormat="1">
      <c r="A490"/>
      <c r="B490"/>
      <c r="C490"/>
      <c r="D490"/>
      <c r="E490"/>
      <c r="F490"/>
      <c r="G490"/>
      <c r="H490"/>
      <c r="I490"/>
      <c r="J490"/>
      <c r="N490" s="7"/>
      <c r="O490"/>
      <c r="P490" s="10"/>
      <c r="Q490" s="9"/>
      <c r="R490" s="10"/>
      <c r="S490" s="10"/>
      <c r="AA490" s="11"/>
      <c r="AD490"/>
      <c r="AE490"/>
      <c r="AF490"/>
      <c r="AG490"/>
      <c r="AH490" s="46"/>
      <c r="AI490"/>
      <c r="AJ490"/>
      <c r="AK490"/>
      <c r="AL490"/>
      <c r="AM490"/>
      <c r="AN490"/>
      <c r="AO490"/>
      <c r="AP490"/>
      <c r="AQ490"/>
      <c r="AR490"/>
      <c r="AS490"/>
      <c r="AT490" s="14"/>
      <c r="AU490"/>
      <c r="AV490"/>
      <c r="AW490"/>
      <c r="AX490" s="10"/>
      <c r="AY490" s="20"/>
      <c r="AZ490" s="16"/>
      <c r="BA490"/>
      <c r="BB490"/>
      <c r="BC490" s="16"/>
      <c r="BD490"/>
      <c r="BE490"/>
      <c r="BF490"/>
      <c r="BG490"/>
      <c r="BH490"/>
      <c r="BI490"/>
      <c r="BJ490"/>
      <c r="BK490"/>
      <c r="BL490"/>
      <c r="BM490"/>
      <c r="BN490" s="19"/>
      <c r="BO490"/>
      <c r="BP490"/>
      <c r="BQ490"/>
      <c r="BR490"/>
      <c r="BS490"/>
      <c r="BT490"/>
      <c r="BU490"/>
      <c r="BV490"/>
      <c r="BW490"/>
      <c r="BX490"/>
      <c r="BY490"/>
      <c r="BZ490"/>
      <c r="CA490"/>
      <c r="CB490"/>
      <c r="CC490"/>
      <c r="CD490"/>
      <c r="CE490"/>
      <c r="CF490"/>
      <c r="CG490"/>
      <c r="CH490"/>
      <c r="CI490"/>
      <c r="CJ490"/>
      <c r="CK490"/>
      <c r="CL490"/>
      <c r="CM490" s="20"/>
      <c r="CN490" s="20"/>
      <c r="CO490" s="20"/>
      <c r="CP490" s="20"/>
      <c r="CQ490" s="20"/>
      <c r="CR490" s="20"/>
      <c r="CS490" s="20"/>
      <c r="CT490" s="20"/>
      <c r="CU490" s="20"/>
      <c r="CV490" s="20"/>
      <c r="CW490" s="20"/>
      <c r="CX490" s="20"/>
      <c r="CY490" s="20"/>
    </row>
    <row r="491" spans="1:103" s="6" customFormat="1">
      <c r="A491"/>
      <c r="B491"/>
      <c r="C491"/>
      <c r="D491"/>
      <c r="E491"/>
      <c r="F491"/>
      <c r="G491"/>
      <c r="H491"/>
      <c r="I491"/>
      <c r="J491"/>
      <c r="N491" s="7"/>
      <c r="O491"/>
      <c r="P491" s="10"/>
      <c r="Q491" s="9"/>
      <c r="R491" s="10"/>
      <c r="S491" s="10"/>
      <c r="AA491" s="11"/>
      <c r="AD491"/>
      <c r="AE491"/>
      <c r="AF491"/>
      <c r="AG491"/>
      <c r="AH491" s="46"/>
      <c r="AI491"/>
      <c r="AJ491"/>
      <c r="AK491"/>
      <c r="AL491"/>
      <c r="AM491"/>
      <c r="AN491"/>
      <c r="AO491"/>
      <c r="AP491"/>
      <c r="AQ491"/>
      <c r="AR491"/>
      <c r="AS491"/>
      <c r="AT491" s="14"/>
      <c r="AU491"/>
      <c r="AV491"/>
      <c r="AW491"/>
      <c r="AX491" s="10"/>
      <c r="AY491" s="20"/>
      <c r="AZ491" s="16"/>
      <c r="BA491"/>
      <c r="BB491"/>
      <c r="BC491" s="16"/>
      <c r="BD491"/>
      <c r="BE491"/>
      <c r="BF491"/>
      <c r="BG491"/>
      <c r="BH491"/>
      <c r="BI491"/>
      <c r="BJ491"/>
      <c r="BK491"/>
      <c r="BL491"/>
      <c r="BM491"/>
      <c r="BN491" s="19"/>
      <c r="BO491"/>
      <c r="BP491"/>
      <c r="BQ491"/>
      <c r="BR491"/>
      <c r="BS491"/>
      <c r="BT491"/>
      <c r="BU491"/>
      <c r="BV491"/>
      <c r="BW491"/>
      <c r="BX491"/>
      <c r="BY491"/>
      <c r="BZ491"/>
      <c r="CA491"/>
      <c r="CB491"/>
      <c r="CC491"/>
      <c r="CD491"/>
      <c r="CE491"/>
      <c r="CF491"/>
      <c r="CG491"/>
      <c r="CH491"/>
      <c r="CI491"/>
      <c r="CJ491"/>
      <c r="CK491"/>
      <c r="CL491"/>
      <c r="CM491" s="20"/>
      <c r="CN491" s="20"/>
      <c r="CO491" s="20"/>
      <c r="CP491" s="20"/>
      <c r="CQ491" s="20"/>
      <c r="CR491" s="20"/>
      <c r="CS491" s="20"/>
      <c r="CT491" s="20"/>
      <c r="CU491" s="20"/>
      <c r="CV491" s="20"/>
      <c r="CW491" s="20"/>
      <c r="CX491" s="20"/>
      <c r="CY491" s="20"/>
    </row>
    <row r="492" spans="1:103" s="6" customFormat="1">
      <c r="A492"/>
      <c r="B492"/>
      <c r="C492"/>
      <c r="D492"/>
      <c r="E492"/>
      <c r="F492"/>
      <c r="G492"/>
      <c r="H492"/>
      <c r="I492"/>
      <c r="J492"/>
      <c r="N492" s="7"/>
      <c r="O492"/>
      <c r="P492" s="10"/>
      <c r="Q492" s="9"/>
      <c r="R492" s="10"/>
      <c r="S492" s="10"/>
      <c r="AA492" s="11"/>
      <c r="AD492"/>
      <c r="AE492"/>
      <c r="AF492"/>
      <c r="AG492"/>
      <c r="AH492" s="46"/>
      <c r="AI492"/>
      <c r="AJ492"/>
      <c r="AK492"/>
      <c r="AL492"/>
      <c r="AM492"/>
      <c r="AN492"/>
      <c r="AO492"/>
      <c r="AP492"/>
      <c r="AQ492"/>
      <c r="AR492"/>
      <c r="AS492"/>
      <c r="AT492" s="14"/>
      <c r="AU492"/>
      <c r="AV492"/>
      <c r="AW492"/>
      <c r="AX492" s="10"/>
      <c r="AY492" s="20"/>
      <c r="AZ492" s="16"/>
      <c r="BA492"/>
      <c r="BB492"/>
      <c r="BC492" s="16"/>
      <c r="BD492"/>
      <c r="BE492"/>
      <c r="BF492"/>
      <c r="BG492"/>
      <c r="BH492"/>
      <c r="BI492"/>
      <c r="BJ492"/>
      <c r="BK492"/>
      <c r="BL492"/>
      <c r="BM492"/>
      <c r="BN492" s="19"/>
      <c r="BO492"/>
      <c r="BP492"/>
      <c r="BQ492"/>
      <c r="BR492"/>
      <c r="BS492"/>
      <c r="BT492"/>
      <c r="BU492"/>
      <c r="BV492"/>
      <c r="BW492"/>
      <c r="BX492"/>
      <c r="BY492"/>
      <c r="BZ492"/>
      <c r="CA492"/>
      <c r="CB492"/>
      <c r="CC492"/>
      <c r="CD492"/>
      <c r="CE492"/>
      <c r="CF492"/>
      <c r="CG492"/>
      <c r="CH492"/>
      <c r="CI492"/>
      <c r="CJ492"/>
      <c r="CK492"/>
      <c r="CL492"/>
      <c r="CM492" s="20"/>
      <c r="CN492" s="20"/>
      <c r="CO492" s="20"/>
      <c r="CP492" s="20"/>
      <c r="CQ492" s="20"/>
      <c r="CR492" s="20"/>
      <c r="CS492" s="20"/>
      <c r="CT492" s="20"/>
      <c r="CU492" s="20"/>
      <c r="CV492" s="20"/>
      <c r="CW492" s="20"/>
      <c r="CX492" s="20"/>
      <c r="CY492" s="20"/>
    </row>
    <row r="493" spans="1:103" s="6" customFormat="1">
      <c r="A493"/>
      <c r="B493"/>
      <c r="C493"/>
      <c r="D493"/>
      <c r="E493"/>
      <c r="F493"/>
      <c r="G493"/>
      <c r="H493"/>
      <c r="I493"/>
      <c r="J493"/>
      <c r="N493" s="7"/>
      <c r="O493"/>
      <c r="P493" s="10"/>
      <c r="Q493" s="9"/>
      <c r="R493" s="10"/>
      <c r="S493" s="10"/>
      <c r="AA493" s="11"/>
      <c r="AD493"/>
      <c r="AE493"/>
      <c r="AF493"/>
      <c r="AG493"/>
      <c r="AH493" s="46"/>
      <c r="AI493"/>
      <c r="AJ493"/>
      <c r="AK493"/>
      <c r="AL493"/>
      <c r="AM493"/>
      <c r="AN493"/>
      <c r="AO493"/>
      <c r="AP493"/>
      <c r="AQ493"/>
      <c r="AR493"/>
      <c r="AS493"/>
      <c r="AT493" s="14"/>
      <c r="AU493"/>
      <c r="AV493"/>
      <c r="AW493"/>
      <c r="AX493" s="10"/>
      <c r="AY493" s="20"/>
      <c r="AZ493" s="16"/>
      <c r="BA493"/>
      <c r="BB493"/>
      <c r="BC493" s="16"/>
      <c r="BD493"/>
      <c r="BE493"/>
      <c r="BF493"/>
      <c r="BG493"/>
      <c r="BH493"/>
      <c r="BI493"/>
      <c r="BJ493"/>
      <c r="BK493"/>
      <c r="BL493"/>
      <c r="BM493"/>
      <c r="BN493" s="19"/>
      <c r="BO493"/>
      <c r="BP493"/>
      <c r="BQ493"/>
      <c r="BR493"/>
      <c r="BS493"/>
      <c r="BT493"/>
      <c r="BU493"/>
      <c r="BV493"/>
      <c r="BW493"/>
      <c r="BX493"/>
      <c r="BY493"/>
      <c r="BZ493"/>
      <c r="CA493"/>
      <c r="CB493"/>
      <c r="CC493"/>
      <c r="CD493"/>
      <c r="CE493"/>
      <c r="CF493"/>
      <c r="CG493"/>
      <c r="CH493"/>
      <c r="CI493"/>
      <c r="CJ493"/>
      <c r="CK493"/>
      <c r="CL493"/>
      <c r="CM493" s="20"/>
      <c r="CN493" s="20"/>
      <c r="CO493" s="20"/>
      <c r="CP493" s="20"/>
      <c r="CQ493" s="20"/>
      <c r="CR493" s="20"/>
      <c r="CS493" s="20"/>
      <c r="CT493" s="20"/>
      <c r="CU493" s="20"/>
      <c r="CV493" s="20"/>
      <c r="CW493" s="20"/>
      <c r="CX493" s="20"/>
      <c r="CY493" s="20"/>
    </row>
    <row r="494" spans="1:103" s="6" customFormat="1">
      <c r="A494"/>
      <c r="B494"/>
      <c r="C494"/>
      <c r="D494"/>
      <c r="E494"/>
      <c r="F494"/>
      <c r="G494"/>
      <c r="H494"/>
      <c r="I494"/>
      <c r="J494"/>
      <c r="N494" s="7"/>
      <c r="O494"/>
      <c r="P494" s="10"/>
      <c r="Q494" s="9"/>
      <c r="R494" s="10"/>
      <c r="S494" s="10"/>
      <c r="AA494" s="11"/>
      <c r="AD494"/>
      <c r="AE494"/>
      <c r="AF494"/>
      <c r="AG494"/>
      <c r="AH494" s="46"/>
      <c r="AI494"/>
      <c r="AJ494"/>
      <c r="AK494"/>
      <c r="AL494"/>
      <c r="AM494"/>
      <c r="AN494"/>
      <c r="AO494"/>
      <c r="AP494"/>
      <c r="AQ494"/>
      <c r="AR494"/>
      <c r="AS494"/>
      <c r="AT494" s="14"/>
      <c r="AU494"/>
      <c r="AV494"/>
      <c r="AW494"/>
      <c r="AX494" s="10"/>
      <c r="AY494" s="20"/>
      <c r="AZ494" s="16"/>
      <c r="BA494"/>
      <c r="BB494"/>
      <c r="BC494" s="16"/>
      <c r="BD494"/>
      <c r="BE494"/>
      <c r="BF494"/>
      <c r="BG494"/>
      <c r="BH494"/>
      <c r="BI494"/>
      <c r="BJ494"/>
      <c r="BK494"/>
      <c r="BL494"/>
      <c r="BM494"/>
      <c r="BN494" s="19"/>
      <c r="BO494"/>
      <c r="BP494"/>
      <c r="BQ494"/>
      <c r="BR494"/>
      <c r="BS494"/>
      <c r="BT494"/>
      <c r="BU494"/>
      <c r="BV494"/>
      <c r="BW494"/>
      <c r="BX494"/>
      <c r="BY494"/>
      <c r="BZ494"/>
      <c r="CA494"/>
      <c r="CB494"/>
      <c r="CC494"/>
      <c r="CD494"/>
      <c r="CE494"/>
      <c r="CF494"/>
      <c r="CG494"/>
      <c r="CH494"/>
      <c r="CI494"/>
      <c r="CJ494"/>
      <c r="CK494"/>
      <c r="CL494"/>
      <c r="CM494" s="20"/>
      <c r="CN494" s="20"/>
      <c r="CO494" s="20"/>
      <c r="CP494" s="20"/>
      <c r="CQ494" s="20"/>
      <c r="CR494" s="20"/>
      <c r="CS494" s="20"/>
      <c r="CT494" s="20"/>
      <c r="CU494" s="20"/>
      <c r="CV494" s="20"/>
      <c r="CW494" s="20"/>
      <c r="CX494" s="20"/>
      <c r="CY494" s="20"/>
    </row>
    <row r="495" spans="1:103" s="6" customFormat="1">
      <c r="A495"/>
      <c r="B495"/>
      <c r="C495"/>
      <c r="D495"/>
      <c r="E495"/>
      <c r="F495"/>
      <c r="G495"/>
      <c r="H495"/>
      <c r="I495"/>
      <c r="J495"/>
      <c r="N495" s="7"/>
      <c r="O495"/>
      <c r="P495" s="10"/>
      <c r="Q495" s="9"/>
      <c r="R495" s="10"/>
      <c r="S495" s="10"/>
      <c r="AA495" s="11"/>
      <c r="AD495"/>
      <c r="AE495"/>
      <c r="AF495"/>
      <c r="AG495"/>
      <c r="AH495" s="46"/>
      <c r="AI495"/>
      <c r="AJ495"/>
      <c r="AK495"/>
      <c r="AL495"/>
      <c r="AM495"/>
      <c r="AN495"/>
      <c r="AO495"/>
      <c r="AP495"/>
      <c r="AQ495"/>
      <c r="AR495"/>
      <c r="AS495"/>
      <c r="AT495" s="14"/>
      <c r="AU495"/>
      <c r="AV495"/>
      <c r="AW495"/>
      <c r="AX495" s="10"/>
      <c r="AY495" s="20"/>
      <c r="AZ495" s="16"/>
      <c r="BA495"/>
      <c r="BB495"/>
      <c r="BC495" s="16"/>
      <c r="BD495"/>
      <c r="BE495"/>
      <c r="BF495"/>
      <c r="BG495"/>
      <c r="BH495"/>
      <c r="BI495"/>
      <c r="BJ495"/>
      <c r="BK495"/>
      <c r="BL495"/>
      <c r="BM495"/>
      <c r="BN495" s="19"/>
      <c r="BO495"/>
      <c r="BP495"/>
      <c r="BQ495"/>
      <c r="BR495"/>
      <c r="BS495"/>
      <c r="BT495"/>
      <c r="BU495"/>
      <c r="BV495"/>
      <c r="BW495"/>
      <c r="BX495"/>
      <c r="BY495"/>
      <c r="BZ495"/>
      <c r="CA495"/>
      <c r="CB495"/>
      <c r="CC495"/>
      <c r="CD495"/>
      <c r="CE495"/>
      <c r="CF495"/>
      <c r="CG495"/>
      <c r="CH495"/>
      <c r="CI495"/>
      <c r="CJ495"/>
      <c r="CK495"/>
      <c r="CL495"/>
      <c r="CM495" s="20"/>
      <c r="CN495" s="20"/>
      <c r="CO495" s="20"/>
      <c r="CP495" s="20"/>
      <c r="CQ495" s="20"/>
      <c r="CR495" s="20"/>
      <c r="CS495" s="20"/>
      <c r="CT495" s="20"/>
      <c r="CU495" s="20"/>
      <c r="CV495" s="20"/>
      <c r="CW495" s="20"/>
      <c r="CX495" s="20"/>
      <c r="CY495" s="20"/>
    </row>
    <row r="496" spans="1:103" s="6" customFormat="1">
      <c r="A496"/>
      <c r="B496"/>
      <c r="C496"/>
      <c r="D496"/>
      <c r="E496"/>
      <c r="F496"/>
      <c r="G496"/>
      <c r="H496"/>
      <c r="I496"/>
      <c r="J496"/>
      <c r="N496" s="7"/>
      <c r="O496"/>
      <c r="P496" s="10"/>
      <c r="Q496" s="9"/>
      <c r="R496" s="10"/>
      <c r="S496" s="10"/>
      <c r="AA496" s="11"/>
      <c r="AD496"/>
      <c r="AE496"/>
      <c r="AF496"/>
      <c r="AG496"/>
      <c r="AH496" s="46"/>
      <c r="AI496"/>
      <c r="AJ496"/>
      <c r="AK496"/>
      <c r="AL496"/>
      <c r="AM496"/>
      <c r="AN496"/>
      <c r="AO496"/>
      <c r="AP496"/>
      <c r="AQ496"/>
      <c r="AR496"/>
      <c r="AS496"/>
      <c r="AT496" s="14"/>
      <c r="AU496"/>
      <c r="AV496"/>
      <c r="AW496"/>
      <c r="AX496" s="10"/>
      <c r="AY496" s="20"/>
      <c r="AZ496" s="16"/>
      <c r="BA496"/>
      <c r="BB496"/>
      <c r="BC496" s="16"/>
      <c r="BD496"/>
      <c r="BE496"/>
      <c r="BF496"/>
      <c r="BG496"/>
      <c r="BH496"/>
      <c r="BI496"/>
      <c r="BJ496"/>
      <c r="BK496"/>
      <c r="BL496"/>
      <c r="BM496"/>
      <c r="BN496" s="19"/>
      <c r="BO496"/>
      <c r="BP496"/>
      <c r="BQ496"/>
      <c r="BR496"/>
      <c r="BS496"/>
      <c r="BT496"/>
      <c r="BU496"/>
      <c r="BV496"/>
      <c r="BW496"/>
      <c r="BX496"/>
      <c r="BY496"/>
      <c r="BZ496"/>
      <c r="CA496"/>
      <c r="CB496"/>
      <c r="CC496"/>
      <c r="CD496"/>
      <c r="CE496"/>
      <c r="CF496"/>
      <c r="CG496"/>
      <c r="CH496"/>
      <c r="CI496"/>
      <c r="CJ496"/>
      <c r="CK496"/>
      <c r="CL496"/>
      <c r="CM496" s="20"/>
      <c r="CN496" s="20"/>
      <c r="CO496" s="20"/>
      <c r="CP496" s="20"/>
      <c r="CQ496" s="20"/>
      <c r="CR496" s="20"/>
      <c r="CS496" s="20"/>
      <c r="CT496" s="20"/>
      <c r="CU496" s="20"/>
      <c r="CV496" s="20"/>
      <c r="CW496" s="20"/>
      <c r="CX496" s="20"/>
      <c r="CY496" s="20"/>
    </row>
    <row r="497" spans="1:103" s="6" customFormat="1">
      <c r="A497"/>
      <c r="B497"/>
      <c r="C497"/>
      <c r="D497"/>
      <c r="E497"/>
      <c r="F497"/>
      <c r="G497"/>
      <c r="H497"/>
      <c r="I497"/>
      <c r="J497"/>
      <c r="N497" s="7"/>
      <c r="O497"/>
      <c r="P497" s="10"/>
      <c r="Q497" s="9"/>
      <c r="R497" s="10"/>
      <c r="S497" s="10"/>
      <c r="AA497" s="11"/>
      <c r="AD497"/>
      <c r="AE497"/>
      <c r="AF497"/>
      <c r="AG497"/>
      <c r="AH497" s="46"/>
      <c r="AI497"/>
      <c r="AJ497"/>
      <c r="AK497"/>
      <c r="AL497"/>
      <c r="AM497"/>
      <c r="AN497"/>
      <c r="AO497"/>
      <c r="AP497"/>
      <c r="AQ497"/>
      <c r="AR497"/>
      <c r="AS497"/>
      <c r="AT497" s="14"/>
      <c r="AU497"/>
      <c r="AV497"/>
      <c r="AW497"/>
      <c r="AX497" s="10"/>
      <c r="AY497" s="20"/>
      <c r="AZ497" s="16"/>
      <c r="BA497"/>
      <c r="BB497"/>
      <c r="BC497" s="16"/>
      <c r="BD497"/>
      <c r="BE497"/>
      <c r="BF497"/>
      <c r="BG497"/>
      <c r="BH497"/>
      <c r="BI497"/>
      <c r="BJ497"/>
      <c r="BK497"/>
      <c r="BL497"/>
      <c r="BM497"/>
      <c r="BN497" s="19"/>
      <c r="BO497"/>
      <c r="BP497"/>
      <c r="BQ497"/>
      <c r="BR497"/>
      <c r="BS497"/>
      <c r="BT497"/>
      <c r="BU497"/>
      <c r="BV497"/>
      <c r="BW497"/>
      <c r="BX497"/>
      <c r="BY497"/>
      <c r="BZ497"/>
      <c r="CA497"/>
      <c r="CB497"/>
      <c r="CC497"/>
      <c r="CD497"/>
      <c r="CE497"/>
      <c r="CF497"/>
      <c r="CG497"/>
      <c r="CH497"/>
      <c r="CI497"/>
      <c r="CJ497"/>
      <c r="CK497"/>
      <c r="CL497"/>
      <c r="CM497" s="20"/>
      <c r="CN497" s="20"/>
      <c r="CO497" s="20"/>
      <c r="CP497" s="20"/>
      <c r="CQ497" s="20"/>
      <c r="CR497" s="20"/>
      <c r="CS497" s="20"/>
      <c r="CT497" s="20"/>
      <c r="CU497" s="20"/>
      <c r="CV497" s="20"/>
      <c r="CW497" s="20"/>
      <c r="CX497" s="20"/>
      <c r="CY497" s="20"/>
    </row>
    <row r="498" spans="1:103" s="6" customFormat="1">
      <c r="A498"/>
      <c r="B498"/>
      <c r="C498"/>
      <c r="D498"/>
      <c r="E498"/>
      <c r="F498"/>
      <c r="G498"/>
      <c r="H498"/>
      <c r="I498"/>
      <c r="J498"/>
      <c r="N498" s="7"/>
      <c r="O498"/>
      <c r="P498" s="10"/>
      <c r="Q498" s="9"/>
      <c r="R498" s="10"/>
      <c r="S498" s="10"/>
      <c r="AA498" s="11"/>
      <c r="AD498"/>
      <c r="AE498"/>
      <c r="AF498"/>
      <c r="AG498"/>
      <c r="AH498" s="46"/>
      <c r="AI498"/>
      <c r="AJ498"/>
      <c r="AK498"/>
      <c r="AL498"/>
      <c r="AM498"/>
      <c r="AN498"/>
      <c r="AO498"/>
      <c r="AP498"/>
      <c r="AQ498"/>
      <c r="AR498"/>
      <c r="AS498"/>
      <c r="AT498" s="14"/>
      <c r="AU498"/>
      <c r="AV498"/>
      <c r="AW498"/>
      <c r="AX498" s="10"/>
      <c r="AY498" s="20"/>
      <c r="AZ498" s="16"/>
      <c r="BA498"/>
      <c r="BB498"/>
      <c r="BC498" s="16"/>
      <c r="BD498"/>
      <c r="BE498"/>
      <c r="BF498"/>
      <c r="BG498"/>
      <c r="BH498"/>
      <c r="BI498"/>
      <c r="BJ498"/>
      <c r="BK498"/>
      <c r="BL498"/>
      <c r="BM498"/>
      <c r="BN498" s="19"/>
      <c r="BO498"/>
      <c r="BP498"/>
      <c r="BQ498"/>
      <c r="BR498"/>
      <c r="BS498"/>
      <c r="BT498"/>
      <c r="BU498"/>
      <c r="BV498"/>
      <c r="BW498"/>
      <c r="BX498"/>
      <c r="BY498"/>
      <c r="BZ498"/>
      <c r="CA498"/>
      <c r="CB498"/>
      <c r="CC498"/>
      <c r="CD498"/>
      <c r="CE498"/>
      <c r="CF498"/>
      <c r="CG498"/>
      <c r="CH498"/>
      <c r="CI498"/>
      <c r="CJ498"/>
      <c r="CK498"/>
      <c r="CL498"/>
      <c r="CM498" s="20"/>
      <c r="CN498" s="20"/>
      <c r="CO498" s="20"/>
      <c r="CP498" s="20"/>
      <c r="CQ498" s="20"/>
      <c r="CR498" s="20"/>
      <c r="CS498" s="20"/>
      <c r="CT498" s="20"/>
      <c r="CU498" s="20"/>
      <c r="CV498" s="20"/>
      <c r="CW498" s="20"/>
      <c r="CX498" s="20"/>
      <c r="CY498" s="20"/>
    </row>
    <row r="499" spans="1:103" s="6" customFormat="1">
      <c r="A499"/>
      <c r="B499"/>
      <c r="C499"/>
      <c r="D499"/>
      <c r="E499"/>
      <c r="F499"/>
      <c r="G499"/>
      <c r="H499"/>
      <c r="I499"/>
      <c r="J499"/>
      <c r="N499" s="7"/>
      <c r="O499"/>
      <c r="P499" s="10"/>
      <c r="Q499" s="9"/>
      <c r="R499" s="10"/>
      <c r="S499" s="10"/>
      <c r="AA499" s="11"/>
      <c r="AD499"/>
      <c r="AE499"/>
      <c r="AF499"/>
      <c r="AG499"/>
      <c r="AH499" s="46"/>
      <c r="AI499"/>
      <c r="AJ499"/>
      <c r="AK499"/>
      <c r="AL499"/>
      <c r="AM499"/>
      <c r="AN499"/>
      <c r="AO499"/>
      <c r="AP499"/>
      <c r="AQ499"/>
      <c r="AR499"/>
      <c r="AS499"/>
      <c r="AT499" s="14"/>
      <c r="AU499"/>
      <c r="AV499"/>
      <c r="AW499"/>
      <c r="AX499" s="10"/>
      <c r="AY499" s="20"/>
      <c r="AZ499" s="16"/>
      <c r="BA499"/>
      <c r="BB499"/>
      <c r="BC499" s="16"/>
      <c r="BD499"/>
      <c r="BE499"/>
      <c r="BF499"/>
      <c r="BG499"/>
      <c r="BH499"/>
      <c r="BI499"/>
      <c r="BJ499"/>
      <c r="BK499"/>
      <c r="BL499"/>
      <c r="BM499"/>
      <c r="BN499" s="19"/>
      <c r="BO499"/>
      <c r="BP499"/>
      <c r="BQ499"/>
      <c r="BR499"/>
      <c r="BS499"/>
      <c r="BT499"/>
      <c r="BU499"/>
      <c r="BV499"/>
      <c r="BW499"/>
      <c r="BX499"/>
      <c r="BY499"/>
      <c r="BZ499"/>
      <c r="CA499"/>
      <c r="CB499"/>
      <c r="CC499"/>
      <c r="CD499"/>
      <c r="CE499"/>
      <c r="CF499"/>
      <c r="CG499"/>
      <c r="CH499"/>
      <c r="CI499"/>
      <c r="CJ499"/>
      <c r="CK499"/>
      <c r="CL499"/>
      <c r="CM499" s="20"/>
      <c r="CN499" s="20"/>
      <c r="CO499" s="20"/>
      <c r="CP499" s="20"/>
      <c r="CQ499" s="20"/>
      <c r="CR499" s="20"/>
      <c r="CS499" s="20"/>
      <c r="CT499" s="20"/>
      <c r="CU499" s="20"/>
      <c r="CV499" s="20"/>
      <c r="CW499" s="20"/>
      <c r="CX499" s="20"/>
      <c r="CY499" s="20"/>
    </row>
    <row r="500" spans="1:103" s="6" customFormat="1">
      <c r="A500"/>
      <c r="B500"/>
      <c r="C500"/>
      <c r="D500"/>
      <c r="E500"/>
      <c r="F500"/>
      <c r="G500"/>
      <c r="H500"/>
      <c r="I500"/>
      <c r="J500"/>
      <c r="N500" s="7"/>
      <c r="O500"/>
      <c r="P500" s="10"/>
      <c r="Q500" s="9"/>
      <c r="R500" s="10"/>
      <c r="S500" s="10"/>
      <c r="AA500" s="11"/>
      <c r="AD500"/>
      <c r="AE500"/>
      <c r="AF500"/>
      <c r="AG500"/>
      <c r="AH500" s="46"/>
      <c r="AI500"/>
      <c r="AJ500"/>
      <c r="AK500"/>
      <c r="AL500"/>
      <c r="AM500"/>
      <c r="AN500"/>
      <c r="AO500"/>
      <c r="AP500"/>
      <c r="AQ500"/>
      <c r="AR500"/>
      <c r="AS500"/>
      <c r="AT500" s="14"/>
      <c r="AU500"/>
      <c r="AV500"/>
      <c r="AW500"/>
      <c r="AX500" s="10"/>
      <c r="AY500" s="20"/>
      <c r="AZ500" s="16"/>
      <c r="BA500"/>
      <c r="BB500"/>
      <c r="BC500" s="16"/>
      <c r="BD500"/>
      <c r="BE500"/>
      <c r="BF500"/>
      <c r="BG500"/>
      <c r="BH500"/>
      <c r="BI500"/>
      <c r="BJ500"/>
      <c r="BK500"/>
      <c r="BL500"/>
      <c r="BM500"/>
      <c r="BN500" s="19"/>
      <c r="BO500"/>
      <c r="BP500"/>
      <c r="BQ500"/>
      <c r="BR500"/>
      <c r="BS500"/>
      <c r="BT500"/>
      <c r="BU500"/>
      <c r="BV500"/>
      <c r="BW500"/>
      <c r="BX500"/>
      <c r="BY500"/>
      <c r="BZ500"/>
      <c r="CA500"/>
      <c r="CB500"/>
      <c r="CC500"/>
      <c r="CD500"/>
      <c r="CE500"/>
      <c r="CF500"/>
      <c r="CG500"/>
      <c r="CH500"/>
      <c r="CI500"/>
      <c r="CJ500"/>
      <c r="CK500"/>
      <c r="CL500"/>
      <c r="CM500" s="20"/>
      <c r="CN500" s="20"/>
      <c r="CO500" s="20"/>
      <c r="CP500" s="20"/>
      <c r="CQ500" s="20"/>
      <c r="CR500" s="20"/>
      <c r="CS500" s="20"/>
      <c r="CT500" s="20"/>
      <c r="CU500" s="20"/>
      <c r="CV500" s="20"/>
      <c r="CW500" s="20"/>
      <c r="CX500" s="20"/>
      <c r="CY500" s="20"/>
    </row>
    <row r="501" spans="1:103" s="6" customFormat="1">
      <c r="A501"/>
      <c r="B501"/>
      <c r="C501"/>
      <c r="D501"/>
      <c r="E501"/>
      <c r="F501"/>
      <c r="G501"/>
      <c r="H501"/>
      <c r="I501"/>
      <c r="J501"/>
      <c r="N501" s="7"/>
      <c r="O501"/>
      <c r="P501" s="10"/>
      <c r="Q501" s="9"/>
      <c r="R501" s="10"/>
      <c r="S501" s="10"/>
      <c r="AA501" s="11"/>
      <c r="AD501"/>
      <c r="AE501"/>
      <c r="AF501"/>
      <c r="AG501"/>
      <c r="AH501" s="46"/>
      <c r="AI501"/>
      <c r="AJ501"/>
      <c r="AK501"/>
      <c r="AL501"/>
      <c r="AM501"/>
      <c r="AN501"/>
      <c r="AO501"/>
      <c r="AP501"/>
      <c r="AQ501"/>
      <c r="AR501"/>
      <c r="AS501"/>
      <c r="AT501" s="14"/>
      <c r="AU501"/>
      <c r="AV501"/>
      <c r="AW501"/>
      <c r="AX501" s="10"/>
      <c r="AY501" s="20"/>
      <c r="AZ501" s="16"/>
      <c r="BA501"/>
      <c r="BB501"/>
      <c r="BC501" s="16"/>
      <c r="BD501"/>
      <c r="BE501"/>
      <c r="BF501"/>
      <c r="BG501"/>
      <c r="BH501"/>
      <c r="BI501"/>
      <c r="BJ501"/>
      <c r="BK501"/>
      <c r="BL501"/>
      <c r="BM501"/>
      <c r="BN501" s="19"/>
      <c r="BO501"/>
      <c r="BP501"/>
      <c r="BQ501"/>
      <c r="BR501"/>
      <c r="BS501"/>
      <c r="BT501"/>
      <c r="BU501"/>
      <c r="BV501"/>
      <c r="BW501"/>
      <c r="BX501"/>
      <c r="BY501"/>
      <c r="BZ501"/>
      <c r="CA501"/>
      <c r="CB501"/>
      <c r="CC501"/>
      <c r="CD501"/>
      <c r="CE501"/>
      <c r="CF501"/>
      <c r="CG501"/>
      <c r="CH501"/>
      <c r="CI501"/>
      <c r="CJ501"/>
      <c r="CK501"/>
      <c r="CL501"/>
      <c r="CM501" s="20"/>
      <c r="CN501" s="20"/>
      <c r="CO501" s="20"/>
      <c r="CP501" s="20"/>
      <c r="CQ501" s="20"/>
      <c r="CR501" s="20"/>
      <c r="CS501" s="20"/>
      <c r="CT501" s="20"/>
      <c r="CU501" s="20"/>
      <c r="CV501" s="20"/>
      <c r="CW501" s="20"/>
      <c r="CX501" s="20"/>
      <c r="CY501" s="20"/>
    </row>
    <row r="502" spans="1:103" s="6" customFormat="1">
      <c r="A502"/>
      <c r="B502"/>
      <c r="C502"/>
      <c r="D502"/>
      <c r="E502"/>
      <c r="F502"/>
      <c r="G502"/>
      <c r="H502"/>
      <c r="I502"/>
      <c r="J502"/>
      <c r="N502" s="7"/>
      <c r="O502"/>
      <c r="P502" s="10"/>
      <c r="Q502" s="9"/>
      <c r="R502" s="10"/>
      <c r="S502" s="10"/>
      <c r="AA502" s="11"/>
      <c r="AD502"/>
      <c r="AE502"/>
      <c r="AF502"/>
      <c r="AG502"/>
      <c r="AH502" s="46"/>
      <c r="AI502"/>
      <c r="AJ502"/>
      <c r="AK502"/>
      <c r="AL502"/>
      <c r="AM502"/>
      <c r="AN502"/>
      <c r="AO502"/>
      <c r="AP502"/>
      <c r="AQ502"/>
      <c r="AR502"/>
      <c r="AS502"/>
      <c r="AT502" s="14"/>
      <c r="AU502"/>
      <c r="AV502"/>
      <c r="AW502"/>
      <c r="AX502" s="10"/>
      <c r="AY502" s="20"/>
      <c r="AZ502" s="16"/>
      <c r="BA502"/>
      <c r="BB502"/>
      <c r="BC502" s="16"/>
      <c r="BD502"/>
      <c r="BE502"/>
      <c r="BF502"/>
      <c r="BG502"/>
      <c r="BH502"/>
      <c r="BI502"/>
      <c r="BJ502"/>
      <c r="BK502"/>
      <c r="BL502"/>
      <c r="BM502"/>
      <c r="BN502" s="19"/>
      <c r="BO502"/>
      <c r="BP502"/>
      <c r="BQ502"/>
      <c r="BR502"/>
      <c r="BS502"/>
      <c r="BT502"/>
      <c r="BU502"/>
      <c r="BV502"/>
      <c r="BW502"/>
      <c r="BX502"/>
      <c r="BY502"/>
      <c r="BZ502"/>
      <c r="CA502"/>
      <c r="CB502"/>
      <c r="CC502"/>
      <c r="CD502"/>
      <c r="CE502"/>
      <c r="CF502"/>
      <c r="CG502"/>
      <c r="CH502"/>
      <c r="CI502"/>
      <c r="CJ502"/>
      <c r="CK502"/>
      <c r="CL502"/>
      <c r="CM502" s="20"/>
      <c r="CN502" s="20"/>
      <c r="CO502" s="20"/>
      <c r="CP502" s="20"/>
      <c r="CQ502" s="20"/>
      <c r="CR502" s="20"/>
      <c r="CS502" s="20"/>
      <c r="CT502" s="20"/>
      <c r="CU502" s="20"/>
      <c r="CV502" s="20"/>
      <c r="CW502" s="20"/>
      <c r="CX502" s="20"/>
      <c r="CY502" s="20"/>
    </row>
    <row r="503" spans="1:103" s="6" customFormat="1">
      <c r="A503"/>
      <c r="B503"/>
      <c r="C503"/>
      <c r="D503"/>
      <c r="E503"/>
      <c r="F503"/>
      <c r="G503"/>
      <c r="H503"/>
      <c r="I503"/>
      <c r="J503"/>
      <c r="N503" s="7"/>
      <c r="O503"/>
      <c r="P503" s="10"/>
      <c r="Q503" s="9"/>
      <c r="R503" s="10"/>
      <c r="S503" s="10"/>
      <c r="AA503" s="11"/>
      <c r="AD503"/>
      <c r="AE503"/>
      <c r="AF503"/>
      <c r="AG503"/>
      <c r="AH503" s="46"/>
      <c r="AI503"/>
      <c r="AJ503"/>
      <c r="AK503"/>
      <c r="AL503"/>
      <c r="AM503"/>
      <c r="AN503"/>
      <c r="AO503"/>
      <c r="AP503"/>
      <c r="AQ503"/>
      <c r="AR503"/>
      <c r="AS503"/>
      <c r="AT503" s="14"/>
      <c r="AU503"/>
      <c r="AV503"/>
      <c r="AW503"/>
      <c r="AX503" s="10"/>
      <c r="AY503" s="20"/>
      <c r="AZ503" s="16"/>
      <c r="BA503"/>
      <c r="BB503"/>
      <c r="BC503" s="16"/>
      <c r="BD503"/>
      <c r="BE503"/>
      <c r="BF503"/>
      <c r="BG503"/>
      <c r="BH503"/>
      <c r="BI503"/>
      <c r="BJ503"/>
      <c r="BK503"/>
      <c r="BL503"/>
      <c r="BM503"/>
      <c r="BN503" s="19"/>
      <c r="BO503"/>
      <c r="BP503"/>
      <c r="BQ503"/>
      <c r="BR503"/>
      <c r="BS503"/>
      <c r="BT503"/>
      <c r="BU503"/>
      <c r="BV503"/>
      <c r="BW503"/>
      <c r="BX503"/>
      <c r="BY503"/>
      <c r="BZ503"/>
      <c r="CA503"/>
      <c r="CB503"/>
      <c r="CC503"/>
      <c r="CD503"/>
      <c r="CE503"/>
      <c r="CF503"/>
      <c r="CG503"/>
      <c r="CH503"/>
      <c r="CI503"/>
      <c r="CJ503"/>
      <c r="CK503"/>
      <c r="CL503"/>
      <c r="CM503" s="20"/>
      <c r="CN503" s="20"/>
      <c r="CO503" s="20"/>
      <c r="CP503" s="20"/>
      <c r="CQ503" s="20"/>
      <c r="CR503" s="20"/>
      <c r="CS503" s="20"/>
      <c r="CT503" s="20"/>
      <c r="CU503" s="20"/>
      <c r="CV503" s="20"/>
      <c r="CW503" s="20"/>
      <c r="CX503" s="20"/>
      <c r="CY503" s="20"/>
    </row>
    <row r="504" spans="1:103" s="6" customFormat="1">
      <c r="A504"/>
      <c r="B504"/>
      <c r="C504"/>
      <c r="D504"/>
      <c r="E504"/>
      <c r="F504"/>
      <c r="G504"/>
      <c r="H504"/>
      <c r="I504"/>
      <c r="J504"/>
      <c r="N504" s="7"/>
      <c r="O504"/>
      <c r="P504" s="10"/>
      <c r="Q504" s="9"/>
      <c r="R504" s="10"/>
      <c r="S504" s="10"/>
      <c r="AA504" s="11"/>
      <c r="AD504"/>
      <c r="AE504"/>
      <c r="AF504"/>
      <c r="AG504"/>
      <c r="AH504" s="46"/>
      <c r="AI504"/>
      <c r="AJ504"/>
      <c r="AK504"/>
      <c r="AL504"/>
      <c r="AM504"/>
      <c r="AN504"/>
      <c r="AO504"/>
      <c r="AP504"/>
      <c r="AQ504"/>
      <c r="AR504"/>
      <c r="AS504"/>
      <c r="AT504" s="14"/>
      <c r="AU504"/>
      <c r="AV504"/>
      <c r="AW504"/>
      <c r="AX504" s="10"/>
      <c r="AY504" s="20"/>
      <c r="AZ504" s="16"/>
      <c r="BA504"/>
      <c r="BB504"/>
      <c r="BC504" s="16"/>
      <c r="BD504"/>
      <c r="BE504"/>
      <c r="BF504"/>
      <c r="BG504"/>
      <c r="BH504"/>
      <c r="BI504"/>
      <c r="BJ504"/>
      <c r="BK504"/>
      <c r="BL504"/>
      <c r="BM504"/>
      <c r="BN504" s="19"/>
      <c r="BO504"/>
      <c r="BP504"/>
      <c r="BQ504"/>
      <c r="BR504"/>
      <c r="BS504"/>
      <c r="BT504"/>
      <c r="BU504"/>
      <c r="BV504"/>
      <c r="BW504"/>
      <c r="BX504"/>
      <c r="BY504"/>
      <c r="BZ504"/>
      <c r="CA504"/>
      <c r="CB504"/>
      <c r="CC504"/>
      <c r="CD504"/>
      <c r="CE504"/>
      <c r="CF504"/>
      <c r="CG504"/>
      <c r="CH504"/>
      <c r="CI504"/>
      <c r="CJ504"/>
      <c r="CK504"/>
      <c r="CL504"/>
      <c r="CM504" s="20"/>
      <c r="CN504" s="20"/>
      <c r="CO504" s="20"/>
      <c r="CP504" s="20"/>
      <c r="CQ504" s="20"/>
      <c r="CR504" s="20"/>
      <c r="CS504" s="20"/>
      <c r="CT504" s="20"/>
      <c r="CU504" s="20"/>
      <c r="CV504" s="20"/>
      <c r="CW504" s="20"/>
      <c r="CX504" s="20"/>
      <c r="CY504" s="20"/>
    </row>
    <row r="505" spans="1:103" s="6" customFormat="1">
      <c r="A505"/>
      <c r="B505"/>
      <c r="C505"/>
      <c r="D505"/>
      <c r="E505"/>
      <c r="F505"/>
      <c r="G505"/>
      <c r="H505"/>
      <c r="I505"/>
      <c r="J505"/>
      <c r="N505" s="7"/>
      <c r="O505"/>
      <c r="P505" s="10"/>
      <c r="Q505" s="9"/>
      <c r="R505" s="10"/>
      <c r="S505" s="10"/>
      <c r="AA505" s="11"/>
      <c r="AD505"/>
      <c r="AE505"/>
      <c r="AF505"/>
      <c r="AG505"/>
      <c r="AH505" s="46"/>
      <c r="AI505"/>
      <c r="AJ505"/>
      <c r="AK505"/>
      <c r="AL505"/>
      <c r="AM505"/>
      <c r="AN505"/>
      <c r="AO505"/>
      <c r="AP505"/>
      <c r="AQ505"/>
      <c r="AR505"/>
      <c r="AS505"/>
      <c r="AT505" s="14"/>
      <c r="AU505"/>
      <c r="AV505"/>
      <c r="AW505"/>
      <c r="AX505" s="10"/>
      <c r="AY505" s="20"/>
      <c r="AZ505" s="16"/>
      <c r="BA505"/>
      <c r="BB505"/>
      <c r="BC505" s="16"/>
      <c r="BD505"/>
      <c r="BE505"/>
      <c r="BF505"/>
      <c r="BG505"/>
      <c r="BH505"/>
      <c r="BI505"/>
      <c r="BJ505"/>
      <c r="BK505"/>
      <c r="BL505"/>
      <c r="BM505"/>
      <c r="BN505" s="19"/>
      <c r="BO505"/>
      <c r="BP505"/>
      <c r="BQ505"/>
      <c r="BR505"/>
      <c r="BS505"/>
      <c r="BT505"/>
      <c r="BU505"/>
      <c r="BV505"/>
      <c r="BW505"/>
      <c r="BX505"/>
      <c r="BY505"/>
      <c r="BZ505"/>
      <c r="CA505"/>
      <c r="CB505"/>
      <c r="CC505"/>
      <c r="CD505"/>
      <c r="CE505"/>
      <c r="CF505"/>
      <c r="CG505"/>
      <c r="CH505"/>
      <c r="CI505"/>
      <c r="CJ505"/>
      <c r="CK505"/>
      <c r="CL505"/>
      <c r="CM505" s="20"/>
      <c r="CN505" s="20"/>
      <c r="CO505" s="20"/>
      <c r="CP505" s="20"/>
      <c r="CQ505" s="20"/>
      <c r="CR505" s="20"/>
      <c r="CS505" s="20"/>
      <c r="CT505" s="20"/>
      <c r="CU505" s="20"/>
      <c r="CV505" s="20"/>
      <c r="CW505" s="20"/>
      <c r="CX505" s="20"/>
      <c r="CY505" s="20"/>
    </row>
    <row r="506" spans="1:103" s="6" customFormat="1">
      <c r="A506"/>
      <c r="B506"/>
      <c r="C506"/>
      <c r="D506"/>
      <c r="E506"/>
      <c r="F506"/>
      <c r="G506"/>
      <c r="H506"/>
      <c r="I506"/>
      <c r="J506"/>
      <c r="N506" s="7"/>
      <c r="O506"/>
      <c r="P506" s="10"/>
      <c r="Q506" s="9"/>
      <c r="R506" s="10"/>
      <c r="S506" s="10"/>
      <c r="AA506" s="11"/>
      <c r="AD506"/>
      <c r="AE506"/>
      <c r="AF506"/>
      <c r="AG506"/>
      <c r="AH506" s="46"/>
      <c r="AI506"/>
      <c r="AJ506"/>
      <c r="AK506"/>
      <c r="AL506"/>
      <c r="AM506"/>
      <c r="AN506"/>
      <c r="AO506"/>
      <c r="AP506"/>
      <c r="AQ506"/>
      <c r="AR506"/>
      <c r="AS506"/>
      <c r="AT506" s="14"/>
      <c r="AU506"/>
      <c r="AV506"/>
      <c r="AW506"/>
      <c r="AX506" s="10"/>
      <c r="AY506" s="20"/>
      <c r="AZ506" s="16"/>
      <c r="BA506"/>
      <c r="BB506"/>
      <c r="BC506" s="16"/>
      <c r="BD506"/>
      <c r="BE506"/>
      <c r="BF506"/>
      <c r="BG506"/>
      <c r="BH506"/>
      <c r="BI506"/>
      <c r="BJ506"/>
      <c r="BK506"/>
      <c r="BL506"/>
      <c r="BM506"/>
      <c r="BN506" s="19"/>
      <c r="BO506"/>
      <c r="BP506"/>
      <c r="BQ506"/>
      <c r="BR506"/>
      <c r="BS506"/>
      <c r="BT506"/>
      <c r="BU506"/>
      <c r="BV506"/>
      <c r="BW506"/>
      <c r="BX506"/>
      <c r="BY506"/>
      <c r="BZ506"/>
      <c r="CA506"/>
      <c r="CB506"/>
      <c r="CC506"/>
      <c r="CD506"/>
      <c r="CE506"/>
      <c r="CF506"/>
      <c r="CG506"/>
      <c r="CH506"/>
      <c r="CI506"/>
      <c r="CJ506"/>
      <c r="CK506"/>
      <c r="CL506"/>
      <c r="CM506" s="20"/>
      <c r="CN506" s="20"/>
      <c r="CO506" s="20"/>
      <c r="CP506" s="20"/>
      <c r="CQ506" s="20"/>
      <c r="CR506" s="20"/>
      <c r="CS506" s="20"/>
      <c r="CT506" s="20"/>
      <c r="CU506" s="20"/>
      <c r="CV506" s="20"/>
      <c r="CW506" s="20"/>
      <c r="CX506" s="20"/>
      <c r="CY506" s="20"/>
    </row>
    <row r="507" spans="1:103" s="6" customFormat="1">
      <c r="A507"/>
      <c r="B507"/>
      <c r="C507"/>
      <c r="D507"/>
      <c r="E507"/>
      <c r="F507"/>
      <c r="G507"/>
      <c r="H507"/>
      <c r="I507"/>
      <c r="J507"/>
      <c r="N507" s="7"/>
      <c r="O507"/>
      <c r="P507" s="10"/>
      <c r="Q507" s="9"/>
      <c r="R507" s="10"/>
      <c r="S507" s="10"/>
      <c r="AA507" s="11"/>
      <c r="AD507"/>
      <c r="AE507"/>
      <c r="AF507"/>
      <c r="AG507"/>
      <c r="AH507" s="46"/>
      <c r="AI507"/>
      <c r="AJ507"/>
      <c r="AK507"/>
      <c r="AL507"/>
      <c r="AM507"/>
      <c r="AN507"/>
      <c r="AO507"/>
      <c r="AP507"/>
      <c r="AQ507"/>
      <c r="AR507"/>
      <c r="AS507"/>
      <c r="AT507" s="14"/>
      <c r="AU507"/>
      <c r="AV507"/>
      <c r="AW507"/>
      <c r="AX507" s="10"/>
      <c r="AY507" s="20"/>
      <c r="AZ507" s="16"/>
      <c r="BA507"/>
      <c r="BB507"/>
      <c r="BC507" s="16"/>
      <c r="BD507"/>
      <c r="BE507"/>
      <c r="BF507"/>
      <c r="BG507"/>
      <c r="BH507"/>
      <c r="BI507"/>
      <c r="BJ507"/>
      <c r="BK507"/>
      <c r="BL507"/>
      <c r="BM507"/>
      <c r="BN507" s="19"/>
      <c r="BO507"/>
      <c r="BP507"/>
      <c r="BQ507"/>
      <c r="BR507"/>
      <c r="BS507"/>
      <c r="BT507"/>
      <c r="BU507"/>
      <c r="BV507"/>
      <c r="BW507"/>
      <c r="BX507"/>
      <c r="BY507"/>
      <c r="BZ507"/>
      <c r="CA507"/>
      <c r="CB507"/>
      <c r="CC507"/>
      <c r="CD507"/>
      <c r="CE507"/>
      <c r="CF507"/>
      <c r="CG507"/>
      <c r="CH507"/>
      <c r="CI507"/>
      <c r="CJ507"/>
      <c r="CK507"/>
      <c r="CL507"/>
      <c r="CM507" s="20"/>
      <c r="CN507" s="20"/>
      <c r="CO507" s="20"/>
      <c r="CP507" s="20"/>
      <c r="CQ507" s="20"/>
      <c r="CR507" s="20"/>
      <c r="CS507" s="20"/>
      <c r="CT507" s="20"/>
      <c r="CU507" s="20"/>
      <c r="CV507" s="20"/>
      <c r="CW507" s="20"/>
      <c r="CX507" s="20"/>
      <c r="CY507" s="20"/>
    </row>
    <row r="508" spans="1:103" s="6" customFormat="1">
      <c r="A508"/>
      <c r="B508"/>
      <c r="C508"/>
      <c r="D508"/>
      <c r="E508"/>
      <c r="F508"/>
      <c r="G508"/>
      <c r="H508"/>
      <c r="I508"/>
      <c r="J508"/>
      <c r="N508" s="7"/>
      <c r="O508"/>
      <c r="P508" s="10"/>
      <c r="Q508" s="9"/>
      <c r="R508" s="10"/>
      <c r="S508" s="10"/>
      <c r="AA508" s="11"/>
      <c r="AD508"/>
      <c r="AE508"/>
      <c r="AF508"/>
      <c r="AG508"/>
      <c r="AH508" s="46"/>
      <c r="AI508"/>
      <c r="AJ508"/>
      <c r="AK508"/>
      <c r="AL508"/>
      <c r="AM508"/>
      <c r="AN508"/>
      <c r="AO508"/>
      <c r="AP508"/>
      <c r="AQ508"/>
      <c r="AR508"/>
      <c r="AS508"/>
      <c r="AT508" s="14"/>
      <c r="AU508"/>
      <c r="AV508"/>
      <c r="AW508"/>
      <c r="AX508" s="10"/>
      <c r="AY508" s="20"/>
      <c r="AZ508" s="16"/>
      <c r="BA508"/>
      <c r="BB508"/>
      <c r="BC508" s="16"/>
      <c r="BD508"/>
      <c r="BE508"/>
      <c r="BF508"/>
      <c r="BG508"/>
      <c r="BH508"/>
      <c r="BI508"/>
      <c r="BJ508"/>
      <c r="BK508"/>
      <c r="BL508"/>
      <c r="BM508"/>
      <c r="BN508" s="19"/>
      <c r="BO508"/>
      <c r="BP508"/>
      <c r="BQ508"/>
      <c r="BR508"/>
      <c r="BS508"/>
      <c r="BT508"/>
      <c r="BU508"/>
      <c r="BV508"/>
      <c r="BW508"/>
      <c r="BX508"/>
      <c r="BY508"/>
      <c r="BZ508"/>
      <c r="CA508"/>
      <c r="CB508"/>
      <c r="CC508"/>
      <c r="CD508"/>
      <c r="CE508"/>
      <c r="CF508"/>
      <c r="CG508"/>
      <c r="CH508"/>
      <c r="CI508"/>
      <c r="CJ508"/>
      <c r="CK508"/>
      <c r="CL508"/>
      <c r="CM508" s="20"/>
      <c r="CN508" s="20"/>
      <c r="CO508" s="20"/>
      <c r="CP508" s="20"/>
      <c r="CQ508" s="20"/>
      <c r="CR508" s="20"/>
      <c r="CS508" s="20"/>
      <c r="CT508" s="20"/>
      <c r="CU508" s="20"/>
      <c r="CV508" s="20"/>
      <c r="CW508" s="20"/>
      <c r="CX508" s="20"/>
      <c r="CY508" s="20"/>
    </row>
    <row r="509" spans="1:103" s="6" customFormat="1">
      <c r="A509"/>
      <c r="B509"/>
      <c r="C509"/>
      <c r="D509"/>
      <c r="E509"/>
      <c r="F509"/>
      <c r="G509"/>
      <c r="H509"/>
      <c r="I509"/>
      <c r="J509"/>
      <c r="N509" s="7"/>
      <c r="O509"/>
      <c r="P509" s="10"/>
      <c r="Q509" s="9"/>
      <c r="R509" s="10"/>
      <c r="S509" s="10"/>
      <c r="AA509" s="11"/>
      <c r="AD509"/>
      <c r="AE509"/>
      <c r="AF509"/>
      <c r="AG509"/>
      <c r="AH509" s="46"/>
      <c r="AI509"/>
      <c r="AJ509"/>
      <c r="AK509"/>
      <c r="AL509"/>
      <c r="AM509"/>
      <c r="AN509"/>
      <c r="AO509"/>
      <c r="AP509"/>
      <c r="AQ509"/>
      <c r="AR509"/>
      <c r="AS509"/>
      <c r="AT509" s="14"/>
      <c r="AU509"/>
      <c r="AV509"/>
      <c r="AW509"/>
      <c r="AX509" s="10"/>
      <c r="AY509" s="20"/>
      <c r="AZ509" s="16"/>
      <c r="BA509"/>
      <c r="BB509"/>
      <c r="BC509" s="16"/>
      <c r="BD509"/>
      <c r="BE509"/>
      <c r="BF509"/>
      <c r="BG509"/>
      <c r="BH509"/>
      <c r="BI509"/>
      <c r="BJ509"/>
      <c r="BK509"/>
      <c r="BL509"/>
      <c r="BM509"/>
      <c r="BN509" s="19"/>
      <c r="BO509"/>
      <c r="BP509"/>
      <c r="BQ509"/>
      <c r="BR509"/>
      <c r="BS509"/>
      <c r="BT509"/>
      <c r="BU509"/>
      <c r="BV509"/>
      <c r="BW509"/>
      <c r="BX509"/>
      <c r="BY509"/>
      <c r="BZ509"/>
      <c r="CA509"/>
      <c r="CB509"/>
      <c r="CC509"/>
      <c r="CD509"/>
      <c r="CE509"/>
      <c r="CF509"/>
      <c r="CG509"/>
      <c r="CH509"/>
      <c r="CI509"/>
      <c r="CJ509"/>
      <c r="CK509"/>
      <c r="CL509"/>
      <c r="CM509" s="20"/>
      <c r="CN509" s="20"/>
      <c r="CO509" s="20"/>
      <c r="CP509" s="20"/>
      <c r="CQ509" s="20"/>
      <c r="CR509" s="20"/>
      <c r="CS509" s="20"/>
      <c r="CT509" s="20"/>
      <c r="CU509" s="20"/>
      <c r="CV509" s="20"/>
      <c r="CW509" s="20"/>
      <c r="CX509" s="20"/>
      <c r="CY509" s="20"/>
    </row>
    <row r="510" spans="1:103" s="6" customFormat="1">
      <c r="A510"/>
      <c r="B510"/>
      <c r="C510"/>
      <c r="D510"/>
      <c r="E510"/>
      <c r="F510"/>
      <c r="G510"/>
      <c r="H510"/>
      <c r="I510"/>
      <c r="J510"/>
      <c r="N510" s="7"/>
      <c r="O510"/>
      <c r="P510" s="10"/>
      <c r="Q510" s="9"/>
      <c r="R510" s="10"/>
      <c r="S510" s="10"/>
      <c r="AA510" s="11"/>
      <c r="AD510"/>
      <c r="AE510"/>
      <c r="AF510"/>
      <c r="AG510"/>
      <c r="AH510" s="46"/>
      <c r="AI510"/>
      <c r="AJ510"/>
      <c r="AK510"/>
      <c r="AL510"/>
      <c r="AM510"/>
      <c r="AN510"/>
      <c r="AO510"/>
      <c r="AP510"/>
      <c r="AQ510"/>
      <c r="AR510"/>
      <c r="AS510"/>
      <c r="AT510" s="14"/>
      <c r="AU510"/>
      <c r="AV510"/>
      <c r="AW510"/>
      <c r="AX510" s="10"/>
      <c r="AY510" s="20"/>
      <c r="AZ510" s="16"/>
      <c r="BA510"/>
      <c r="BB510"/>
      <c r="BC510" s="16"/>
      <c r="BD510"/>
      <c r="BE510"/>
      <c r="BF510"/>
      <c r="BG510"/>
      <c r="BH510"/>
      <c r="BI510"/>
      <c r="BJ510"/>
      <c r="BK510"/>
      <c r="BL510"/>
      <c r="BM510"/>
      <c r="BN510" s="19"/>
      <c r="BO510"/>
      <c r="BP510"/>
      <c r="BQ510"/>
      <c r="BR510"/>
      <c r="BS510"/>
      <c r="BT510"/>
      <c r="BU510"/>
      <c r="BV510"/>
      <c r="BW510"/>
      <c r="BX510"/>
      <c r="BY510"/>
      <c r="BZ510"/>
      <c r="CA510"/>
      <c r="CB510"/>
      <c r="CC510"/>
      <c r="CD510"/>
      <c r="CE510"/>
      <c r="CF510"/>
      <c r="CG510"/>
      <c r="CH510"/>
      <c r="CI510"/>
      <c r="CJ510"/>
      <c r="CK510"/>
      <c r="CL510"/>
      <c r="CM510" s="20"/>
      <c r="CN510" s="20"/>
      <c r="CO510" s="20"/>
      <c r="CP510" s="20"/>
      <c r="CQ510" s="20"/>
      <c r="CR510" s="20"/>
      <c r="CS510" s="20"/>
      <c r="CT510" s="20"/>
      <c r="CU510" s="20"/>
      <c r="CV510" s="20"/>
      <c r="CW510" s="20"/>
      <c r="CX510" s="20"/>
      <c r="CY510" s="20"/>
    </row>
    <row r="511" spans="1:103" s="6" customFormat="1">
      <c r="A511"/>
      <c r="B511"/>
      <c r="C511"/>
      <c r="D511"/>
      <c r="E511"/>
      <c r="F511"/>
      <c r="G511"/>
      <c r="H511"/>
      <c r="I511"/>
      <c r="J511"/>
      <c r="N511" s="7"/>
      <c r="O511"/>
      <c r="P511" s="10"/>
      <c r="Q511" s="9"/>
      <c r="R511" s="10"/>
      <c r="S511" s="10"/>
      <c r="AA511" s="11"/>
      <c r="AD511"/>
      <c r="AE511"/>
      <c r="AF511"/>
      <c r="AG511"/>
      <c r="AH511" s="46"/>
      <c r="AI511"/>
      <c r="AJ511"/>
      <c r="AK511"/>
      <c r="AL511"/>
      <c r="AM511"/>
      <c r="AN511"/>
      <c r="AO511"/>
      <c r="AP511"/>
      <c r="AQ511"/>
      <c r="AR511"/>
      <c r="AS511"/>
      <c r="AT511" s="14"/>
      <c r="AU511"/>
      <c r="AV511"/>
      <c r="AW511"/>
      <c r="AX511" s="10"/>
      <c r="AY511" s="20"/>
      <c r="AZ511" s="16"/>
      <c r="BA511"/>
      <c r="BB511"/>
      <c r="BC511" s="16"/>
      <c r="BD511"/>
      <c r="BE511"/>
      <c r="BF511"/>
      <c r="BG511"/>
      <c r="BH511"/>
      <c r="BI511"/>
      <c r="BJ511"/>
      <c r="BK511"/>
      <c r="BL511"/>
      <c r="BM511"/>
      <c r="BN511" s="19"/>
      <c r="BO511"/>
      <c r="BP511"/>
      <c r="BQ511"/>
      <c r="BR511"/>
      <c r="BS511"/>
      <c r="BT511"/>
      <c r="BU511"/>
      <c r="BV511"/>
      <c r="BW511"/>
      <c r="BX511"/>
      <c r="BY511"/>
      <c r="BZ511"/>
      <c r="CA511"/>
      <c r="CB511"/>
      <c r="CC511"/>
      <c r="CD511"/>
      <c r="CE511"/>
      <c r="CF511"/>
      <c r="CG511"/>
      <c r="CH511"/>
      <c r="CI511"/>
      <c r="CJ511"/>
      <c r="CK511"/>
      <c r="CL511"/>
      <c r="CM511" s="20"/>
      <c r="CN511" s="20"/>
      <c r="CO511" s="20"/>
      <c r="CP511" s="20"/>
      <c r="CQ511" s="20"/>
      <c r="CR511" s="20"/>
      <c r="CS511" s="20"/>
      <c r="CT511" s="20"/>
      <c r="CU511" s="20"/>
      <c r="CV511" s="20"/>
      <c r="CW511" s="20"/>
      <c r="CX511" s="20"/>
      <c r="CY511" s="20"/>
    </row>
    <row r="512" spans="1:103" s="6" customFormat="1">
      <c r="A512"/>
      <c r="B512"/>
      <c r="C512"/>
      <c r="D512"/>
      <c r="E512"/>
      <c r="F512"/>
      <c r="G512"/>
      <c r="H512"/>
      <c r="I512"/>
      <c r="J512"/>
      <c r="N512" s="7"/>
      <c r="O512"/>
      <c r="P512" s="10"/>
      <c r="Q512" s="9"/>
      <c r="R512" s="10"/>
      <c r="S512" s="10"/>
      <c r="AA512" s="11"/>
      <c r="AD512"/>
      <c r="AE512"/>
      <c r="AF512"/>
      <c r="AG512"/>
      <c r="AH512" s="46"/>
      <c r="AI512"/>
      <c r="AJ512"/>
      <c r="AK512"/>
      <c r="AL512"/>
      <c r="AM512"/>
      <c r="AN512"/>
      <c r="AO512"/>
      <c r="AP512"/>
      <c r="AQ512"/>
      <c r="AR512"/>
      <c r="AS512"/>
      <c r="AT512" s="14"/>
      <c r="AU512"/>
      <c r="AV512"/>
      <c r="AW512"/>
      <c r="AX512" s="10"/>
      <c r="AY512" s="20"/>
      <c r="AZ512" s="16"/>
      <c r="BA512"/>
      <c r="BB512"/>
      <c r="BC512" s="16"/>
      <c r="BD512"/>
      <c r="BE512"/>
      <c r="BF512"/>
      <c r="BG512"/>
      <c r="BH512"/>
      <c r="BI512"/>
      <c r="BJ512"/>
      <c r="BK512"/>
      <c r="BL512"/>
      <c r="BM512"/>
      <c r="BN512" s="19"/>
      <c r="BO512"/>
      <c r="BP512"/>
      <c r="BQ512"/>
      <c r="BR512"/>
      <c r="BS512"/>
      <c r="BT512"/>
      <c r="BU512"/>
      <c r="BV512"/>
      <c r="BW512"/>
      <c r="BX512"/>
      <c r="BY512"/>
      <c r="BZ512"/>
      <c r="CA512"/>
      <c r="CB512"/>
      <c r="CC512"/>
      <c r="CD512"/>
      <c r="CE512"/>
      <c r="CF512"/>
      <c r="CG512"/>
      <c r="CH512"/>
      <c r="CI512"/>
      <c r="CJ512"/>
      <c r="CK512"/>
      <c r="CL512"/>
      <c r="CM512" s="20"/>
      <c r="CN512" s="20"/>
      <c r="CO512" s="20"/>
      <c r="CP512" s="20"/>
      <c r="CQ512" s="20"/>
      <c r="CR512" s="20"/>
      <c r="CS512" s="20"/>
      <c r="CT512" s="20"/>
      <c r="CU512" s="20"/>
      <c r="CV512" s="20"/>
      <c r="CW512" s="20"/>
      <c r="CX512" s="20"/>
      <c r="CY512" s="20"/>
    </row>
    <row r="513" spans="1:103" s="6" customFormat="1">
      <c r="A513"/>
      <c r="B513"/>
      <c r="C513"/>
      <c r="D513"/>
      <c r="E513"/>
      <c r="F513"/>
      <c r="G513"/>
      <c r="H513"/>
      <c r="I513"/>
      <c r="J513"/>
      <c r="N513" s="7"/>
      <c r="O513"/>
      <c r="P513" s="10"/>
      <c r="Q513" s="9"/>
      <c r="R513" s="10"/>
      <c r="S513" s="10"/>
      <c r="AA513" s="11"/>
      <c r="AD513"/>
      <c r="AE513"/>
      <c r="AF513"/>
      <c r="AG513"/>
      <c r="AH513" s="46"/>
      <c r="AI513"/>
      <c r="AJ513"/>
      <c r="AK513"/>
      <c r="AL513"/>
      <c r="AM513"/>
      <c r="AN513"/>
      <c r="AO513"/>
      <c r="AP513"/>
      <c r="AQ513"/>
      <c r="AR513"/>
      <c r="AS513"/>
      <c r="AT513" s="14"/>
      <c r="AU513"/>
      <c r="AV513"/>
      <c r="AW513"/>
      <c r="AX513" s="10"/>
      <c r="AY513" s="20"/>
      <c r="AZ513" s="16"/>
      <c r="BA513"/>
      <c r="BB513"/>
      <c r="BC513" s="16"/>
      <c r="BD513"/>
      <c r="BE513"/>
      <c r="BF513"/>
      <c r="BG513"/>
      <c r="BH513"/>
      <c r="BI513"/>
      <c r="BJ513"/>
      <c r="BK513"/>
      <c r="BL513"/>
      <c r="BM513"/>
      <c r="BN513" s="19"/>
      <c r="BO513"/>
      <c r="BP513"/>
      <c r="BQ513"/>
      <c r="BR513"/>
      <c r="BS513"/>
      <c r="BT513"/>
      <c r="BU513"/>
      <c r="BV513"/>
      <c r="BW513"/>
      <c r="BX513"/>
      <c r="BY513"/>
      <c r="BZ513"/>
      <c r="CA513"/>
      <c r="CB513"/>
      <c r="CC513"/>
      <c r="CD513"/>
      <c r="CE513"/>
      <c r="CF513"/>
      <c r="CG513"/>
      <c r="CH513"/>
      <c r="CI513"/>
      <c r="CJ513"/>
      <c r="CK513"/>
      <c r="CL513"/>
      <c r="CM513" s="20"/>
      <c r="CN513" s="20"/>
      <c r="CO513" s="20"/>
      <c r="CP513" s="20"/>
      <c r="CQ513" s="20"/>
      <c r="CR513" s="20"/>
      <c r="CS513" s="20"/>
      <c r="CT513" s="20"/>
      <c r="CU513" s="20"/>
      <c r="CV513" s="20"/>
      <c r="CW513" s="20"/>
      <c r="CX513" s="20"/>
      <c r="CY513" s="20"/>
    </row>
    <row r="514" spans="1:103" s="6" customFormat="1">
      <c r="A514"/>
      <c r="B514"/>
      <c r="C514"/>
      <c r="D514"/>
      <c r="E514"/>
      <c r="F514"/>
      <c r="G514"/>
      <c r="H514"/>
      <c r="I514"/>
      <c r="J514"/>
      <c r="N514" s="7"/>
      <c r="O514"/>
      <c r="P514" s="10"/>
      <c r="Q514" s="9"/>
      <c r="R514" s="10"/>
      <c r="S514" s="10"/>
      <c r="AA514" s="11"/>
      <c r="AD514"/>
      <c r="AE514"/>
      <c r="AF514"/>
      <c r="AG514"/>
      <c r="AH514" s="46"/>
      <c r="AI514"/>
      <c r="AJ514"/>
      <c r="AK514"/>
      <c r="AL514"/>
      <c r="AM514"/>
      <c r="AN514"/>
      <c r="AO514"/>
      <c r="AP514"/>
      <c r="AQ514"/>
      <c r="AR514"/>
      <c r="AS514"/>
      <c r="AT514" s="14"/>
      <c r="AU514"/>
      <c r="AV514"/>
      <c r="AW514"/>
      <c r="AX514" s="10"/>
      <c r="AY514" s="20"/>
      <c r="AZ514" s="16"/>
      <c r="BA514"/>
      <c r="BB514"/>
      <c r="BC514" s="16"/>
      <c r="BD514"/>
      <c r="BE514"/>
      <c r="BF514"/>
      <c r="BG514"/>
      <c r="BH514"/>
      <c r="BI514"/>
      <c r="BJ514"/>
      <c r="BK514"/>
      <c r="BL514"/>
      <c r="BM514"/>
      <c r="BN514" s="19"/>
      <c r="BO514"/>
      <c r="BP514"/>
      <c r="BQ514"/>
      <c r="BR514"/>
      <c r="BS514"/>
      <c r="BT514"/>
      <c r="BU514"/>
      <c r="BV514"/>
      <c r="BW514"/>
      <c r="BX514"/>
      <c r="BY514"/>
      <c r="BZ514"/>
      <c r="CA514"/>
      <c r="CB514"/>
      <c r="CC514"/>
      <c r="CD514"/>
      <c r="CE514"/>
      <c r="CF514"/>
      <c r="CG514"/>
      <c r="CH514"/>
      <c r="CI514"/>
      <c r="CJ514"/>
      <c r="CK514"/>
      <c r="CL514"/>
      <c r="CM514" s="20"/>
      <c r="CN514" s="20"/>
      <c r="CO514" s="20"/>
      <c r="CP514" s="20"/>
      <c r="CQ514" s="20"/>
      <c r="CR514" s="20"/>
      <c r="CS514" s="20"/>
      <c r="CT514" s="20"/>
      <c r="CU514" s="20"/>
      <c r="CV514" s="20"/>
      <c r="CW514" s="20"/>
      <c r="CX514" s="20"/>
      <c r="CY514" s="20"/>
    </row>
    <row r="515" spans="1:103" s="6" customFormat="1">
      <c r="A515"/>
      <c r="B515"/>
      <c r="C515"/>
      <c r="D515"/>
      <c r="E515"/>
      <c r="F515"/>
      <c r="G515"/>
      <c r="H515"/>
      <c r="I515"/>
      <c r="J515"/>
      <c r="N515" s="7"/>
      <c r="O515"/>
      <c r="P515" s="10"/>
      <c r="Q515" s="9"/>
      <c r="R515" s="10"/>
      <c r="S515" s="10"/>
      <c r="AA515" s="11"/>
      <c r="AD515"/>
      <c r="AE515"/>
      <c r="AF515"/>
      <c r="AG515"/>
      <c r="AH515" s="46"/>
      <c r="AI515"/>
      <c r="AJ515"/>
      <c r="AK515"/>
      <c r="AL515"/>
      <c r="AM515"/>
      <c r="AN515"/>
      <c r="AO515"/>
      <c r="AP515"/>
      <c r="AQ515"/>
      <c r="AR515"/>
      <c r="AS515"/>
      <c r="AT515" s="14"/>
      <c r="AU515"/>
      <c r="AV515"/>
      <c r="AW515"/>
      <c r="AX515" s="10"/>
      <c r="AY515" s="20"/>
      <c r="AZ515" s="16"/>
      <c r="BA515"/>
      <c r="BB515"/>
      <c r="BC515" s="16"/>
      <c r="BD515"/>
      <c r="BE515"/>
      <c r="BF515"/>
      <c r="BG515"/>
      <c r="BH515"/>
      <c r="BI515"/>
      <c r="BJ515"/>
      <c r="BK515"/>
      <c r="BL515"/>
      <c r="BM515"/>
      <c r="BN515" s="19"/>
      <c r="BO515"/>
      <c r="BP515"/>
      <c r="BQ515"/>
      <c r="BR515"/>
      <c r="BS515"/>
      <c r="BT515"/>
      <c r="BU515"/>
      <c r="BV515"/>
      <c r="BW515"/>
      <c r="BX515"/>
      <c r="BY515"/>
      <c r="BZ515"/>
      <c r="CA515"/>
      <c r="CB515"/>
      <c r="CC515"/>
      <c r="CD515"/>
      <c r="CE515"/>
      <c r="CF515"/>
      <c r="CG515"/>
      <c r="CH515"/>
      <c r="CI515"/>
      <c r="CJ515"/>
      <c r="CK515"/>
      <c r="CL515"/>
      <c r="CM515" s="20"/>
      <c r="CN515" s="20"/>
      <c r="CO515" s="20"/>
      <c r="CP515" s="20"/>
      <c r="CQ515" s="20"/>
      <c r="CR515" s="20"/>
      <c r="CS515" s="20"/>
      <c r="CT515" s="20"/>
      <c r="CU515" s="20"/>
      <c r="CV515" s="20"/>
      <c r="CW515" s="20"/>
      <c r="CX515" s="20"/>
      <c r="CY515" s="20"/>
    </row>
    <row r="516" spans="1:103" s="6" customFormat="1">
      <c r="A516"/>
      <c r="B516"/>
      <c r="C516"/>
      <c r="D516"/>
      <c r="E516"/>
      <c r="F516"/>
      <c r="G516"/>
      <c r="H516"/>
      <c r="I516"/>
      <c r="J516"/>
      <c r="N516" s="7"/>
      <c r="O516"/>
      <c r="P516" s="10"/>
      <c r="Q516" s="9"/>
      <c r="R516" s="10"/>
      <c r="S516" s="10"/>
      <c r="AA516" s="11"/>
      <c r="AD516"/>
      <c r="AE516"/>
      <c r="AF516"/>
      <c r="AG516"/>
      <c r="AH516" s="46"/>
      <c r="AI516"/>
      <c r="AJ516"/>
      <c r="AK516"/>
      <c r="AL516"/>
      <c r="AM516"/>
      <c r="AN516"/>
      <c r="AO516"/>
      <c r="AP516"/>
      <c r="AQ516"/>
      <c r="AR516"/>
      <c r="AS516"/>
      <c r="AT516" s="14"/>
      <c r="AU516"/>
      <c r="AV516"/>
      <c r="AW516"/>
      <c r="AX516" s="10"/>
      <c r="AY516" s="20"/>
      <c r="AZ516" s="16"/>
      <c r="BA516"/>
      <c r="BB516"/>
      <c r="BC516" s="16"/>
      <c r="BD516"/>
      <c r="BE516"/>
      <c r="BF516"/>
      <c r="BG516"/>
      <c r="BH516"/>
      <c r="BI516"/>
      <c r="BJ516"/>
      <c r="BK516"/>
      <c r="BL516"/>
      <c r="BM516"/>
      <c r="BN516" s="19"/>
      <c r="BO516"/>
      <c r="BP516"/>
      <c r="BQ516"/>
      <c r="BR516"/>
      <c r="BS516"/>
      <c r="BT516"/>
      <c r="BU516"/>
      <c r="BV516"/>
      <c r="BW516"/>
      <c r="BX516"/>
      <c r="BY516"/>
      <c r="BZ516"/>
      <c r="CA516"/>
      <c r="CB516"/>
      <c r="CC516"/>
      <c r="CD516"/>
      <c r="CE516"/>
      <c r="CF516"/>
      <c r="CG516"/>
      <c r="CH516"/>
      <c r="CI516"/>
      <c r="CJ516"/>
      <c r="CK516"/>
      <c r="CL516"/>
      <c r="CM516" s="20"/>
      <c r="CN516" s="20"/>
      <c r="CO516" s="20"/>
      <c r="CP516" s="20"/>
      <c r="CQ516" s="20"/>
      <c r="CR516" s="20"/>
      <c r="CS516" s="20"/>
      <c r="CT516" s="20"/>
      <c r="CU516" s="20"/>
      <c r="CV516" s="20"/>
      <c r="CW516" s="20"/>
      <c r="CX516" s="20"/>
      <c r="CY516" s="20"/>
    </row>
    <row r="517" spans="1:103" s="6" customFormat="1">
      <c r="A517"/>
      <c r="B517"/>
      <c r="C517"/>
      <c r="D517"/>
      <c r="E517"/>
      <c r="F517"/>
      <c r="G517"/>
      <c r="H517"/>
      <c r="I517"/>
      <c r="J517"/>
      <c r="N517" s="7"/>
      <c r="O517"/>
      <c r="P517" s="10"/>
      <c r="Q517" s="9"/>
      <c r="R517" s="10"/>
      <c r="S517" s="10"/>
      <c r="AA517" s="11"/>
      <c r="AD517"/>
      <c r="AE517"/>
      <c r="AF517"/>
      <c r="AG517"/>
      <c r="AH517" s="46"/>
      <c r="AI517"/>
      <c r="AJ517"/>
      <c r="AK517"/>
      <c r="AL517"/>
      <c r="AM517"/>
      <c r="AN517"/>
      <c r="AO517"/>
      <c r="AP517"/>
      <c r="AQ517"/>
      <c r="AR517"/>
      <c r="AS517"/>
      <c r="AT517" s="14"/>
      <c r="AU517"/>
      <c r="AV517"/>
      <c r="AW517"/>
      <c r="AX517" s="10"/>
      <c r="AY517" s="20"/>
      <c r="AZ517" s="16"/>
      <c r="BA517"/>
      <c r="BB517"/>
      <c r="BC517" s="16"/>
      <c r="BD517"/>
      <c r="BE517"/>
      <c r="BF517"/>
      <c r="BG517"/>
      <c r="BH517"/>
      <c r="BI517"/>
      <c r="BJ517"/>
      <c r="BK517"/>
      <c r="BL517"/>
      <c r="BM517"/>
      <c r="BN517" s="19"/>
      <c r="BO517"/>
      <c r="BP517"/>
      <c r="BQ517"/>
      <c r="BR517"/>
      <c r="BS517"/>
      <c r="BT517"/>
      <c r="BU517"/>
      <c r="BV517"/>
      <c r="BW517"/>
      <c r="BX517"/>
      <c r="BY517"/>
      <c r="BZ517"/>
      <c r="CA517"/>
      <c r="CB517"/>
      <c r="CC517"/>
      <c r="CD517"/>
      <c r="CE517"/>
      <c r="CF517"/>
      <c r="CG517"/>
      <c r="CH517"/>
      <c r="CI517"/>
      <c r="CJ517"/>
      <c r="CK517"/>
      <c r="CL517"/>
      <c r="CM517" s="20"/>
      <c r="CN517" s="20"/>
      <c r="CO517" s="20"/>
      <c r="CP517" s="20"/>
      <c r="CQ517" s="20"/>
      <c r="CR517" s="20"/>
      <c r="CS517" s="20"/>
      <c r="CT517" s="20"/>
      <c r="CU517" s="20"/>
      <c r="CV517" s="20"/>
      <c r="CW517" s="20"/>
      <c r="CX517" s="20"/>
      <c r="CY517" s="20"/>
    </row>
    <row r="518" spans="1:103" s="6" customFormat="1">
      <c r="A518"/>
      <c r="B518"/>
      <c r="C518"/>
      <c r="D518"/>
      <c r="E518"/>
      <c r="F518"/>
      <c r="G518"/>
      <c r="H518"/>
      <c r="I518"/>
      <c r="J518"/>
      <c r="N518" s="7"/>
      <c r="O518"/>
      <c r="P518" s="10"/>
      <c r="Q518" s="9"/>
      <c r="R518" s="10"/>
      <c r="S518" s="10"/>
      <c r="AA518" s="11"/>
      <c r="AD518"/>
      <c r="AE518"/>
      <c r="AF518"/>
      <c r="AG518"/>
      <c r="AH518" s="46"/>
      <c r="AI518"/>
      <c r="AJ518"/>
      <c r="AK518"/>
      <c r="AL518"/>
      <c r="AM518"/>
      <c r="AN518"/>
      <c r="AO518"/>
      <c r="AP518"/>
      <c r="AQ518"/>
      <c r="AR518"/>
      <c r="AS518"/>
      <c r="AT518" s="14"/>
      <c r="AU518"/>
      <c r="AV518"/>
      <c r="AW518"/>
      <c r="AX518" s="10"/>
      <c r="AY518" s="20"/>
      <c r="AZ518" s="16"/>
      <c r="BA518"/>
      <c r="BB518"/>
      <c r="BC518" s="16"/>
      <c r="BD518"/>
      <c r="BE518"/>
      <c r="BF518"/>
      <c r="BG518"/>
      <c r="BH518"/>
      <c r="BI518"/>
      <c r="BJ518"/>
      <c r="BK518"/>
      <c r="BL518"/>
      <c r="BM518"/>
      <c r="BN518" s="19"/>
      <c r="BO518"/>
      <c r="BP518"/>
      <c r="BQ518"/>
      <c r="BR518"/>
      <c r="BS518"/>
      <c r="BT518"/>
      <c r="BU518"/>
      <c r="BV518"/>
      <c r="BW518"/>
      <c r="BX518"/>
      <c r="BY518"/>
      <c r="BZ518"/>
      <c r="CA518"/>
      <c r="CB518"/>
      <c r="CC518"/>
      <c r="CD518"/>
      <c r="CE518"/>
      <c r="CF518"/>
      <c r="CG518"/>
      <c r="CH518"/>
      <c r="CI518"/>
      <c r="CJ518"/>
      <c r="CK518"/>
      <c r="CL518"/>
      <c r="CM518" s="20"/>
      <c r="CN518" s="20"/>
      <c r="CO518" s="20"/>
      <c r="CP518" s="20"/>
      <c r="CQ518" s="20"/>
      <c r="CR518" s="20"/>
      <c r="CS518" s="20"/>
      <c r="CT518" s="20"/>
      <c r="CU518" s="20"/>
      <c r="CV518" s="20"/>
      <c r="CW518" s="20"/>
      <c r="CX518" s="20"/>
      <c r="CY518" s="20"/>
    </row>
    <row r="519" spans="1:103" s="6" customFormat="1">
      <c r="A519"/>
      <c r="B519"/>
      <c r="C519"/>
      <c r="D519"/>
      <c r="E519"/>
      <c r="F519"/>
      <c r="G519"/>
      <c r="H519"/>
      <c r="I519"/>
      <c r="J519"/>
      <c r="N519" s="7"/>
      <c r="O519"/>
      <c r="P519" s="10"/>
      <c r="Q519" s="9"/>
      <c r="R519" s="10"/>
      <c r="S519" s="10"/>
      <c r="AA519" s="11"/>
      <c r="AD519"/>
      <c r="AE519"/>
      <c r="AF519"/>
      <c r="AG519"/>
      <c r="AH519" s="46"/>
      <c r="AI519"/>
      <c r="AJ519"/>
      <c r="AK519"/>
      <c r="AL519"/>
      <c r="AM519"/>
      <c r="AN519"/>
      <c r="AO519"/>
      <c r="AP519"/>
      <c r="AQ519"/>
      <c r="AR519"/>
      <c r="AS519"/>
      <c r="AT519" s="14"/>
      <c r="AU519"/>
      <c r="AV519"/>
      <c r="AW519"/>
      <c r="AX519" s="10"/>
      <c r="AY519" s="20"/>
      <c r="AZ519" s="16"/>
      <c r="BA519"/>
      <c r="BB519"/>
      <c r="BC519" s="16"/>
      <c r="BD519"/>
      <c r="BE519"/>
      <c r="BF519"/>
      <c r="BG519"/>
      <c r="BH519"/>
      <c r="BI519"/>
      <c r="BJ519"/>
      <c r="BK519"/>
      <c r="BL519"/>
      <c r="BM519"/>
      <c r="BN519" s="19"/>
      <c r="BO519"/>
      <c r="BP519"/>
      <c r="BQ519"/>
      <c r="BR519"/>
      <c r="BS519"/>
      <c r="BT519"/>
      <c r="BU519"/>
      <c r="BV519"/>
      <c r="BW519"/>
      <c r="BX519"/>
      <c r="BY519"/>
      <c r="BZ519"/>
      <c r="CA519"/>
      <c r="CB519"/>
      <c r="CC519"/>
      <c r="CD519"/>
      <c r="CE519"/>
      <c r="CF519"/>
      <c r="CG519"/>
      <c r="CH519"/>
      <c r="CI519"/>
      <c r="CJ519"/>
      <c r="CK519"/>
      <c r="CL519"/>
      <c r="CM519" s="20"/>
      <c r="CN519" s="20"/>
      <c r="CO519" s="20"/>
      <c r="CP519" s="20"/>
      <c r="CQ519" s="20"/>
      <c r="CR519" s="20"/>
      <c r="CS519" s="20"/>
      <c r="CT519" s="20"/>
      <c r="CU519" s="20"/>
      <c r="CV519" s="20"/>
      <c r="CW519" s="20"/>
      <c r="CX519" s="20"/>
      <c r="CY519" s="20"/>
    </row>
    <row r="520" spans="1:103" s="6" customFormat="1">
      <c r="A520"/>
      <c r="B520"/>
      <c r="C520"/>
      <c r="D520"/>
      <c r="E520"/>
      <c r="F520"/>
      <c r="G520"/>
      <c r="H520"/>
      <c r="I520"/>
      <c r="J520"/>
      <c r="N520" s="7"/>
      <c r="O520"/>
      <c r="P520" s="10"/>
      <c r="Q520" s="9"/>
      <c r="R520" s="10"/>
      <c r="S520" s="10"/>
      <c r="AA520" s="11"/>
      <c r="AD520"/>
      <c r="AE520"/>
      <c r="AF520"/>
      <c r="AG520"/>
      <c r="AH520" s="46"/>
      <c r="AI520"/>
      <c r="AJ520"/>
      <c r="AK520"/>
      <c r="AL520"/>
      <c r="AM520"/>
      <c r="AN520"/>
      <c r="AO520"/>
      <c r="AP520"/>
      <c r="AQ520"/>
      <c r="AR520"/>
      <c r="AS520"/>
      <c r="AT520" s="14"/>
      <c r="AU520"/>
      <c r="AV520"/>
      <c r="AW520"/>
      <c r="AX520" s="10"/>
      <c r="AY520" s="20"/>
      <c r="AZ520" s="16"/>
      <c r="BA520"/>
      <c r="BB520"/>
      <c r="BC520" s="16"/>
      <c r="BD520"/>
      <c r="BE520"/>
      <c r="BF520"/>
      <c r="BG520"/>
      <c r="BH520"/>
      <c r="BI520"/>
      <c r="BJ520"/>
      <c r="BK520"/>
      <c r="BL520"/>
      <c r="BM520"/>
      <c r="BN520" s="19"/>
      <c r="BO520"/>
      <c r="BP520"/>
      <c r="BQ520"/>
      <c r="BR520"/>
      <c r="BS520"/>
      <c r="BT520"/>
      <c r="BU520"/>
      <c r="BV520"/>
      <c r="BW520"/>
      <c r="BX520"/>
      <c r="BY520"/>
      <c r="BZ520"/>
      <c r="CA520"/>
      <c r="CB520"/>
      <c r="CC520"/>
      <c r="CD520"/>
      <c r="CE520"/>
      <c r="CF520"/>
      <c r="CG520"/>
      <c r="CH520"/>
      <c r="CI520"/>
      <c r="CJ520"/>
      <c r="CK520"/>
      <c r="CL520"/>
      <c r="CM520" s="20"/>
      <c r="CN520" s="20"/>
      <c r="CO520" s="20"/>
      <c r="CP520" s="20"/>
      <c r="CQ520" s="20"/>
      <c r="CR520" s="20"/>
      <c r="CS520" s="20"/>
      <c r="CT520" s="20"/>
      <c r="CU520" s="20"/>
      <c r="CV520" s="20"/>
      <c r="CW520" s="20"/>
      <c r="CX520" s="20"/>
      <c r="CY520" s="20"/>
    </row>
    <row r="521" spans="1:103" s="6" customFormat="1">
      <c r="A521"/>
      <c r="B521"/>
      <c r="C521"/>
      <c r="D521"/>
      <c r="E521"/>
      <c r="F521"/>
      <c r="G521"/>
      <c r="H521"/>
      <c r="I521"/>
      <c r="J521"/>
      <c r="N521" s="7"/>
      <c r="O521"/>
      <c r="P521" s="10"/>
      <c r="Q521" s="9"/>
      <c r="R521" s="10"/>
      <c r="S521" s="10"/>
      <c r="AA521" s="11"/>
      <c r="AD521"/>
      <c r="AE521"/>
      <c r="AF521"/>
      <c r="AG521"/>
      <c r="AH521" s="46"/>
      <c r="AI521"/>
      <c r="AJ521"/>
      <c r="AK521"/>
      <c r="AL521"/>
      <c r="AM521"/>
      <c r="AN521"/>
      <c r="AO521"/>
      <c r="AP521"/>
      <c r="AQ521"/>
      <c r="AR521"/>
      <c r="AS521"/>
      <c r="AT521" s="14"/>
      <c r="AU521"/>
      <c r="AV521"/>
      <c r="AW521"/>
      <c r="AX521" s="10"/>
      <c r="AY521" s="20"/>
      <c r="AZ521" s="16"/>
      <c r="BA521"/>
      <c r="BB521"/>
      <c r="BC521" s="16"/>
      <c r="BD521"/>
      <c r="BE521"/>
      <c r="BF521"/>
      <c r="BG521"/>
      <c r="BH521"/>
      <c r="BI521"/>
      <c r="BJ521"/>
      <c r="BK521"/>
      <c r="BL521"/>
      <c r="BM521"/>
      <c r="BN521" s="19"/>
      <c r="BO521"/>
      <c r="BP521"/>
      <c r="BQ521"/>
      <c r="BR521"/>
      <c r="BS521"/>
      <c r="BT521"/>
      <c r="BU521"/>
      <c r="BV521"/>
      <c r="BW521"/>
      <c r="BX521"/>
      <c r="BY521"/>
      <c r="BZ521"/>
      <c r="CA521"/>
      <c r="CB521"/>
      <c r="CC521"/>
      <c r="CD521"/>
      <c r="CE521"/>
      <c r="CF521"/>
      <c r="CG521"/>
      <c r="CH521"/>
      <c r="CI521"/>
      <c r="CJ521"/>
      <c r="CK521"/>
      <c r="CL521"/>
      <c r="CM521" s="20"/>
      <c r="CN521" s="20"/>
      <c r="CO521" s="20"/>
      <c r="CP521" s="20"/>
      <c r="CQ521" s="20"/>
      <c r="CR521" s="20"/>
      <c r="CS521" s="20"/>
      <c r="CT521" s="20"/>
      <c r="CU521" s="20"/>
      <c r="CV521" s="20"/>
      <c r="CW521" s="20"/>
      <c r="CX521" s="20"/>
      <c r="CY521" s="20"/>
    </row>
    <row r="522" spans="1:103" s="6" customFormat="1">
      <c r="A522"/>
      <c r="B522"/>
      <c r="C522"/>
      <c r="D522"/>
      <c r="E522"/>
      <c r="F522"/>
      <c r="G522"/>
      <c r="H522"/>
      <c r="I522"/>
      <c r="J522"/>
      <c r="N522" s="7"/>
      <c r="O522"/>
      <c r="P522" s="10"/>
      <c r="Q522" s="9"/>
      <c r="R522" s="10"/>
      <c r="S522" s="10"/>
      <c r="AA522" s="11"/>
      <c r="AD522"/>
      <c r="AE522"/>
      <c r="AF522"/>
      <c r="AG522"/>
      <c r="AH522" s="46"/>
      <c r="AI522"/>
      <c r="AJ522"/>
      <c r="AK522"/>
      <c r="AL522"/>
      <c r="AM522"/>
      <c r="AN522"/>
      <c r="AO522"/>
      <c r="AP522"/>
      <c r="AQ522"/>
      <c r="AR522"/>
      <c r="AS522"/>
      <c r="AT522" s="14"/>
      <c r="AU522"/>
      <c r="AV522"/>
      <c r="AW522"/>
      <c r="AX522" s="10"/>
      <c r="AY522" s="20"/>
      <c r="AZ522" s="16"/>
      <c r="BA522"/>
      <c r="BB522"/>
      <c r="BC522" s="16"/>
      <c r="BD522"/>
      <c r="BE522"/>
      <c r="BF522"/>
      <c r="BG522"/>
      <c r="BH522"/>
      <c r="BI522"/>
      <c r="BJ522"/>
      <c r="BK522"/>
      <c r="BL522"/>
      <c r="BM522"/>
      <c r="BN522" s="19"/>
      <c r="BO522"/>
      <c r="BP522"/>
      <c r="BQ522"/>
      <c r="BR522"/>
      <c r="BS522"/>
      <c r="BT522"/>
      <c r="BU522"/>
      <c r="BV522"/>
      <c r="BW522"/>
      <c r="BX522"/>
      <c r="BY522"/>
      <c r="BZ522"/>
      <c r="CA522"/>
      <c r="CB522"/>
      <c r="CC522"/>
      <c r="CD522"/>
      <c r="CE522"/>
      <c r="CF522"/>
      <c r="CG522"/>
      <c r="CH522"/>
      <c r="CI522"/>
      <c r="CJ522"/>
      <c r="CK522"/>
      <c r="CL522"/>
      <c r="CM522" s="20"/>
      <c r="CN522" s="20"/>
      <c r="CO522" s="20"/>
      <c r="CP522" s="20"/>
      <c r="CQ522" s="20"/>
      <c r="CR522" s="20"/>
      <c r="CS522" s="20"/>
      <c r="CT522" s="20"/>
      <c r="CU522" s="20"/>
      <c r="CV522" s="20"/>
      <c r="CW522" s="20"/>
      <c r="CX522" s="20"/>
      <c r="CY522" s="20"/>
    </row>
    <row r="523" spans="1:103" s="6" customFormat="1">
      <c r="A523"/>
      <c r="B523"/>
      <c r="C523"/>
      <c r="D523"/>
      <c r="E523"/>
      <c r="F523"/>
      <c r="G523"/>
      <c r="H523"/>
      <c r="I523"/>
      <c r="J523"/>
      <c r="N523" s="7"/>
      <c r="O523"/>
      <c r="P523" s="10"/>
      <c r="Q523" s="9"/>
      <c r="R523" s="10"/>
      <c r="S523" s="10"/>
      <c r="AA523" s="11"/>
      <c r="AD523"/>
      <c r="AE523"/>
      <c r="AF523"/>
      <c r="AG523"/>
      <c r="AH523" s="46"/>
      <c r="AI523"/>
      <c r="AJ523"/>
      <c r="AK523"/>
      <c r="AL523"/>
      <c r="AM523"/>
      <c r="AN523"/>
      <c r="AO523"/>
      <c r="AP523"/>
      <c r="AQ523"/>
      <c r="AR523"/>
      <c r="AS523"/>
      <c r="AT523" s="14"/>
      <c r="AU523"/>
      <c r="AV523"/>
      <c r="AW523"/>
      <c r="AX523" s="10"/>
      <c r="AY523" s="20"/>
      <c r="AZ523" s="16"/>
      <c r="BA523"/>
      <c r="BB523"/>
      <c r="BC523" s="16"/>
      <c r="BD523"/>
      <c r="BE523"/>
      <c r="BF523"/>
      <c r="BG523"/>
      <c r="BH523"/>
      <c r="BI523"/>
      <c r="BJ523"/>
      <c r="BK523"/>
      <c r="BL523"/>
      <c r="BM523"/>
      <c r="BN523" s="19"/>
      <c r="BO523"/>
      <c r="BP523"/>
      <c r="BQ523"/>
      <c r="BR523"/>
      <c r="BS523"/>
      <c r="BT523"/>
      <c r="BU523"/>
      <c r="BV523"/>
      <c r="BW523"/>
      <c r="BX523"/>
      <c r="BY523"/>
      <c r="BZ523"/>
      <c r="CA523"/>
      <c r="CB523"/>
      <c r="CC523"/>
      <c r="CD523"/>
      <c r="CE523"/>
      <c r="CF523"/>
      <c r="CG523"/>
      <c r="CH523"/>
      <c r="CI523"/>
      <c r="CJ523"/>
      <c r="CK523"/>
      <c r="CL523"/>
      <c r="CM523" s="20"/>
      <c r="CN523" s="20"/>
      <c r="CO523" s="20"/>
      <c r="CP523" s="20"/>
      <c r="CQ523" s="20"/>
      <c r="CR523" s="20"/>
      <c r="CS523" s="20"/>
      <c r="CT523" s="20"/>
      <c r="CU523" s="20"/>
      <c r="CV523" s="20"/>
      <c r="CW523" s="20"/>
      <c r="CX523" s="20"/>
      <c r="CY523" s="20"/>
    </row>
    <row r="524" spans="1:103" s="6" customFormat="1">
      <c r="A524"/>
      <c r="B524"/>
      <c r="C524"/>
      <c r="D524"/>
      <c r="E524"/>
      <c r="F524"/>
      <c r="G524"/>
      <c r="H524"/>
      <c r="I524"/>
      <c r="J524"/>
      <c r="N524" s="7"/>
      <c r="O524"/>
      <c r="P524" s="10"/>
      <c r="Q524" s="9"/>
      <c r="R524" s="10"/>
      <c r="S524" s="10"/>
      <c r="AA524" s="11"/>
      <c r="AD524"/>
      <c r="AE524"/>
      <c r="AF524"/>
      <c r="AG524"/>
      <c r="AH524" s="46"/>
      <c r="AI524"/>
      <c r="AJ524"/>
      <c r="AK524"/>
      <c r="AL524"/>
      <c r="AM524"/>
      <c r="AN524"/>
      <c r="AO524"/>
      <c r="AP524"/>
      <c r="AQ524"/>
      <c r="AR524"/>
      <c r="AS524"/>
      <c r="AT524" s="14"/>
      <c r="AU524"/>
      <c r="AV524"/>
      <c r="AW524"/>
      <c r="AX524" s="10"/>
      <c r="AY524" s="20"/>
      <c r="AZ524" s="16"/>
      <c r="BA524"/>
      <c r="BB524"/>
      <c r="BC524" s="16"/>
      <c r="BD524"/>
      <c r="BE524"/>
      <c r="BF524"/>
      <c r="BG524"/>
      <c r="BH524"/>
      <c r="BI524"/>
      <c r="BJ524"/>
      <c r="BK524"/>
      <c r="BL524"/>
      <c r="BM524"/>
      <c r="BN524" s="19"/>
      <c r="BO524"/>
      <c r="BP524"/>
      <c r="BQ524"/>
      <c r="BR524"/>
      <c r="BS524"/>
      <c r="BT524"/>
      <c r="BU524"/>
      <c r="BV524"/>
      <c r="BW524"/>
      <c r="BX524"/>
      <c r="BY524"/>
      <c r="BZ524"/>
      <c r="CA524"/>
      <c r="CB524"/>
      <c r="CC524"/>
      <c r="CD524"/>
      <c r="CE524"/>
      <c r="CF524"/>
      <c r="CG524"/>
      <c r="CH524"/>
      <c r="CI524"/>
      <c r="CJ524"/>
      <c r="CK524"/>
      <c r="CL524"/>
      <c r="CM524" s="20"/>
      <c r="CN524" s="20"/>
      <c r="CO524" s="20"/>
      <c r="CP524" s="20"/>
      <c r="CQ524" s="20"/>
      <c r="CR524" s="20"/>
      <c r="CS524" s="20"/>
      <c r="CT524" s="20"/>
      <c r="CU524" s="20"/>
      <c r="CV524" s="20"/>
      <c r="CW524" s="20"/>
      <c r="CX524" s="20"/>
      <c r="CY524" s="20"/>
    </row>
    <row r="525" spans="1:103" s="6" customFormat="1">
      <c r="A525"/>
      <c r="B525"/>
      <c r="C525"/>
      <c r="D525"/>
      <c r="E525"/>
      <c r="F525"/>
      <c r="G525"/>
      <c r="H525"/>
      <c r="I525"/>
      <c r="J525"/>
      <c r="N525" s="7"/>
      <c r="O525"/>
      <c r="P525" s="10"/>
      <c r="Q525" s="9"/>
      <c r="R525" s="10"/>
      <c r="S525" s="10"/>
      <c r="AA525" s="11"/>
      <c r="AD525"/>
      <c r="AE525"/>
      <c r="AF525"/>
      <c r="AG525"/>
      <c r="AH525" s="46"/>
      <c r="AI525"/>
      <c r="AJ525"/>
      <c r="AK525"/>
      <c r="AL525"/>
      <c r="AM525"/>
      <c r="AN525"/>
      <c r="AO525"/>
      <c r="AP525"/>
      <c r="AQ525"/>
      <c r="AR525"/>
      <c r="AS525"/>
      <c r="AT525" s="14"/>
      <c r="AU525"/>
      <c r="AV525"/>
      <c r="AW525"/>
      <c r="AX525" s="10"/>
      <c r="AY525" s="20"/>
      <c r="AZ525" s="16"/>
      <c r="BA525"/>
      <c r="BB525"/>
      <c r="BC525" s="16"/>
      <c r="BD525"/>
      <c r="BE525"/>
      <c r="BF525"/>
      <c r="BG525"/>
      <c r="BH525"/>
      <c r="BI525"/>
      <c r="BJ525"/>
      <c r="BK525"/>
      <c r="BL525"/>
      <c r="BM525"/>
      <c r="BN525" s="19"/>
      <c r="BO525"/>
      <c r="BP525"/>
      <c r="BQ525"/>
      <c r="BR525"/>
      <c r="BS525"/>
      <c r="BT525"/>
      <c r="BU525"/>
      <c r="BV525"/>
      <c r="BW525"/>
      <c r="BX525"/>
      <c r="BY525"/>
      <c r="BZ525"/>
      <c r="CA525"/>
      <c r="CB525"/>
      <c r="CC525"/>
      <c r="CD525"/>
      <c r="CE525"/>
      <c r="CF525"/>
      <c r="CG525"/>
      <c r="CH525"/>
      <c r="CI525"/>
      <c r="CJ525"/>
      <c r="CK525"/>
      <c r="CL525"/>
      <c r="CM525" s="20"/>
      <c r="CN525" s="20"/>
      <c r="CO525" s="20"/>
      <c r="CP525" s="20"/>
      <c r="CQ525" s="20"/>
      <c r="CR525" s="20"/>
      <c r="CS525" s="20"/>
      <c r="CT525" s="20"/>
      <c r="CU525" s="20"/>
      <c r="CV525" s="20"/>
      <c r="CW525" s="20"/>
      <c r="CX525" s="20"/>
      <c r="CY525" s="20"/>
    </row>
    <row r="526" spans="1:103" s="6" customFormat="1">
      <c r="A526"/>
      <c r="B526"/>
      <c r="C526"/>
      <c r="D526"/>
      <c r="E526"/>
      <c r="F526"/>
      <c r="G526"/>
      <c r="H526"/>
      <c r="I526"/>
      <c r="J526"/>
      <c r="N526" s="7"/>
      <c r="O526"/>
      <c r="P526" s="10"/>
      <c r="Q526" s="9"/>
      <c r="R526" s="10"/>
      <c r="S526" s="10"/>
      <c r="AA526" s="11"/>
      <c r="AD526"/>
      <c r="AE526"/>
      <c r="AF526"/>
      <c r="AG526"/>
      <c r="AH526" s="46"/>
      <c r="AI526"/>
      <c r="AJ526"/>
      <c r="AK526"/>
      <c r="AL526"/>
      <c r="AM526"/>
      <c r="AN526"/>
      <c r="AO526"/>
      <c r="AP526"/>
      <c r="AQ526"/>
      <c r="AR526"/>
      <c r="AS526"/>
      <c r="AT526" s="14"/>
      <c r="AU526"/>
      <c r="AV526"/>
      <c r="AW526"/>
      <c r="AX526" s="10"/>
      <c r="AY526" s="20"/>
      <c r="AZ526" s="16"/>
      <c r="BA526"/>
      <c r="BB526"/>
      <c r="BC526" s="16"/>
      <c r="BD526"/>
      <c r="BE526"/>
      <c r="BF526"/>
      <c r="BG526"/>
      <c r="BH526"/>
      <c r="BI526"/>
      <c r="BJ526"/>
      <c r="BK526"/>
      <c r="BL526"/>
      <c r="BM526"/>
      <c r="BN526" s="19"/>
      <c r="BO526"/>
      <c r="BP526"/>
      <c r="BQ526"/>
      <c r="BR526"/>
      <c r="BS526"/>
      <c r="BT526"/>
      <c r="BU526"/>
      <c r="BV526"/>
      <c r="BW526"/>
      <c r="BX526"/>
      <c r="BY526"/>
      <c r="BZ526"/>
      <c r="CA526"/>
      <c r="CB526"/>
      <c r="CC526"/>
      <c r="CD526"/>
      <c r="CE526"/>
      <c r="CF526"/>
      <c r="CG526"/>
      <c r="CH526"/>
      <c r="CI526"/>
      <c r="CJ526"/>
      <c r="CK526"/>
      <c r="CL526"/>
      <c r="CM526" s="20"/>
      <c r="CN526" s="20"/>
      <c r="CO526" s="20"/>
      <c r="CP526" s="20"/>
      <c r="CQ526" s="20"/>
      <c r="CR526" s="20"/>
      <c r="CS526" s="20"/>
      <c r="CT526" s="20"/>
      <c r="CU526" s="20"/>
      <c r="CV526" s="20"/>
      <c r="CW526" s="20"/>
      <c r="CX526" s="20"/>
      <c r="CY526" s="20"/>
    </row>
    <row r="527" spans="1:103" s="6" customFormat="1">
      <c r="A527"/>
      <c r="B527"/>
      <c r="C527"/>
      <c r="D527"/>
      <c r="E527"/>
      <c r="F527"/>
      <c r="G527"/>
      <c r="H527"/>
      <c r="I527"/>
      <c r="J527"/>
      <c r="N527" s="7"/>
      <c r="O527"/>
      <c r="P527" s="10"/>
      <c r="Q527" s="9"/>
      <c r="R527" s="10"/>
      <c r="S527" s="10"/>
      <c r="AA527" s="11"/>
      <c r="AD527"/>
      <c r="AE527"/>
      <c r="AF527"/>
      <c r="AG527"/>
      <c r="AH527" s="46"/>
      <c r="AI527"/>
      <c r="AJ527"/>
      <c r="AK527"/>
      <c r="AL527"/>
      <c r="AM527"/>
      <c r="AN527"/>
      <c r="AO527"/>
      <c r="AP527"/>
      <c r="AQ527"/>
      <c r="AR527"/>
      <c r="AS527"/>
      <c r="AT527" s="14"/>
      <c r="AU527"/>
      <c r="AV527"/>
      <c r="AW527"/>
      <c r="AX527" s="10"/>
      <c r="AY527" s="20"/>
      <c r="AZ527" s="16"/>
      <c r="BA527"/>
      <c r="BB527"/>
      <c r="BC527" s="16"/>
      <c r="BD527"/>
      <c r="BE527"/>
      <c r="BF527"/>
      <c r="BG527"/>
      <c r="BH527"/>
      <c r="BI527"/>
      <c r="BJ527"/>
      <c r="BK527"/>
      <c r="BL527"/>
      <c r="BM527"/>
      <c r="BN527" s="19"/>
      <c r="BO527"/>
      <c r="BP527"/>
      <c r="BQ527"/>
      <c r="BR527"/>
      <c r="BS527"/>
      <c r="BT527"/>
      <c r="BU527"/>
      <c r="BV527"/>
      <c r="BW527"/>
      <c r="BX527"/>
      <c r="BY527"/>
      <c r="BZ527"/>
      <c r="CA527"/>
      <c r="CB527"/>
      <c r="CC527"/>
      <c r="CD527"/>
      <c r="CE527"/>
      <c r="CF527"/>
      <c r="CG527"/>
      <c r="CH527"/>
      <c r="CI527"/>
      <c r="CJ527"/>
      <c r="CK527"/>
      <c r="CL527"/>
      <c r="CM527" s="20"/>
      <c r="CN527" s="20"/>
      <c r="CO527" s="20"/>
      <c r="CP527" s="20"/>
      <c r="CQ527" s="20"/>
      <c r="CR527" s="20"/>
      <c r="CS527" s="20"/>
      <c r="CT527" s="20"/>
      <c r="CU527" s="20"/>
      <c r="CV527" s="20"/>
      <c r="CW527" s="20"/>
      <c r="CX527" s="20"/>
      <c r="CY527" s="20"/>
    </row>
    <row r="528" spans="1:103" s="6" customFormat="1">
      <c r="A528"/>
      <c r="B528"/>
      <c r="C528"/>
      <c r="D528"/>
      <c r="E528"/>
      <c r="F528"/>
      <c r="G528"/>
      <c r="H528"/>
      <c r="I528"/>
      <c r="J528"/>
      <c r="N528" s="7"/>
      <c r="O528"/>
      <c r="P528" s="10"/>
      <c r="Q528" s="9"/>
      <c r="R528" s="10"/>
      <c r="S528" s="10"/>
      <c r="AA528" s="11"/>
      <c r="AD528"/>
      <c r="AE528"/>
      <c r="AF528"/>
      <c r="AG528"/>
      <c r="AH528" s="46"/>
      <c r="AI528"/>
      <c r="AJ528"/>
      <c r="AK528"/>
      <c r="AL528"/>
      <c r="AM528"/>
      <c r="AN528"/>
      <c r="AO528"/>
      <c r="AP528"/>
      <c r="AQ528"/>
      <c r="AR528"/>
      <c r="AS528"/>
      <c r="AT528" s="14"/>
      <c r="AU528"/>
      <c r="AV528"/>
      <c r="AW528"/>
      <c r="AX528" s="10"/>
      <c r="AY528" s="20"/>
      <c r="AZ528" s="16"/>
      <c r="BA528"/>
      <c r="BB528"/>
      <c r="BC528" s="16"/>
      <c r="BD528"/>
      <c r="BE528"/>
      <c r="BF528"/>
      <c r="BG528"/>
      <c r="BH528"/>
      <c r="BI528"/>
      <c r="BJ528"/>
      <c r="BK528"/>
      <c r="BL528"/>
      <c r="BM528"/>
      <c r="BN528" s="19"/>
      <c r="BO528"/>
      <c r="BP528"/>
      <c r="BQ528"/>
      <c r="BR528"/>
      <c r="BS528"/>
      <c r="BT528"/>
      <c r="BU528"/>
      <c r="BV528"/>
      <c r="BW528"/>
      <c r="BX528"/>
      <c r="BY528"/>
      <c r="BZ528"/>
      <c r="CA528"/>
      <c r="CB528"/>
      <c r="CC528"/>
      <c r="CD528"/>
      <c r="CE528"/>
      <c r="CF528"/>
      <c r="CG528"/>
      <c r="CH528"/>
      <c r="CI528"/>
      <c r="CJ528"/>
      <c r="CK528"/>
      <c r="CL528"/>
      <c r="CM528" s="20"/>
      <c r="CN528" s="20"/>
      <c r="CO528" s="20"/>
      <c r="CP528" s="20"/>
      <c r="CQ528" s="20"/>
      <c r="CR528" s="20"/>
      <c r="CS528" s="20"/>
      <c r="CT528" s="20"/>
      <c r="CU528" s="20"/>
      <c r="CV528" s="20"/>
      <c r="CW528" s="20"/>
      <c r="CX528" s="20"/>
      <c r="CY528" s="20"/>
    </row>
    <row r="529" spans="1:103" s="6" customFormat="1">
      <c r="A529"/>
      <c r="B529"/>
      <c r="C529"/>
      <c r="D529"/>
      <c r="E529"/>
      <c r="F529"/>
      <c r="G529"/>
      <c r="H529"/>
      <c r="I529"/>
      <c r="J529"/>
      <c r="N529" s="7"/>
      <c r="O529"/>
      <c r="P529" s="10"/>
      <c r="Q529" s="9"/>
      <c r="R529" s="10"/>
      <c r="S529" s="10"/>
      <c r="AA529" s="11"/>
      <c r="AD529"/>
      <c r="AE529"/>
      <c r="AF529"/>
      <c r="AG529"/>
      <c r="AH529" s="46"/>
      <c r="AI529"/>
      <c r="AJ529"/>
      <c r="AK529"/>
      <c r="AL529"/>
      <c r="AM529"/>
      <c r="AN529"/>
      <c r="AO529"/>
      <c r="AP529"/>
      <c r="AQ529"/>
      <c r="AR529"/>
      <c r="AS529"/>
      <c r="AT529" s="14"/>
      <c r="AU529"/>
      <c r="AV529"/>
      <c r="AW529"/>
      <c r="AX529" s="10"/>
      <c r="AY529" s="20"/>
      <c r="AZ529" s="16"/>
      <c r="BA529"/>
      <c r="BB529"/>
      <c r="BC529" s="16"/>
      <c r="BD529"/>
      <c r="BE529"/>
      <c r="BF529"/>
      <c r="BG529"/>
      <c r="BH529"/>
      <c r="BI529"/>
      <c r="BJ529"/>
      <c r="BK529"/>
      <c r="BL529"/>
      <c r="BM529"/>
      <c r="BN529" s="19"/>
      <c r="BO529"/>
      <c r="BP529"/>
      <c r="BQ529"/>
      <c r="BR529"/>
      <c r="BS529"/>
      <c r="BT529"/>
      <c r="BU529"/>
      <c r="BV529"/>
      <c r="BW529"/>
      <c r="BX529"/>
      <c r="BY529"/>
      <c r="BZ529"/>
      <c r="CA529"/>
      <c r="CB529"/>
      <c r="CC529"/>
      <c r="CD529"/>
      <c r="CE529"/>
      <c r="CF529"/>
      <c r="CG529"/>
      <c r="CH529"/>
      <c r="CI529"/>
      <c r="CJ529"/>
      <c r="CK529"/>
      <c r="CL529"/>
      <c r="CM529" s="20"/>
      <c r="CN529" s="20"/>
      <c r="CO529" s="20"/>
      <c r="CP529" s="20"/>
      <c r="CQ529" s="20"/>
      <c r="CR529" s="20"/>
      <c r="CS529" s="20"/>
      <c r="CT529" s="20"/>
      <c r="CU529" s="20"/>
      <c r="CV529" s="20"/>
      <c r="CW529" s="20"/>
      <c r="CX529" s="20"/>
      <c r="CY529" s="20"/>
    </row>
    <row r="530" spans="1:103" s="6" customFormat="1">
      <c r="A530"/>
      <c r="B530"/>
      <c r="C530"/>
      <c r="D530"/>
      <c r="E530"/>
      <c r="F530"/>
      <c r="G530"/>
      <c r="H530"/>
      <c r="I530"/>
      <c r="J530"/>
      <c r="N530" s="7"/>
      <c r="O530"/>
      <c r="P530" s="10"/>
      <c r="Q530" s="9"/>
      <c r="R530" s="10"/>
      <c r="S530" s="10"/>
      <c r="AA530" s="11"/>
      <c r="AD530"/>
      <c r="AE530"/>
      <c r="AF530"/>
      <c r="AG530"/>
      <c r="AH530" s="46"/>
      <c r="AI530"/>
      <c r="AJ530"/>
      <c r="AK530"/>
      <c r="AL530"/>
      <c r="AM530"/>
      <c r="AN530"/>
      <c r="AO530"/>
      <c r="AP530"/>
      <c r="AQ530"/>
      <c r="AR530"/>
      <c r="AS530"/>
      <c r="AT530" s="14"/>
      <c r="AU530"/>
      <c r="AV530"/>
      <c r="AW530"/>
      <c r="AX530" s="10"/>
      <c r="AY530" s="20"/>
      <c r="AZ530" s="16"/>
      <c r="BA530"/>
      <c r="BB530"/>
      <c r="BC530" s="16"/>
      <c r="BD530"/>
      <c r="BE530"/>
      <c r="BF530"/>
      <c r="BG530"/>
      <c r="BH530"/>
      <c r="BI530"/>
      <c r="BJ530"/>
      <c r="BK530"/>
      <c r="BL530"/>
      <c r="BM530"/>
      <c r="BN530" s="19"/>
      <c r="BO530"/>
      <c r="BP530"/>
      <c r="BQ530"/>
      <c r="BR530"/>
      <c r="BS530"/>
      <c r="BT530"/>
      <c r="BU530"/>
      <c r="BV530"/>
      <c r="BW530"/>
      <c r="BX530"/>
      <c r="BY530"/>
      <c r="BZ530"/>
      <c r="CA530"/>
      <c r="CB530"/>
      <c r="CC530"/>
      <c r="CD530"/>
      <c r="CE530"/>
      <c r="CF530"/>
      <c r="CG530"/>
      <c r="CH530"/>
      <c r="CI530"/>
      <c r="CJ530"/>
      <c r="CK530"/>
      <c r="CL530"/>
      <c r="CM530" s="20"/>
      <c r="CN530" s="20"/>
      <c r="CO530" s="20"/>
      <c r="CP530" s="20"/>
      <c r="CQ530" s="20"/>
      <c r="CR530" s="20"/>
      <c r="CS530" s="20"/>
      <c r="CT530" s="20"/>
      <c r="CU530" s="20"/>
      <c r="CV530" s="20"/>
      <c r="CW530" s="20"/>
      <c r="CX530" s="20"/>
      <c r="CY530" s="20"/>
    </row>
    <row r="531" spans="1:103" s="6" customFormat="1">
      <c r="A531"/>
      <c r="B531"/>
      <c r="C531"/>
      <c r="D531"/>
      <c r="E531"/>
      <c r="F531"/>
      <c r="G531"/>
      <c r="H531"/>
      <c r="I531"/>
      <c r="J531"/>
      <c r="N531" s="7"/>
      <c r="O531"/>
      <c r="P531" s="10"/>
      <c r="Q531" s="9"/>
      <c r="R531" s="10"/>
      <c r="S531" s="10"/>
      <c r="AA531" s="11"/>
      <c r="AD531"/>
      <c r="AE531"/>
      <c r="AF531"/>
      <c r="AG531"/>
      <c r="AH531" s="46"/>
      <c r="AI531"/>
      <c r="AJ531"/>
      <c r="AK531"/>
      <c r="AL531"/>
      <c r="AM531"/>
      <c r="AN531"/>
      <c r="AO531"/>
      <c r="AP531"/>
      <c r="AQ531"/>
      <c r="AR531"/>
      <c r="AS531"/>
      <c r="AT531" s="14"/>
      <c r="AU531"/>
      <c r="AV531"/>
      <c r="AW531"/>
      <c r="AX531" s="10"/>
      <c r="AY531" s="20"/>
      <c r="AZ531" s="16"/>
      <c r="BA531"/>
      <c r="BB531"/>
      <c r="BC531" s="16"/>
      <c r="BD531"/>
      <c r="BE531"/>
      <c r="BF531"/>
      <c r="BG531"/>
      <c r="BH531"/>
      <c r="BI531"/>
      <c r="BJ531"/>
      <c r="BK531"/>
      <c r="BL531"/>
      <c r="BM531"/>
      <c r="BN531" s="19"/>
      <c r="BO531"/>
      <c r="BP531"/>
      <c r="BQ531"/>
      <c r="BR531"/>
      <c r="BS531"/>
      <c r="BT531"/>
      <c r="BU531"/>
      <c r="BV531"/>
      <c r="BW531"/>
      <c r="BX531"/>
      <c r="BY531"/>
      <c r="BZ531"/>
      <c r="CA531"/>
      <c r="CB531"/>
      <c r="CC531"/>
      <c r="CD531"/>
      <c r="CE531"/>
      <c r="CF531"/>
      <c r="CG531"/>
      <c r="CH531"/>
      <c r="CI531"/>
      <c r="CJ531"/>
      <c r="CK531"/>
      <c r="CL531"/>
      <c r="CM531" s="20"/>
      <c r="CN531" s="20"/>
      <c r="CO531" s="20"/>
      <c r="CP531" s="20"/>
      <c r="CQ531" s="20"/>
      <c r="CR531" s="20"/>
      <c r="CS531" s="20"/>
      <c r="CT531" s="20"/>
      <c r="CU531" s="20"/>
      <c r="CV531" s="20"/>
      <c r="CW531" s="20"/>
      <c r="CX531" s="20"/>
      <c r="CY531" s="20"/>
    </row>
    <row r="532" spans="1:103" s="6" customFormat="1">
      <c r="A532"/>
      <c r="B532"/>
      <c r="C532"/>
      <c r="D532"/>
      <c r="E532"/>
      <c r="F532"/>
      <c r="G532"/>
      <c r="H532"/>
      <c r="I532"/>
      <c r="J532"/>
      <c r="N532" s="7"/>
      <c r="O532"/>
      <c r="P532" s="10"/>
      <c r="Q532" s="9"/>
      <c r="R532" s="10"/>
      <c r="S532" s="10"/>
      <c r="AA532" s="11"/>
      <c r="AD532"/>
      <c r="AE532"/>
      <c r="AF532"/>
      <c r="AG532"/>
      <c r="AH532" s="46"/>
      <c r="AI532"/>
      <c r="AJ532"/>
      <c r="AK532"/>
      <c r="AL532"/>
      <c r="AM532"/>
      <c r="AN532"/>
      <c r="AO532"/>
      <c r="AP532"/>
      <c r="AQ532"/>
      <c r="AR532"/>
      <c r="AS532"/>
      <c r="AT532" s="14"/>
      <c r="AU532"/>
      <c r="AV532"/>
      <c r="AW532"/>
      <c r="AX532" s="10"/>
      <c r="AY532" s="20"/>
      <c r="AZ532" s="16"/>
      <c r="BA532"/>
      <c r="BB532"/>
      <c r="BC532" s="16"/>
      <c r="BD532"/>
      <c r="BE532"/>
      <c r="BF532"/>
      <c r="BG532"/>
      <c r="BH532"/>
      <c r="BI532"/>
      <c r="BJ532"/>
      <c r="BK532"/>
      <c r="BL532"/>
      <c r="BM532"/>
      <c r="BN532" s="19"/>
      <c r="BO532"/>
      <c r="BP532"/>
      <c r="BQ532"/>
      <c r="BR532"/>
      <c r="BS532"/>
      <c r="BT532"/>
      <c r="BU532"/>
      <c r="BV532"/>
      <c r="BW532"/>
      <c r="BX532"/>
      <c r="BY532"/>
      <c r="BZ532"/>
      <c r="CA532"/>
      <c r="CB532"/>
      <c r="CC532"/>
      <c r="CD532"/>
      <c r="CE532"/>
      <c r="CF532"/>
      <c r="CG532"/>
      <c r="CH532"/>
      <c r="CI532"/>
      <c r="CJ532"/>
      <c r="CK532"/>
      <c r="CL532"/>
      <c r="CM532" s="20"/>
      <c r="CN532" s="20"/>
      <c r="CO532" s="20"/>
      <c r="CP532" s="20"/>
      <c r="CQ532" s="20"/>
      <c r="CR532" s="20"/>
      <c r="CS532" s="20"/>
      <c r="CT532" s="20"/>
      <c r="CU532" s="20"/>
      <c r="CV532" s="20"/>
      <c r="CW532" s="20"/>
      <c r="CX532" s="20"/>
      <c r="CY532" s="20"/>
    </row>
    <row r="533" spans="1:103" s="6" customFormat="1">
      <c r="A533"/>
      <c r="B533"/>
      <c r="C533"/>
      <c r="D533"/>
      <c r="E533"/>
      <c r="F533"/>
      <c r="G533"/>
      <c r="H533"/>
      <c r="I533"/>
      <c r="J533"/>
      <c r="N533" s="7"/>
      <c r="O533"/>
      <c r="P533" s="10"/>
      <c r="Q533" s="9"/>
      <c r="R533" s="10"/>
      <c r="S533" s="10"/>
      <c r="AA533" s="11"/>
      <c r="AD533"/>
      <c r="AE533"/>
      <c r="AF533"/>
      <c r="AG533"/>
      <c r="AH533" s="46"/>
      <c r="AI533"/>
      <c r="AJ533"/>
      <c r="AK533"/>
      <c r="AL533"/>
      <c r="AM533"/>
      <c r="AN533"/>
      <c r="AO533"/>
      <c r="AP533"/>
      <c r="AQ533"/>
      <c r="AR533"/>
      <c r="AS533"/>
      <c r="AT533" s="14"/>
      <c r="AU533"/>
      <c r="AV533"/>
      <c r="AW533"/>
      <c r="AX533" s="10"/>
      <c r="AY533" s="20"/>
      <c r="AZ533" s="16"/>
      <c r="BA533"/>
      <c r="BB533"/>
      <c r="BC533" s="16"/>
      <c r="BD533"/>
      <c r="BE533"/>
      <c r="BF533"/>
      <c r="BG533"/>
      <c r="BH533"/>
      <c r="BI533"/>
      <c r="BJ533"/>
      <c r="BK533"/>
      <c r="BL533"/>
      <c r="BM533"/>
      <c r="BN533" s="19"/>
      <c r="BO533"/>
      <c r="BP533"/>
      <c r="BQ533"/>
      <c r="BR533"/>
      <c r="BS533"/>
      <c r="BT533"/>
      <c r="BU533"/>
      <c r="BV533"/>
      <c r="BW533"/>
      <c r="BX533"/>
      <c r="BY533"/>
      <c r="BZ533"/>
      <c r="CA533"/>
      <c r="CB533"/>
      <c r="CC533"/>
      <c r="CD533"/>
      <c r="CE533"/>
      <c r="CF533"/>
      <c r="CG533"/>
      <c r="CH533"/>
      <c r="CI533"/>
      <c r="CJ533"/>
      <c r="CK533"/>
      <c r="CL533"/>
      <c r="CM533" s="20"/>
      <c r="CN533" s="20"/>
      <c r="CO533" s="20"/>
      <c r="CP533" s="20"/>
      <c r="CQ533" s="20"/>
      <c r="CR533" s="20"/>
      <c r="CS533" s="20"/>
      <c r="CT533" s="20"/>
      <c r="CU533" s="20"/>
      <c r="CV533" s="20"/>
      <c r="CW533" s="20"/>
      <c r="CX533" s="20"/>
      <c r="CY533" s="20"/>
    </row>
    <row r="534" spans="1:103" s="6" customFormat="1">
      <c r="A534"/>
      <c r="B534"/>
      <c r="C534"/>
      <c r="D534"/>
      <c r="E534"/>
      <c r="F534"/>
      <c r="G534"/>
      <c r="H534"/>
      <c r="I534"/>
      <c r="J534"/>
      <c r="N534" s="7"/>
      <c r="O534"/>
      <c r="P534" s="10"/>
      <c r="Q534" s="9"/>
      <c r="R534" s="10"/>
      <c r="S534" s="10"/>
      <c r="AA534" s="11"/>
      <c r="AD534"/>
      <c r="AE534"/>
      <c r="AF534"/>
      <c r="AG534"/>
      <c r="AH534" s="46"/>
      <c r="AI534"/>
      <c r="AJ534"/>
      <c r="AK534"/>
      <c r="AL534"/>
      <c r="AM534"/>
      <c r="AN534"/>
      <c r="AO534"/>
      <c r="AP534"/>
      <c r="AQ534"/>
      <c r="AR534"/>
      <c r="AS534"/>
      <c r="AT534" s="14"/>
      <c r="AU534"/>
      <c r="AV534"/>
      <c r="AW534"/>
      <c r="AX534" s="10"/>
      <c r="AY534" s="20"/>
      <c r="AZ534" s="16"/>
      <c r="BA534"/>
      <c r="BB534"/>
      <c r="BC534" s="16"/>
      <c r="BD534"/>
      <c r="BE534"/>
      <c r="BF534"/>
      <c r="BG534"/>
      <c r="BH534"/>
      <c r="BI534"/>
      <c r="BJ534"/>
      <c r="BK534"/>
      <c r="BL534"/>
      <c r="BM534"/>
      <c r="BN534" s="19"/>
      <c r="BO534"/>
      <c r="BP534"/>
      <c r="BQ534"/>
      <c r="BR534"/>
      <c r="BS534"/>
      <c r="BT534"/>
      <c r="BU534"/>
      <c r="BV534"/>
      <c r="BW534"/>
      <c r="BX534"/>
      <c r="BY534"/>
      <c r="BZ534"/>
      <c r="CA534"/>
      <c r="CB534"/>
      <c r="CC534"/>
      <c r="CD534"/>
      <c r="CE534"/>
      <c r="CF534"/>
      <c r="CG534"/>
      <c r="CH534"/>
      <c r="CI534"/>
      <c r="CJ534"/>
      <c r="CK534"/>
      <c r="CL534"/>
      <c r="CM534" s="20"/>
      <c r="CN534" s="20"/>
      <c r="CO534" s="20"/>
      <c r="CP534" s="20"/>
      <c r="CQ534" s="20"/>
      <c r="CR534" s="20"/>
      <c r="CS534" s="20"/>
      <c r="CT534" s="20"/>
      <c r="CU534" s="20"/>
      <c r="CV534" s="20"/>
      <c r="CW534" s="20"/>
      <c r="CX534" s="20"/>
      <c r="CY534" s="20"/>
    </row>
    <row r="535" spans="1:103" s="6" customFormat="1">
      <c r="A535"/>
      <c r="B535"/>
      <c r="C535"/>
      <c r="D535"/>
      <c r="E535"/>
      <c r="F535"/>
      <c r="G535"/>
      <c r="H535"/>
      <c r="I535"/>
      <c r="J535"/>
      <c r="N535" s="7"/>
      <c r="O535"/>
      <c r="P535" s="10"/>
      <c r="Q535" s="9"/>
      <c r="R535" s="10"/>
      <c r="S535" s="10"/>
      <c r="AA535" s="11"/>
      <c r="AD535"/>
      <c r="AE535"/>
      <c r="AF535"/>
      <c r="AG535"/>
      <c r="AH535" s="46"/>
      <c r="AI535"/>
      <c r="AJ535"/>
      <c r="AK535"/>
      <c r="AL535"/>
      <c r="AM535"/>
      <c r="AN535"/>
      <c r="AO535"/>
      <c r="AP535"/>
      <c r="AQ535"/>
      <c r="AR535"/>
      <c r="AS535"/>
      <c r="AT535" s="14"/>
      <c r="AU535"/>
      <c r="AV535"/>
      <c r="AW535"/>
      <c r="AX535" s="10"/>
      <c r="AY535" s="20"/>
      <c r="AZ535" s="16"/>
      <c r="BA535"/>
      <c r="BB535"/>
      <c r="BC535" s="16"/>
      <c r="BD535"/>
      <c r="BE535"/>
      <c r="BF535"/>
      <c r="BG535"/>
      <c r="BH535"/>
      <c r="BI535"/>
      <c r="BJ535"/>
      <c r="BK535"/>
      <c r="BL535"/>
      <c r="BM535"/>
      <c r="BN535" s="19"/>
      <c r="BO535"/>
      <c r="BP535"/>
      <c r="BQ535"/>
      <c r="BR535"/>
      <c r="BS535"/>
      <c r="BT535"/>
      <c r="BU535"/>
      <c r="BV535"/>
      <c r="BW535"/>
      <c r="BX535"/>
      <c r="BY535"/>
      <c r="BZ535"/>
      <c r="CA535"/>
      <c r="CB535"/>
      <c r="CC535"/>
      <c r="CD535"/>
      <c r="CE535"/>
      <c r="CF535"/>
      <c r="CG535"/>
      <c r="CH535"/>
      <c r="CI535"/>
      <c r="CJ535"/>
      <c r="CK535"/>
      <c r="CL535"/>
      <c r="CM535" s="20"/>
      <c r="CN535" s="20"/>
      <c r="CO535" s="20"/>
      <c r="CP535" s="20"/>
      <c r="CQ535" s="20"/>
      <c r="CR535" s="20"/>
      <c r="CS535" s="20"/>
      <c r="CT535" s="20"/>
      <c r="CU535" s="20"/>
      <c r="CV535" s="20"/>
      <c r="CW535" s="20"/>
      <c r="CX535" s="20"/>
      <c r="CY535" s="20"/>
    </row>
    <row r="536" spans="1:103" s="6" customFormat="1">
      <c r="A536"/>
      <c r="B536"/>
      <c r="C536"/>
      <c r="D536"/>
      <c r="E536"/>
      <c r="F536"/>
      <c r="G536"/>
      <c r="H536"/>
      <c r="I536"/>
      <c r="J536"/>
      <c r="N536" s="7"/>
      <c r="O536"/>
      <c r="P536" s="10"/>
      <c r="Q536" s="9"/>
      <c r="R536" s="10"/>
      <c r="S536" s="10"/>
      <c r="AA536" s="11"/>
      <c r="AD536"/>
      <c r="AE536"/>
      <c r="AF536"/>
      <c r="AG536"/>
      <c r="AH536" s="46"/>
      <c r="AI536"/>
      <c r="AJ536"/>
      <c r="AK536"/>
      <c r="AL536"/>
      <c r="AM536"/>
      <c r="AN536"/>
      <c r="AO536"/>
      <c r="AP536"/>
      <c r="AQ536"/>
      <c r="AR536"/>
      <c r="AS536"/>
      <c r="AT536" s="14"/>
      <c r="AU536"/>
      <c r="AV536"/>
      <c r="AW536"/>
      <c r="AX536" s="10"/>
      <c r="AY536" s="20"/>
      <c r="AZ536" s="16"/>
      <c r="BA536"/>
      <c r="BB536"/>
      <c r="BC536" s="16"/>
      <c r="BD536"/>
      <c r="BE536"/>
      <c r="BF536"/>
      <c r="BG536"/>
      <c r="BH536"/>
      <c r="BI536"/>
      <c r="BJ536"/>
      <c r="BK536"/>
      <c r="BL536"/>
      <c r="BM536"/>
      <c r="BN536" s="19"/>
      <c r="BO536"/>
      <c r="BP536"/>
      <c r="BQ536"/>
      <c r="BR536"/>
      <c r="BS536"/>
      <c r="BT536"/>
      <c r="BU536"/>
      <c r="BV536"/>
      <c r="BW536"/>
      <c r="BX536"/>
      <c r="BY536"/>
      <c r="BZ536"/>
      <c r="CA536"/>
      <c r="CB536"/>
      <c r="CC536"/>
      <c r="CD536"/>
      <c r="CE536"/>
      <c r="CF536"/>
      <c r="CG536"/>
      <c r="CH536"/>
      <c r="CI536"/>
      <c r="CJ536"/>
      <c r="CK536"/>
      <c r="CL536"/>
      <c r="CM536" s="20"/>
      <c r="CN536" s="20"/>
      <c r="CO536" s="20"/>
      <c r="CP536" s="20"/>
      <c r="CQ536" s="20"/>
      <c r="CR536" s="20"/>
      <c r="CS536" s="20"/>
      <c r="CT536" s="20"/>
      <c r="CU536" s="20"/>
      <c r="CV536" s="20"/>
      <c r="CW536" s="20"/>
      <c r="CX536" s="20"/>
      <c r="CY536" s="20"/>
    </row>
    <row r="537" spans="1:103" s="6" customFormat="1">
      <c r="A537"/>
      <c r="B537"/>
      <c r="C537"/>
      <c r="D537"/>
      <c r="E537"/>
      <c r="F537"/>
      <c r="G537"/>
      <c r="H537"/>
      <c r="I537"/>
      <c r="J537"/>
      <c r="N537" s="7"/>
      <c r="O537"/>
      <c r="P537" s="10"/>
      <c r="Q537" s="9"/>
      <c r="R537" s="10"/>
      <c r="S537" s="10"/>
      <c r="AA537" s="11"/>
      <c r="AD537"/>
      <c r="AE537"/>
      <c r="AF537"/>
      <c r="AG537"/>
      <c r="AH537" s="46"/>
      <c r="AI537"/>
      <c r="AJ537"/>
      <c r="AK537"/>
      <c r="AL537"/>
      <c r="AM537"/>
      <c r="AN537"/>
      <c r="AO537"/>
      <c r="AP537"/>
      <c r="AQ537"/>
      <c r="AR537"/>
      <c r="AS537"/>
      <c r="AT537" s="14"/>
      <c r="AU537"/>
      <c r="AV537"/>
      <c r="AW537"/>
      <c r="AX537" s="10"/>
      <c r="AY537" s="20"/>
      <c r="AZ537" s="16"/>
      <c r="BA537"/>
      <c r="BB537"/>
      <c r="BC537" s="16"/>
      <c r="BD537"/>
      <c r="BE537"/>
      <c r="BF537"/>
      <c r="BG537"/>
      <c r="BH537"/>
      <c r="BI537"/>
      <c r="BJ537"/>
      <c r="BK537"/>
      <c r="BL537"/>
      <c r="BM537"/>
      <c r="BN537" s="19"/>
      <c r="BO537"/>
      <c r="BP537"/>
      <c r="BQ537"/>
      <c r="BR537"/>
      <c r="BS537"/>
      <c r="BT537"/>
      <c r="BU537"/>
      <c r="BV537"/>
      <c r="BW537"/>
      <c r="BX537"/>
      <c r="BY537"/>
      <c r="BZ537"/>
      <c r="CA537"/>
      <c r="CB537"/>
      <c r="CC537"/>
      <c r="CD537"/>
      <c r="CE537"/>
      <c r="CF537"/>
      <c r="CG537"/>
      <c r="CH537"/>
      <c r="CI537"/>
      <c r="CJ537"/>
      <c r="CK537"/>
      <c r="CL537"/>
      <c r="CM537" s="20"/>
      <c r="CN537" s="20"/>
      <c r="CO537" s="20"/>
      <c r="CP537" s="20"/>
      <c r="CQ537" s="20"/>
      <c r="CR537" s="20"/>
      <c r="CS537" s="20"/>
      <c r="CT537" s="20"/>
      <c r="CU537" s="20"/>
      <c r="CV537" s="20"/>
      <c r="CW537" s="20"/>
      <c r="CX537" s="20"/>
      <c r="CY537" s="20"/>
    </row>
    <row r="538" spans="1:103" s="6" customFormat="1">
      <c r="A538"/>
      <c r="B538"/>
      <c r="C538"/>
      <c r="D538"/>
      <c r="E538"/>
      <c r="F538"/>
      <c r="G538"/>
      <c r="H538"/>
      <c r="I538"/>
      <c r="J538"/>
      <c r="N538" s="7"/>
      <c r="O538"/>
      <c r="P538" s="10"/>
      <c r="Q538" s="9"/>
      <c r="R538" s="10"/>
      <c r="S538" s="10"/>
      <c r="AA538" s="11"/>
      <c r="AD538"/>
      <c r="AE538"/>
      <c r="AF538"/>
      <c r="AG538"/>
      <c r="AH538" s="46"/>
      <c r="AI538"/>
      <c r="AJ538"/>
      <c r="AK538"/>
      <c r="AL538"/>
      <c r="AM538"/>
      <c r="AN538"/>
      <c r="AO538"/>
      <c r="AP538"/>
      <c r="AQ538"/>
      <c r="AR538"/>
      <c r="AS538"/>
      <c r="AT538" s="14"/>
      <c r="AU538"/>
      <c r="AV538"/>
      <c r="AW538"/>
      <c r="AX538" s="10"/>
      <c r="AY538" s="20"/>
      <c r="AZ538" s="16"/>
      <c r="BA538"/>
      <c r="BB538"/>
      <c r="BC538" s="16"/>
      <c r="BD538"/>
      <c r="BE538"/>
      <c r="BF538"/>
      <c r="BG538"/>
      <c r="BH538"/>
      <c r="BI538"/>
      <c r="BJ538"/>
      <c r="BK538"/>
      <c r="BL538"/>
      <c r="BM538"/>
      <c r="BN538" s="19"/>
      <c r="BO538"/>
      <c r="BP538"/>
      <c r="BQ538"/>
      <c r="BR538"/>
      <c r="BS538"/>
      <c r="BT538"/>
      <c r="BU538"/>
      <c r="BV538"/>
      <c r="BW538"/>
      <c r="BX538"/>
      <c r="BY538"/>
      <c r="BZ538"/>
      <c r="CA538"/>
      <c r="CB538"/>
      <c r="CC538"/>
      <c r="CD538"/>
      <c r="CE538"/>
      <c r="CF538"/>
      <c r="CG538"/>
      <c r="CH538"/>
      <c r="CI538"/>
      <c r="CJ538"/>
      <c r="CK538"/>
      <c r="CL538"/>
      <c r="CM538" s="20"/>
      <c r="CN538" s="20"/>
      <c r="CO538" s="20"/>
      <c r="CP538" s="20"/>
      <c r="CQ538" s="20"/>
      <c r="CR538" s="20"/>
      <c r="CS538" s="20"/>
      <c r="CT538" s="20"/>
      <c r="CU538" s="20"/>
      <c r="CV538" s="20"/>
      <c r="CW538" s="20"/>
      <c r="CX538" s="20"/>
      <c r="CY538" s="20"/>
    </row>
    <row r="539" spans="1:103" s="6" customFormat="1">
      <c r="A539"/>
      <c r="B539"/>
      <c r="C539"/>
      <c r="D539"/>
      <c r="E539"/>
      <c r="F539"/>
      <c r="G539"/>
      <c r="H539"/>
      <c r="I539"/>
      <c r="J539"/>
      <c r="N539" s="7"/>
      <c r="O539"/>
      <c r="P539" s="10"/>
      <c r="Q539" s="9"/>
      <c r="R539" s="10"/>
      <c r="S539" s="10"/>
      <c r="AA539" s="11"/>
      <c r="AD539"/>
      <c r="AE539"/>
      <c r="AF539"/>
      <c r="AG539"/>
      <c r="AH539" s="46"/>
      <c r="AI539"/>
      <c r="AJ539"/>
      <c r="AK539"/>
      <c r="AL539"/>
      <c r="AM539"/>
      <c r="AN539"/>
      <c r="AO539"/>
      <c r="AP539"/>
      <c r="AQ539"/>
      <c r="AR539"/>
      <c r="AS539"/>
      <c r="AT539" s="14"/>
      <c r="AU539"/>
      <c r="AV539"/>
      <c r="AW539"/>
      <c r="AX539" s="10"/>
      <c r="AY539" s="20"/>
      <c r="AZ539" s="16"/>
      <c r="BA539"/>
      <c r="BB539"/>
      <c r="BC539" s="16"/>
      <c r="BD539"/>
      <c r="BE539"/>
      <c r="BF539"/>
      <c r="BG539"/>
      <c r="BH539"/>
      <c r="BI539"/>
      <c r="BJ539"/>
      <c r="BK539"/>
      <c r="BL539"/>
      <c r="BM539"/>
      <c r="BN539" s="19"/>
      <c r="BO539"/>
      <c r="BP539"/>
      <c r="BQ539"/>
      <c r="BR539"/>
      <c r="BS539"/>
      <c r="BT539"/>
      <c r="BU539"/>
      <c r="BV539"/>
      <c r="BW539"/>
      <c r="BX539"/>
      <c r="BY539"/>
      <c r="BZ539"/>
      <c r="CA539"/>
      <c r="CB539"/>
      <c r="CC539"/>
      <c r="CD539"/>
      <c r="CE539"/>
      <c r="CF539"/>
      <c r="CG539"/>
      <c r="CH539"/>
      <c r="CI539"/>
      <c r="CJ539"/>
      <c r="CK539"/>
      <c r="CL539"/>
      <c r="CM539" s="20"/>
      <c r="CN539" s="20"/>
      <c r="CO539" s="20"/>
      <c r="CP539" s="20"/>
      <c r="CQ539" s="20"/>
      <c r="CR539" s="20"/>
      <c r="CS539" s="20"/>
      <c r="CT539" s="20"/>
      <c r="CU539" s="20"/>
      <c r="CV539" s="20"/>
      <c r="CW539" s="20"/>
      <c r="CX539" s="20"/>
      <c r="CY539" s="20"/>
    </row>
    <row r="540" spans="1:103" s="6" customFormat="1">
      <c r="A540"/>
      <c r="B540"/>
      <c r="C540"/>
      <c r="D540"/>
      <c r="E540"/>
      <c r="F540"/>
      <c r="G540"/>
      <c r="H540"/>
      <c r="I540"/>
      <c r="J540"/>
      <c r="N540" s="7"/>
      <c r="O540"/>
      <c r="P540" s="10"/>
      <c r="Q540" s="9"/>
      <c r="R540" s="10"/>
      <c r="S540" s="10"/>
      <c r="AA540" s="11"/>
      <c r="AD540"/>
      <c r="AE540"/>
      <c r="AF540"/>
      <c r="AG540"/>
      <c r="AH540" s="46"/>
      <c r="AI540"/>
      <c r="AJ540"/>
      <c r="AK540"/>
      <c r="AL540"/>
      <c r="AM540"/>
      <c r="AN540"/>
      <c r="AO540"/>
      <c r="AP540"/>
      <c r="AQ540"/>
      <c r="AR540"/>
      <c r="AS540"/>
      <c r="AT540" s="14"/>
      <c r="AU540"/>
      <c r="AV540"/>
      <c r="AW540"/>
      <c r="AX540" s="10"/>
      <c r="AY540" s="20"/>
      <c r="AZ540" s="16"/>
      <c r="BA540"/>
      <c r="BB540"/>
      <c r="BC540" s="16"/>
      <c r="BD540"/>
      <c r="BE540"/>
      <c r="BF540"/>
      <c r="BG540"/>
      <c r="BH540"/>
      <c r="BI540"/>
      <c r="BJ540"/>
      <c r="BK540"/>
      <c r="BL540"/>
      <c r="BM540"/>
      <c r="BN540" s="19"/>
      <c r="BO540"/>
      <c r="BP540"/>
      <c r="BQ540"/>
      <c r="BR540"/>
      <c r="BS540"/>
      <c r="BT540"/>
      <c r="BU540"/>
      <c r="BV540"/>
      <c r="BW540"/>
      <c r="BX540"/>
      <c r="BY540"/>
      <c r="BZ540"/>
      <c r="CA540"/>
      <c r="CB540"/>
      <c r="CC540"/>
      <c r="CD540"/>
      <c r="CE540"/>
      <c r="CF540"/>
      <c r="CG540"/>
      <c r="CH540"/>
      <c r="CI540"/>
      <c r="CJ540"/>
      <c r="CK540"/>
      <c r="CL540"/>
      <c r="CM540" s="20"/>
      <c r="CN540" s="20"/>
      <c r="CO540" s="20"/>
      <c r="CP540" s="20"/>
      <c r="CQ540" s="20"/>
      <c r="CR540" s="20"/>
      <c r="CS540" s="20"/>
      <c r="CT540" s="20"/>
      <c r="CU540" s="20"/>
      <c r="CV540" s="20"/>
      <c r="CW540" s="20"/>
      <c r="CX540" s="20"/>
      <c r="CY540" s="20"/>
    </row>
    <row r="541" spans="1:103" s="6" customFormat="1">
      <c r="A541"/>
      <c r="B541"/>
      <c r="C541"/>
      <c r="D541"/>
      <c r="E541"/>
      <c r="F541"/>
      <c r="G541"/>
      <c r="H541"/>
      <c r="I541"/>
      <c r="J541"/>
      <c r="N541" s="7"/>
      <c r="O541"/>
      <c r="P541" s="10"/>
      <c r="Q541" s="9"/>
      <c r="R541" s="10"/>
      <c r="S541" s="10"/>
      <c r="AA541" s="11"/>
      <c r="AD541"/>
      <c r="AE541"/>
      <c r="AF541"/>
      <c r="AG541"/>
      <c r="AH541" s="46"/>
      <c r="AI541"/>
      <c r="AJ541"/>
      <c r="AK541"/>
      <c r="AL541"/>
      <c r="AM541"/>
      <c r="AN541"/>
      <c r="AO541"/>
      <c r="AP541"/>
      <c r="AQ541"/>
      <c r="AR541"/>
      <c r="AS541"/>
      <c r="AT541" s="14"/>
      <c r="AU541"/>
      <c r="AV541"/>
      <c r="AW541"/>
      <c r="AX541" s="10"/>
      <c r="AY541" s="20"/>
      <c r="AZ541" s="16"/>
      <c r="BA541"/>
      <c r="BB541"/>
      <c r="BC541" s="16"/>
      <c r="BD541"/>
      <c r="BE541"/>
      <c r="BF541"/>
      <c r="BG541"/>
      <c r="BH541"/>
      <c r="BI541"/>
      <c r="BJ541"/>
      <c r="BK541"/>
      <c r="BL541"/>
      <c r="BM541"/>
      <c r="BN541" s="19"/>
      <c r="BO541"/>
      <c r="BP541"/>
      <c r="BQ541"/>
      <c r="BR541"/>
      <c r="BS541"/>
      <c r="BT541"/>
      <c r="BU541"/>
      <c r="BV541"/>
      <c r="BW541"/>
      <c r="BX541"/>
      <c r="BY541"/>
      <c r="BZ541"/>
      <c r="CA541"/>
      <c r="CB541"/>
      <c r="CC541"/>
      <c r="CD541"/>
      <c r="CE541"/>
      <c r="CF541"/>
      <c r="CG541"/>
      <c r="CH541"/>
      <c r="CI541"/>
      <c r="CJ541"/>
      <c r="CK541"/>
      <c r="CL541"/>
      <c r="CM541" s="20"/>
      <c r="CN541" s="20"/>
      <c r="CO541" s="20"/>
      <c r="CP541" s="20"/>
      <c r="CQ541" s="20"/>
      <c r="CR541" s="20"/>
      <c r="CS541" s="20"/>
      <c r="CT541" s="20"/>
      <c r="CU541" s="20"/>
      <c r="CV541" s="20"/>
      <c r="CW541" s="20"/>
      <c r="CX541" s="20"/>
      <c r="CY541" s="20"/>
    </row>
    <row r="542" spans="1:103" s="6" customFormat="1">
      <c r="A542"/>
      <c r="B542"/>
      <c r="C542"/>
      <c r="D542"/>
      <c r="E542"/>
      <c r="F542"/>
      <c r="G542"/>
      <c r="H542"/>
      <c r="I542"/>
      <c r="J542"/>
      <c r="N542" s="7"/>
      <c r="O542"/>
      <c r="P542" s="10"/>
      <c r="Q542" s="9"/>
      <c r="R542" s="10"/>
      <c r="S542" s="10"/>
      <c r="AA542" s="11"/>
      <c r="AD542"/>
      <c r="AE542"/>
      <c r="AF542"/>
      <c r="AG542"/>
      <c r="AH542" s="46"/>
      <c r="AI542"/>
      <c r="AJ542"/>
      <c r="AK542"/>
      <c r="AL542"/>
      <c r="AM542"/>
      <c r="AN542"/>
      <c r="AO542"/>
      <c r="AP542"/>
      <c r="AQ542"/>
      <c r="AR542"/>
      <c r="AS542"/>
      <c r="AT542" s="14"/>
      <c r="AU542"/>
      <c r="AV542"/>
      <c r="AW542"/>
      <c r="AX542" s="10"/>
      <c r="AY542" s="20"/>
      <c r="AZ542" s="16"/>
      <c r="BA542"/>
      <c r="BB542"/>
      <c r="BC542" s="16"/>
      <c r="BD542"/>
      <c r="BE542"/>
      <c r="BF542"/>
      <c r="BG542"/>
      <c r="BH542"/>
      <c r="BI542"/>
      <c r="BJ542"/>
      <c r="BK542"/>
      <c r="BL542"/>
      <c r="BM542"/>
      <c r="BN542" s="19"/>
      <c r="BO542"/>
      <c r="BP542"/>
      <c r="BQ542"/>
      <c r="BR542"/>
      <c r="BS542"/>
      <c r="BT542"/>
      <c r="BU542"/>
      <c r="BV542"/>
      <c r="BW542"/>
      <c r="BX542"/>
      <c r="BY542"/>
      <c r="BZ542"/>
      <c r="CA542"/>
      <c r="CB542"/>
      <c r="CC542"/>
      <c r="CD542"/>
      <c r="CE542"/>
      <c r="CF542"/>
      <c r="CG542"/>
      <c r="CH542"/>
      <c r="CI542"/>
      <c r="CJ542"/>
      <c r="CK542"/>
      <c r="CL542"/>
      <c r="CM542" s="20"/>
      <c r="CN542" s="20"/>
      <c r="CO542" s="20"/>
      <c r="CP542" s="20"/>
      <c r="CQ542" s="20"/>
      <c r="CR542" s="20"/>
      <c r="CS542" s="20"/>
      <c r="CT542" s="20"/>
      <c r="CU542" s="20"/>
      <c r="CV542" s="20"/>
      <c r="CW542" s="20"/>
      <c r="CX542" s="20"/>
      <c r="CY542" s="20"/>
    </row>
    <row r="543" spans="1:103" s="6" customFormat="1">
      <c r="A543"/>
      <c r="B543"/>
      <c r="C543"/>
      <c r="D543"/>
      <c r="E543"/>
      <c r="F543"/>
      <c r="G543"/>
      <c r="H543"/>
      <c r="I543"/>
      <c r="J543"/>
      <c r="N543" s="7"/>
      <c r="O543"/>
      <c r="P543" s="10"/>
      <c r="Q543" s="9"/>
      <c r="R543" s="10"/>
      <c r="S543" s="10"/>
      <c r="AA543" s="11"/>
      <c r="AD543"/>
      <c r="AE543"/>
      <c r="AF543"/>
      <c r="AG543"/>
      <c r="AH543" s="46"/>
      <c r="AI543"/>
      <c r="AJ543"/>
      <c r="AK543"/>
      <c r="AL543"/>
      <c r="AM543"/>
      <c r="AN543"/>
      <c r="AO543"/>
      <c r="AP543"/>
      <c r="AQ543"/>
      <c r="AR543"/>
      <c r="AS543"/>
      <c r="AT543" s="14"/>
      <c r="AU543"/>
      <c r="AV543"/>
      <c r="AW543"/>
      <c r="AX543" s="10"/>
      <c r="AY543" s="20"/>
      <c r="AZ543" s="16"/>
      <c r="BA543"/>
      <c r="BB543"/>
      <c r="BC543" s="16"/>
      <c r="BD543"/>
      <c r="BE543"/>
      <c r="BF543"/>
      <c r="BG543"/>
      <c r="BH543"/>
      <c r="BI543"/>
      <c r="BJ543"/>
      <c r="BK543"/>
      <c r="BL543"/>
      <c r="BM543"/>
      <c r="BN543" s="19"/>
      <c r="BO543"/>
      <c r="BP543"/>
      <c r="BQ543"/>
      <c r="BR543"/>
      <c r="BS543"/>
      <c r="BT543"/>
      <c r="BU543"/>
      <c r="BV543"/>
      <c r="BW543"/>
      <c r="BX543"/>
      <c r="BY543"/>
      <c r="BZ543"/>
      <c r="CA543"/>
      <c r="CB543"/>
      <c r="CC543"/>
      <c r="CD543"/>
      <c r="CE543"/>
      <c r="CF543"/>
      <c r="CG543"/>
      <c r="CH543"/>
      <c r="CI543"/>
      <c r="CJ543"/>
      <c r="CK543"/>
      <c r="CL543"/>
      <c r="CM543" s="20"/>
      <c r="CN543" s="20"/>
      <c r="CO543" s="20"/>
      <c r="CP543" s="20"/>
      <c r="CQ543" s="20"/>
      <c r="CR543" s="20"/>
      <c r="CS543" s="20"/>
      <c r="CT543" s="20"/>
      <c r="CU543" s="20"/>
      <c r="CV543" s="20"/>
      <c r="CW543" s="20"/>
      <c r="CX543" s="20"/>
      <c r="CY543" s="20"/>
    </row>
    <row r="544" spans="1:103" s="6" customFormat="1">
      <c r="A544"/>
      <c r="B544"/>
      <c r="C544"/>
      <c r="D544"/>
      <c r="E544"/>
      <c r="F544"/>
      <c r="G544"/>
      <c r="H544"/>
      <c r="I544"/>
      <c r="J544"/>
      <c r="N544" s="7"/>
      <c r="O544"/>
      <c r="P544" s="10"/>
      <c r="Q544" s="9"/>
      <c r="R544" s="10"/>
      <c r="S544" s="10"/>
      <c r="AA544" s="11"/>
      <c r="AD544"/>
      <c r="AE544"/>
      <c r="AF544"/>
      <c r="AG544"/>
      <c r="AH544" s="46"/>
      <c r="AI544"/>
      <c r="AJ544"/>
      <c r="AK544"/>
      <c r="AL544"/>
      <c r="AM544"/>
      <c r="AN544"/>
      <c r="AO544"/>
      <c r="AP544"/>
      <c r="AQ544"/>
      <c r="AR544"/>
      <c r="AS544"/>
      <c r="AT544" s="14"/>
      <c r="AU544"/>
      <c r="AV544"/>
      <c r="AW544"/>
      <c r="AX544" s="10"/>
      <c r="AY544" s="20"/>
      <c r="AZ544" s="16"/>
      <c r="BA544"/>
      <c r="BB544"/>
      <c r="BC544" s="16"/>
      <c r="BD544"/>
      <c r="BE544"/>
      <c r="BF544"/>
      <c r="BG544"/>
      <c r="BH544"/>
      <c r="BI544"/>
      <c r="BJ544"/>
      <c r="BK544"/>
      <c r="BL544"/>
      <c r="BM544"/>
      <c r="BN544" s="19"/>
      <c r="BO544"/>
      <c r="BP544"/>
      <c r="BQ544"/>
      <c r="BR544"/>
      <c r="BS544"/>
      <c r="BT544"/>
      <c r="BU544"/>
      <c r="BV544"/>
      <c r="BW544"/>
      <c r="BX544"/>
      <c r="BY544"/>
      <c r="BZ544"/>
      <c r="CA544"/>
      <c r="CB544"/>
      <c r="CC544"/>
      <c r="CD544"/>
      <c r="CE544"/>
      <c r="CF544"/>
      <c r="CG544"/>
      <c r="CH544"/>
      <c r="CI544"/>
      <c r="CJ544"/>
      <c r="CK544"/>
      <c r="CL544"/>
      <c r="CM544" s="20"/>
      <c r="CN544" s="20"/>
      <c r="CO544" s="20"/>
      <c r="CP544" s="20"/>
      <c r="CQ544" s="20"/>
      <c r="CR544" s="20"/>
      <c r="CS544" s="20"/>
      <c r="CT544" s="20"/>
      <c r="CU544" s="20"/>
      <c r="CV544" s="20"/>
      <c r="CW544" s="20"/>
      <c r="CX544" s="20"/>
      <c r="CY544" s="20"/>
    </row>
    <row r="545" spans="1:103" s="6" customFormat="1">
      <c r="A545"/>
      <c r="B545"/>
      <c r="C545"/>
      <c r="D545"/>
      <c r="E545"/>
      <c r="F545"/>
      <c r="G545"/>
      <c r="H545"/>
      <c r="I545"/>
      <c r="J545"/>
      <c r="N545" s="7"/>
      <c r="O545"/>
      <c r="P545" s="10"/>
      <c r="Q545" s="9"/>
      <c r="R545" s="10"/>
      <c r="S545" s="10"/>
      <c r="AA545" s="11"/>
      <c r="AD545"/>
      <c r="AE545"/>
      <c r="AF545"/>
      <c r="AG545"/>
      <c r="AH545" s="46"/>
      <c r="AI545"/>
      <c r="AJ545"/>
      <c r="AK545"/>
      <c r="AL545"/>
      <c r="AM545"/>
      <c r="AN545"/>
      <c r="AO545"/>
      <c r="AP545"/>
      <c r="AQ545"/>
      <c r="AR545"/>
      <c r="AS545"/>
      <c r="AT545" s="14"/>
      <c r="AU545"/>
      <c r="AV545"/>
      <c r="AW545"/>
      <c r="AX545" s="10"/>
      <c r="AY545" s="20"/>
      <c r="AZ545" s="16"/>
      <c r="BA545"/>
      <c r="BB545"/>
      <c r="BC545" s="16"/>
      <c r="BD545"/>
      <c r="BE545"/>
      <c r="BF545"/>
      <c r="BG545"/>
      <c r="BH545"/>
      <c r="BI545"/>
      <c r="BJ545"/>
      <c r="BK545"/>
      <c r="BL545"/>
      <c r="BM545"/>
      <c r="BN545" s="19"/>
      <c r="BO545"/>
      <c r="BP545"/>
      <c r="BQ545"/>
      <c r="BR545"/>
      <c r="BS545"/>
      <c r="BT545"/>
      <c r="BU545"/>
      <c r="BV545"/>
      <c r="BW545"/>
      <c r="BX545"/>
      <c r="BY545"/>
      <c r="BZ545"/>
      <c r="CA545"/>
      <c r="CB545"/>
      <c r="CC545"/>
      <c r="CD545"/>
      <c r="CE545"/>
      <c r="CF545"/>
      <c r="CG545"/>
      <c r="CH545"/>
      <c r="CI545"/>
      <c r="CJ545"/>
      <c r="CK545"/>
      <c r="CL545"/>
      <c r="CM545" s="20"/>
      <c r="CN545" s="20"/>
      <c r="CO545" s="20"/>
      <c r="CP545" s="20"/>
      <c r="CQ545" s="20"/>
      <c r="CR545" s="20"/>
      <c r="CS545" s="20"/>
      <c r="CT545" s="20"/>
      <c r="CU545" s="20"/>
      <c r="CV545" s="20"/>
      <c r="CW545" s="20"/>
      <c r="CX545" s="20"/>
      <c r="CY545" s="20"/>
    </row>
    <row r="546" spans="1:103" s="6" customFormat="1">
      <c r="A546"/>
      <c r="B546"/>
      <c r="C546"/>
      <c r="D546"/>
      <c r="E546"/>
      <c r="F546"/>
      <c r="G546"/>
      <c r="H546"/>
      <c r="I546"/>
      <c r="J546"/>
      <c r="N546" s="7"/>
      <c r="O546"/>
      <c r="P546" s="10"/>
      <c r="Q546" s="9"/>
      <c r="R546" s="10"/>
      <c r="S546" s="10"/>
      <c r="AA546" s="11"/>
      <c r="AD546"/>
      <c r="AE546"/>
      <c r="AF546"/>
      <c r="AG546"/>
      <c r="AH546" s="46"/>
      <c r="AI546"/>
      <c r="AJ546"/>
      <c r="AK546"/>
      <c r="AL546"/>
      <c r="AM546"/>
      <c r="AN546"/>
      <c r="AO546"/>
      <c r="AP546"/>
      <c r="AQ546"/>
      <c r="AR546"/>
      <c r="AS546"/>
      <c r="AT546" s="14"/>
      <c r="AU546"/>
      <c r="AV546"/>
      <c r="AW546"/>
      <c r="AX546" s="10"/>
      <c r="AY546" s="20"/>
      <c r="AZ546" s="16"/>
      <c r="BA546"/>
      <c r="BB546"/>
      <c r="BC546" s="16"/>
      <c r="BD546"/>
      <c r="BE546"/>
      <c r="BF546"/>
      <c r="BG546"/>
      <c r="BH546"/>
      <c r="BI546"/>
      <c r="BJ546"/>
      <c r="BK546"/>
      <c r="BL546"/>
      <c r="BM546"/>
      <c r="BN546" s="19"/>
      <c r="BO546"/>
      <c r="BP546"/>
      <c r="BQ546"/>
      <c r="BR546"/>
      <c r="BS546"/>
      <c r="BT546"/>
      <c r="BU546"/>
      <c r="BV546"/>
      <c r="BW546"/>
      <c r="BX546"/>
      <c r="BY546"/>
      <c r="BZ546"/>
      <c r="CA546"/>
      <c r="CB546"/>
      <c r="CC546"/>
      <c r="CD546"/>
      <c r="CE546"/>
      <c r="CF546"/>
      <c r="CG546"/>
      <c r="CH546"/>
      <c r="CI546"/>
      <c r="CJ546"/>
      <c r="CK546"/>
      <c r="CL546"/>
      <c r="CM546" s="20"/>
      <c r="CN546" s="20"/>
      <c r="CO546" s="20"/>
      <c r="CP546" s="20"/>
      <c r="CQ546" s="20"/>
      <c r="CR546" s="20"/>
      <c r="CS546" s="20"/>
      <c r="CT546" s="20"/>
      <c r="CU546" s="20"/>
      <c r="CV546" s="20"/>
      <c r="CW546" s="20"/>
      <c r="CX546" s="20"/>
      <c r="CY546" s="20"/>
    </row>
    <row r="547" spans="1:103" s="6" customFormat="1">
      <c r="A547"/>
      <c r="B547"/>
      <c r="C547"/>
      <c r="D547"/>
      <c r="E547"/>
      <c r="F547"/>
      <c r="G547"/>
      <c r="H547"/>
      <c r="I547"/>
      <c r="J547"/>
      <c r="N547" s="7"/>
      <c r="O547"/>
      <c r="P547" s="10"/>
      <c r="Q547" s="9"/>
      <c r="R547" s="10"/>
      <c r="S547" s="10"/>
      <c r="AA547" s="11"/>
      <c r="AD547"/>
      <c r="AE547"/>
      <c r="AF547"/>
      <c r="AG547"/>
      <c r="AH547" s="46"/>
      <c r="AI547"/>
      <c r="AJ547"/>
      <c r="AK547"/>
      <c r="AL547"/>
      <c r="AM547"/>
      <c r="AN547"/>
      <c r="AO547"/>
      <c r="AP547"/>
      <c r="AQ547"/>
      <c r="AR547"/>
      <c r="AS547"/>
      <c r="AT547" s="14"/>
      <c r="AU547"/>
      <c r="AV547"/>
      <c r="AW547"/>
      <c r="AX547" s="10"/>
      <c r="AY547" s="20"/>
      <c r="AZ547" s="16"/>
      <c r="BA547"/>
      <c r="BB547"/>
      <c r="BC547" s="16"/>
      <c r="BD547"/>
      <c r="BE547"/>
      <c r="BF547"/>
      <c r="BG547"/>
      <c r="BH547"/>
      <c r="BI547"/>
      <c r="BJ547"/>
      <c r="BK547"/>
      <c r="BL547"/>
      <c r="BM547"/>
      <c r="BN547" s="19"/>
      <c r="BO547"/>
      <c r="BP547"/>
      <c r="BQ547"/>
      <c r="BR547"/>
      <c r="BS547"/>
      <c r="BT547"/>
      <c r="BU547"/>
      <c r="BV547"/>
      <c r="BW547"/>
      <c r="BX547"/>
      <c r="BY547"/>
      <c r="BZ547"/>
      <c r="CA547"/>
      <c r="CB547"/>
      <c r="CC547"/>
      <c r="CD547"/>
      <c r="CE547"/>
      <c r="CF547"/>
      <c r="CG547"/>
      <c r="CH547"/>
      <c r="CI547"/>
      <c r="CJ547"/>
      <c r="CK547"/>
      <c r="CL547"/>
      <c r="CM547" s="20"/>
      <c r="CN547" s="20"/>
      <c r="CO547" s="20"/>
      <c r="CP547" s="20"/>
      <c r="CQ547" s="20"/>
      <c r="CR547" s="20"/>
      <c r="CS547" s="20"/>
      <c r="CT547" s="20"/>
      <c r="CU547" s="20"/>
      <c r="CV547" s="20"/>
      <c r="CW547" s="20"/>
      <c r="CX547" s="20"/>
      <c r="CY547" s="20"/>
    </row>
    <row r="548" spans="1:103" s="6" customFormat="1">
      <c r="A548"/>
      <c r="B548"/>
      <c r="C548"/>
      <c r="D548"/>
      <c r="E548"/>
      <c r="F548"/>
      <c r="G548"/>
      <c r="H548"/>
      <c r="I548"/>
      <c r="J548"/>
      <c r="N548" s="7"/>
      <c r="O548"/>
      <c r="P548" s="10"/>
      <c r="Q548" s="9"/>
      <c r="R548" s="10"/>
      <c r="S548" s="10"/>
      <c r="AA548" s="11"/>
      <c r="AD548"/>
      <c r="AE548"/>
      <c r="AF548"/>
      <c r="AG548"/>
      <c r="AH548" s="46"/>
      <c r="AI548"/>
      <c r="AJ548"/>
      <c r="AK548"/>
      <c r="AL548"/>
      <c r="AM548"/>
      <c r="AN548"/>
      <c r="AO548"/>
      <c r="AP548"/>
      <c r="AQ548"/>
      <c r="AR548"/>
      <c r="AS548"/>
      <c r="AT548" s="14"/>
      <c r="AU548"/>
      <c r="AV548"/>
      <c r="AW548"/>
      <c r="AX548" s="10"/>
      <c r="AY548" s="20"/>
      <c r="AZ548" s="16"/>
      <c r="BA548"/>
      <c r="BB548"/>
      <c r="BC548" s="16"/>
      <c r="BD548"/>
      <c r="BE548"/>
      <c r="BF548"/>
      <c r="BG548"/>
      <c r="BH548"/>
      <c r="BI548"/>
      <c r="BJ548"/>
      <c r="BK548"/>
      <c r="BL548"/>
      <c r="BM548"/>
      <c r="BN548" s="19"/>
      <c r="BO548"/>
      <c r="BP548"/>
      <c r="BQ548"/>
      <c r="BR548"/>
      <c r="BS548"/>
      <c r="BT548"/>
      <c r="BU548"/>
      <c r="BV548"/>
      <c r="BW548"/>
      <c r="BX548"/>
      <c r="BY548"/>
      <c r="BZ548"/>
      <c r="CA548"/>
      <c r="CB548"/>
      <c r="CC548"/>
      <c r="CD548"/>
      <c r="CE548"/>
      <c r="CF548"/>
      <c r="CG548"/>
      <c r="CH548"/>
      <c r="CI548"/>
      <c r="CJ548"/>
      <c r="CK548"/>
      <c r="CL548"/>
      <c r="CM548" s="20"/>
      <c r="CN548" s="20"/>
      <c r="CO548" s="20"/>
      <c r="CP548" s="20"/>
      <c r="CQ548" s="20"/>
      <c r="CR548" s="20"/>
      <c r="CS548" s="20"/>
      <c r="CT548" s="20"/>
      <c r="CU548" s="20"/>
      <c r="CV548" s="20"/>
      <c r="CW548" s="20"/>
      <c r="CX548" s="20"/>
      <c r="CY548" s="20"/>
    </row>
    <row r="549" spans="1:103" s="6" customFormat="1">
      <c r="A549"/>
      <c r="B549"/>
      <c r="C549"/>
      <c r="D549"/>
      <c r="E549"/>
      <c r="F549"/>
      <c r="G549"/>
      <c r="H549"/>
      <c r="I549"/>
      <c r="J549"/>
      <c r="N549" s="7"/>
      <c r="O549"/>
      <c r="P549" s="10"/>
      <c r="Q549" s="9"/>
      <c r="R549" s="10"/>
      <c r="S549" s="10"/>
      <c r="AA549" s="11"/>
      <c r="AD549"/>
      <c r="AE549"/>
      <c r="AF549"/>
      <c r="AG549"/>
      <c r="AH549" s="46"/>
      <c r="AI549"/>
      <c r="AJ549"/>
      <c r="AK549"/>
      <c r="AL549"/>
      <c r="AM549"/>
      <c r="AN549"/>
      <c r="AO549"/>
      <c r="AP549"/>
      <c r="AQ549"/>
      <c r="AR549"/>
      <c r="AS549"/>
      <c r="AT549" s="14"/>
      <c r="AU549"/>
      <c r="AV549"/>
      <c r="AW549"/>
      <c r="AX549" s="10"/>
      <c r="AY549" s="20"/>
      <c r="AZ549" s="16"/>
      <c r="BA549"/>
      <c r="BB549"/>
      <c r="BC549" s="16"/>
      <c r="BD549"/>
      <c r="BE549"/>
      <c r="BF549"/>
      <c r="BG549"/>
      <c r="BH549"/>
      <c r="BI549"/>
      <c r="BJ549"/>
      <c r="BK549"/>
      <c r="BL549"/>
      <c r="BM549"/>
      <c r="BN549" s="19"/>
      <c r="BO549"/>
      <c r="BP549"/>
      <c r="BQ549"/>
      <c r="BR549"/>
      <c r="BS549"/>
      <c r="BT549"/>
      <c r="BU549"/>
      <c r="BV549"/>
      <c r="BW549"/>
      <c r="BX549"/>
      <c r="BY549"/>
      <c r="BZ549"/>
      <c r="CA549"/>
      <c r="CB549"/>
      <c r="CC549"/>
      <c r="CD549"/>
      <c r="CE549"/>
      <c r="CF549"/>
      <c r="CG549"/>
      <c r="CH549"/>
      <c r="CI549"/>
      <c r="CJ549"/>
      <c r="CK549"/>
      <c r="CL549"/>
      <c r="CM549" s="20"/>
      <c r="CN549" s="20"/>
      <c r="CO549" s="20"/>
      <c r="CP549" s="20"/>
      <c r="CQ549" s="20"/>
      <c r="CR549" s="20"/>
      <c r="CS549" s="20"/>
      <c r="CT549" s="20"/>
      <c r="CU549" s="20"/>
      <c r="CV549" s="20"/>
      <c r="CW549" s="20"/>
      <c r="CX549" s="20"/>
      <c r="CY549" s="20"/>
    </row>
    <row r="550" spans="1:103" s="6" customFormat="1">
      <c r="A550"/>
      <c r="B550"/>
      <c r="C550"/>
      <c r="D550"/>
      <c r="E550"/>
      <c r="F550"/>
      <c r="G550"/>
      <c r="H550"/>
      <c r="I550"/>
      <c r="J550"/>
      <c r="N550" s="7"/>
      <c r="O550"/>
      <c r="P550" s="10"/>
      <c r="Q550" s="9"/>
      <c r="R550" s="10"/>
      <c r="S550" s="10"/>
      <c r="AA550" s="11"/>
      <c r="AD550"/>
      <c r="AE550"/>
      <c r="AF550"/>
      <c r="AG550"/>
      <c r="AH550" s="46"/>
      <c r="AI550"/>
      <c r="AJ550"/>
      <c r="AK550"/>
      <c r="AL550"/>
      <c r="AM550"/>
      <c r="AN550"/>
      <c r="AO550"/>
      <c r="AP550"/>
      <c r="AQ550"/>
      <c r="AR550"/>
      <c r="AS550"/>
      <c r="AT550" s="14"/>
      <c r="AU550"/>
      <c r="AV550"/>
      <c r="AW550"/>
      <c r="AX550" s="10"/>
      <c r="AY550" s="20"/>
      <c r="AZ550" s="16"/>
      <c r="BA550"/>
      <c r="BB550"/>
      <c r="BC550" s="16"/>
      <c r="BD550"/>
      <c r="BE550"/>
      <c r="BF550"/>
      <c r="BG550"/>
      <c r="BH550"/>
      <c r="BI550"/>
      <c r="BJ550"/>
      <c r="BK550"/>
      <c r="BL550"/>
      <c r="BM550"/>
      <c r="BN550" s="19"/>
      <c r="BO550"/>
      <c r="BP550"/>
      <c r="BQ550"/>
      <c r="BR550"/>
      <c r="BS550"/>
      <c r="BT550"/>
      <c r="BU550"/>
      <c r="BV550"/>
      <c r="BW550"/>
      <c r="BX550"/>
      <c r="BY550"/>
      <c r="BZ550"/>
      <c r="CA550"/>
      <c r="CB550"/>
      <c r="CC550"/>
      <c r="CD550"/>
      <c r="CE550"/>
      <c r="CF550"/>
      <c r="CG550"/>
      <c r="CH550"/>
      <c r="CI550"/>
      <c r="CJ550"/>
      <c r="CK550"/>
      <c r="CL550"/>
      <c r="CM550" s="20"/>
      <c r="CN550" s="20"/>
      <c r="CO550" s="20"/>
      <c r="CP550" s="20"/>
      <c r="CQ550" s="20"/>
      <c r="CR550" s="20"/>
      <c r="CS550" s="20"/>
      <c r="CT550" s="20"/>
      <c r="CU550" s="20"/>
      <c r="CV550" s="20"/>
      <c r="CW550" s="20"/>
      <c r="CX550" s="20"/>
      <c r="CY550" s="20"/>
    </row>
    <row r="551" spans="1:103" s="6" customFormat="1">
      <c r="A551"/>
      <c r="B551"/>
      <c r="C551"/>
      <c r="D551"/>
      <c r="E551"/>
      <c r="F551"/>
      <c r="G551"/>
      <c r="H551"/>
      <c r="I551"/>
      <c r="J551"/>
      <c r="N551" s="7"/>
      <c r="O551"/>
      <c r="P551" s="10"/>
      <c r="Q551" s="9"/>
      <c r="R551" s="10"/>
      <c r="S551" s="10"/>
      <c r="AA551" s="11"/>
      <c r="AD551"/>
      <c r="AE551"/>
      <c r="AF551"/>
      <c r="AG551"/>
      <c r="AH551" s="46"/>
      <c r="AI551"/>
      <c r="AJ551"/>
      <c r="AK551"/>
      <c r="AL551"/>
      <c r="AM551"/>
      <c r="AN551"/>
      <c r="AO551"/>
      <c r="AP551"/>
      <c r="AQ551"/>
      <c r="AR551"/>
      <c r="AS551"/>
      <c r="AT551" s="14"/>
      <c r="AU551"/>
      <c r="AV551"/>
      <c r="AW551"/>
      <c r="AX551" s="10"/>
      <c r="AY551" s="20"/>
      <c r="AZ551" s="16"/>
      <c r="BA551"/>
      <c r="BB551"/>
      <c r="BC551" s="16"/>
      <c r="BD551"/>
      <c r="BE551"/>
      <c r="BF551"/>
      <c r="BG551"/>
      <c r="BH551"/>
      <c r="BI551"/>
      <c r="BJ551"/>
      <c r="BK551"/>
      <c r="BL551"/>
      <c r="BM551"/>
      <c r="BN551" s="19"/>
      <c r="BO551"/>
      <c r="BP551"/>
      <c r="BQ551"/>
      <c r="BR551"/>
      <c r="BS551"/>
      <c r="BT551"/>
      <c r="BU551"/>
      <c r="BV551"/>
      <c r="BW551"/>
      <c r="BX551"/>
      <c r="BY551"/>
      <c r="BZ551"/>
      <c r="CA551"/>
      <c r="CB551"/>
      <c r="CC551"/>
      <c r="CD551"/>
      <c r="CE551"/>
      <c r="CF551"/>
      <c r="CG551"/>
      <c r="CH551"/>
      <c r="CI551"/>
      <c r="CJ551"/>
      <c r="CK551"/>
      <c r="CL551"/>
      <c r="CM551" s="20"/>
      <c r="CN551" s="20"/>
      <c r="CO551" s="20"/>
      <c r="CP551" s="20"/>
      <c r="CQ551" s="20"/>
      <c r="CR551" s="20"/>
      <c r="CS551" s="20"/>
      <c r="CT551" s="20"/>
      <c r="CU551" s="20"/>
      <c r="CV551" s="20"/>
      <c r="CW551" s="20"/>
      <c r="CX551" s="20"/>
      <c r="CY551" s="20"/>
    </row>
    <row r="552" spans="1:103" s="6" customFormat="1">
      <c r="A552"/>
      <c r="B552"/>
      <c r="C552"/>
      <c r="D552"/>
      <c r="E552"/>
      <c r="F552"/>
      <c r="G552"/>
      <c r="H552"/>
      <c r="I552"/>
      <c r="J552"/>
      <c r="N552" s="7"/>
      <c r="O552"/>
      <c r="P552" s="10"/>
      <c r="Q552" s="9"/>
      <c r="R552" s="10"/>
      <c r="S552" s="10"/>
      <c r="AA552" s="11"/>
      <c r="AD552"/>
      <c r="AE552"/>
      <c r="AF552"/>
      <c r="AG552"/>
      <c r="AH552" s="46"/>
      <c r="AI552"/>
      <c r="AJ552"/>
      <c r="AK552"/>
      <c r="AL552"/>
      <c r="AM552"/>
      <c r="AN552"/>
      <c r="AO552"/>
      <c r="AP552"/>
      <c r="AQ552"/>
      <c r="AR552"/>
      <c r="AS552"/>
      <c r="AT552" s="14"/>
      <c r="AU552"/>
      <c r="AV552"/>
      <c r="AW552"/>
      <c r="AX552" s="10"/>
      <c r="AY552" s="20"/>
      <c r="AZ552" s="16"/>
      <c r="BA552"/>
      <c r="BB552"/>
      <c r="BC552" s="16"/>
      <c r="BD552"/>
      <c r="BE552"/>
      <c r="BF552"/>
      <c r="BG552"/>
      <c r="BH552"/>
      <c r="BI552"/>
      <c r="BJ552"/>
      <c r="BK552"/>
      <c r="BL552"/>
      <c r="BM552"/>
      <c r="BN552" s="19"/>
      <c r="BO552"/>
      <c r="BP552"/>
      <c r="BQ552"/>
      <c r="BR552"/>
      <c r="BS552"/>
      <c r="BT552"/>
      <c r="BU552"/>
      <c r="BV552"/>
      <c r="BW552"/>
      <c r="BX552"/>
      <c r="BY552"/>
      <c r="BZ552"/>
      <c r="CA552"/>
      <c r="CB552"/>
      <c r="CC552"/>
      <c r="CD552"/>
      <c r="CE552"/>
      <c r="CF552"/>
      <c r="CG552"/>
      <c r="CH552"/>
      <c r="CI552"/>
      <c r="CJ552"/>
      <c r="CK552"/>
      <c r="CL552"/>
      <c r="CM552" s="20"/>
      <c r="CN552" s="20"/>
      <c r="CO552" s="20"/>
      <c r="CP552" s="20"/>
      <c r="CQ552" s="20"/>
      <c r="CR552" s="20"/>
      <c r="CS552" s="20"/>
      <c r="CT552" s="20"/>
      <c r="CU552" s="20"/>
      <c r="CV552" s="20"/>
      <c r="CW552" s="20"/>
      <c r="CX552" s="20"/>
      <c r="CY552" s="20"/>
    </row>
    <row r="553" spans="1:103" s="6" customFormat="1">
      <c r="A553"/>
      <c r="B553"/>
      <c r="C553"/>
      <c r="D553"/>
      <c r="E553"/>
      <c r="F553"/>
      <c r="G553"/>
      <c r="H553"/>
      <c r="I553"/>
      <c r="J553"/>
      <c r="N553" s="7"/>
      <c r="O553"/>
      <c r="P553" s="10"/>
      <c r="Q553" s="9"/>
      <c r="R553" s="10"/>
      <c r="S553" s="10"/>
      <c r="AA553" s="11"/>
      <c r="AD553"/>
      <c r="AE553"/>
      <c r="AF553"/>
      <c r="AG553"/>
      <c r="AH553" s="46"/>
      <c r="AI553"/>
      <c r="AJ553"/>
      <c r="AK553"/>
      <c r="AL553"/>
      <c r="AM553"/>
      <c r="AN553"/>
      <c r="AO553"/>
      <c r="AP553"/>
      <c r="AQ553"/>
      <c r="AR553"/>
      <c r="AS553"/>
      <c r="AT553" s="14"/>
      <c r="AU553"/>
      <c r="AV553"/>
      <c r="AW553"/>
      <c r="AX553" s="10"/>
      <c r="AY553" s="20"/>
      <c r="AZ553" s="16"/>
      <c r="BA553"/>
      <c r="BB553"/>
      <c r="BC553" s="16"/>
      <c r="BD553"/>
      <c r="BE553"/>
      <c r="BF553"/>
      <c r="BG553"/>
      <c r="BH553"/>
      <c r="BI553"/>
      <c r="BJ553"/>
      <c r="BK553"/>
      <c r="BL553"/>
      <c r="BM553"/>
      <c r="BN553" s="19"/>
      <c r="BO553"/>
      <c r="BP553"/>
      <c r="BQ553"/>
      <c r="BR553"/>
      <c r="BS553"/>
      <c r="BT553"/>
      <c r="BU553"/>
      <c r="BV553"/>
      <c r="BW553"/>
      <c r="BX553"/>
      <c r="BY553"/>
      <c r="BZ553"/>
      <c r="CA553"/>
      <c r="CB553"/>
      <c r="CC553"/>
      <c r="CD553"/>
      <c r="CE553"/>
      <c r="CF553"/>
      <c r="CG553"/>
      <c r="CH553"/>
      <c r="CI553"/>
      <c r="CJ553"/>
      <c r="CK553"/>
      <c r="CL553"/>
      <c r="CM553" s="20"/>
      <c r="CN553" s="20"/>
      <c r="CO553" s="20"/>
      <c r="CP553" s="20"/>
      <c r="CQ553" s="20"/>
      <c r="CR553" s="20"/>
      <c r="CS553" s="20"/>
      <c r="CT553" s="20"/>
      <c r="CU553" s="20"/>
      <c r="CV553" s="20"/>
      <c r="CW553" s="20"/>
      <c r="CX553" s="20"/>
      <c r="CY553" s="20"/>
    </row>
    <row r="554" spans="1:103" s="6" customFormat="1">
      <c r="A554"/>
      <c r="B554"/>
      <c r="C554"/>
      <c r="D554"/>
      <c r="E554"/>
      <c r="F554"/>
      <c r="G554"/>
      <c r="H554"/>
      <c r="I554"/>
      <c r="J554"/>
      <c r="N554" s="7"/>
      <c r="O554"/>
      <c r="P554" s="10"/>
      <c r="Q554" s="9"/>
      <c r="R554" s="10"/>
      <c r="S554" s="10"/>
      <c r="AA554" s="11"/>
      <c r="AD554"/>
      <c r="AE554"/>
      <c r="AF554"/>
      <c r="AG554"/>
      <c r="AH554" s="46"/>
      <c r="AI554"/>
      <c r="AJ554"/>
      <c r="AK554"/>
      <c r="AL554"/>
      <c r="AM554"/>
      <c r="AN554"/>
      <c r="AO554"/>
      <c r="AP554"/>
      <c r="AQ554"/>
      <c r="AR554"/>
      <c r="AS554"/>
      <c r="AT554" s="14"/>
      <c r="AU554"/>
      <c r="AV554"/>
      <c r="AW554"/>
      <c r="AX554" s="10"/>
      <c r="AY554" s="20"/>
      <c r="AZ554" s="16"/>
      <c r="BA554"/>
      <c r="BB554"/>
      <c r="BC554" s="16"/>
      <c r="BD554"/>
      <c r="BE554"/>
      <c r="BF554"/>
      <c r="BG554"/>
      <c r="BH554"/>
      <c r="BI554"/>
      <c r="BJ554"/>
      <c r="BK554"/>
      <c r="BL554"/>
      <c r="BM554"/>
      <c r="BN554" s="19"/>
      <c r="BO554"/>
      <c r="BP554"/>
      <c r="BQ554"/>
      <c r="BR554"/>
      <c r="BS554"/>
      <c r="BT554"/>
      <c r="BU554"/>
      <c r="BV554"/>
      <c r="BW554"/>
      <c r="BX554"/>
      <c r="BY554"/>
      <c r="BZ554"/>
      <c r="CA554"/>
      <c r="CB554"/>
      <c r="CC554"/>
      <c r="CD554"/>
      <c r="CE554"/>
      <c r="CF554"/>
      <c r="CG554"/>
      <c r="CH554"/>
      <c r="CI554"/>
      <c r="CJ554"/>
      <c r="CK554"/>
      <c r="CL554"/>
      <c r="CM554" s="20"/>
      <c r="CN554" s="20"/>
      <c r="CO554" s="20"/>
      <c r="CP554" s="20"/>
      <c r="CQ554" s="20"/>
      <c r="CR554" s="20"/>
      <c r="CS554" s="20"/>
      <c r="CT554" s="20"/>
      <c r="CU554" s="20"/>
      <c r="CV554" s="20"/>
      <c r="CW554" s="20"/>
      <c r="CX554" s="20"/>
      <c r="CY554" s="20"/>
    </row>
    <row r="555" spans="1:103" s="6" customFormat="1">
      <c r="A555"/>
      <c r="B555"/>
      <c r="C555"/>
      <c r="D555"/>
      <c r="E555"/>
      <c r="F555"/>
      <c r="G555"/>
      <c r="H555"/>
      <c r="I555"/>
      <c r="J555"/>
      <c r="N555" s="7"/>
      <c r="O555"/>
      <c r="P555" s="10"/>
      <c r="Q555" s="9"/>
      <c r="R555" s="10"/>
      <c r="S555" s="10"/>
      <c r="AA555" s="11"/>
      <c r="AD555"/>
      <c r="AE555"/>
      <c r="AF555"/>
      <c r="AG555"/>
      <c r="AH555" s="46"/>
      <c r="AI555"/>
      <c r="AJ555"/>
      <c r="AK555"/>
      <c r="AL555"/>
      <c r="AM555"/>
      <c r="AN555"/>
      <c r="AO555"/>
      <c r="AP555"/>
      <c r="AQ555"/>
      <c r="AR555"/>
      <c r="AS555"/>
      <c r="AT555" s="14"/>
      <c r="AU555"/>
      <c r="AV555"/>
      <c r="AW555"/>
      <c r="AX555" s="10"/>
      <c r="AY555" s="20"/>
      <c r="AZ555" s="16"/>
      <c r="BA555"/>
      <c r="BB555"/>
      <c r="BC555" s="16"/>
      <c r="BD555"/>
      <c r="BE555"/>
      <c r="BF555"/>
      <c r="BG555"/>
      <c r="BH555"/>
      <c r="BI555"/>
      <c r="BJ555"/>
      <c r="BK555"/>
      <c r="BL555"/>
      <c r="BM555"/>
      <c r="BN555" s="19"/>
      <c r="BO555"/>
      <c r="BP555"/>
      <c r="BQ555"/>
      <c r="BR555"/>
      <c r="BS555"/>
      <c r="BT555"/>
      <c r="BU555"/>
      <c r="BV555"/>
      <c r="BW555"/>
      <c r="BX555"/>
      <c r="BY555"/>
      <c r="BZ555"/>
      <c r="CA555"/>
      <c r="CB555"/>
      <c r="CC555"/>
      <c r="CD555"/>
      <c r="CE555"/>
      <c r="CF555"/>
      <c r="CG555"/>
      <c r="CH555"/>
      <c r="CI555"/>
      <c r="CJ555"/>
      <c r="CK555"/>
      <c r="CL555"/>
      <c r="CM555" s="20"/>
      <c r="CN555" s="20"/>
      <c r="CO555" s="20"/>
      <c r="CP555" s="20"/>
      <c r="CQ555" s="20"/>
      <c r="CR555" s="20"/>
      <c r="CS555" s="20"/>
      <c r="CT555" s="20"/>
      <c r="CU555" s="20"/>
      <c r="CV555" s="20"/>
      <c r="CW555" s="20"/>
      <c r="CX555" s="20"/>
      <c r="CY555" s="20"/>
    </row>
    <row r="556" spans="1:103" s="6" customFormat="1">
      <c r="A556"/>
      <c r="B556"/>
      <c r="C556"/>
      <c r="D556"/>
      <c r="E556"/>
      <c r="F556"/>
      <c r="G556"/>
      <c r="H556"/>
      <c r="I556"/>
      <c r="J556"/>
      <c r="N556" s="7"/>
      <c r="O556"/>
      <c r="P556" s="10"/>
      <c r="Q556" s="9"/>
      <c r="R556" s="10"/>
      <c r="S556" s="10"/>
      <c r="AA556" s="11"/>
      <c r="AD556"/>
      <c r="AE556"/>
      <c r="AF556"/>
      <c r="AG556"/>
      <c r="AH556" s="46"/>
      <c r="AI556"/>
      <c r="AJ556"/>
      <c r="AK556"/>
      <c r="AL556"/>
      <c r="AM556"/>
      <c r="AN556"/>
      <c r="AO556"/>
      <c r="AP556"/>
      <c r="AQ556"/>
      <c r="AR556"/>
      <c r="AS556"/>
      <c r="AT556" s="14"/>
      <c r="AU556"/>
      <c r="AV556"/>
      <c r="AW556"/>
      <c r="AX556" s="10"/>
      <c r="AY556" s="20"/>
      <c r="AZ556" s="16"/>
      <c r="BA556"/>
      <c r="BB556"/>
      <c r="BC556" s="16"/>
      <c r="BD556"/>
      <c r="BE556"/>
      <c r="BF556"/>
      <c r="BG556"/>
      <c r="BH556"/>
      <c r="BI556"/>
      <c r="BJ556"/>
      <c r="BK556"/>
      <c r="BL556"/>
      <c r="BM556"/>
      <c r="BN556" s="19"/>
      <c r="BO556"/>
      <c r="BP556"/>
      <c r="BQ556"/>
      <c r="BR556"/>
      <c r="BS556"/>
      <c r="BT556"/>
      <c r="BU556"/>
      <c r="BV556"/>
      <c r="BW556"/>
      <c r="BX556"/>
      <c r="BY556"/>
      <c r="BZ556"/>
      <c r="CA556"/>
      <c r="CB556"/>
      <c r="CC556"/>
      <c r="CD556"/>
      <c r="CE556"/>
      <c r="CF556"/>
      <c r="CG556"/>
      <c r="CH556"/>
      <c r="CI556"/>
      <c r="CJ556"/>
      <c r="CK556"/>
      <c r="CL556"/>
      <c r="CM556" s="20"/>
      <c r="CN556" s="20"/>
      <c r="CO556" s="20"/>
      <c r="CP556" s="20"/>
      <c r="CQ556" s="20"/>
      <c r="CR556" s="20"/>
      <c r="CS556" s="20"/>
      <c r="CT556" s="20"/>
      <c r="CU556" s="20"/>
      <c r="CV556" s="20"/>
      <c r="CW556" s="20"/>
      <c r="CX556" s="20"/>
      <c r="CY556" s="20"/>
    </row>
    <row r="557" spans="1:103" s="6" customFormat="1">
      <c r="A557"/>
      <c r="B557"/>
      <c r="C557"/>
      <c r="D557"/>
      <c r="E557"/>
      <c r="F557"/>
      <c r="G557"/>
      <c r="H557"/>
      <c r="I557"/>
      <c r="J557"/>
      <c r="N557" s="7"/>
      <c r="O557"/>
      <c r="P557" s="10"/>
      <c r="Q557" s="9"/>
      <c r="R557" s="10"/>
      <c r="S557" s="10"/>
      <c r="AA557" s="11"/>
      <c r="AD557"/>
      <c r="AE557"/>
      <c r="AF557"/>
      <c r="AG557"/>
      <c r="AH557" s="46"/>
      <c r="AI557"/>
      <c r="AJ557"/>
      <c r="AK557"/>
      <c r="AL557"/>
      <c r="AM557"/>
      <c r="AN557"/>
      <c r="AO557"/>
      <c r="AP557"/>
      <c r="AQ557"/>
      <c r="AR557"/>
      <c r="AS557"/>
      <c r="AT557" s="14"/>
      <c r="AU557"/>
      <c r="AV557"/>
      <c r="AW557"/>
      <c r="AX557" s="10"/>
      <c r="AY557" s="20"/>
      <c r="AZ557" s="16"/>
      <c r="BA557"/>
      <c r="BB557"/>
      <c r="BC557" s="16"/>
      <c r="BD557"/>
      <c r="BE557"/>
      <c r="BF557"/>
      <c r="BG557"/>
      <c r="BH557"/>
      <c r="BI557"/>
      <c r="BJ557"/>
      <c r="BK557"/>
      <c r="BL557"/>
      <c r="BM557"/>
      <c r="BN557" s="19"/>
      <c r="BO557"/>
      <c r="BP557"/>
      <c r="BQ557"/>
      <c r="BR557"/>
      <c r="BS557"/>
      <c r="BT557"/>
      <c r="BU557"/>
      <c r="BV557"/>
      <c r="BW557"/>
      <c r="BX557"/>
      <c r="BY557"/>
      <c r="BZ557"/>
      <c r="CA557"/>
      <c r="CB557"/>
      <c r="CC557"/>
      <c r="CD557"/>
      <c r="CE557"/>
      <c r="CF557"/>
      <c r="CG557"/>
      <c r="CH557"/>
      <c r="CI557"/>
      <c r="CJ557"/>
      <c r="CK557"/>
      <c r="CL557"/>
      <c r="CM557" s="20"/>
      <c r="CN557" s="20"/>
      <c r="CO557" s="20"/>
      <c r="CP557" s="20"/>
      <c r="CQ557" s="20"/>
      <c r="CR557" s="20"/>
      <c r="CS557" s="20"/>
      <c r="CT557" s="20"/>
      <c r="CU557" s="20"/>
      <c r="CV557" s="20"/>
      <c r="CW557" s="20"/>
      <c r="CX557" s="20"/>
      <c r="CY557" s="20"/>
    </row>
    <row r="558" spans="1:103" s="6" customFormat="1">
      <c r="A558"/>
      <c r="B558"/>
      <c r="C558"/>
      <c r="D558"/>
      <c r="E558"/>
      <c r="F558"/>
      <c r="G558"/>
      <c r="H558"/>
      <c r="I558"/>
      <c r="J558"/>
      <c r="N558" s="7"/>
      <c r="O558"/>
      <c r="P558" s="10"/>
      <c r="Q558" s="9"/>
      <c r="R558" s="10"/>
      <c r="S558" s="10"/>
      <c r="AA558" s="11"/>
      <c r="AD558"/>
      <c r="AE558"/>
      <c r="AF558"/>
      <c r="AG558"/>
      <c r="AH558" s="46"/>
      <c r="AI558"/>
      <c r="AJ558"/>
      <c r="AK558"/>
      <c r="AL558"/>
      <c r="AM558"/>
      <c r="AN558"/>
      <c r="AO558"/>
      <c r="AP558"/>
      <c r="AQ558"/>
      <c r="AR558"/>
      <c r="AS558"/>
      <c r="AT558" s="14"/>
      <c r="AU558"/>
      <c r="AV558"/>
      <c r="AW558"/>
      <c r="AX558" s="10"/>
      <c r="AY558" s="20"/>
      <c r="AZ558" s="16"/>
      <c r="BA558"/>
      <c r="BB558"/>
      <c r="BC558" s="16"/>
      <c r="BD558"/>
      <c r="BE558"/>
      <c r="BF558"/>
      <c r="BG558"/>
      <c r="BH558"/>
      <c r="BI558"/>
      <c r="BJ558"/>
      <c r="BK558"/>
      <c r="BL558"/>
      <c r="BM558"/>
      <c r="BN558" s="19"/>
      <c r="BO558"/>
      <c r="BP558"/>
      <c r="BQ558"/>
      <c r="BR558"/>
      <c r="BS558"/>
      <c r="BT558"/>
      <c r="BU558"/>
      <c r="BV558"/>
      <c r="BW558"/>
      <c r="BX558"/>
      <c r="BY558"/>
      <c r="BZ558"/>
      <c r="CA558"/>
      <c r="CB558"/>
      <c r="CC558"/>
      <c r="CD558"/>
      <c r="CE558"/>
      <c r="CF558"/>
      <c r="CG558"/>
      <c r="CH558"/>
      <c r="CI558"/>
      <c r="CJ558"/>
      <c r="CK558"/>
      <c r="CL558"/>
      <c r="CM558" s="20"/>
      <c r="CN558" s="20"/>
      <c r="CO558" s="20"/>
      <c r="CP558" s="20"/>
      <c r="CQ558" s="20"/>
      <c r="CR558" s="20"/>
      <c r="CS558" s="20"/>
      <c r="CT558" s="20"/>
      <c r="CU558" s="20"/>
      <c r="CV558" s="20"/>
      <c r="CW558" s="20"/>
      <c r="CX558" s="20"/>
      <c r="CY558" s="20"/>
    </row>
    <row r="559" spans="1:103" s="6" customFormat="1">
      <c r="A559"/>
      <c r="B559"/>
      <c r="C559"/>
      <c r="D559"/>
      <c r="E559"/>
      <c r="F559"/>
      <c r="G559"/>
      <c r="H559"/>
      <c r="I559"/>
      <c r="J559"/>
      <c r="N559" s="7"/>
      <c r="O559"/>
      <c r="P559" s="10"/>
      <c r="Q559" s="9"/>
      <c r="R559" s="10"/>
      <c r="S559" s="10"/>
      <c r="AA559" s="11"/>
      <c r="AD559"/>
      <c r="AE559"/>
      <c r="AF559"/>
      <c r="AG559"/>
      <c r="AH559" s="46"/>
      <c r="AI559"/>
      <c r="AJ559"/>
      <c r="AK559"/>
      <c r="AL559"/>
      <c r="AM559"/>
      <c r="AN559"/>
      <c r="AO559"/>
      <c r="AP559"/>
      <c r="AQ559"/>
      <c r="AR559"/>
      <c r="AS559"/>
      <c r="AT559" s="14"/>
      <c r="AU559"/>
      <c r="AV559"/>
      <c r="AW559"/>
      <c r="AX559" s="10"/>
      <c r="AY559" s="20"/>
      <c r="AZ559" s="16"/>
      <c r="BA559"/>
      <c r="BB559"/>
      <c r="BC559" s="16"/>
      <c r="BD559"/>
      <c r="BE559"/>
      <c r="BF559"/>
      <c r="BG559"/>
      <c r="BH559"/>
      <c r="BI559"/>
      <c r="BJ559"/>
      <c r="BK559"/>
      <c r="BL559"/>
      <c r="BM559"/>
      <c r="BN559" s="19"/>
      <c r="BO559"/>
      <c r="BP559"/>
      <c r="BQ559"/>
      <c r="BR559"/>
      <c r="BS559"/>
      <c r="BT559"/>
      <c r="BU559"/>
      <c r="BV559"/>
      <c r="BW559"/>
      <c r="BX559"/>
      <c r="BY559"/>
      <c r="BZ559"/>
      <c r="CA559"/>
      <c r="CB559"/>
      <c r="CC559"/>
      <c r="CD559"/>
      <c r="CE559"/>
      <c r="CF559"/>
      <c r="CG559"/>
      <c r="CH559"/>
      <c r="CI559"/>
      <c r="CJ559"/>
      <c r="CK559"/>
      <c r="CL559"/>
      <c r="CM559" s="20"/>
      <c r="CN559" s="20"/>
      <c r="CO559" s="20"/>
      <c r="CP559" s="20"/>
      <c r="CQ559" s="20"/>
      <c r="CR559" s="20"/>
      <c r="CS559" s="20"/>
      <c r="CT559" s="20"/>
      <c r="CU559" s="20"/>
      <c r="CV559" s="20"/>
      <c r="CW559" s="20"/>
      <c r="CX559" s="20"/>
      <c r="CY559" s="20"/>
    </row>
    <row r="560" spans="1:103" s="6" customFormat="1">
      <c r="A560"/>
      <c r="B560"/>
      <c r="C560"/>
      <c r="D560"/>
      <c r="E560"/>
      <c r="F560"/>
      <c r="G560"/>
      <c r="H560"/>
      <c r="I560"/>
      <c r="J560"/>
      <c r="N560" s="7"/>
      <c r="O560"/>
      <c r="P560" s="10"/>
      <c r="Q560" s="9"/>
      <c r="R560" s="10"/>
      <c r="S560" s="10"/>
      <c r="AA560" s="11"/>
      <c r="AD560"/>
      <c r="AE560"/>
      <c r="AF560"/>
      <c r="AG560"/>
      <c r="AH560" s="46"/>
      <c r="AI560"/>
      <c r="AJ560"/>
      <c r="AK560"/>
      <c r="AL560"/>
      <c r="AM560"/>
      <c r="AN560"/>
      <c r="AO560"/>
      <c r="AP560"/>
      <c r="AQ560"/>
      <c r="AR560"/>
      <c r="AS560"/>
      <c r="AT560" s="14"/>
      <c r="AU560"/>
      <c r="AV560"/>
      <c r="AW560"/>
      <c r="AX560" s="10"/>
      <c r="AY560" s="20"/>
      <c r="AZ560" s="16"/>
      <c r="BA560"/>
      <c r="BB560"/>
      <c r="BC560" s="16"/>
      <c r="BD560"/>
      <c r="BE560"/>
      <c r="BF560"/>
      <c r="BG560"/>
      <c r="BH560"/>
      <c r="BI560"/>
      <c r="BJ560"/>
      <c r="BK560"/>
      <c r="BL560"/>
      <c r="BM560"/>
      <c r="BN560" s="19"/>
      <c r="BO560"/>
      <c r="BP560"/>
      <c r="BQ560"/>
      <c r="BR560"/>
      <c r="BS560"/>
      <c r="BT560"/>
      <c r="BU560"/>
      <c r="BV560"/>
      <c r="BW560"/>
      <c r="BX560"/>
      <c r="BY560"/>
      <c r="BZ560"/>
      <c r="CA560"/>
      <c r="CB560"/>
      <c r="CC560"/>
      <c r="CD560"/>
      <c r="CE560"/>
      <c r="CF560"/>
      <c r="CG560"/>
      <c r="CH560"/>
      <c r="CI560"/>
      <c r="CJ560"/>
      <c r="CK560"/>
      <c r="CL560"/>
      <c r="CM560" s="20"/>
      <c r="CN560" s="20"/>
      <c r="CO560" s="20"/>
      <c r="CP560" s="20"/>
      <c r="CQ560" s="20"/>
      <c r="CR560" s="20"/>
      <c r="CS560" s="20"/>
      <c r="CT560" s="20"/>
      <c r="CU560" s="20"/>
      <c r="CV560" s="20"/>
      <c r="CW560" s="20"/>
      <c r="CX560" s="20"/>
      <c r="CY560" s="20"/>
    </row>
    <row r="561" spans="1:103" s="6" customFormat="1">
      <c r="A561"/>
      <c r="B561"/>
      <c r="C561"/>
      <c r="D561"/>
      <c r="E561"/>
      <c r="F561"/>
      <c r="G561"/>
      <c r="H561"/>
      <c r="I561"/>
      <c r="J561"/>
      <c r="N561" s="7"/>
      <c r="O561"/>
      <c r="P561" s="10"/>
      <c r="Q561" s="9"/>
      <c r="R561" s="10"/>
      <c r="S561" s="10"/>
      <c r="AA561" s="11"/>
      <c r="AD561"/>
      <c r="AE561"/>
      <c r="AF561"/>
      <c r="AG561"/>
      <c r="AH561" s="46"/>
      <c r="AI561"/>
      <c r="AJ561"/>
      <c r="AK561"/>
      <c r="AL561"/>
      <c r="AM561"/>
      <c r="AN561"/>
      <c r="AO561"/>
      <c r="AP561"/>
      <c r="AQ561"/>
      <c r="AR561"/>
      <c r="AS561"/>
      <c r="AT561" s="14"/>
      <c r="AU561"/>
      <c r="AV561"/>
      <c r="AW561"/>
      <c r="AX561" s="10"/>
      <c r="AY561" s="20"/>
      <c r="AZ561" s="16"/>
      <c r="BA561"/>
      <c r="BB561"/>
      <c r="BC561" s="16"/>
      <c r="BD561"/>
      <c r="BE561"/>
      <c r="BF561"/>
      <c r="BG561"/>
      <c r="BH561"/>
      <c r="BI561"/>
      <c r="BJ561"/>
      <c r="BK561"/>
      <c r="BL561"/>
      <c r="BM561"/>
      <c r="BN561" s="19"/>
      <c r="BO561"/>
      <c r="BP561"/>
      <c r="BQ561"/>
      <c r="BR561"/>
      <c r="BS561"/>
      <c r="BT561"/>
      <c r="BU561"/>
      <c r="BV561"/>
      <c r="BW561"/>
      <c r="BX561"/>
      <c r="BY561"/>
      <c r="BZ561"/>
      <c r="CA561"/>
      <c r="CB561"/>
      <c r="CC561"/>
      <c r="CD561"/>
      <c r="CE561"/>
      <c r="CF561"/>
      <c r="CG561"/>
      <c r="CH561"/>
      <c r="CI561"/>
      <c r="CJ561"/>
      <c r="CK561"/>
      <c r="CL561"/>
      <c r="CM561" s="20"/>
      <c r="CN561" s="20"/>
      <c r="CO561" s="20"/>
      <c r="CP561" s="20"/>
      <c r="CQ561" s="20"/>
      <c r="CR561" s="20"/>
      <c r="CS561" s="20"/>
      <c r="CT561" s="20"/>
      <c r="CU561" s="20"/>
      <c r="CV561" s="20"/>
      <c r="CW561" s="20"/>
      <c r="CX561" s="20"/>
      <c r="CY561" s="20"/>
    </row>
    <row r="562" spans="1:103" s="6" customFormat="1">
      <c r="A562"/>
      <c r="B562"/>
      <c r="C562"/>
      <c r="D562"/>
      <c r="E562"/>
      <c r="F562"/>
      <c r="G562"/>
      <c r="H562"/>
      <c r="I562"/>
      <c r="J562"/>
      <c r="N562" s="7"/>
      <c r="O562"/>
      <c r="P562" s="10"/>
      <c r="Q562" s="9"/>
      <c r="R562" s="10"/>
      <c r="S562" s="10"/>
      <c r="AA562" s="11"/>
      <c r="AD562"/>
      <c r="AE562"/>
      <c r="AF562"/>
      <c r="AG562"/>
      <c r="AH562" s="46"/>
      <c r="AI562"/>
      <c r="AJ562"/>
      <c r="AK562"/>
      <c r="AL562"/>
      <c r="AM562"/>
      <c r="AN562"/>
      <c r="AO562"/>
      <c r="AP562"/>
      <c r="AQ562"/>
      <c r="AR562"/>
      <c r="AS562"/>
      <c r="AT562" s="14"/>
      <c r="AU562"/>
      <c r="AV562"/>
      <c r="AW562"/>
      <c r="AX562" s="10"/>
      <c r="AY562" s="20"/>
      <c r="AZ562" s="16"/>
      <c r="BA562"/>
      <c r="BB562"/>
      <c r="BC562" s="16"/>
      <c r="BD562"/>
      <c r="BE562"/>
      <c r="BF562"/>
      <c r="BG562"/>
      <c r="BH562"/>
      <c r="BI562"/>
      <c r="BJ562"/>
      <c r="BK562"/>
      <c r="BL562"/>
      <c r="BM562"/>
      <c r="BN562" s="19"/>
      <c r="BO562"/>
      <c r="BP562"/>
      <c r="BQ562"/>
      <c r="BR562"/>
      <c r="BS562"/>
      <c r="BT562"/>
      <c r="BU562"/>
      <c r="BV562"/>
      <c r="BW562"/>
      <c r="BX562"/>
      <c r="BY562"/>
      <c r="BZ562"/>
      <c r="CA562"/>
      <c r="CB562"/>
      <c r="CC562"/>
      <c r="CD562"/>
      <c r="CE562"/>
      <c r="CF562"/>
      <c r="CG562"/>
      <c r="CH562"/>
      <c r="CI562"/>
      <c r="CJ562"/>
      <c r="CK562"/>
      <c r="CL562"/>
      <c r="CM562" s="20"/>
      <c r="CN562" s="20"/>
      <c r="CO562" s="20"/>
      <c r="CP562" s="20"/>
      <c r="CQ562" s="20"/>
      <c r="CR562" s="20"/>
      <c r="CS562" s="20"/>
      <c r="CT562" s="20"/>
      <c r="CU562" s="20"/>
      <c r="CV562" s="20"/>
      <c r="CW562" s="20"/>
      <c r="CX562" s="20"/>
      <c r="CY562" s="20"/>
    </row>
    <row r="563" spans="1:103" s="6" customFormat="1">
      <c r="A563"/>
      <c r="B563"/>
      <c r="C563"/>
      <c r="D563"/>
      <c r="E563"/>
      <c r="F563"/>
      <c r="G563"/>
      <c r="H563"/>
      <c r="I563"/>
      <c r="J563"/>
      <c r="N563" s="7"/>
      <c r="O563"/>
      <c r="P563" s="10"/>
      <c r="Q563" s="9"/>
      <c r="R563" s="10"/>
      <c r="S563" s="10"/>
      <c r="AA563" s="11"/>
      <c r="AD563"/>
      <c r="AE563"/>
      <c r="AF563"/>
      <c r="AG563"/>
      <c r="AH563" s="46"/>
      <c r="AI563"/>
      <c r="AJ563"/>
      <c r="AK563"/>
      <c r="AL563"/>
      <c r="AM563"/>
      <c r="AN563"/>
      <c r="AO563"/>
      <c r="AP563"/>
      <c r="AQ563"/>
      <c r="AR563"/>
      <c r="AS563"/>
      <c r="AT563" s="14"/>
      <c r="AU563"/>
      <c r="AV563"/>
      <c r="AW563"/>
      <c r="AX563" s="10"/>
      <c r="AY563" s="20"/>
      <c r="AZ563" s="16"/>
      <c r="BA563"/>
      <c r="BB563"/>
      <c r="BC563" s="16"/>
      <c r="BD563"/>
      <c r="BE563"/>
      <c r="BF563"/>
      <c r="BG563"/>
      <c r="BH563"/>
      <c r="BI563"/>
      <c r="BJ563"/>
      <c r="BK563"/>
      <c r="BL563"/>
      <c r="BM563"/>
      <c r="BN563" s="19"/>
      <c r="BO563"/>
      <c r="BP563"/>
      <c r="BQ563"/>
      <c r="BR563"/>
      <c r="BS563"/>
      <c r="BT563"/>
      <c r="BU563"/>
      <c r="BV563"/>
      <c r="BW563"/>
      <c r="BX563"/>
      <c r="BY563"/>
      <c r="BZ563"/>
      <c r="CA563"/>
      <c r="CB563"/>
      <c r="CC563"/>
      <c r="CD563"/>
      <c r="CE563"/>
      <c r="CF563"/>
      <c r="CG563"/>
      <c r="CH563"/>
      <c r="CI563"/>
      <c r="CJ563"/>
      <c r="CK563"/>
      <c r="CL563"/>
      <c r="CM563" s="20"/>
      <c r="CN563" s="20"/>
      <c r="CO563" s="20"/>
      <c r="CP563" s="20"/>
      <c r="CQ563" s="20"/>
      <c r="CR563" s="20"/>
      <c r="CS563" s="20"/>
      <c r="CT563" s="20"/>
      <c r="CU563" s="20"/>
      <c r="CV563" s="20"/>
      <c r="CW563" s="20"/>
      <c r="CX563" s="20"/>
      <c r="CY563" s="20"/>
    </row>
    <row r="564" spans="1:103" s="6" customFormat="1">
      <c r="A564"/>
      <c r="B564"/>
      <c r="C564"/>
      <c r="D564"/>
      <c r="E564"/>
      <c r="F564"/>
      <c r="G564"/>
      <c r="H564"/>
      <c r="I564"/>
      <c r="J564"/>
      <c r="N564" s="7"/>
      <c r="O564"/>
      <c r="P564" s="10"/>
      <c r="Q564" s="9"/>
      <c r="R564" s="10"/>
      <c r="S564" s="10"/>
      <c r="AA564" s="11"/>
      <c r="AD564"/>
      <c r="AE564"/>
      <c r="AF564"/>
      <c r="AG564"/>
      <c r="AH564" s="46"/>
      <c r="AI564"/>
      <c r="AJ564"/>
      <c r="AK564"/>
      <c r="AL564"/>
      <c r="AM564"/>
      <c r="AN564"/>
      <c r="AO564"/>
      <c r="AP564"/>
      <c r="AQ564"/>
      <c r="AR564"/>
      <c r="AS564"/>
      <c r="AT564" s="14"/>
      <c r="AU564"/>
      <c r="AV564"/>
      <c r="AW564"/>
      <c r="AX564" s="10"/>
      <c r="AY564" s="20"/>
      <c r="AZ564" s="16"/>
      <c r="BA564"/>
      <c r="BB564"/>
      <c r="BC564" s="16"/>
      <c r="BD564"/>
      <c r="BE564"/>
      <c r="BF564"/>
      <c r="BG564"/>
      <c r="BH564"/>
      <c r="BI564"/>
      <c r="BJ564"/>
      <c r="BK564"/>
      <c r="BL564"/>
      <c r="BM564"/>
      <c r="BN564" s="19"/>
      <c r="BO564"/>
      <c r="BP564"/>
      <c r="BQ564"/>
      <c r="BR564"/>
      <c r="BS564"/>
      <c r="BT564"/>
      <c r="BU564"/>
      <c r="BV564"/>
      <c r="BW564"/>
      <c r="BX564"/>
      <c r="BY564"/>
      <c r="BZ564"/>
      <c r="CA564"/>
      <c r="CB564"/>
      <c r="CC564"/>
      <c r="CD564"/>
      <c r="CE564"/>
      <c r="CF564"/>
      <c r="CG564"/>
      <c r="CH564"/>
      <c r="CI564"/>
      <c r="CJ564"/>
      <c r="CK564"/>
      <c r="CL564"/>
      <c r="CM564" s="20"/>
      <c r="CN564" s="20"/>
      <c r="CO564" s="20"/>
      <c r="CP564" s="20"/>
      <c r="CQ564" s="20"/>
      <c r="CR564" s="20"/>
      <c r="CS564" s="20"/>
      <c r="CT564" s="20"/>
      <c r="CU564" s="20"/>
      <c r="CV564" s="20"/>
      <c r="CW564" s="20"/>
      <c r="CX564" s="20"/>
      <c r="CY564" s="20"/>
    </row>
    <row r="565" spans="1:103" s="6" customFormat="1">
      <c r="A565"/>
      <c r="B565"/>
      <c r="C565"/>
      <c r="D565"/>
      <c r="E565"/>
      <c r="F565"/>
      <c r="G565"/>
      <c r="H565"/>
      <c r="I565"/>
      <c r="J565"/>
      <c r="N565" s="7"/>
      <c r="O565"/>
      <c r="P565" s="10"/>
      <c r="Q565" s="9"/>
      <c r="R565" s="10"/>
      <c r="S565" s="10"/>
      <c r="AA565" s="11"/>
      <c r="AD565"/>
      <c r="AE565"/>
      <c r="AF565"/>
      <c r="AG565"/>
      <c r="AH565" s="46"/>
      <c r="AI565"/>
      <c r="AJ565"/>
      <c r="AK565"/>
      <c r="AL565"/>
      <c r="AM565"/>
      <c r="AN565"/>
      <c r="AO565"/>
      <c r="AP565"/>
      <c r="AQ565"/>
      <c r="AR565"/>
      <c r="AS565"/>
      <c r="AT565" s="14"/>
      <c r="AU565"/>
      <c r="AV565"/>
      <c r="AW565"/>
      <c r="AX565" s="10"/>
      <c r="AY565" s="20"/>
      <c r="AZ565" s="16"/>
      <c r="BA565"/>
      <c r="BB565"/>
      <c r="BC565" s="16"/>
      <c r="BD565"/>
      <c r="BE565"/>
      <c r="BF565"/>
      <c r="BG565"/>
      <c r="BH565"/>
      <c r="BI565"/>
      <c r="BJ565"/>
      <c r="BK565"/>
      <c r="BL565"/>
      <c r="BM565"/>
      <c r="BN565" s="19"/>
      <c r="BO565"/>
      <c r="BP565"/>
      <c r="BQ565"/>
      <c r="BR565"/>
      <c r="BS565"/>
      <c r="BT565"/>
      <c r="BU565"/>
      <c r="BV565"/>
      <c r="BW565"/>
      <c r="BX565"/>
      <c r="BY565"/>
      <c r="BZ565"/>
      <c r="CA565"/>
      <c r="CB565"/>
      <c r="CC565"/>
      <c r="CD565"/>
      <c r="CE565"/>
      <c r="CF565"/>
      <c r="CG565"/>
      <c r="CH565"/>
      <c r="CI565"/>
      <c r="CJ565"/>
      <c r="CK565"/>
      <c r="CL565"/>
      <c r="CM565" s="20"/>
      <c r="CN565" s="20"/>
      <c r="CO565" s="20"/>
      <c r="CP565" s="20"/>
      <c r="CQ565" s="20"/>
      <c r="CR565" s="20"/>
      <c r="CS565" s="20"/>
      <c r="CT565" s="20"/>
      <c r="CU565" s="20"/>
      <c r="CV565" s="20"/>
      <c r="CW565" s="20"/>
      <c r="CX565" s="20"/>
      <c r="CY565" s="20"/>
    </row>
    <row r="566" spans="1:103" s="6" customFormat="1">
      <c r="A566"/>
      <c r="B566"/>
      <c r="C566"/>
      <c r="D566"/>
      <c r="E566"/>
      <c r="F566"/>
      <c r="G566"/>
      <c r="H566"/>
      <c r="I566"/>
      <c r="J566"/>
      <c r="N566" s="7"/>
      <c r="O566"/>
      <c r="P566" s="10"/>
      <c r="Q566" s="9"/>
      <c r="R566" s="10"/>
      <c r="S566" s="10"/>
      <c r="AA566" s="11"/>
      <c r="AD566"/>
      <c r="AE566"/>
      <c r="AF566"/>
      <c r="AG566"/>
      <c r="AH566" s="46"/>
      <c r="AI566"/>
      <c r="AJ566"/>
      <c r="AK566"/>
      <c r="AL566"/>
      <c r="AM566"/>
      <c r="AN566"/>
      <c r="AO566"/>
      <c r="AP566"/>
      <c r="AQ566"/>
      <c r="AR566"/>
      <c r="AS566"/>
      <c r="AT566" s="14"/>
      <c r="AU566"/>
      <c r="AV566"/>
      <c r="AW566"/>
      <c r="AX566" s="10"/>
      <c r="AY566" s="20"/>
      <c r="AZ566" s="16"/>
      <c r="BA566"/>
      <c r="BB566"/>
      <c r="BC566" s="16"/>
      <c r="BD566"/>
      <c r="BE566"/>
      <c r="BF566"/>
      <c r="BG566"/>
      <c r="BH566"/>
      <c r="BI566"/>
      <c r="BJ566"/>
      <c r="BK566"/>
      <c r="BL566"/>
      <c r="BM566"/>
      <c r="BN566" s="19"/>
      <c r="BO566"/>
      <c r="BP566"/>
      <c r="BQ566"/>
      <c r="BR566"/>
      <c r="BS566"/>
      <c r="BT566"/>
      <c r="BU566"/>
      <c r="BV566"/>
      <c r="BW566"/>
      <c r="BX566"/>
      <c r="BY566"/>
      <c r="BZ566"/>
      <c r="CA566"/>
      <c r="CB566"/>
      <c r="CC566"/>
      <c r="CD566"/>
      <c r="CE566"/>
      <c r="CF566"/>
      <c r="CG566"/>
      <c r="CH566"/>
      <c r="CI566"/>
      <c r="CJ566"/>
      <c r="CK566"/>
      <c r="CL566"/>
      <c r="CM566" s="20"/>
      <c r="CN566" s="20"/>
      <c r="CO566" s="20"/>
      <c r="CP566" s="20"/>
      <c r="CQ566" s="20"/>
      <c r="CR566" s="20"/>
      <c r="CS566" s="20"/>
      <c r="CT566" s="20"/>
      <c r="CU566" s="20"/>
      <c r="CV566" s="20"/>
      <c r="CW566" s="20"/>
      <c r="CX566" s="20"/>
      <c r="CY566" s="20"/>
    </row>
    <row r="567" spans="1:103" s="6" customFormat="1">
      <c r="A567"/>
      <c r="B567"/>
      <c r="C567"/>
      <c r="D567"/>
      <c r="E567"/>
      <c r="F567"/>
      <c r="G567"/>
      <c r="H567"/>
      <c r="I567"/>
      <c r="J567"/>
      <c r="N567" s="7"/>
      <c r="O567"/>
      <c r="P567" s="10"/>
      <c r="Q567" s="9"/>
      <c r="R567" s="10"/>
      <c r="S567" s="10"/>
      <c r="AA567" s="11"/>
      <c r="AD567"/>
      <c r="AE567"/>
      <c r="AF567"/>
      <c r="AG567"/>
      <c r="AH567" s="46"/>
      <c r="AI567"/>
      <c r="AJ567"/>
      <c r="AK567"/>
      <c r="AL567"/>
      <c r="AM567"/>
      <c r="AN567"/>
      <c r="AO567"/>
      <c r="AP567"/>
      <c r="AQ567"/>
      <c r="AR567"/>
      <c r="AS567"/>
      <c r="AT567" s="14"/>
      <c r="AU567"/>
      <c r="AV567"/>
      <c r="AW567"/>
      <c r="AX567" s="10"/>
      <c r="AY567" s="20"/>
      <c r="AZ567" s="16"/>
      <c r="BA567"/>
      <c r="BB567"/>
      <c r="BC567" s="16"/>
      <c r="BD567"/>
      <c r="BE567"/>
      <c r="BF567"/>
      <c r="BG567"/>
      <c r="BH567"/>
      <c r="BI567"/>
      <c r="BJ567"/>
      <c r="BK567"/>
      <c r="BL567"/>
      <c r="BM567"/>
      <c r="BN567" s="19"/>
      <c r="BO567"/>
      <c r="BP567"/>
      <c r="BQ567"/>
      <c r="BR567"/>
      <c r="BS567"/>
      <c r="BT567"/>
      <c r="BU567"/>
      <c r="BV567"/>
      <c r="BW567"/>
      <c r="BX567"/>
      <c r="BY567"/>
      <c r="BZ567"/>
      <c r="CA567"/>
      <c r="CB567"/>
      <c r="CC567"/>
      <c r="CD567"/>
      <c r="CE567"/>
      <c r="CF567"/>
      <c r="CG567"/>
      <c r="CH567"/>
      <c r="CI567"/>
      <c r="CJ567"/>
      <c r="CK567"/>
      <c r="CL567"/>
      <c r="CM567" s="20"/>
      <c r="CN567" s="20"/>
      <c r="CO567" s="20"/>
      <c r="CP567" s="20"/>
      <c r="CQ567" s="20"/>
      <c r="CR567" s="20"/>
      <c r="CS567" s="20"/>
      <c r="CT567" s="20"/>
      <c r="CU567" s="20"/>
      <c r="CV567" s="20"/>
      <c r="CW567" s="20"/>
      <c r="CX567" s="20"/>
      <c r="CY567" s="20"/>
    </row>
    <row r="568" spans="1:103" s="6" customFormat="1">
      <c r="A568"/>
      <c r="B568"/>
      <c r="C568"/>
      <c r="D568"/>
      <c r="E568"/>
      <c r="F568"/>
      <c r="G568"/>
      <c r="H568"/>
      <c r="I568"/>
      <c r="J568"/>
      <c r="N568" s="7"/>
      <c r="O568"/>
      <c r="P568" s="10"/>
      <c r="Q568" s="9"/>
      <c r="R568" s="10"/>
      <c r="S568" s="10"/>
      <c r="AA568" s="11"/>
      <c r="AD568"/>
      <c r="AE568"/>
      <c r="AF568"/>
      <c r="AG568"/>
      <c r="AH568" s="46"/>
      <c r="AI568"/>
      <c r="AJ568"/>
      <c r="AK568"/>
      <c r="AL568"/>
      <c r="AM568"/>
      <c r="AN568"/>
      <c r="AO568"/>
      <c r="AP568"/>
      <c r="AQ568"/>
      <c r="AR568"/>
      <c r="AS568"/>
      <c r="AT568" s="14"/>
      <c r="AU568"/>
      <c r="AV568"/>
      <c r="AW568"/>
      <c r="AX568" s="10"/>
      <c r="AY568" s="20"/>
      <c r="AZ568" s="16"/>
      <c r="BA568"/>
      <c r="BB568"/>
      <c r="BC568" s="16"/>
      <c r="BD568"/>
      <c r="BE568"/>
      <c r="BF568"/>
      <c r="BG568"/>
      <c r="BH568"/>
      <c r="BI568"/>
      <c r="BJ568"/>
      <c r="BK568"/>
      <c r="BL568"/>
      <c r="BM568"/>
      <c r="BN568" s="19"/>
      <c r="BO568"/>
      <c r="BP568"/>
      <c r="BQ568"/>
      <c r="BR568"/>
      <c r="BS568"/>
      <c r="BT568"/>
      <c r="BU568"/>
      <c r="BV568"/>
      <c r="BW568"/>
      <c r="BX568"/>
      <c r="BY568"/>
      <c r="BZ568"/>
      <c r="CA568"/>
      <c r="CB568"/>
      <c r="CC568"/>
      <c r="CD568"/>
      <c r="CE568"/>
      <c r="CF568"/>
      <c r="CG568"/>
      <c r="CH568"/>
      <c r="CI568"/>
      <c r="CJ568"/>
      <c r="CK568"/>
      <c r="CL568"/>
      <c r="CM568" s="20"/>
      <c r="CN568" s="20"/>
      <c r="CO568" s="20"/>
      <c r="CP568" s="20"/>
      <c r="CQ568" s="20"/>
      <c r="CR568" s="20"/>
      <c r="CS568" s="20"/>
      <c r="CT568" s="20"/>
      <c r="CU568" s="20"/>
      <c r="CV568" s="20"/>
      <c r="CW568" s="20"/>
      <c r="CX568" s="20"/>
      <c r="CY568" s="20"/>
    </row>
    <row r="569" spans="1:103" s="6" customFormat="1">
      <c r="A569"/>
      <c r="B569"/>
      <c r="C569"/>
      <c r="D569"/>
      <c r="E569"/>
      <c r="F569"/>
      <c r="G569"/>
      <c r="H569"/>
      <c r="I569"/>
      <c r="J569"/>
      <c r="N569" s="7"/>
      <c r="O569"/>
      <c r="P569" s="10"/>
      <c r="Q569" s="9"/>
      <c r="R569" s="10"/>
      <c r="S569" s="10"/>
      <c r="AA569" s="11"/>
      <c r="AD569"/>
      <c r="AE569"/>
      <c r="AF569"/>
      <c r="AG569"/>
      <c r="AH569" s="46"/>
      <c r="AI569"/>
      <c r="AJ569"/>
      <c r="AK569"/>
      <c r="AL569"/>
      <c r="AM569"/>
      <c r="AN569"/>
      <c r="AO569"/>
      <c r="AP569"/>
      <c r="AQ569"/>
      <c r="AR569"/>
      <c r="AS569"/>
      <c r="AT569" s="14"/>
      <c r="AU569"/>
      <c r="AV569"/>
      <c r="AW569"/>
      <c r="AX569" s="10"/>
      <c r="AY569" s="20"/>
      <c r="AZ569" s="16"/>
      <c r="BA569"/>
      <c r="BB569"/>
      <c r="BC569" s="16"/>
      <c r="BD569"/>
      <c r="BE569"/>
      <c r="BF569"/>
      <c r="BG569"/>
      <c r="BH569"/>
      <c r="BI569"/>
      <c r="BJ569"/>
      <c r="BK569"/>
      <c r="BL569"/>
      <c r="BM569"/>
      <c r="BN569" s="19"/>
      <c r="BO569"/>
      <c r="BP569"/>
      <c r="BQ569"/>
      <c r="BR569"/>
      <c r="BS569"/>
      <c r="BT569"/>
      <c r="BU569"/>
      <c r="BV569"/>
      <c r="BW569"/>
      <c r="BX569"/>
      <c r="BY569"/>
      <c r="BZ569"/>
      <c r="CA569"/>
      <c r="CB569"/>
      <c r="CC569"/>
      <c r="CD569"/>
      <c r="CE569"/>
      <c r="CF569"/>
      <c r="CG569"/>
      <c r="CH569"/>
      <c r="CI569"/>
      <c r="CJ569"/>
      <c r="CK569"/>
      <c r="CL569"/>
      <c r="CM569" s="20"/>
      <c r="CN569" s="20"/>
      <c r="CO569" s="20"/>
      <c r="CP569" s="20"/>
      <c r="CQ569" s="20"/>
      <c r="CR569" s="20"/>
      <c r="CS569" s="20"/>
      <c r="CT569" s="20"/>
      <c r="CU569" s="20"/>
      <c r="CV569" s="20"/>
      <c r="CW569" s="20"/>
      <c r="CX569" s="20"/>
      <c r="CY569" s="20"/>
    </row>
    <row r="570" spans="1:103" s="6" customFormat="1">
      <c r="A570"/>
      <c r="B570"/>
      <c r="C570"/>
      <c r="D570"/>
      <c r="E570"/>
      <c r="F570"/>
      <c r="G570"/>
      <c r="H570"/>
      <c r="I570"/>
      <c r="J570"/>
      <c r="N570" s="7"/>
      <c r="O570"/>
      <c r="P570" s="10"/>
      <c r="Q570" s="9"/>
      <c r="R570" s="10"/>
      <c r="S570" s="10"/>
      <c r="AA570" s="11"/>
      <c r="AD570"/>
      <c r="AE570"/>
      <c r="AF570"/>
      <c r="AG570"/>
      <c r="AH570" s="46"/>
      <c r="AI570"/>
      <c r="AJ570"/>
      <c r="AK570"/>
      <c r="AL570"/>
      <c r="AM570"/>
      <c r="AN570"/>
      <c r="AO570"/>
      <c r="AP570"/>
      <c r="AQ570"/>
      <c r="AR570"/>
      <c r="AS570"/>
      <c r="AT570" s="14"/>
      <c r="AU570"/>
      <c r="AV570"/>
      <c r="AW570"/>
      <c r="AX570" s="10"/>
      <c r="AY570" s="20"/>
      <c r="AZ570" s="16"/>
      <c r="BA570"/>
      <c r="BB570"/>
      <c r="BC570" s="16"/>
      <c r="BD570"/>
      <c r="BE570"/>
      <c r="BF570"/>
      <c r="BG570"/>
      <c r="BH570"/>
      <c r="BI570"/>
      <c r="BJ570"/>
      <c r="BK570"/>
      <c r="BL570"/>
      <c r="BM570"/>
      <c r="BN570" s="19"/>
      <c r="BO570"/>
      <c r="BP570"/>
      <c r="BQ570"/>
      <c r="BR570"/>
      <c r="BS570"/>
      <c r="BT570"/>
      <c r="BU570"/>
      <c r="BV570"/>
      <c r="BW570"/>
      <c r="BX570"/>
      <c r="BY570"/>
      <c r="BZ570"/>
      <c r="CA570"/>
      <c r="CB570"/>
      <c r="CC570"/>
      <c r="CD570"/>
      <c r="CE570"/>
      <c r="CF570"/>
      <c r="CG570"/>
      <c r="CH570"/>
      <c r="CI570"/>
      <c r="CJ570"/>
      <c r="CK570"/>
      <c r="CL570"/>
      <c r="CM570" s="20"/>
      <c r="CN570" s="20"/>
      <c r="CO570" s="20"/>
      <c r="CP570" s="20"/>
      <c r="CQ570" s="20"/>
      <c r="CR570" s="20"/>
      <c r="CS570" s="20"/>
      <c r="CT570" s="20"/>
      <c r="CU570" s="20"/>
      <c r="CV570" s="20"/>
      <c r="CW570" s="20"/>
      <c r="CX570" s="20"/>
      <c r="CY570" s="20"/>
    </row>
    <row r="571" spans="1:103" s="6" customFormat="1">
      <c r="A571"/>
      <c r="B571"/>
      <c r="C571"/>
      <c r="D571"/>
      <c r="E571"/>
      <c r="F571"/>
      <c r="G571"/>
      <c r="H571"/>
      <c r="I571"/>
      <c r="J571"/>
      <c r="N571" s="7"/>
      <c r="O571"/>
      <c r="P571" s="10"/>
      <c r="Q571" s="9"/>
      <c r="R571" s="10"/>
      <c r="S571" s="10"/>
      <c r="AA571" s="11"/>
      <c r="AD571"/>
      <c r="AE571"/>
      <c r="AF571"/>
      <c r="AG571"/>
      <c r="AH571" s="46"/>
      <c r="AI571"/>
      <c r="AJ571"/>
      <c r="AK571"/>
      <c r="AL571"/>
      <c r="AM571"/>
      <c r="AN571"/>
      <c r="AO571"/>
      <c r="AP571"/>
      <c r="AQ571"/>
      <c r="AR571"/>
      <c r="AS571"/>
      <c r="AT571" s="14"/>
      <c r="AU571"/>
      <c r="AV571"/>
      <c r="AW571"/>
      <c r="AX571" s="10"/>
      <c r="AY571" s="20"/>
      <c r="AZ571" s="16"/>
      <c r="BA571"/>
      <c r="BB571"/>
      <c r="BC571" s="16"/>
      <c r="BD571"/>
      <c r="BE571"/>
      <c r="BF571"/>
      <c r="BG571"/>
      <c r="BH571"/>
      <c r="BI571"/>
      <c r="BJ571"/>
      <c r="BK571"/>
      <c r="BL571"/>
      <c r="BM571"/>
      <c r="BN571" s="19"/>
      <c r="BO571"/>
      <c r="BP571"/>
      <c r="BQ571"/>
      <c r="BR571"/>
      <c r="BS571"/>
      <c r="BT571"/>
      <c r="BU571"/>
      <c r="BV571"/>
      <c r="BW571"/>
      <c r="BX571"/>
      <c r="BY571"/>
      <c r="BZ571"/>
      <c r="CA571"/>
      <c r="CB571"/>
      <c r="CC571"/>
      <c r="CD571"/>
      <c r="CE571"/>
      <c r="CF571"/>
      <c r="CG571"/>
      <c r="CH571"/>
      <c r="CI571"/>
      <c r="CJ571"/>
      <c r="CK571"/>
      <c r="CL571"/>
      <c r="CM571" s="20"/>
      <c r="CN571" s="20"/>
      <c r="CO571" s="20"/>
      <c r="CP571" s="20"/>
      <c r="CQ571" s="20"/>
      <c r="CR571" s="20"/>
      <c r="CS571" s="20"/>
      <c r="CT571" s="20"/>
      <c r="CU571" s="20"/>
      <c r="CV571" s="20"/>
      <c r="CW571" s="20"/>
      <c r="CX571" s="20"/>
      <c r="CY571" s="20"/>
    </row>
    <row r="572" spans="1:103" s="6" customFormat="1">
      <c r="A572"/>
      <c r="B572"/>
      <c r="C572"/>
      <c r="D572"/>
      <c r="E572"/>
      <c r="F572"/>
      <c r="G572"/>
      <c r="H572"/>
      <c r="I572"/>
      <c r="J572"/>
      <c r="N572" s="7"/>
      <c r="O572"/>
      <c r="P572" s="10"/>
      <c r="Q572" s="9"/>
      <c r="R572" s="10"/>
      <c r="S572" s="10"/>
      <c r="AA572" s="11"/>
      <c r="AD572"/>
      <c r="AE572"/>
      <c r="AF572"/>
      <c r="AG572"/>
      <c r="AH572" s="46"/>
      <c r="AI572"/>
      <c r="AJ572"/>
      <c r="AK572"/>
      <c r="AL572"/>
      <c r="AM572"/>
      <c r="AN572"/>
      <c r="AO572"/>
      <c r="AP572"/>
      <c r="AQ572"/>
      <c r="AR572"/>
      <c r="AS572"/>
      <c r="AT572" s="14"/>
      <c r="AU572"/>
      <c r="AV572"/>
      <c r="AW572"/>
      <c r="AX572" s="10"/>
      <c r="AY572" s="20"/>
      <c r="AZ572" s="16"/>
      <c r="BA572"/>
      <c r="BB572"/>
      <c r="BC572" s="16"/>
      <c r="BD572"/>
      <c r="BE572"/>
      <c r="BF572"/>
      <c r="BG572"/>
      <c r="BH572"/>
      <c r="BI572"/>
      <c r="BJ572"/>
      <c r="BK572"/>
      <c r="BL572"/>
      <c r="BM572"/>
      <c r="BN572" s="19"/>
      <c r="BO572"/>
      <c r="BP572"/>
      <c r="BQ572"/>
      <c r="BR572"/>
      <c r="BS572"/>
      <c r="BT572"/>
      <c r="BU572"/>
      <c r="BV572"/>
      <c r="BW572"/>
      <c r="BX572"/>
      <c r="BY572"/>
      <c r="BZ572"/>
      <c r="CA572"/>
      <c r="CB572"/>
      <c r="CC572"/>
      <c r="CD572"/>
      <c r="CE572"/>
      <c r="CF572"/>
      <c r="CG572"/>
      <c r="CH572"/>
      <c r="CI572"/>
      <c r="CJ572"/>
      <c r="CK572"/>
      <c r="CL572"/>
      <c r="CM572" s="20"/>
      <c r="CN572" s="20"/>
      <c r="CO572" s="20"/>
      <c r="CP572" s="20"/>
      <c r="CQ572" s="20"/>
      <c r="CR572" s="20"/>
      <c r="CS572" s="20"/>
      <c r="CT572" s="20"/>
      <c r="CU572" s="20"/>
      <c r="CV572" s="20"/>
      <c r="CW572" s="20"/>
      <c r="CX572" s="20"/>
      <c r="CY572" s="20"/>
    </row>
    <row r="573" spans="1:103" s="6" customFormat="1">
      <c r="A573"/>
      <c r="B573"/>
      <c r="C573"/>
      <c r="D573"/>
      <c r="E573"/>
      <c r="F573"/>
      <c r="G573"/>
      <c r="H573"/>
      <c r="I573"/>
      <c r="J573"/>
      <c r="N573" s="7"/>
      <c r="O573"/>
      <c r="P573" s="10"/>
      <c r="Q573" s="9"/>
      <c r="R573" s="10"/>
      <c r="S573" s="10"/>
      <c r="AA573" s="11"/>
      <c r="AD573"/>
      <c r="AE573"/>
      <c r="AF573"/>
      <c r="AG573"/>
      <c r="AH573" s="46"/>
      <c r="AI573"/>
      <c r="AJ573"/>
      <c r="AK573"/>
      <c r="AL573"/>
      <c r="AM573"/>
      <c r="AN573"/>
      <c r="AO573"/>
      <c r="AP573"/>
      <c r="AQ573"/>
      <c r="AR573"/>
      <c r="AS573"/>
      <c r="AT573" s="14"/>
      <c r="AU573"/>
      <c r="AV573"/>
      <c r="AW573"/>
      <c r="AX573" s="10"/>
      <c r="AY573" s="20"/>
      <c r="AZ573" s="16"/>
      <c r="BA573"/>
      <c r="BB573"/>
      <c r="BC573" s="16"/>
      <c r="BD573"/>
      <c r="BE573"/>
      <c r="BF573"/>
      <c r="BG573"/>
      <c r="BH573"/>
      <c r="BI573"/>
      <c r="BJ573"/>
      <c r="BK573"/>
      <c r="BL573"/>
      <c r="BM573"/>
      <c r="BN573" s="19"/>
      <c r="BO573"/>
      <c r="BP573"/>
      <c r="BQ573"/>
      <c r="BR573"/>
      <c r="BS573"/>
      <c r="BT573"/>
      <c r="BU573"/>
      <c r="BV573"/>
      <c r="BW573"/>
      <c r="BX573"/>
      <c r="BY573"/>
      <c r="BZ573"/>
      <c r="CA573"/>
      <c r="CB573"/>
      <c r="CC573"/>
      <c r="CD573"/>
      <c r="CE573"/>
      <c r="CF573"/>
      <c r="CG573"/>
      <c r="CH573"/>
      <c r="CI573"/>
      <c r="CJ573"/>
      <c r="CK573"/>
      <c r="CL573"/>
      <c r="CM573" s="20"/>
      <c r="CN573" s="20"/>
      <c r="CO573" s="20"/>
      <c r="CP573" s="20"/>
      <c r="CQ573" s="20"/>
      <c r="CR573" s="20"/>
      <c r="CS573" s="20"/>
      <c r="CT573" s="20"/>
      <c r="CU573" s="20"/>
      <c r="CV573" s="20"/>
      <c r="CW573" s="20"/>
      <c r="CX573" s="20"/>
      <c r="CY573" s="20"/>
    </row>
    <row r="574" spans="1:103" s="6" customFormat="1">
      <c r="A574"/>
      <c r="B574"/>
      <c r="C574"/>
      <c r="D574"/>
      <c r="E574"/>
      <c r="F574"/>
      <c r="G574"/>
      <c r="H574"/>
      <c r="I574"/>
      <c r="J574"/>
      <c r="N574" s="7"/>
      <c r="O574"/>
      <c r="P574" s="10"/>
      <c r="Q574" s="9"/>
      <c r="R574" s="10"/>
      <c r="S574" s="10"/>
      <c r="AA574" s="11"/>
      <c r="AD574"/>
      <c r="AE574"/>
      <c r="AF574"/>
      <c r="AG574"/>
      <c r="AH574" s="46"/>
      <c r="AI574"/>
      <c r="AJ574"/>
      <c r="AK574"/>
      <c r="AL574"/>
      <c r="AM574"/>
      <c r="AN574"/>
      <c r="AO574"/>
      <c r="AP574"/>
      <c r="AQ574"/>
      <c r="AR574"/>
      <c r="AS574"/>
      <c r="AT574" s="14"/>
      <c r="AU574"/>
      <c r="AV574"/>
      <c r="AW574"/>
      <c r="AX574" s="10"/>
      <c r="AY574" s="20"/>
      <c r="AZ574" s="16"/>
      <c r="BA574"/>
      <c r="BB574"/>
      <c r="BC574" s="16"/>
      <c r="BD574"/>
      <c r="BE574"/>
      <c r="BF574"/>
      <c r="BG574"/>
      <c r="BH574"/>
      <c r="BI574"/>
      <c r="BJ574"/>
      <c r="BK574"/>
      <c r="BL574"/>
      <c r="BM574"/>
      <c r="BN574" s="19"/>
      <c r="BO574"/>
      <c r="BP574"/>
      <c r="BQ574"/>
      <c r="BR574"/>
      <c r="BS574"/>
      <c r="BT574"/>
      <c r="BU574"/>
      <c r="BV574"/>
      <c r="BW574"/>
      <c r="BX574"/>
      <c r="BY574"/>
      <c r="BZ574"/>
      <c r="CA574"/>
      <c r="CB574"/>
      <c r="CC574"/>
      <c r="CD574"/>
      <c r="CE574"/>
      <c r="CF574"/>
      <c r="CG574"/>
      <c r="CH574"/>
      <c r="CI574"/>
      <c r="CJ574"/>
      <c r="CK574"/>
      <c r="CL574"/>
      <c r="CM574" s="20"/>
      <c r="CN574" s="20"/>
      <c r="CO574" s="20"/>
      <c r="CP574" s="20"/>
      <c r="CQ574" s="20"/>
      <c r="CR574" s="20"/>
      <c r="CS574" s="20"/>
      <c r="CT574" s="20"/>
      <c r="CU574" s="20"/>
      <c r="CV574" s="20"/>
      <c r="CW574" s="20"/>
      <c r="CX574" s="20"/>
      <c r="CY574" s="20"/>
    </row>
    <row r="575" spans="1:103" s="6" customFormat="1">
      <c r="A575"/>
      <c r="B575"/>
      <c r="C575"/>
      <c r="D575"/>
      <c r="E575"/>
      <c r="F575"/>
      <c r="G575"/>
      <c r="H575"/>
      <c r="I575"/>
      <c r="J575"/>
      <c r="N575" s="7"/>
      <c r="O575"/>
      <c r="P575" s="10"/>
      <c r="Q575" s="9"/>
      <c r="R575" s="10"/>
      <c r="S575" s="10"/>
      <c r="AA575" s="11"/>
      <c r="AD575"/>
      <c r="AE575"/>
      <c r="AF575"/>
      <c r="AG575"/>
      <c r="AH575" s="46"/>
      <c r="AI575"/>
      <c r="AJ575"/>
      <c r="AK575"/>
      <c r="AL575"/>
      <c r="AM575"/>
      <c r="AN575"/>
      <c r="AO575"/>
      <c r="AP575"/>
      <c r="AQ575"/>
      <c r="AR575"/>
      <c r="AS575"/>
      <c r="AT575" s="14"/>
      <c r="AU575"/>
      <c r="AV575"/>
      <c r="AW575"/>
      <c r="AX575" s="10"/>
      <c r="AY575" s="20"/>
      <c r="AZ575" s="16"/>
      <c r="BA575"/>
      <c r="BB575"/>
      <c r="BC575" s="16"/>
      <c r="BD575"/>
      <c r="BE575"/>
      <c r="BF575"/>
      <c r="BG575"/>
      <c r="BH575"/>
      <c r="BI575"/>
      <c r="BJ575"/>
      <c r="BK575"/>
      <c r="BL575"/>
      <c r="BM575"/>
      <c r="BN575" s="19"/>
      <c r="BO575"/>
      <c r="BP575"/>
      <c r="BQ575"/>
      <c r="BR575"/>
      <c r="BS575"/>
      <c r="BT575"/>
      <c r="BU575"/>
      <c r="BV575"/>
      <c r="BW575"/>
      <c r="BX575"/>
      <c r="BY575"/>
      <c r="BZ575"/>
      <c r="CA575"/>
      <c r="CB575"/>
      <c r="CC575"/>
      <c r="CD575"/>
      <c r="CE575"/>
      <c r="CF575"/>
      <c r="CG575"/>
      <c r="CH575"/>
      <c r="CI575"/>
      <c r="CJ575"/>
      <c r="CK575"/>
      <c r="CL575"/>
      <c r="CM575" s="20"/>
      <c r="CN575" s="20"/>
      <c r="CO575" s="20"/>
      <c r="CP575" s="20"/>
      <c r="CQ575" s="20"/>
      <c r="CR575" s="20"/>
      <c r="CS575" s="20"/>
      <c r="CT575" s="20"/>
      <c r="CU575" s="20"/>
      <c r="CV575" s="20"/>
      <c r="CW575" s="20"/>
      <c r="CX575" s="20"/>
      <c r="CY575" s="20"/>
    </row>
    <row r="576" spans="1:103" s="6" customFormat="1">
      <c r="A576"/>
      <c r="B576"/>
      <c r="C576"/>
      <c r="D576"/>
      <c r="E576"/>
      <c r="F576"/>
      <c r="G576"/>
      <c r="H576"/>
      <c r="I576"/>
      <c r="J576"/>
      <c r="N576" s="7"/>
      <c r="O576"/>
      <c r="P576" s="10"/>
      <c r="Q576" s="9"/>
      <c r="R576" s="10"/>
      <c r="S576" s="10"/>
      <c r="AA576" s="11"/>
      <c r="AD576"/>
      <c r="AE576"/>
      <c r="AF576"/>
      <c r="AG576"/>
      <c r="AH576" s="46"/>
      <c r="AI576"/>
      <c r="AJ576"/>
      <c r="AK576"/>
      <c r="AL576"/>
      <c r="AM576"/>
      <c r="AN576"/>
      <c r="AO576"/>
      <c r="AP576"/>
      <c r="AQ576"/>
      <c r="AR576"/>
      <c r="AS576"/>
      <c r="AT576" s="14"/>
      <c r="AU576"/>
      <c r="AV576"/>
      <c r="AW576"/>
      <c r="AX576" s="10"/>
      <c r="AY576" s="20"/>
      <c r="AZ576" s="16"/>
      <c r="BA576"/>
      <c r="BB576"/>
      <c r="BC576" s="16"/>
      <c r="BD576"/>
      <c r="BE576"/>
      <c r="BF576"/>
      <c r="BG576"/>
      <c r="BH576"/>
      <c r="BI576"/>
      <c r="BJ576"/>
      <c r="BK576"/>
      <c r="BL576"/>
      <c r="BM576"/>
      <c r="BN576" s="19"/>
      <c r="BO576"/>
      <c r="BP576"/>
      <c r="BQ576"/>
      <c r="BR576"/>
      <c r="BS576"/>
      <c r="BT576"/>
      <c r="BU576"/>
      <c r="BV576"/>
      <c r="BW576"/>
      <c r="BX576"/>
      <c r="BY576"/>
      <c r="BZ576"/>
      <c r="CA576"/>
      <c r="CB576"/>
      <c r="CC576"/>
      <c r="CD576"/>
      <c r="CE576"/>
      <c r="CF576"/>
      <c r="CG576"/>
      <c r="CH576"/>
      <c r="CI576"/>
      <c r="CJ576"/>
      <c r="CK576"/>
      <c r="CL576"/>
      <c r="CM576" s="20"/>
      <c r="CN576" s="20"/>
      <c r="CO576" s="20"/>
      <c r="CP576" s="20"/>
      <c r="CQ576" s="20"/>
      <c r="CR576" s="20"/>
      <c r="CS576" s="20"/>
      <c r="CT576" s="20"/>
      <c r="CU576" s="20"/>
      <c r="CV576" s="20"/>
      <c r="CW576" s="20"/>
      <c r="CX576" s="20"/>
      <c r="CY576" s="20"/>
    </row>
    <row r="577" spans="1:103" s="6" customFormat="1">
      <c r="A577"/>
      <c r="B577"/>
      <c r="C577"/>
      <c r="D577"/>
      <c r="E577"/>
      <c r="F577"/>
      <c r="G577"/>
      <c r="H577"/>
      <c r="I577"/>
      <c r="J577"/>
      <c r="N577" s="7"/>
      <c r="O577"/>
      <c r="P577" s="10"/>
      <c r="Q577" s="9"/>
      <c r="R577" s="10"/>
      <c r="S577" s="10"/>
      <c r="AA577" s="11"/>
      <c r="AD577"/>
      <c r="AE577"/>
      <c r="AF577"/>
      <c r="AG577"/>
      <c r="AH577" s="46"/>
      <c r="AI577"/>
      <c r="AJ577"/>
      <c r="AK577"/>
      <c r="AL577"/>
      <c r="AM577"/>
      <c r="AN577"/>
      <c r="AO577"/>
      <c r="AP577"/>
      <c r="AQ577"/>
      <c r="AR577"/>
      <c r="AS577"/>
      <c r="AT577" s="14"/>
      <c r="AU577"/>
      <c r="AV577"/>
      <c r="AW577"/>
      <c r="AX577" s="10"/>
      <c r="AY577" s="20"/>
      <c r="AZ577" s="16"/>
      <c r="BA577"/>
      <c r="BB577"/>
      <c r="BC577" s="16"/>
      <c r="BD577"/>
      <c r="BE577"/>
      <c r="BF577"/>
      <c r="BG577"/>
      <c r="BH577"/>
      <c r="BI577"/>
      <c r="BJ577"/>
      <c r="BK577"/>
      <c r="BL577"/>
      <c r="BM577"/>
      <c r="BN577" s="19"/>
      <c r="BO577"/>
      <c r="BP577"/>
      <c r="BQ577"/>
      <c r="BR577"/>
      <c r="BS577"/>
      <c r="BT577"/>
      <c r="BU577"/>
      <c r="BV577"/>
      <c r="BW577"/>
      <c r="BX577"/>
      <c r="BY577"/>
      <c r="BZ577"/>
      <c r="CA577"/>
      <c r="CB577"/>
      <c r="CC577"/>
      <c r="CD577"/>
      <c r="CE577"/>
      <c r="CF577"/>
      <c r="CG577"/>
      <c r="CH577"/>
      <c r="CI577"/>
      <c r="CJ577"/>
      <c r="CK577"/>
      <c r="CL577"/>
      <c r="CM577" s="20"/>
      <c r="CN577" s="20"/>
      <c r="CO577" s="20"/>
      <c r="CP577" s="20"/>
      <c r="CQ577" s="20"/>
      <c r="CR577" s="20"/>
      <c r="CS577" s="20"/>
      <c r="CT577" s="20"/>
      <c r="CU577" s="20"/>
      <c r="CV577" s="20"/>
      <c r="CW577" s="20"/>
      <c r="CX577" s="20"/>
      <c r="CY577" s="20"/>
    </row>
    <row r="578" spans="1:103" s="6" customFormat="1">
      <c r="A578"/>
      <c r="B578"/>
      <c r="C578"/>
      <c r="D578"/>
      <c r="E578"/>
      <c r="F578"/>
      <c r="G578"/>
      <c r="H578"/>
      <c r="I578"/>
      <c r="J578"/>
      <c r="N578" s="7"/>
      <c r="O578"/>
      <c r="P578" s="10"/>
      <c r="Q578" s="9"/>
      <c r="R578" s="10"/>
      <c r="S578" s="10"/>
      <c r="AA578" s="11"/>
      <c r="AD578"/>
      <c r="AE578"/>
      <c r="AF578"/>
      <c r="AG578"/>
      <c r="AH578" s="46"/>
      <c r="AI578"/>
      <c r="AJ578"/>
      <c r="AK578"/>
      <c r="AL578"/>
      <c r="AM578"/>
      <c r="AN578"/>
      <c r="AO578"/>
      <c r="AP578"/>
      <c r="AQ578"/>
      <c r="AR578"/>
      <c r="AS578"/>
      <c r="AT578" s="14"/>
      <c r="AU578"/>
      <c r="AV578"/>
      <c r="AW578"/>
      <c r="AX578" s="10"/>
      <c r="AY578" s="20"/>
      <c r="AZ578" s="16"/>
      <c r="BA578"/>
      <c r="BB578"/>
      <c r="BC578" s="16"/>
      <c r="BD578"/>
      <c r="BE578"/>
      <c r="BF578"/>
      <c r="BG578"/>
      <c r="BH578"/>
      <c r="BI578"/>
      <c r="BJ578"/>
      <c r="BK578"/>
      <c r="BL578"/>
      <c r="BM578"/>
      <c r="BN578" s="19"/>
      <c r="BO578"/>
      <c r="BP578"/>
      <c r="BQ578"/>
      <c r="BR578"/>
      <c r="BS578"/>
      <c r="BT578"/>
      <c r="BU578"/>
      <c r="BV578"/>
      <c r="BW578"/>
      <c r="BX578"/>
      <c r="BY578"/>
      <c r="BZ578"/>
      <c r="CA578"/>
      <c r="CB578"/>
      <c r="CC578"/>
      <c r="CD578"/>
      <c r="CE578"/>
      <c r="CF578"/>
      <c r="CG578"/>
      <c r="CH578"/>
      <c r="CI578"/>
      <c r="CJ578"/>
      <c r="CK578"/>
      <c r="CL578"/>
      <c r="CM578" s="20"/>
      <c r="CN578" s="20"/>
      <c r="CO578" s="20"/>
      <c r="CP578" s="20"/>
      <c r="CQ578" s="20"/>
      <c r="CR578" s="20"/>
      <c r="CS578" s="20"/>
      <c r="CT578" s="20"/>
      <c r="CU578" s="20"/>
      <c r="CV578" s="20"/>
      <c r="CW578" s="20"/>
      <c r="CX578" s="20"/>
      <c r="CY578" s="20"/>
    </row>
    <row r="579" spans="1:103" s="6" customFormat="1">
      <c r="A579"/>
      <c r="B579"/>
      <c r="C579"/>
      <c r="D579"/>
      <c r="E579"/>
      <c r="F579"/>
      <c r="G579"/>
      <c r="H579"/>
      <c r="I579"/>
      <c r="J579"/>
      <c r="N579" s="7"/>
      <c r="O579"/>
      <c r="P579" s="10"/>
      <c r="Q579" s="9"/>
      <c r="R579" s="10"/>
      <c r="S579" s="10"/>
      <c r="AA579" s="11"/>
      <c r="AD579"/>
      <c r="AE579"/>
      <c r="AF579"/>
      <c r="AG579"/>
      <c r="AH579" s="46"/>
      <c r="AI579"/>
      <c r="AJ579"/>
      <c r="AK579"/>
      <c r="AL579"/>
      <c r="AM579"/>
      <c r="AN579"/>
      <c r="AO579"/>
      <c r="AP579"/>
      <c r="AQ579"/>
      <c r="AR579"/>
      <c r="AS579"/>
      <c r="AT579" s="14"/>
      <c r="AU579"/>
      <c r="AV579"/>
      <c r="AW579"/>
      <c r="AX579" s="10"/>
      <c r="AY579" s="20"/>
      <c r="AZ579" s="16"/>
      <c r="BA579"/>
      <c r="BB579"/>
      <c r="BC579" s="16"/>
      <c r="BD579"/>
      <c r="BE579"/>
      <c r="BF579"/>
      <c r="BG579"/>
      <c r="BH579"/>
      <c r="BI579"/>
      <c r="BJ579"/>
      <c r="BK579"/>
      <c r="BL579"/>
      <c r="BM579"/>
      <c r="BN579" s="19"/>
      <c r="BO579"/>
      <c r="BP579"/>
      <c r="BQ579"/>
      <c r="BR579"/>
      <c r="BS579"/>
      <c r="BT579"/>
      <c r="BU579"/>
      <c r="BV579"/>
      <c r="BW579"/>
      <c r="BX579"/>
      <c r="BY579"/>
      <c r="BZ579"/>
      <c r="CA579"/>
      <c r="CB579"/>
      <c r="CC579"/>
      <c r="CD579"/>
      <c r="CE579"/>
      <c r="CF579"/>
      <c r="CG579"/>
      <c r="CH579"/>
      <c r="CI579"/>
      <c r="CJ579"/>
      <c r="CK579"/>
      <c r="CL579"/>
      <c r="CM579" s="20"/>
      <c r="CN579" s="20"/>
      <c r="CO579" s="20"/>
      <c r="CP579" s="20"/>
      <c r="CQ579" s="20"/>
      <c r="CR579" s="20"/>
      <c r="CS579" s="20"/>
      <c r="CT579" s="20"/>
      <c r="CU579" s="20"/>
      <c r="CV579" s="20"/>
      <c r="CW579" s="20"/>
      <c r="CX579" s="20"/>
      <c r="CY579" s="20"/>
    </row>
    <row r="580" spans="1:103" s="6" customFormat="1">
      <c r="A580"/>
      <c r="B580"/>
      <c r="C580"/>
      <c r="D580"/>
      <c r="E580"/>
      <c r="F580"/>
      <c r="G580"/>
      <c r="H580"/>
      <c r="I580"/>
      <c r="J580"/>
      <c r="N580" s="7"/>
      <c r="O580"/>
      <c r="P580" s="10"/>
      <c r="Q580" s="9"/>
      <c r="R580" s="10"/>
      <c r="S580" s="10"/>
      <c r="AA580" s="11"/>
      <c r="AD580"/>
      <c r="AE580"/>
      <c r="AF580"/>
      <c r="AG580"/>
      <c r="AH580" s="46"/>
      <c r="AI580"/>
      <c r="AJ580"/>
      <c r="AK580"/>
      <c r="AL580"/>
      <c r="AM580"/>
      <c r="AN580"/>
      <c r="AO580"/>
      <c r="AP580"/>
      <c r="AQ580"/>
      <c r="AR580"/>
      <c r="AS580"/>
      <c r="AT580" s="14"/>
      <c r="AU580"/>
      <c r="AV580"/>
      <c r="AW580"/>
      <c r="AX580" s="10"/>
      <c r="AY580" s="20"/>
      <c r="AZ580" s="16"/>
      <c r="BA580"/>
      <c r="BB580"/>
      <c r="BC580" s="16"/>
      <c r="BD580"/>
      <c r="BE580"/>
      <c r="BF580"/>
      <c r="BG580"/>
      <c r="BH580"/>
      <c r="BI580"/>
      <c r="BJ580"/>
      <c r="BK580"/>
      <c r="BL580"/>
      <c r="BM580"/>
      <c r="BN580" s="19"/>
      <c r="BO580"/>
      <c r="BP580"/>
      <c r="BQ580"/>
      <c r="BR580"/>
      <c r="BS580"/>
      <c r="BT580"/>
      <c r="BU580"/>
      <c r="BV580"/>
      <c r="BW580"/>
      <c r="BX580"/>
      <c r="BY580"/>
      <c r="BZ580"/>
      <c r="CA580"/>
      <c r="CB580"/>
      <c r="CC580"/>
      <c r="CD580"/>
      <c r="CE580"/>
      <c r="CF580"/>
      <c r="CG580"/>
      <c r="CH580"/>
      <c r="CI580"/>
      <c r="CJ580"/>
      <c r="CK580"/>
      <c r="CL580"/>
      <c r="CM580" s="20"/>
      <c r="CN580" s="20"/>
      <c r="CO580" s="20"/>
      <c r="CP580" s="20"/>
      <c r="CQ580" s="20"/>
      <c r="CR580" s="20"/>
      <c r="CS580" s="20"/>
      <c r="CT580" s="20"/>
      <c r="CU580" s="20"/>
      <c r="CV580" s="20"/>
      <c r="CW580" s="20"/>
      <c r="CX580" s="20"/>
      <c r="CY580" s="20"/>
    </row>
    <row r="581" spans="1:103" s="6" customFormat="1">
      <c r="A581"/>
      <c r="B581"/>
      <c r="C581"/>
      <c r="D581"/>
      <c r="E581"/>
      <c r="F581"/>
      <c r="G581"/>
      <c r="H581"/>
      <c r="I581"/>
      <c r="J581"/>
      <c r="N581" s="7"/>
      <c r="O581"/>
      <c r="P581" s="10"/>
      <c r="Q581" s="9"/>
      <c r="R581" s="10"/>
      <c r="S581" s="10"/>
      <c r="AA581" s="11"/>
      <c r="AD581"/>
      <c r="AE581"/>
      <c r="AF581"/>
      <c r="AG581"/>
      <c r="AH581" s="46"/>
      <c r="AI581"/>
      <c r="AJ581"/>
      <c r="AK581"/>
      <c r="AL581"/>
      <c r="AM581"/>
      <c r="AN581"/>
      <c r="AO581"/>
      <c r="AP581"/>
      <c r="AQ581"/>
      <c r="AR581"/>
      <c r="AS581"/>
      <c r="AT581" s="14"/>
      <c r="AU581"/>
      <c r="AV581"/>
      <c r="AW581"/>
      <c r="AX581" s="10"/>
      <c r="AY581" s="20"/>
      <c r="AZ581" s="16"/>
      <c r="BA581"/>
      <c r="BB581"/>
      <c r="BC581" s="16"/>
      <c r="BD581"/>
      <c r="BE581"/>
      <c r="BF581"/>
      <c r="BG581"/>
      <c r="BH581"/>
      <c r="BI581"/>
      <c r="BJ581"/>
      <c r="BK581"/>
      <c r="BL581"/>
      <c r="BM581"/>
      <c r="BN581" s="19"/>
      <c r="BO581"/>
      <c r="BP581"/>
      <c r="BQ581"/>
      <c r="BR581"/>
      <c r="BS581"/>
      <c r="BT581"/>
      <c r="BU581"/>
      <c r="BV581"/>
      <c r="BW581"/>
      <c r="BX581"/>
      <c r="BY581"/>
      <c r="BZ581"/>
      <c r="CA581"/>
      <c r="CB581"/>
      <c r="CC581"/>
      <c r="CD581"/>
      <c r="CE581"/>
      <c r="CF581"/>
      <c r="CG581"/>
      <c r="CH581"/>
      <c r="CI581"/>
      <c r="CJ581"/>
      <c r="CK581"/>
      <c r="CL581"/>
      <c r="CM581" s="20"/>
      <c r="CN581" s="20"/>
      <c r="CO581" s="20"/>
      <c r="CP581" s="20"/>
      <c r="CQ581" s="20"/>
      <c r="CR581" s="20"/>
      <c r="CS581" s="20"/>
      <c r="CT581" s="20"/>
      <c r="CU581" s="20"/>
      <c r="CV581" s="20"/>
      <c r="CW581" s="20"/>
      <c r="CX581" s="20"/>
      <c r="CY581" s="20"/>
    </row>
    <row r="582" spans="1:103" s="6" customFormat="1">
      <c r="A582"/>
      <c r="B582"/>
      <c r="C582"/>
      <c r="D582"/>
      <c r="E582"/>
      <c r="F582"/>
      <c r="G582"/>
      <c r="H582"/>
      <c r="I582"/>
      <c r="J582"/>
      <c r="N582" s="7"/>
      <c r="O582"/>
      <c r="P582" s="10"/>
      <c r="Q582" s="9"/>
      <c r="R582" s="10"/>
      <c r="S582" s="10"/>
      <c r="AA582" s="11"/>
      <c r="AD582"/>
      <c r="AE582"/>
      <c r="AF582"/>
      <c r="AG582"/>
      <c r="AH582" s="46"/>
      <c r="AI582"/>
      <c r="AJ582"/>
      <c r="AK582"/>
      <c r="AL582"/>
      <c r="AM582"/>
      <c r="AN582"/>
      <c r="AO582"/>
      <c r="AP582"/>
      <c r="AQ582"/>
      <c r="AR582"/>
      <c r="AS582"/>
      <c r="AT582" s="14"/>
      <c r="AU582"/>
      <c r="AV582"/>
      <c r="AW582"/>
      <c r="AX582" s="10"/>
      <c r="AY582" s="20"/>
      <c r="AZ582" s="16"/>
      <c r="BA582"/>
      <c r="BB582"/>
      <c r="BC582" s="16"/>
      <c r="BD582"/>
      <c r="BE582"/>
      <c r="BF582"/>
      <c r="BG582"/>
      <c r="BH582"/>
      <c r="BI582"/>
      <c r="BJ582"/>
      <c r="BK582"/>
      <c r="BL582"/>
      <c r="BM582"/>
      <c r="BN582" s="19"/>
      <c r="BO582"/>
      <c r="BP582"/>
      <c r="BQ582"/>
      <c r="BR582"/>
      <c r="BS582"/>
      <c r="BT582"/>
      <c r="BU582"/>
      <c r="BV582"/>
      <c r="BW582"/>
      <c r="BX582"/>
      <c r="BY582"/>
      <c r="BZ582"/>
      <c r="CA582"/>
      <c r="CB582"/>
      <c r="CC582"/>
      <c r="CD582"/>
      <c r="CE582"/>
      <c r="CF582"/>
      <c r="CG582"/>
      <c r="CH582"/>
      <c r="CI582"/>
      <c r="CJ582"/>
      <c r="CK582"/>
      <c r="CL582"/>
      <c r="CM582" s="20"/>
      <c r="CN582" s="20"/>
      <c r="CO582" s="20"/>
      <c r="CP582" s="20"/>
      <c r="CQ582" s="20"/>
      <c r="CR582" s="20"/>
      <c r="CS582" s="20"/>
      <c r="CT582" s="20"/>
      <c r="CU582" s="20"/>
      <c r="CV582" s="20"/>
      <c r="CW582" s="20"/>
      <c r="CX582" s="20"/>
      <c r="CY582" s="20"/>
    </row>
    <row r="583" spans="1:103" s="6" customFormat="1">
      <c r="A583"/>
      <c r="B583"/>
      <c r="C583"/>
      <c r="D583"/>
      <c r="E583"/>
      <c r="F583"/>
      <c r="G583"/>
      <c r="H583"/>
      <c r="I583"/>
      <c r="J583"/>
      <c r="N583" s="7"/>
      <c r="O583"/>
      <c r="P583" s="10"/>
      <c r="Q583" s="9"/>
      <c r="R583" s="10"/>
      <c r="S583" s="10"/>
      <c r="AA583" s="11"/>
      <c r="AD583"/>
      <c r="AE583"/>
      <c r="AF583"/>
      <c r="AG583"/>
      <c r="AH583" s="46"/>
      <c r="AI583"/>
      <c r="AJ583"/>
      <c r="AK583"/>
      <c r="AL583"/>
      <c r="AM583"/>
      <c r="AN583"/>
      <c r="AO583"/>
      <c r="AP583"/>
      <c r="AQ583"/>
      <c r="AR583"/>
      <c r="AS583"/>
      <c r="AT583" s="14"/>
      <c r="AU583"/>
      <c r="AV583"/>
      <c r="AW583"/>
      <c r="AX583" s="10"/>
      <c r="AY583" s="20"/>
      <c r="AZ583" s="16"/>
      <c r="BA583"/>
      <c r="BB583"/>
      <c r="BC583" s="16"/>
      <c r="BD583"/>
      <c r="BE583"/>
      <c r="BF583"/>
      <c r="BG583"/>
      <c r="BH583"/>
      <c r="BI583"/>
      <c r="BJ583"/>
      <c r="BK583"/>
      <c r="BL583"/>
      <c r="BM583"/>
      <c r="BN583" s="19"/>
      <c r="BO583"/>
      <c r="BP583"/>
      <c r="BQ583"/>
      <c r="BR583"/>
      <c r="BS583"/>
      <c r="BT583"/>
      <c r="BU583"/>
      <c r="BV583"/>
      <c r="BW583"/>
      <c r="BX583"/>
      <c r="BY583"/>
      <c r="BZ583"/>
      <c r="CA583"/>
      <c r="CB583"/>
      <c r="CC583"/>
      <c r="CD583"/>
      <c r="CE583"/>
      <c r="CF583"/>
      <c r="CG583"/>
      <c r="CH583"/>
      <c r="CI583"/>
      <c r="CJ583"/>
      <c r="CK583"/>
      <c r="CL583"/>
      <c r="CM583" s="20"/>
      <c r="CN583" s="20"/>
      <c r="CO583" s="20"/>
      <c r="CP583" s="20"/>
      <c r="CQ583" s="20"/>
      <c r="CR583" s="20"/>
      <c r="CS583" s="20"/>
      <c r="CT583" s="20"/>
      <c r="CU583" s="20"/>
      <c r="CV583" s="20"/>
      <c r="CW583" s="20"/>
      <c r="CX583" s="20"/>
      <c r="CY583" s="20"/>
    </row>
    <row r="584" spans="1:103" s="6" customFormat="1">
      <c r="A584"/>
      <c r="B584"/>
      <c r="C584"/>
      <c r="D584"/>
      <c r="E584"/>
      <c r="F584"/>
      <c r="G584"/>
      <c r="H584"/>
      <c r="I584"/>
      <c r="J584"/>
      <c r="N584" s="7"/>
      <c r="O584"/>
      <c r="P584" s="10"/>
      <c r="Q584" s="9"/>
      <c r="R584" s="10"/>
      <c r="S584" s="10"/>
      <c r="AA584" s="11"/>
      <c r="AD584"/>
      <c r="AE584"/>
      <c r="AF584"/>
      <c r="AG584"/>
      <c r="AH584" s="46"/>
      <c r="AI584"/>
      <c r="AJ584"/>
      <c r="AK584"/>
      <c r="AL584"/>
      <c r="AM584"/>
      <c r="AN584"/>
      <c r="AO584"/>
      <c r="AP584"/>
      <c r="AQ584"/>
      <c r="AR584"/>
      <c r="AS584"/>
      <c r="AT584" s="14"/>
      <c r="AU584"/>
      <c r="AV584"/>
      <c r="AW584"/>
      <c r="AX584" s="10"/>
      <c r="AY584" s="20"/>
      <c r="AZ584" s="16"/>
      <c r="BA584"/>
      <c r="BB584"/>
      <c r="BC584" s="16"/>
      <c r="BD584"/>
      <c r="BE584"/>
      <c r="BF584"/>
      <c r="BG584"/>
      <c r="BH584"/>
      <c r="BI584"/>
      <c r="BJ584"/>
      <c r="BK584"/>
      <c r="BL584"/>
      <c r="BM584"/>
      <c r="BN584" s="19"/>
      <c r="BO584"/>
      <c r="BP584"/>
      <c r="BQ584"/>
      <c r="BR584"/>
      <c r="BS584"/>
      <c r="BT584"/>
      <c r="BU584"/>
      <c r="BV584"/>
      <c r="BW584"/>
      <c r="BX584"/>
      <c r="BY584"/>
      <c r="BZ584"/>
      <c r="CA584"/>
      <c r="CB584"/>
      <c r="CC584"/>
      <c r="CD584"/>
      <c r="CE584"/>
      <c r="CF584"/>
      <c r="CG584"/>
      <c r="CH584"/>
      <c r="CI584"/>
      <c r="CJ584"/>
      <c r="CK584"/>
      <c r="CL584"/>
      <c r="CM584" s="20"/>
      <c r="CN584" s="20"/>
      <c r="CO584" s="20"/>
      <c r="CP584" s="20"/>
      <c r="CQ584" s="20"/>
      <c r="CR584" s="20"/>
      <c r="CS584" s="20"/>
      <c r="CT584" s="20"/>
      <c r="CU584" s="20"/>
      <c r="CV584" s="20"/>
      <c r="CW584" s="20"/>
      <c r="CX584" s="20"/>
      <c r="CY584" s="20"/>
    </row>
    <row r="585" spans="1:103" s="6" customFormat="1">
      <c r="A585"/>
      <c r="B585"/>
      <c r="C585"/>
      <c r="D585"/>
      <c r="E585"/>
      <c r="F585"/>
      <c r="G585"/>
      <c r="H585"/>
      <c r="I585"/>
      <c r="J585"/>
      <c r="N585" s="7"/>
      <c r="O585"/>
      <c r="P585" s="10"/>
      <c r="Q585" s="9"/>
      <c r="R585" s="10"/>
      <c r="S585" s="10"/>
      <c r="AA585" s="11"/>
      <c r="AD585"/>
      <c r="AE585"/>
      <c r="AF585"/>
      <c r="AG585"/>
      <c r="AH585" s="46"/>
      <c r="AI585"/>
      <c r="AJ585"/>
      <c r="AK585"/>
      <c r="AL585"/>
      <c r="AM585"/>
      <c r="AN585"/>
      <c r="AO585"/>
      <c r="AP585"/>
      <c r="AQ585"/>
      <c r="AR585"/>
      <c r="AS585"/>
      <c r="AT585" s="14"/>
      <c r="AU585"/>
      <c r="AV585"/>
      <c r="AW585"/>
      <c r="AX585" s="10"/>
      <c r="AY585" s="20"/>
      <c r="AZ585" s="16"/>
      <c r="BA585"/>
      <c r="BB585"/>
      <c r="BC585" s="16"/>
      <c r="BD585"/>
      <c r="BE585"/>
      <c r="BF585"/>
      <c r="BG585"/>
      <c r="BH585"/>
      <c r="BI585"/>
      <c r="BJ585"/>
      <c r="BK585"/>
      <c r="BL585"/>
      <c r="BM585"/>
      <c r="BN585" s="19"/>
      <c r="BO585"/>
      <c r="BP585"/>
      <c r="BQ585"/>
      <c r="BR585"/>
      <c r="BS585"/>
      <c r="BT585"/>
      <c r="BU585"/>
      <c r="BV585"/>
      <c r="BW585"/>
      <c r="BX585"/>
      <c r="BY585"/>
      <c r="BZ585"/>
      <c r="CA585"/>
      <c r="CB585"/>
      <c r="CC585"/>
      <c r="CD585"/>
      <c r="CE585"/>
      <c r="CF585"/>
      <c r="CG585"/>
      <c r="CH585"/>
      <c r="CI585"/>
      <c r="CJ585"/>
      <c r="CK585"/>
      <c r="CL585"/>
      <c r="CM585" s="20"/>
      <c r="CN585" s="20"/>
      <c r="CO585" s="20"/>
      <c r="CP585" s="20"/>
      <c r="CQ585" s="20"/>
      <c r="CR585" s="20"/>
      <c r="CS585" s="20"/>
      <c r="CT585" s="20"/>
      <c r="CU585" s="20"/>
      <c r="CV585" s="20"/>
      <c r="CW585" s="20"/>
      <c r="CX585" s="20"/>
      <c r="CY585" s="20"/>
    </row>
    <row r="586" spans="1:103" s="6" customFormat="1">
      <c r="A586"/>
      <c r="B586"/>
      <c r="C586"/>
      <c r="D586"/>
      <c r="E586"/>
      <c r="F586"/>
      <c r="G586"/>
      <c r="H586"/>
      <c r="I586"/>
      <c r="J586"/>
      <c r="N586" s="7"/>
      <c r="O586"/>
      <c r="P586" s="10"/>
      <c r="Q586" s="9"/>
      <c r="R586" s="10"/>
      <c r="S586" s="10"/>
      <c r="AA586" s="11"/>
      <c r="AD586"/>
      <c r="AE586"/>
      <c r="AF586"/>
      <c r="AG586"/>
      <c r="AH586" s="46"/>
      <c r="AI586"/>
      <c r="AJ586"/>
      <c r="AK586"/>
      <c r="AL586"/>
      <c r="AM586"/>
      <c r="AN586"/>
      <c r="AO586"/>
      <c r="AP586"/>
      <c r="AQ586"/>
      <c r="AR586"/>
      <c r="AS586"/>
      <c r="AT586" s="14"/>
      <c r="AU586"/>
      <c r="AV586"/>
      <c r="AW586"/>
      <c r="AX586" s="10"/>
      <c r="AY586" s="20"/>
      <c r="AZ586" s="16"/>
      <c r="BA586"/>
      <c r="BB586"/>
      <c r="BC586" s="16"/>
      <c r="BD586"/>
      <c r="BE586"/>
      <c r="BF586"/>
      <c r="BG586"/>
      <c r="BH586"/>
      <c r="BI586"/>
      <c r="BJ586"/>
      <c r="BK586"/>
      <c r="BL586"/>
      <c r="BM586"/>
      <c r="BN586" s="19"/>
      <c r="BO586"/>
      <c r="BP586"/>
      <c r="BQ586"/>
      <c r="BR586"/>
      <c r="BS586"/>
      <c r="BT586"/>
      <c r="BU586"/>
      <c r="BV586"/>
      <c r="BW586"/>
      <c r="BX586"/>
      <c r="BY586"/>
      <c r="BZ586"/>
      <c r="CA586"/>
      <c r="CB586"/>
      <c r="CC586"/>
      <c r="CD586"/>
      <c r="CE586"/>
      <c r="CF586"/>
      <c r="CG586"/>
      <c r="CH586"/>
      <c r="CI586"/>
      <c r="CJ586"/>
      <c r="CK586"/>
      <c r="CL586"/>
      <c r="CM586" s="20"/>
      <c r="CN586" s="20"/>
      <c r="CO586" s="20"/>
      <c r="CP586" s="20"/>
      <c r="CQ586" s="20"/>
      <c r="CR586" s="20"/>
      <c r="CS586" s="20"/>
      <c r="CT586" s="20"/>
      <c r="CU586" s="20"/>
      <c r="CV586" s="20"/>
      <c r="CW586" s="20"/>
      <c r="CX586" s="20"/>
      <c r="CY586" s="20"/>
    </row>
    <row r="587" spans="1:103" s="6" customFormat="1">
      <c r="A587"/>
      <c r="B587"/>
      <c r="C587"/>
      <c r="D587"/>
      <c r="E587"/>
      <c r="F587"/>
      <c r="G587"/>
      <c r="H587"/>
      <c r="I587"/>
      <c r="J587"/>
      <c r="N587" s="7"/>
      <c r="O587"/>
      <c r="P587" s="10"/>
      <c r="Q587" s="9"/>
      <c r="R587" s="10"/>
      <c r="S587" s="10"/>
      <c r="AA587" s="11"/>
      <c r="AD587"/>
      <c r="AE587"/>
      <c r="AF587"/>
      <c r="AG587"/>
      <c r="AH587" s="46"/>
      <c r="AI587"/>
      <c r="AJ587"/>
      <c r="AK587"/>
      <c r="AL587"/>
      <c r="AM587"/>
      <c r="AN587"/>
      <c r="AO587"/>
      <c r="AP587"/>
      <c r="AQ587"/>
      <c r="AR587"/>
      <c r="AS587"/>
      <c r="AT587" s="14"/>
      <c r="AU587"/>
      <c r="AV587"/>
      <c r="AW587"/>
      <c r="AX587" s="10"/>
      <c r="AY587" s="20"/>
      <c r="AZ587" s="16"/>
      <c r="BA587"/>
      <c r="BB587"/>
      <c r="BC587" s="16"/>
      <c r="BD587"/>
      <c r="BE587"/>
      <c r="BF587"/>
      <c r="BG587"/>
      <c r="BH587"/>
      <c r="BI587"/>
      <c r="BJ587"/>
      <c r="BK587"/>
      <c r="BL587"/>
      <c r="BM587"/>
      <c r="BN587" s="19"/>
      <c r="BO587"/>
      <c r="BP587"/>
      <c r="BQ587"/>
      <c r="BR587"/>
      <c r="BS587"/>
      <c r="BT587"/>
      <c r="BU587"/>
      <c r="BV587"/>
      <c r="BW587"/>
      <c r="BX587"/>
      <c r="BY587"/>
      <c r="BZ587"/>
      <c r="CA587"/>
      <c r="CB587"/>
      <c r="CC587"/>
      <c r="CD587"/>
      <c r="CE587"/>
      <c r="CF587"/>
      <c r="CG587"/>
      <c r="CH587"/>
      <c r="CI587"/>
      <c r="CJ587"/>
      <c r="CK587"/>
      <c r="CL587"/>
      <c r="CM587" s="20"/>
      <c r="CN587" s="20"/>
      <c r="CO587" s="20"/>
      <c r="CP587" s="20"/>
      <c r="CQ587" s="20"/>
      <c r="CR587" s="20"/>
      <c r="CS587" s="20"/>
      <c r="CT587" s="20"/>
      <c r="CU587" s="20"/>
      <c r="CV587" s="20"/>
      <c r="CW587" s="20"/>
      <c r="CX587" s="20"/>
      <c r="CY587" s="20"/>
    </row>
    <row r="588" spans="1:103" s="6" customFormat="1">
      <c r="A588"/>
      <c r="B588"/>
      <c r="C588"/>
      <c r="D588"/>
      <c r="E588"/>
      <c r="F588"/>
      <c r="G588"/>
      <c r="H588"/>
      <c r="I588"/>
      <c r="J588"/>
      <c r="N588" s="7"/>
      <c r="O588"/>
      <c r="P588" s="10"/>
      <c r="Q588" s="9"/>
      <c r="R588" s="10"/>
      <c r="S588" s="10"/>
      <c r="AA588" s="11"/>
      <c r="AD588"/>
      <c r="AE588"/>
      <c r="AF588"/>
      <c r="AG588"/>
      <c r="AH588" s="46"/>
      <c r="AI588"/>
      <c r="AJ588"/>
      <c r="AK588"/>
      <c r="AL588"/>
      <c r="AM588"/>
      <c r="AN588"/>
      <c r="AO588"/>
      <c r="AP588"/>
      <c r="AQ588"/>
      <c r="AR588"/>
      <c r="AS588"/>
      <c r="AT588" s="14"/>
      <c r="AU588"/>
      <c r="AV588"/>
      <c r="AW588"/>
      <c r="AX588" s="10"/>
      <c r="AY588" s="20"/>
      <c r="AZ588" s="16"/>
      <c r="BA588"/>
      <c r="BB588"/>
      <c r="BC588" s="16"/>
      <c r="BD588"/>
      <c r="BE588"/>
      <c r="BF588"/>
      <c r="BG588"/>
      <c r="BH588"/>
      <c r="BI588"/>
      <c r="BJ588"/>
      <c r="BK588"/>
      <c r="BL588"/>
      <c r="BM588"/>
      <c r="BN588" s="19"/>
      <c r="BO588"/>
      <c r="BP588"/>
      <c r="BQ588"/>
      <c r="BR588"/>
      <c r="BS588"/>
      <c r="BT588"/>
      <c r="BU588"/>
      <c r="BV588"/>
      <c r="BW588"/>
      <c r="BX588"/>
      <c r="BY588"/>
      <c r="BZ588"/>
      <c r="CA588"/>
      <c r="CB588"/>
      <c r="CC588"/>
      <c r="CD588"/>
      <c r="CE588"/>
      <c r="CF588"/>
      <c r="CG588"/>
      <c r="CH588"/>
      <c r="CI588"/>
      <c r="CJ588"/>
      <c r="CK588"/>
      <c r="CL588"/>
      <c r="CM588" s="20"/>
      <c r="CN588" s="20"/>
      <c r="CO588" s="20"/>
      <c r="CP588" s="20"/>
      <c r="CQ588" s="20"/>
      <c r="CR588" s="20"/>
      <c r="CS588" s="20"/>
      <c r="CT588" s="20"/>
      <c r="CU588" s="20"/>
      <c r="CV588" s="20"/>
      <c r="CW588" s="20"/>
      <c r="CX588" s="20"/>
      <c r="CY588" s="20"/>
    </row>
    <row r="589" spans="1:103" s="6" customFormat="1">
      <c r="A589"/>
      <c r="B589"/>
      <c r="C589"/>
      <c r="D589"/>
      <c r="E589"/>
      <c r="F589"/>
      <c r="G589"/>
      <c r="H589"/>
      <c r="I589"/>
      <c r="J589"/>
      <c r="N589" s="7"/>
      <c r="O589"/>
      <c r="P589" s="10"/>
      <c r="Q589" s="9"/>
      <c r="R589" s="10"/>
      <c r="S589" s="10"/>
      <c r="AA589" s="11"/>
      <c r="AD589"/>
      <c r="AE589"/>
      <c r="AF589"/>
      <c r="AG589"/>
      <c r="AH589" s="46"/>
      <c r="AI589"/>
      <c r="AJ589"/>
      <c r="AK589"/>
      <c r="AL589"/>
      <c r="AM589"/>
      <c r="AN589"/>
      <c r="AO589"/>
      <c r="AP589"/>
      <c r="AQ589"/>
      <c r="AR589"/>
      <c r="AS589"/>
      <c r="AT589" s="14"/>
      <c r="AU589"/>
      <c r="AV589"/>
      <c r="AW589"/>
      <c r="AX589" s="10"/>
      <c r="AY589" s="20"/>
      <c r="AZ589" s="16"/>
      <c r="BA589"/>
      <c r="BB589"/>
      <c r="BC589" s="16"/>
      <c r="BD589"/>
      <c r="BE589"/>
      <c r="BF589"/>
      <c r="BG589"/>
      <c r="BH589"/>
      <c r="BI589"/>
      <c r="BJ589"/>
      <c r="BK589"/>
      <c r="BL589"/>
      <c r="BM589"/>
      <c r="BN589" s="19"/>
      <c r="BO589"/>
      <c r="BP589"/>
      <c r="BQ589"/>
      <c r="BR589"/>
      <c r="BS589"/>
      <c r="BT589"/>
      <c r="BU589"/>
      <c r="BV589"/>
      <c r="BW589"/>
      <c r="BX589"/>
      <c r="BY589"/>
      <c r="BZ589"/>
      <c r="CA589"/>
      <c r="CB589"/>
      <c r="CC589"/>
      <c r="CD589"/>
      <c r="CE589"/>
      <c r="CF589"/>
      <c r="CG589"/>
      <c r="CH589"/>
      <c r="CI589"/>
      <c r="CJ589"/>
      <c r="CK589"/>
      <c r="CL589"/>
      <c r="CM589" s="20"/>
      <c r="CN589" s="20"/>
      <c r="CO589" s="20"/>
      <c r="CP589" s="20"/>
      <c r="CQ589" s="20"/>
      <c r="CR589" s="20"/>
      <c r="CS589" s="20"/>
      <c r="CT589" s="20"/>
      <c r="CU589" s="20"/>
      <c r="CV589" s="20"/>
      <c r="CW589" s="20"/>
      <c r="CX589" s="20"/>
      <c r="CY589" s="20"/>
    </row>
    <row r="590" spans="1:103" s="6" customFormat="1">
      <c r="A590"/>
      <c r="B590"/>
      <c r="C590"/>
      <c r="D590"/>
      <c r="E590"/>
      <c r="F590"/>
      <c r="G590"/>
      <c r="H590"/>
      <c r="I590"/>
      <c r="J590"/>
      <c r="N590" s="7"/>
      <c r="O590"/>
      <c r="P590" s="10"/>
      <c r="Q590" s="9"/>
      <c r="R590" s="10"/>
      <c r="S590" s="10"/>
      <c r="AA590" s="11"/>
      <c r="AD590"/>
      <c r="AE590"/>
      <c r="AF590"/>
      <c r="AG590"/>
      <c r="AH590" s="46"/>
      <c r="AI590"/>
      <c r="AJ590"/>
      <c r="AK590"/>
      <c r="AL590"/>
      <c r="AM590"/>
      <c r="AN590"/>
      <c r="AO590"/>
      <c r="AP590"/>
      <c r="AQ590"/>
      <c r="AR590"/>
      <c r="AS590"/>
      <c r="AT590" s="14"/>
      <c r="AU590"/>
      <c r="AV590"/>
      <c r="AW590"/>
      <c r="AX590" s="10"/>
      <c r="AY590" s="20"/>
      <c r="AZ590" s="16"/>
      <c r="BA590"/>
      <c r="BB590"/>
      <c r="BC590" s="16"/>
      <c r="BD590"/>
      <c r="BE590"/>
      <c r="BF590"/>
      <c r="BG590"/>
      <c r="BH590"/>
      <c r="BI590"/>
      <c r="BJ590"/>
      <c r="BK590"/>
      <c r="BL590"/>
      <c r="BM590"/>
      <c r="BN590" s="19"/>
      <c r="BO590"/>
      <c r="BP590"/>
      <c r="BQ590"/>
      <c r="BR590"/>
      <c r="BS590"/>
      <c r="BT590"/>
      <c r="BU590"/>
      <c r="BV590"/>
      <c r="BW590"/>
      <c r="BX590"/>
      <c r="BY590"/>
      <c r="BZ590"/>
      <c r="CA590"/>
      <c r="CB590"/>
      <c r="CC590"/>
      <c r="CD590"/>
      <c r="CE590"/>
      <c r="CF590"/>
      <c r="CG590"/>
      <c r="CH590"/>
      <c r="CI590"/>
      <c r="CJ590"/>
      <c r="CK590"/>
      <c r="CL590"/>
      <c r="CM590" s="20"/>
      <c r="CN590" s="20"/>
      <c r="CO590" s="20"/>
      <c r="CP590" s="20"/>
      <c r="CQ590" s="20"/>
      <c r="CR590" s="20"/>
      <c r="CS590" s="20"/>
      <c r="CT590" s="20"/>
      <c r="CU590" s="20"/>
      <c r="CV590" s="20"/>
      <c r="CW590" s="20"/>
      <c r="CX590" s="20"/>
      <c r="CY590" s="20"/>
    </row>
    <row r="591" spans="1:103" s="6" customFormat="1">
      <c r="A591"/>
      <c r="B591"/>
      <c r="C591"/>
      <c r="D591"/>
      <c r="E591"/>
      <c r="F591"/>
      <c r="G591"/>
      <c r="H591"/>
      <c r="I591"/>
      <c r="J591"/>
      <c r="N591" s="7"/>
      <c r="O591"/>
      <c r="P591" s="10"/>
      <c r="Q591" s="9"/>
      <c r="R591" s="10"/>
      <c r="S591" s="10"/>
      <c r="AA591" s="11"/>
      <c r="AD591"/>
      <c r="AE591"/>
      <c r="AF591"/>
      <c r="AG591"/>
      <c r="AH591" s="46"/>
      <c r="AI591"/>
      <c r="AJ591"/>
      <c r="AK591"/>
      <c r="AL591"/>
      <c r="AM591"/>
      <c r="AN591"/>
      <c r="AO591"/>
      <c r="AP591"/>
      <c r="AQ591"/>
      <c r="AR591"/>
      <c r="AS591"/>
      <c r="AT591" s="14"/>
      <c r="AU591"/>
      <c r="AV591"/>
      <c r="AW591"/>
      <c r="AX591" s="10"/>
      <c r="AY591" s="20"/>
      <c r="AZ591" s="16"/>
      <c r="BA591"/>
      <c r="BB591"/>
      <c r="BC591" s="16"/>
      <c r="BD591"/>
      <c r="BE591"/>
      <c r="BF591"/>
      <c r="BG591"/>
      <c r="BH591"/>
      <c r="BI591"/>
      <c r="BJ591"/>
      <c r="BK591"/>
      <c r="BL591"/>
      <c r="BM591"/>
      <c r="BN591" s="19"/>
      <c r="BO591"/>
      <c r="BP591"/>
      <c r="BQ591"/>
      <c r="BR591"/>
      <c r="BS591"/>
      <c r="BT591"/>
      <c r="BU591"/>
      <c r="BV591"/>
      <c r="BW591"/>
      <c r="BX591"/>
      <c r="BY591"/>
      <c r="BZ591"/>
      <c r="CA591"/>
      <c r="CB591"/>
      <c r="CC591"/>
      <c r="CD591"/>
      <c r="CE591"/>
      <c r="CF591"/>
      <c r="CG591"/>
      <c r="CH591"/>
      <c r="CI591"/>
      <c r="CJ591"/>
      <c r="CK591"/>
      <c r="CL591"/>
      <c r="CM591" s="20"/>
      <c r="CN591" s="20"/>
      <c r="CO591" s="20"/>
      <c r="CP591" s="20"/>
      <c r="CQ591" s="20"/>
      <c r="CR591" s="20"/>
      <c r="CS591" s="20"/>
      <c r="CT591" s="20"/>
      <c r="CU591" s="20"/>
      <c r="CV591" s="20"/>
      <c r="CW591" s="20"/>
      <c r="CX591" s="20"/>
      <c r="CY591" s="20"/>
    </row>
    <row r="592" spans="1:103" s="6" customFormat="1">
      <c r="A592"/>
      <c r="B592"/>
      <c r="C592"/>
      <c r="D592"/>
      <c r="E592"/>
      <c r="F592"/>
      <c r="G592"/>
      <c r="H592"/>
      <c r="I592"/>
      <c r="J592"/>
      <c r="N592" s="7"/>
      <c r="O592"/>
      <c r="P592" s="10"/>
      <c r="Q592" s="9"/>
      <c r="R592" s="10"/>
      <c r="S592" s="10"/>
      <c r="AA592" s="11"/>
      <c r="AD592"/>
      <c r="AE592"/>
      <c r="AF592"/>
      <c r="AG592"/>
      <c r="AH592" s="46"/>
      <c r="AI592"/>
      <c r="AJ592"/>
      <c r="AK592"/>
      <c r="AL592"/>
      <c r="AM592"/>
      <c r="AN592"/>
      <c r="AO592"/>
      <c r="AP592"/>
      <c r="AQ592"/>
      <c r="AR592"/>
      <c r="AS592"/>
      <c r="AT592" s="14"/>
      <c r="AU592"/>
      <c r="AV592"/>
      <c r="AW592"/>
      <c r="AX592" s="10"/>
      <c r="AY592" s="20"/>
      <c r="AZ592" s="16"/>
      <c r="BA592"/>
      <c r="BB592"/>
      <c r="BC592" s="16"/>
      <c r="BD592"/>
      <c r="BE592"/>
      <c r="BF592"/>
      <c r="BG592"/>
      <c r="BH592"/>
      <c r="BI592"/>
      <c r="BJ592"/>
      <c r="BK592"/>
      <c r="BL592"/>
      <c r="BM592"/>
      <c r="BN592" s="19"/>
      <c r="BO592"/>
      <c r="BP592"/>
      <c r="BQ592"/>
      <c r="BR592"/>
      <c r="BS592"/>
      <c r="BT592"/>
      <c r="BU592"/>
      <c r="BV592"/>
      <c r="BW592"/>
      <c r="BX592"/>
      <c r="BY592"/>
      <c r="BZ592"/>
      <c r="CA592"/>
      <c r="CB592"/>
      <c r="CC592"/>
      <c r="CD592"/>
      <c r="CE592"/>
      <c r="CF592"/>
      <c r="CG592"/>
      <c r="CH592"/>
      <c r="CI592"/>
      <c r="CJ592"/>
      <c r="CK592"/>
      <c r="CL592"/>
      <c r="CM592" s="20"/>
      <c r="CN592" s="20"/>
      <c r="CO592" s="20"/>
      <c r="CP592" s="20"/>
      <c r="CQ592" s="20"/>
      <c r="CR592" s="20"/>
      <c r="CS592" s="20"/>
      <c r="CT592" s="20"/>
      <c r="CU592" s="20"/>
      <c r="CV592" s="20"/>
      <c r="CW592" s="20"/>
      <c r="CX592" s="20"/>
      <c r="CY592" s="20"/>
    </row>
    <row r="593" spans="1:103" s="6" customFormat="1">
      <c r="A593"/>
      <c r="B593"/>
      <c r="C593"/>
      <c r="D593"/>
      <c r="E593"/>
      <c r="F593"/>
      <c r="G593"/>
      <c r="H593"/>
      <c r="I593"/>
      <c r="J593"/>
      <c r="N593" s="7"/>
      <c r="O593"/>
      <c r="P593" s="10"/>
      <c r="Q593" s="9"/>
      <c r="R593" s="10"/>
      <c r="S593" s="10"/>
      <c r="AA593" s="11"/>
      <c r="AD593"/>
      <c r="AE593"/>
      <c r="AF593"/>
      <c r="AG593"/>
      <c r="AH593" s="46"/>
      <c r="AI593"/>
      <c r="AJ593"/>
      <c r="AK593"/>
      <c r="AL593"/>
      <c r="AM593"/>
      <c r="AN593"/>
      <c r="AO593"/>
      <c r="AP593"/>
      <c r="AQ593"/>
      <c r="AR593"/>
      <c r="AS593"/>
      <c r="AT593" s="14"/>
      <c r="AU593"/>
      <c r="AV593"/>
      <c r="AW593"/>
      <c r="AX593" s="10"/>
      <c r="AY593" s="20"/>
      <c r="AZ593" s="16"/>
      <c r="BA593"/>
      <c r="BB593"/>
      <c r="BC593" s="16"/>
      <c r="BD593"/>
      <c r="BE593"/>
      <c r="BF593"/>
      <c r="BG593"/>
      <c r="BH593"/>
      <c r="BI593"/>
      <c r="BJ593"/>
      <c r="BK593"/>
      <c r="BL593"/>
      <c r="BM593"/>
      <c r="BN593" s="19"/>
      <c r="BO593"/>
      <c r="BP593"/>
      <c r="BQ593"/>
      <c r="BR593"/>
      <c r="BS593"/>
      <c r="BT593"/>
      <c r="BU593"/>
      <c r="BV593"/>
      <c r="BW593"/>
      <c r="BX593"/>
      <c r="BY593"/>
      <c r="BZ593"/>
      <c r="CA593"/>
      <c r="CB593"/>
      <c r="CC593"/>
      <c r="CD593"/>
      <c r="CE593"/>
      <c r="CF593"/>
      <c r="CG593"/>
      <c r="CH593"/>
      <c r="CI593"/>
      <c r="CJ593"/>
      <c r="CK593"/>
      <c r="CL593"/>
      <c r="CM593" s="20"/>
      <c r="CN593" s="20"/>
      <c r="CO593" s="20"/>
      <c r="CP593" s="20"/>
      <c r="CQ593" s="20"/>
      <c r="CR593" s="20"/>
      <c r="CS593" s="20"/>
      <c r="CT593" s="20"/>
      <c r="CU593" s="20"/>
      <c r="CV593" s="20"/>
      <c r="CW593" s="20"/>
      <c r="CX593" s="20"/>
      <c r="CY593" s="20"/>
    </row>
    <row r="594" spans="1:103" s="6" customFormat="1">
      <c r="A594"/>
      <c r="B594"/>
      <c r="C594"/>
      <c r="D594"/>
      <c r="E594"/>
      <c r="F594"/>
      <c r="G594"/>
      <c r="H594"/>
      <c r="I594"/>
      <c r="J594"/>
      <c r="N594" s="7"/>
      <c r="O594"/>
      <c r="P594" s="10"/>
      <c r="Q594" s="9"/>
      <c r="R594" s="10"/>
      <c r="S594" s="10"/>
      <c r="AA594" s="11"/>
      <c r="AD594"/>
      <c r="AE594"/>
      <c r="AF594"/>
      <c r="AG594"/>
      <c r="AH594" s="46"/>
      <c r="AI594"/>
      <c r="AJ594"/>
      <c r="AK594"/>
      <c r="AL594"/>
      <c r="AM594"/>
      <c r="AN594"/>
      <c r="AO594"/>
      <c r="AP594"/>
      <c r="AQ594"/>
      <c r="AR594"/>
      <c r="AS594"/>
      <c r="AT594" s="14"/>
      <c r="AU594"/>
      <c r="AV594"/>
      <c r="AW594"/>
      <c r="AX594" s="10"/>
      <c r="AY594" s="20"/>
      <c r="AZ594" s="16"/>
      <c r="BA594"/>
      <c r="BB594"/>
      <c r="BC594" s="16"/>
      <c r="BD594"/>
      <c r="BE594"/>
      <c r="BF594"/>
      <c r="BG594"/>
      <c r="BH594"/>
      <c r="BI594"/>
      <c r="BJ594"/>
      <c r="BK594"/>
      <c r="BL594"/>
      <c r="BM594"/>
      <c r="BN594" s="19"/>
      <c r="BO594"/>
      <c r="BP594"/>
      <c r="BQ594"/>
      <c r="BR594"/>
      <c r="BS594"/>
      <c r="BT594"/>
      <c r="BU594"/>
      <c r="BV594"/>
      <c r="BW594"/>
      <c r="BX594"/>
      <c r="BY594"/>
      <c r="BZ594"/>
      <c r="CA594"/>
      <c r="CB594"/>
      <c r="CC594"/>
      <c r="CD594"/>
      <c r="CE594"/>
      <c r="CF594"/>
      <c r="CG594"/>
      <c r="CH594"/>
      <c r="CI594"/>
      <c r="CJ594"/>
      <c r="CK594"/>
      <c r="CL594"/>
      <c r="CM594" s="20"/>
      <c r="CN594" s="20"/>
      <c r="CO594" s="20"/>
      <c r="CP594" s="20"/>
      <c r="CQ594" s="20"/>
      <c r="CR594" s="20"/>
      <c r="CS594" s="20"/>
      <c r="CT594" s="20"/>
      <c r="CU594" s="20"/>
      <c r="CV594" s="20"/>
      <c r="CW594" s="20"/>
      <c r="CX594" s="20"/>
      <c r="CY594" s="20"/>
    </row>
    <row r="595" spans="1:103" s="6" customFormat="1">
      <c r="A595"/>
      <c r="B595"/>
      <c r="C595"/>
      <c r="D595"/>
      <c r="E595"/>
      <c r="F595"/>
      <c r="G595"/>
      <c r="H595"/>
      <c r="I595"/>
      <c r="J595"/>
      <c r="N595" s="7"/>
      <c r="O595"/>
      <c r="P595" s="10"/>
      <c r="Q595" s="9"/>
      <c r="R595" s="10"/>
      <c r="S595" s="10"/>
      <c r="AA595" s="11"/>
      <c r="AD595"/>
      <c r="AE595"/>
      <c r="AF595"/>
      <c r="AG595"/>
      <c r="AH595" s="46"/>
      <c r="AI595"/>
      <c r="AJ595"/>
      <c r="AK595"/>
      <c r="AL595"/>
      <c r="AM595"/>
      <c r="AN595"/>
      <c r="AO595"/>
      <c r="AP595"/>
      <c r="AQ595"/>
      <c r="AR595"/>
      <c r="AS595"/>
      <c r="AT595" s="14"/>
      <c r="AU595"/>
      <c r="AV595"/>
      <c r="AW595"/>
      <c r="AX595" s="10"/>
      <c r="AY595" s="20"/>
      <c r="AZ595" s="16"/>
      <c r="BA595"/>
      <c r="BB595"/>
      <c r="BC595" s="16"/>
      <c r="BD595"/>
      <c r="BE595"/>
      <c r="BF595"/>
      <c r="BG595"/>
      <c r="BH595"/>
      <c r="BI595"/>
      <c r="BJ595"/>
      <c r="BK595"/>
      <c r="BL595"/>
      <c r="BM595"/>
      <c r="BN595" s="19"/>
      <c r="BO595"/>
      <c r="BP595"/>
      <c r="BQ595"/>
      <c r="BR595"/>
      <c r="BS595"/>
      <c r="BT595"/>
      <c r="BU595"/>
      <c r="BV595"/>
      <c r="BW595"/>
      <c r="BX595"/>
      <c r="BY595"/>
      <c r="BZ595"/>
      <c r="CA595"/>
      <c r="CB595"/>
      <c r="CC595"/>
      <c r="CD595"/>
      <c r="CE595"/>
      <c r="CF595"/>
      <c r="CG595"/>
      <c r="CH595"/>
      <c r="CI595"/>
      <c r="CJ595"/>
      <c r="CK595"/>
      <c r="CL595"/>
      <c r="CM595" s="20"/>
      <c r="CN595" s="20"/>
      <c r="CO595" s="20"/>
      <c r="CP595" s="20"/>
      <c r="CQ595" s="20"/>
      <c r="CR595" s="20"/>
      <c r="CS595" s="20"/>
      <c r="CT595" s="20"/>
      <c r="CU595" s="20"/>
      <c r="CV595" s="20"/>
      <c r="CW595" s="20"/>
      <c r="CX595" s="20"/>
      <c r="CY595" s="20"/>
    </row>
    <row r="596" spans="1:103" s="6" customFormat="1">
      <c r="A596"/>
      <c r="B596"/>
      <c r="C596"/>
      <c r="D596"/>
      <c r="E596"/>
      <c r="F596"/>
      <c r="G596"/>
      <c r="H596"/>
      <c r="I596"/>
      <c r="J596"/>
      <c r="N596" s="7"/>
      <c r="O596"/>
      <c r="P596" s="10"/>
      <c r="Q596" s="9"/>
      <c r="R596" s="10"/>
      <c r="S596" s="10"/>
      <c r="AA596" s="11"/>
      <c r="AD596"/>
      <c r="AE596"/>
      <c r="AF596"/>
      <c r="AG596"/>
      <c r="AH596" s="46"/>
      <c r="AI596"/>
      <c r="AJ596"/>
      <c r="AK596"/>
      <c r="AL596"/>
      <c r="AM596"/>
      <c r="AN596"/>
      <c r="AO596"/>
      <c r="AP596"/>
      <c r="AQ596"/>
      <c r="AR596"/>
      <c r="AS596"/>
      <c r="AT596" s="14"/>
      <c r="AU596"/>
      <c r="AV596"/>
      <c r="AW596"/>
      <c r="AX596" s="10"/>
      <c r="AY596" s="20"/>
      <c r="AZ596" s="16"/>
      <c r="BA596"/>
      <c r="BB596"/>
      <c r="BC596" s="16"/>
      <c r="BD596"/>
      <c r="BE596"/>
      <c r="BF596"/>
      <c r="BG596"/>
      <c r="BH596"/>
      <c r="BI596"/>
      <c r="BJ596"/>
      <c r="BK596"/>
      <c r="BL596"/>
      <c r="BM596"/>
      <c r="BN596" s="19"/>
      <c r="BO596"/>
      <c r="BP596"/>
      <c r="BQ596"/>
      <c r="BR596"/>
      <c r="BS596"/>
      <c r="BT596"/>
      <c r="BU596"/>
      <c r="BV596"/>
      <c r="BW596"/>
      <c r="BX596"/>
      <c r="BY596"/>
      <c r="BZ596"/>
      <c r="CA596"/>
      <c r="CB596"/>
      <c r="CC596"/>
      <c r="CD596"/>
      <c r="CE596"/>
      <c r="CF596"/>
      <c r="CG596"/>
      <c r="CH596"/>
      <c r="CI596"/>
      <c r="CJ596"/>
      <c r="CK596"/>
      <c r="CL596"/>
      <c r="CM596" s="20"/>
      <c r="CN596" s="20"/>
      <c r="CO596" s="20"/>
      <c r="CP596" s="20"/>
      <c r="CQ596" s="20"/>
      <c r="CR596" s="20"/>
      <c r="CS596" s="20"/>
      <c r="CT596" s="20"/>
      <c r="CU596" s="20"/>
      <c r="CV596" s="20"/>
      <c r="CW596" s="20"/>
      <c r="CX596" s="20"/>
      <c r="CY596" s="20"/>
    </row>
    <row r="597" spans="1:103" s="6" customFormat="1">
      <c r="A597"/>
      <c r="B597"/>
      <c r="C597"/>
      <c r="D597"/>
      <c r="E597"/>
      <c r="F597"/>
      <c r="G597"/>
      <c r="H597"/>
      <c r="I597"/>
      <c r="J597"/>
      <c r="N597" s="7"/>
      <c r="O597"/>
      <c r="P597" s="10"/>
      <c r="Q597" s="9"/>
      <c r="R597" s="10"/>
      <c r="S597" s="10"/>
      <c r="AA597" s="11"/>
      <c r="AD597"/>
      <c r="AE597"/>
      <c r="AF597"/>
      <c r="AG597"/>
      <c r="AH597" s="46"/>
      <c r="AI597"/>
      <c r="AJ597"/>
      <c r="AK597"/>
      <c r="AL597"/>
      <c r="AM597"/>
      <c r="AN597"/>
      <c r="AO597"/>
      <c r="AP597"/>
      <c r="AQ597"/>
      <c r="AR597"/>
      <c r="AS597"/>
      <c r="AT597" s="14"/>
      <c r="AU597"/>
      <c r="AV597"/>
      <c r="AW597"/>
      <c r="AX597" s="10"/>
      <c r="AY597" s="20"/>
      <c r="AZ597" s="16"/>
      <c r="BA597"/>
      <c r="BB597"/>
      <c r="BC597" s="16"/>
      <c r="BD597"/>
      <c r="BE597"/>
      <c r="BF597"/>
      <c r="BG597"/>
      <c r="BH597"/>
      <c r="BI597"/>
      <c r="BJ597"/>
      <c r="BK597"/>
      <c r="BL597"/>
      <c r="BM597"/>
      <c r="BN597" s="19"/>
      <c r="BO597"/>
      <c r="BP597"/>
      <c r="BQ597"/>
      <c r="BR597"/>
      <c r="BS597"/>
      <c r="BT597"/>
      <c r="BU597"/>
      <c r="BV597"/>
      <c r="BW597"/>
      <c r="BX597"/>
      <c r="BY597"/>
      <c r="BZ597"/>
      <c r="CA597"/>
      <c r="CB597"/>
      <c r="CC597"/>
      <c r="CD597"/>
      <c r="CE597"/>
      <c r="CF597"/>
      <c r="CG597"/>
      <c r="CH597"/>
      <c r="CI597"/>
      <c r="CJ597"/>
      <c r="CK597"/>
      <c r="CL597"/>
      <c r="CM597" s="20"/>
      <c r="CN597" s="20"/>
      <c r="CO597" s="20"/>
      <c r="CP597" s="20"/>
      <c r="CQ597" s="20"/>
      <c r="CR597" s="20"/>
      <c r="CS597" s="20"/>
      <c r="CT597" s="20"/>
      <c r="CU597" s="20"/>
      <c r="CV597" s="20"/>
      <c r="CW597" s="20"/>
      <c r="CX597" s="20"/>
      <c r="CY597" s="20"/>
    </row>
    <row r="598" spans="1:103" s="6" customFormat="1">
      <c r="A598"/>
      <c r="B598"/>
      <c r="C598"/>
      <c r="D598"/>
      <c r="E598"/>
      <c r="F598"/>
      <c r="G598"/>
      <c r="H598"/>
      <c r="I598"/>
      <c r="J598"/>
      <c r="N598" s="7"/>
      <c r="O598"/>
      <c r="P598" s="10"/>
      <c r="Q598" s="9"/>
      <c r="R598" s="10"/>
      <c r="S598" s="10"/>
      <c r="AA598" s="11"/>
      <c r="AD598"/>
      <c r="AE598"/>
      <c r="AF598"/>
      <c r="AG598"/>
      <c r="AH598" s="46"/>
      <c r="AI598"/>
      <c r="AJ598"/>
      <c r="AK598"/>
      <c r="AL598"/>
      <c r="AM598"/>
      <c r="AN598"/>
      <c r="AO598"/>
      <c r="AP598"/>
      <c r="AQ598"/>
      <c r="AR598"/>
      <c r="AS598"/>
      <c r="AT598" s="14"/>
      <c r="AU598"/>
      <c r="AV598"/>
      <c r="AW598"/>
      <c r="AX598" s="10"/>
      <c r="AY598" s="20"/>
      <c r="AZ598" s="16"/>
      <c r="BA598"/>
      <c r="BB598"/>
      <c r="BC598" s="16"/>
      <c r="BD598"/>
      <c r="BE598"/>
      <c r="BF598"/>
      <c r="BG598"/>
      <c r="BH598"/>
      <c r="BI598"/>
      <c r="BJ598"/>
      <c r="BK598"/>
      <c r="BL598"/>
      <c r="BM598"/>
      <c r="BN598" s="19"/>
      <c r="BO598"/>
      <c r="BP598"/>
      <c r="BQ598"/>
      <c r="BR598"/>
      <c r="BS598"/>
      <c r="BT598"/>
      <c r="BU598"/>
      <c r="BV598"/>
      <c r="BW598"/>
      <c r="BX598"/>
      <c r="BY598"/>
      <c r="BZ598"/>
      <c r="CA598"/>
      <c r="CB598"/>
      <c r="CC598"/>
      <c r="CD598"/>
      <c r="CE598"/>
      <c r="CF598"/>
      <c r="CG598"/>
      <c r="CH598"/>
      <c r="CI598"/>
      <c r="CJ598"/>
      <c r="CK598"/>
      <c r="CL598"/>
      <c r="CM598" s="20"/>
      <c r="CN598" s="20"/>
      <c r="CO598" s="20"/>
      <c r="CP598" s="20"/>
      <c r="CQ598" s="20"/>
      <c r="CR598" s="20"/>
      <c r="CS598" s="20"/>
      <c r="CT598" s="20"/>
      <c r="CU598" s="20"/>
      <c r="CV598" s="20"/>
      <c r="CW598" s="20"/>
      <c r="CX598" s="20"/>
      <c r="CY598" s="20"/>
    </row>
    <row r="599" spans="1:103" s="6" customFormat="1">
      <c r="A599"/>
      <c r="B599"/>
      <c r="C599"/>
      <c r="D599"/>
      <c r="E599"/>
      <c r="F599"/>
      <c r="G599"/>
      <c r="H599"/>
      <c r="I599"/>
      <c r="J599"/>
      <c r="N599" s="7"/>
      <c r="O599"/>
      <c r="P599" s="10"/>
      <c r="Q599" s="9"/>
      <c r="R599" s="10"/>
      <c r="S599" s="10"/>
      <c r="AA599" s="11"/>
      <c r="AD599"/>
      <c r="AE599"/>
      <c r="AF599"/>
      <c r="AG599"/>
      <c r="AH599" s="46"/>
      <c r="AI599"/>
      <c r="AJ599"/>
      <c r="AK599"/>
      <c r="AL599"/>
      <c r="AM599"/>
      <c r="AN599"/>
      <c r="AO599"/>
      <c r="AP599"/>
      <c r="AQ599"/>
      <c r="AR599"/>
      <c r="AS599"/>
      <c r="AT599" s="14"/>
      <c r="AU599"/>
      <c r="AV599"/>
      <c r="AW599"/>
      <c r="AX599" s="10"/>
      <c r="AY599" s="20"/>
      <c r="AZ599" s="16"/>
      <c r="BA599"/>
      <c r="BB599"/>
      <c r="BC599" s="16"/>
      <c r="BD599"/>
      <c r="BE599"/>
      <c r="BF599"/>
      <c r="BG599"/>
      <c r="BH599"/>
      <c r="BI599"/>
      <c r="BJ599"/>
      <c r="BK599"/>
      <c r="BL599"/>
      <c r="BM599"/>
      <c r="BN599" s="19"/>
      <c r="BO599"/>
      <c r="BP599"/>
      <c r="BQ599"/>
      <c r="BR599"/>
      <c r="BS599"/>
      <c r="BT599"/>
      <c r="BU599"/>
      <c r="BV599"/>
      <c r="BW599"/>
      <c r="BX599"/>
      <c r="BY599"/>
      <c r="BZ599"/>
      <c r="CA599"/>
      <c r="CB599"/>
      <c r="CC599"/>
      <c r="CD599"/>
      <c r="CE599"/>
      <c r="CF599"/>
      <c r="CG599"/>
      <c r="CH599"/>
      <c r="CI599"/>
      <c r="CJ599"/>
      <c r="CK599"/>
      <c r="CL599"/>
      <c r="CM599" s="20"/>
      <c r="CN599" s="20"/>
      <c r="CO599" s="20"/>
      <c r="CP599" s="20"/>
      <c r="CQ599" s="20"/>
      <c r="CR599" s="20"/>
      <c r="CS599" s="20"/>
      <c r="CT599" s="20"/>
      <c r="CU599" s="20"/>
      <c r="CV599" s="20"/>
      <c r="CW599" s="20"/>
      <c r="CX599" s="20"/>
      <c r="CY599" s="20"/>
    </row>
    <row r="600" spans="1:103" s="6" customFormat="1">
      <c r="A600"/>
      <c r="B600"/>
      <c r="C600"/>
      <c r="D600"/>
      <c r="E600"/>
      <c r="F600"/>
      <c r="G600"/>
      <c r="H600"/>
      <c r="I600"/>
      <c r="J600"/>
      <c r="N600" s="7"/>
      <c r="O600"/>
      <c r="P600" s="10"/>
      <c r="Q600" s="9"/>
      <c r="R600" s="10"/>
      <c r="S600" s="10"/>
      <c r="AA600" s="11"/>
      <c r="AD600"/>
      <c r="AE600"/>
      <c r="AF600"/>
      <c r="AG600"/>
      <c r="AH600" s="46"/>
      <c r="AI600"/>
      <c r="AJ600"/>
      <c r="AK600"/>
      <c r="AL600"/>
      <c r="AM600"/>
      <c r="AN600"/>
      <c r="AO600"/>
      <c r="AP600"/>
      <c r="AQ600"/>
      <c r="AR600"/>
      <c r="AS600"/>
      <c r="AT600" s="14"/>
      <c r="AU600"/>
      <c r="AV600"/>
      <c r="AW600"/>
      <c r="AX600" s="10"/>
      <c r="AY600" s="20"/>
      <c r="AZ600" s="16"/>
      <c r="BA600"/>
      <c r="BB600"/>
      <c r="BC600" s="16"/>
      <c r="BD600"/>
      <c r="BE600"/>
      <c r="BF600"/>
      <c r="BG600"/>
      <c r="BH600"/>
      <c r="BI600"/>
      <c r="BJ600"/>
      <c r="BK600"/>
      <c r="BL600"/>
      <c r="BM600"/>
      <c r="BN600" s="19"/>
      <c r="BO600"/>
      <c r="BP600"/>
      <c r="BQ600"/>
      <c r="BR600"/>
      <c r="BS600"/>
      <c r="BT600"/>
      <c r="BU600"/>
      <c r="BV600"/>
      <c r="BW600"/>
      <c r="BX600"/>
      <c r="BY600"/>
      <c r="BZ600"/>
      <c r="CA600"/>
      <c r="CB600"/>
      <c r="CC600"/>
      <c r="CD600"/>
      <c r="CE600"/>
      <c r="CF600"/>
      <c r="CG600"/>
      <c r="CH600"/>
      <c r="CI600"/>
      <c r="CJ600"/>
      <c r="CK600"/>
      <c r="CL600"/>
      <c r="CM600" s="20"/>
      <c r="CN600" s="20"/>
      <c r="CO600" s="20"/>
      <c r="CP600" s="20"/>
      <c r="CQ600" s="20"/>
      <c r="CR600" s="20"/>
      <c r="CS600" s="20"/>
      <c r="CT600" s="20"/>
      <c r="CU600" s="20"/>
      <c r="CV600" s="20"/>
      <c r="CW600" s="20"/>
      <c r="CX600" s="20"/>
      <c r="CY600" s="20"/>
    </row>
    <row r="601" spans="1:103" s="6" customFormat="1">
      <c r="A601"/>
      <c r="B601"/>
      <c r="C601"/>
      <c r="D601"/>
      <c r="E601"/>
      <c r="F601"/>
      <c r="G601"/>
      <c r="H601"/>
      <c r="I601"/>
      <c r="J601"/>
      <c r="N601" s="7"/>
      <c r="O601"/>
      <c r="P601" s="10"/>
      <c r="Q601" s="9"/>
      <c r="R601" s="10"/>
      <c r="S601" s="10"/>
      <c r="AA601" s="11"/>
      <c r="AD601"/>
      <c r="AE601"/>
      <c r="AF601"/>
      <c r="AG601"/>
      <c r="AH601" s="46"/>
      <c r="AI601"/>
      <c r="AJ601"/>
      <c r="AK601"/>
      <c r="AL601"/>
      <c r="AM601"/>
      <c r="AN601"/>
      <c r="AO601"/>
      <c r="AP601"/>
      <c r="AQ601"/>
      <c r="AR601"/>
      <c r="AS601"/>
      <c r="AT601" s="14"/>
      <c r="AU601"/>
      <c r="AV601"/>
      <c r="AW601"/>
      <c r="AX601" s="10"/>
      <c r="AY601" s="20"/>
      <c r="AZ601" s="16"/>
      <c r="BA601"/>
      <c r="BB601"/>
      <c r="BC601" s="16"/>
      <c r="BD601"/>
      <c r="BE601"/>
      <c r="BF601"/>
      <c r="BG601"/>
      <c r="BH601"/>
      <c r="BI601"/>
      <c r="BJ601"/>
      <c r="BK601"/>
      <c r="BL601"/>
      <c r="BM601"/>
      <c r="BN601" s="19"/>
      <c r="BO601"/>
      <c r="BP601"/>
      <c r="BQ601"/>
      <c r="BR601"/>
      <c r="BS601"/>
      <c r="BT601"/>
      <c r="BU601"/>
      <c r="BV601"/>
      <c r="BW601"/>
      <c r="BX601"/>
      <c r="BY601"/>
      <c r="BZ601"/>
      <c r="CA601"/>
      <c r="CB601"/>
      <c r="CC601"/>
      <c r="CD601"/>
      <c r="CE601"/>
      <c r="CF601"/>
      <c r="CG601"/>
      <c r="CH601"/>
      <c r="CI601"/>
      <c r="CJ601"/>
      <c r="CK601"/>
      <c r="CL601"/>
      <c r="CM601" s="20"/>
      <c r="CN601" s="20"/>
      <c r="CO601" s="20"/>
      <c r="CP601" s="20"/>
      <c r="CQ601" s="20"/>
      <c r="CR601" s="20"/>
      <c r="CS601" s="20"/>
      <c r="CT601" s="20"/>
      <c r="CU601" s="20"/>
      <c r="CV601" s="20"/>
      <c r="CW601" s="20"/>
      <c r="CX601" s="20"/>
      <c r="CY601" s="20"/>
    </row>
    <row r="602" spans="1:103" s="6" customFormat="1">
      <c r="A602"/>
      <c r="B602"/>
      <c r="C602"/>
      <c r="D602"/>
      <c r="E602"/>
      <c r="F602"/>
      <c r="G602"/>
      <c r="H602"/>
      <c r="I602"/>
      <c r="J602"/>
      <c r="N602" s="7"/>
      <c r="O602"/>
      <c r="P602" s="10"/>
      <c r="Q602" s="9"/>
      <c r="R602" s="10"/>
      <c r="S602" s="10"/>
      <c r="AA602" s="11"/>
      <c r="AD602"/>
      <c r="AE602"/>
      <c r="AF602"/>
      <c r="AG602"/>
      <c r="AH602" s="46"/>
      <c r="AI602"/>
      <c r="AJ602"/>
      <c r="AK602"/>
      <c r="AL602"/>
      <c r="AM602"/>
      <c r="AN602"/>
      <c r="AO602"/>
      <c r="AP602"/>
      <c r="AQ602"/>
      <c r="AR602"/>
      <c r="AS602"/>
      <c r="AT602" s="14"/>
      <c r="AU602"/>
      <c r="AV602"/>
      <c r="AW602"/>
      <c r="AX602" s="10"/>
      <c r="AY602" s="20"/>
      <c r="AZ602" s="16"/>
      <c r="BA602"/>
      <c r="BB602"/>
      <c r="BC602" s="16"/>
      <c r="BD602"/>
      <c r="BE602"/>
      <c r="BF602"/>
      <c r="BG602"/>
      <c r="BH602"/>
      <c r="BI602"/>
      <c r="BJ602"/>
      <c r="BK602"/>
      <c r="BL602"/>
      <c r="BM602"/>
      <c r="BN602" s="19"/>
      <c r="BO602"/>
      <c r="BP602"/>
      <c r="BQ602"/>
      <c r="BR602"/>
      <c r="BS602"/>
      <c r="BT602"/>
      <c r="BU602"/>
      <c r="BV602"/>
      <c r="BW602"/>
      <c r="BX602"/>
      <c r="BY602"/>
      <c r="BZ602"/>
      <c r="CA602"/>
      <c r="CB602"/>
      <c r="CC602"/>
      <c r="CD602"/>
      <c r="CE602"/>
      <c r="CF602"/>
      <c r="CG602"/>
      <c r="CH602"/>
      <c r="CI602"/>
      <c r="CJ602"/>
      <c r="CK602"/>
      <c r="CL602"/>
      <c r="CM602" s="20"/>
      <c r="CN602" s="20"/>
      <c r="CO602" s="20"/>
      <c r="CP602" s="20"/>
      <c r="CQ602" s="20"/>
      <c r="CR602" s="20"/>
      <c r="CS602" s="20"/>
      <c r="CT602" s="20"/>
      <c r="CU602" s="20"/>
      <c r="CV602" s="20"/>
      <c r="CW602" s="20"/>
      <c r="CX602" s="20"/>
      <c r="CY602" s="20"/>
    </row>
    <row r="603" spans="1:103" s="6" customFormat="1">
      <c r="A603"/>
      <c r="B603"/>
      <c r="C603"/>
      <c r="D603"/>
      <c r="E603"/>
      <c r="F603"/>
      <c r="G603"/>
      <c r="H603"/>
      <c r="I603"/>
      <c r="J603"/>
      <c r="N603" s="7"/>
      <c r="O603"/>
      <c r="P603" s="10"/>
      <c r="Q603" s="9"/>
      <c r="R603" s="10"/>
      <c r="S603" s="10"/>
      <c r="AA603" s="11"/>
      <c r="AD603"/>
      <c r="AE603"/>
      <c r="AF603"/>
      <c r="AG603"/>
      <c r="AH603" s="46"/>
      <c r="AI603"/>
      <c r="AJ603"/>
      <c r="AK603"/>
      <c r="AL603"/>
      <c r="AM603"/>
      <c r="AN603"/>
      <c r="AO603"/>
      <c r="AP603"/>
      <c r="AQ603"/>
      <c r="AR603"/>
      <c r="AS603"/>
      <c r="AT603" s="14"/>
      <c r="AU603"/>
      <c r="AV603"/>
      <c r="AW603"/>
      <c r="AX603" s="10"/>
      <c r="AY603" s="20"/>
      <c r="AZ603" s="16"/>
      <c r="BA603"/>
      <c r="BB603"/>
      <c r="BC603" s="16"/>
      <c r="BD603"/>
      <c r="BE603"/>
      <c r="BF603"/>
      <c r="BG603"/>
      <c r="BH603"/>
      <c r="BI603"/>
      <c r="BJ603"/>
      <c r="BK603"/>
      <c r="BL603"/>
      <c r="BM603"/>
      <c r="BN603" s="19"/>
      <c r="BO603"/>
      <c r="BP603"/>
      <c r="BQ603"/>
      <c r="BR603"/>
      <c r="BS603"/>
      <c r="BT603"/>
      <c r="BU603"/>
      <c r="BV603"/>
      <c r="BW603"/>
      <c r="BX603"/>
      <c r="BY603"/>
      <c r="BZ603"/>
      <c r="CA603"/>
      <c r="CB603"/>
      <c r="CC603"/>
      <c r="CD603"/>
      <c r="CE603"/>
      <c r="CF603"/>
      <c r="CG603"/>
      <c r="CH603"/>
      <c r="CI603"/>
      <c r="CJ603"/>
      <c r="CK603"/>
      <c r="CL603"/>
      <c r="CM603" s="20"/>
      <c r="CN603" s="20"/>
      <c r="CO603" s="20"/>
      <c r="CP603" s="20"/>
      <c r="CQ603" s="20"/>
      <c r="CR603" s="20"/>
      <c r="CS603" s="20"/>
      <c r="CT603" s="20"/>
      <c r="CU603" s="20"/>
      <c r="CV603" s="20"/>
      <c r="CW603" s="20"/>
      <c r="CX603" s="20"/>
      <c r="CY603" s="20"/>
    </row>
    <row r="604" spans="1:103" s="6" customFormat="1">
      <c r="A604"/>
      <c r="B604"/>
      <c r="C604"/>
      <c r="D604"/>
      <c r="E604"/>
      <c r="F604"/>
      <c r="G604"/>
      <c r="H604"/>
      <c r="I604"/>
      <c r="J604"/>
      <c r="N604" s="7"/>
      <c r="O604"/>
      <c r="P604" s="10"/>
      <c r="Q604" s="9"/>
      <c r="R604" s="10"/>
      <c r="S604" s="10"/>
      <c r="AA604" s="11"/>
      <c r="AD604"/>
      <c r="AE604"/>
      <c r="AF604"/>
      <c r="AG604"/>
      <c r="AH604" s="46"/>
      <c r="AI604"/>
      <c r="AJ604"/>
      <c r="AK604"/>
      <c r="AL604"/>
      <c r="AM604"/>
      <c r="AN604"/>
      <c r="AO604"/>
      <c r="AP604"/>
      <c r="AQ604"/>
      <c r="AR604"/>
      <c r="AS604"/>
      <c r="AT604" s="14"/>
      <c r="AU604"/>
      <c r="AV604"/>
      <c r="AW604"/>
      <c r="AX604" s="10"/>
      <c r="AY604" s="20"/>
      <c r="AZ604" s="16"/>
      <c r="BA604"/>
      <c r="BB604"/>
      <c r="BC604" s="16"/>
      <c r="BD604"/>
      <c r="BE604"/>
      <c r="BF604"/>
      <c r="BG604"/>
      <c r="BH604"/>
      <c r="BI604"/>
      <c r="BJ604"/>
      <c r="BK604"/>
      <c r="BL604"/>
      <c r="BM604"/>
      <c r="BN604" s="19"/>
      <c r="BO604"/>
      <c r="BP604"/>
      <c r="BQ604"/>
      <c r="BR604"/>
      <c r="BS604"/>
      <c r="BT604"/>
      <c r="BU604"/>
      <c r="BV604"/>
      <c r="BW604"/>
      <c r="BX604"/>
      <c r="BY604"/>
      <c r="BZ604"/>
      <c r="CA604"/>
      <c r="CB604"/>
      <c r="CC604"/>
      <c r="CD604"/>
      <c r="CE604"/>
      <c r="CF604"/>
      <c r="CG604"/>
      <c r="CH604"/>
      <c r="CI604"/>
      <c r="CJ604"/>
      <c r="CK604"/>
      <c r="CL604"/>
      <c r="CM604" s="20"/>
      <c r="CN604" s="20"/>
      <c r="CO604" s="20"/>
      <c r="CP604" s="20"/>
      <c r="CQ604" s="20"/>
      <c r="CR604" s="20"/>
      <c r="CS604" s="20"/>
      <c r="CT604" s="20"/>
      <c r="CU604" s="20"/>
      <c r="CV604" s="20"/>
      <c r="CW604" s="20"/>
      <c r="CX604" s="20"/>
      <c r="CY604" s="20"/>
    </row>
    <row r="605" spans="1:103" s="6" customFormat="1">
      <c r="A605"/>
      <c r="B605"/>
      <c r="C605"/>
      <c r="D605"/>
      <c r="E605"/>
      <c r="F605"/>
      <c r="G605"/>
      <c r="H605"/>
      <c r="I605"/>
      <c r="J605"/>
      <c r="N605" s="7"/>
      <c r="O605"/>
      <c r="P605" s="10"/>
      <c r="Q605" s="9"/>
      <c r="R605" s="10"/>
      <c r="S605" s="10"/>
      <c r="AA605" s="11"/>
      <c r="AD605"/>
      <c r="AE605"/>
      <c r="AF605"/>
      <c r="AG605"/>
      <c r="AH605" s="46"/>
      <c r="AI605"/>
      <c r="AJ605"/>
      <c r="AK605"/>
      <c r="AL605"/>
      <c r="AM605"/>
      <c r="AN605"/>
      <c r="AO605"/>
      <c r="AP605"/>
      <c r="AQ605"/>
      <c r="AR605"/>
      <c r="AS605"/>
      <c r="AT605" s="14"/>
      <c r="AU605"/>
      <c r="AV605"/>
      <c r="AW605"/>
      <c r="AX605" s="10"/>
      <c r="AY605" s="20"/>
      <c r="AZ605" s="16"/>
      <c r="BA605"/>
      <c r="BB605"/>
      <c r="BC605" s="16"/>
      <c r="BD605"/>
      <c r="BE605"/>
      <c r="BF605"/>
      <c r="BG605"/>
      <c r="BH605"/>
      <c r="BI605"/>
      <c r="BJ605"/>
      <c r="BK605"/>
      <c r="BL605"/>
      <c r="BM605"/>
      <c r="BN605" s="19"/>
      <c r="BO605"/>
      <c r="BP605"/>
      <c r="BQ605"/>
      <c r="BR605"/>
      <c r="BS605"/>
      <c r="BT605"/>
      <c r="BU605"/>
      <c r="BV605"/>
      <c r="BW605"/>
      <c r="BX605"/>
      <c r="BY605"/>
      <c r="BZ605"/>
      <c r="CA605"/>
      <c r="CB605"/>
      <c r="CC605"/>
      <c r="CD605"/>
      <c r="CE605"/>
      <c r="CF605"/>
      <c r="CG605"/>
      <c r="CH605"/>
      <c r="CI605"/>
      <c r="CJ605"/>
      <c r="CK605"/>
      <c r="CL605"/>
      <c r="CM605" s="20"/>
      <c r="CN605" s="20"/>
      <c r="CO605" s="20"/>
      <c r="CP605" s="20"/>
      <c r="CQ605" s="20"/>
      <c r="CR605" s="20"/>
      <c r="CS605" s="20"/>
      <c r="CT605" s="20"/>
      <c r="CU605" s="20"/>
      <c r="CV605" s="20"/>
      <c r="CW605" s="20"/>
      <c r="CX605" s="20"/>
      <c r="CY605" s="20"/>
    </row>
    <row r="606" spans="1:103" s="6" customFormat="1">
      <c r="A606"/>
      <c r="B606"/>
      <c r="C606"/>
      <c r="D606"/>
      <c r="E606"/>
      <c r="F606"/>
      <c r="G606"/>
      <c r="H606"/>
      <c r="I606"/>
      <c r="J606"/>
      <c r="N606" s="7"/>
      <c r="O606"/>
      <c r="P606" s="10"/>
      <c r="Q606" s="9"/>
      <c r="R606" s="10"/>
      <c r="S606" s="10"/>
      <c r="AA606" s="11"/>
      <c r="AD606"/>
      <c r="AE606"/>
      <c r="AF606"/>
      <c r="AG606"/>
      <c r="AH606" s="46"/>
      <c r="AI606"/>
      <c r="AJ606"/>
      <c r="AK606"/>
      <c r="AL606"/>
      <c r="AM606"/>
      <c r="AN606"/>
      <c r="AO606"/>
      <c r="AP606"/>
      <c r="AQ606"/>
      <c r="AR606"/>
      <c r="AS606"/>
      <c r="AT606" s="14"/>
      <c r="AU606"/>
      <c r="AV606"/>
      <c r="AW606"/>
      <c r="AX606" s="10"/>
      <c r="AY606" s="20"/>
      <c r="AZ606" s="16"/>
      <c r="BA606"/>
      <c r="BB606"/>
      <c r="BC606" s="16"/>
      <c r="BD606"/>
      <c r="BE606"/>
      <c r="BF606"/>
      <c r="BG606"/>
      <c r="BH606"/>
      <c r="BI606"/>
      <c r="BJ606"/>
      <c r="BK606"/>
      <c r="BL606"/>
      <c r="BM606"/>
      <c r="BN606" s="19"/>
      <c r="BO606"/>
      <c r="BP606"/>
      <c r="BQ606"/>
      <c r="BR606"/>
      <c r="BS606"/>
      <c r="BT606"/>
      <c r="BU606"/>
      <c r="BV606"/>
      <c r="BW606"/>
      <c r="BX606"/>
      <c r="BY606"/>
      <c r="BZ606"/>
      <c r="CA606"/>
      <c r="CB606"/>
      <c r="CC606"/>
      <c r="CD606"/>
      <c r="CE606"/>
      <c r="CF606"/>
      <c r="CG606"/>
      <c r="CH606"/>
      <c r="CI606"/>
      <c r="CJ606"/>
      <c r="CK606"/>
      <c r="CL606"/>
      <c r="CM606" s="20"/>
      <c r="CN606" s="20"/>
      <c r="CO606" s="20"/>
      <c r="CP606" s="20"/>
      <c r="CQ606" s="20"/>
      <c r="CR606" s="20"/>
      <c r="CS606" s="20"/>
      <c r="CT606" s="20"/>
      <c r="CU606" s="20"/>
      <c r="CV606" s="20"/>
      <c r="CW606" s="20"/>
      <c r="CX606" s="20"/>
      <c r="CY606" s="20"/>
    </row>
    <row r="607" spans="1:103" s="6" customFormat="1">
      <c r="A607"/>
      <c r="B607"/>
      <c r="C607"/>
      <c r="D607"/>
      <c r="E607"/>
      <c r="F607"/>
      <c r="G607"/>
      <c r="H607"/>
      <c r="I607"/>
      <c r="J607"/>
      <c r="N607" s="7"/>
      <c r="O607"/>
      <c r="P607" s="10"/>
      <c r="Q607" s="9"/>
      <c r="R607" s="10"/>
      <c r="S607" s="10"/>
      <c r="AA607" s="11"/>
      <c r="AD607"/>
      <c r="AE607"/>
      <c r="AF607"/>
      <c r="AG607"/>
      <c r="AH607" s="46"/>
      <c r="AI607"/>
      <c r="AJ607"/>
      <c r="AK607"/>
      <c r="AL607"/>
      <c r="AM607"/>
      <c r="AN607"/>
      <c r="AO607"/>
      <c r="AP607"/>
      <c r="AQ607"/>
      <c r="AR607"/>
      <c r="AS607"/>
      <c r="AT607" s="14"/>
      <c r="AU607"/>
      <c r="AV607"/>
      <c r="AW607"/>
      <c r="AX607" s="10"/>
      <c r="AY607" s="20"/>
      <c r="AZ607" s="16"/>
      <c r="BA607"/>
      <c r="BB607"/>
      <c r="BC607" s="16"/>
      <c r="BD607"/>
      <c r="BE607"/>
      <c r="BF607"/>
      <c r="BG607"/>
      <c r="BH607"/>
      <c r="BI607"/>
      <c r="BJ607"/>
      <c r="BK607"/>
      <c r="BL607"/>
      <c r="BM607"/>
      <c r="BN607" s="19"/>
      <c r="BO607"/>
      <c r="BP607"/>
      <c r="BQ607"/>
      <c r="BR607"/>
      <c r="BS607"/>
      <c r="BT607"/>
      <c r="BU607"/>
      <c r="BV607"/>
      <c r="BW607"/>
      <c r="BX607"/>
      <c r="BY607"/>
      <c r="BZ607"/>
      <c r="CA607"/>
      <c r="CB607"/>
      <c r="CC607"/>
      <c r="CD607"/>
      <c r="CE607"/>
      <c r="CF607"/>
      <c r="CG607"/>
      <c r="CH607"/>
      <c r="CI607"/>
      <c r="CJ607"/>
      <c r="CK607"/>
      <c r="CL607"/>
      <c r="CM607" s="20"/>
      <c r="CN607" s="20"/>
      <c r="CO607" s="20"/>
      <c r="CP607" s="20"/>
      <c r="CQ607" s="20"/>
      <c r="CR607" s="20"/>
      <c r="CS607" s="20"/>
      <c r="CT607" s="20"/>
      <c r="CU607" s="20"/>
      <c r="CV607" s="20"/>
      <c r="CW607" s="20"/>
      <c r="CX607" s="20"/>
      <c r="CY607" s="20"/>
    </row>
    <row r="608" spans="1:103" s="6" customFormat="1">
      <c r="A608"/>
      <c r="B608"/>
      <c r="C608"/>
      <c r="D608"/>
      <c r="E608"/>
      <c r="F608"/>
      <c r="G608"/>
      <c r="H608"/>
      <c r="I608"/>
      <c r="J608"/>
      <c r="N608" s="7"/>
      <c r="O608"/>
      <c r="P608" s="10"/>
      <c r="Q608" s="9"/>
      <c r="R608" s="10"/>
      <c r="S608" s="10"/>
      <c r="AA608" s="11"/>
      <c r="AD608"/>
      <c r="AE608"/>
      <c r="AF608"/>
      <c r="AG608"/>
      <c r="AH608" s="46"/>
      <c r="AI608"/>
      <c r="AJ608"/>
      <c r="AK608"/>
      <c r="AL608"/>
      <c r="AM608"/>
      <c r="AN608"/>
      <c r="AO608"/>
      <c r="AP608"/>
      <c r="AQ608"/>
      <c r="AR608"/>
      <c r="AS608"/>
      <c r="AT608" s="14"/>
      <c r="AU608"/>
      <c r="AV608"/>
      <c r="AW608"/>
      <c r="AX608" s="10"/>
      <c r="AY608" s="20"/>
      <c r="AZ608" s="16"/>
      <c r="BA608"/>
      <c r="BB608"/>
      <c r="BC608" s="16"/>
      <c r="BD608"/>
      <c r="BE608"/>
      <c r="BF608"/>
      <c r="BG608"/>
      <c r="BH608"/>
      <c r="BI608"/>
      <c r="BJ608"/>
      <c r="BK608"/>
      <c r="BL608"/>
      <c r="BM608"/>
      <c r="BN608" s="19"/>
      <c r="BO608"/>
      <c r="BP608"/>
      <c r="BQ608"/>
      <c r="BR608"/>
      <c r="BS608"/>
      <c r="BT608"/>
      <c r="BU608"/>
      <c r="BV608"/>
      <c r="BW608"/>
      <c r="BX608"/>
      <c r="BY608"/>
      <c r="BZ608"/>
      <c r="CA608"/>
      <c r="CB608"/>
      <c r="CC608"/>
      <c r="CD608"/>
      <c r="CE608"/>
      <c r="CF608"/>
      <c r="CG608"/>
      <c r="CH608"/>
      <c r="CI608"/>
      <c r="CJ608"/>
      <c r="CK608"/>
      <c r="CL608"/>
      <c r="CM608" s="20"/>
      <c r="CN608" s="20"/>
      <c r="CO608" s="20"/>
      <c r="CP608" s="20"/>
      <c r="CQ608" s="20"/>
      <c r="CR608" s="20"/>
      <c r="CS608" s="20"/>
      <c r="CT608" s="20"/>
      <c r="CU608" s="20"/>
      <c r="CV608" s="20"/>
      <c r="CW608" s="20"/>
      <c r="CX608" s="20"/>
      <c r="CY608" s="20"/>
    </row>
    <row r="609" spans="1:103" s="6" customFormat="1">
      <c r="A609"/>
      <c r="B609"/>
      <c r="C609"/>
      <c r="D609"/>
      <c r="E609"/>
      <c r="F609"/>
      <c r="G609"/>
      <c r="H609"/>
      <c r="I609"/>
      <c r="J609"/>
      <c r="N609" s="7"/>
      <c r="O609"/>
      <c r="P609" s="10"/>
      <c r="Q609" s="9"/>
      <c r="R609" s="10"/>
      <c r="S609" s="10"/>
      <c r="AA609" s="11"/>
      <c r="AD609"/>
      <c r="AE609"/>
      <c r="AF609"/>
      <c r="AG609"/>
      <c r="AH609" s="46"/>
      <c r="AI609"/>
      <c r="AJ609"/>
      <c r="AK609"/>
      <c r="AL609"/>
      <c r="AM609"/>
      <c r="AN609"/>
      <c r="AO609"/>
      <c r="AP609"/>
      <c r="AQ609"/>
      <c r="AR609"/>
      <c r="AS609"/>
      <c r="AT609" s="14"/>
      <c r="AU609"/>
      <c r="AV609"/>
      <c r="AW609"/>
      <c r="AX609" s="10"/>
      <c r="AY609" s="20"/>
      <c r="AZ609" s="16"/>
      <c r="BA609"/>
      <c r="BB609"/>
      <c r="BC609" s="16"/>
      <c r="BD609"/>
      <c r="BE609"/>
      <c r="BF609"/>
      <c r="BG609"/>
      <c r="BH609"/>
      <c r="BI609"/>
      <c r="BJ609"/>
      <c r="BK609"/>
      <c r="BL609"/>
      <c r="BM609"/>
      <c r="BN609" s="19"/>
      <c r="BO609"/>
      <c r="BP609"/>
      <c r="BQ609"/>
      <c r="BR609"/>
      <c r="BS609"/>
      <c r="BT609"/>
      <c r="BU609"/>
      <c r="BV609"/>
      <c r="BW609"/>
      <c r="BX609"/>
      <c r="BY609"/>
      <c r="BZ609"/>
      <c r="CA609"/>
      <c r="CB609"/>
      <c r="CC609"/>
      <c r="CD609"/>
      <c r="CE609"/>
      <c r="CF609"/>
      <c r="CG609"/>
      <c r="CH609"/>
      <c r="CI609"/>
      <c r="CJ609"/>
      <c r="CK609"/>
      <c r="CL609"/>
      <c r="CM609" s="20"/>
      <c r="CN609" s="20"/>
      <c r="CO609" s="20"/>
      <c r="CP609" s="20"/>
      <c r="CQ609" s="20"/>
      <c r="CR609" s="20"/>
      <c r="CS609" s="20"/>
      <c r="CT609" s="20"/>
      <c r="CU609" s="20"/>
      <c r="CV609" s="20"/>
      <c r="CW609" s="20"/>
      <c r="CX609" s="20"/>
      <c r="CY609" s="20"/>
    </row>
    <row r="610" spans="1:103" s="6" customFormat="1">
      <c r="A610"/>
      <c r="B610"/>
      <c r="C610"/>
      <c r="D610"/>
      <c r="E610"/>
      <c r="F610"/>
      <c r="G610"/>
      <c r="H610"/>
      <c r="I610"/>
      <c r="J610"/>
      <c r="N610" s="7"/>
      <c r="O610"/>
      <c r="P610" s="10"/>
      <c r="Q610" s="9"/>
      <c r="R610" s="10"/>
      <c r="S610" s="10"/>
      <c r="AA610" s="11"/>
      <c r="AD610"/>
      <c r="AE610"/>
      <c r="AF610"/>
      <c r="AG610"/>
      <c r="AH610" s="46"/>
      <c r="AI610"/>
      <c r="AJ610"/>
      <c r="AK610"/>
      <c r="AL610"/>
      <c r="AM610"/>
      <c r="AN610"/>
      <c r="AO610"/>
      <c r="AP610"/>
      <c r="AQ610"/>
      <c r="AR610"/>
      <c r="AS610"/>
      <c r="AT610" s="14"/>
      <c r="AU610"/>
      <c r="AV610"/>
      <c r="AW610"/>
      <c r="AX610" s="10"/>
      <c r="AY610" s="20"/>
      <c r="AZ610" s="16"/>
      <c r="BA610"/>
      <c r="BB610"/>
      <c r="BC610" s="16"/>
      <c r="BD610"/>
      <c r="BE610"/>
      <c r="BF610"/>
      <c r="BG610"/>
      <c r="BH610"/>
      <c r="BI610"/>
      <c r="BJ610"/>
      <c r="BK610"/>
      <c r="BL610"/>
      <c r="BM610"/>
      <c r="BN610" s="19"/>
      <c r="BO610"/>
      <c r="BP610"/>
      <c r="BQ610"/>
      <c r="BR610"/>
      <c r="BS610"/>
      <c r="BT610"/>
      <c r="BU610"/>
      <c r="BV610"/>
      <c r="BW610"/>
      <c r="BX610"/>
      <c r="BY610"/>
      <c r="BZ610"/>
      <c r="CA610"/>
      <c r="CB610"/>
      <c r="CC610"/>
      <c r="CD610"/>
      <c r="CE610"/>
      <c r="CF610"/>
      <c r="CG610"/>
      <c r="CH610"/>
      <c r="CI610"/>
      <c r="CJ610"/>
      <c r="CK610"/>
      <c r="CL610"/>
      <c r="CM610" s="20"/>
      <c r="CN610" s="20"/>
      <c r="CO610" s="20"/>
      <c r="CP610" s="20"/>
      <c r="CQ610" s="20"/>
      <c r="CR610" s="20"/>
      <c r="CS610" s="20"/>
      <c r="CT610" s="20"/>
      <c r="CU610" s="20"/>
      <c r="CV610" s="20"/>
      <c r="CW610" s="20"/>
      <c r="CX610" s="20"/>
      <c r="CY610" s="20"/>
    </row>
    <row r="611" spans="1:103" s="6" customFormat="1">
      <c r="A611"/>
      <c r="B611"/>
      <c r="C611"/>
      <c r="D611"/>
      <c r="E611"/>
      <c r="F611"/>
      <c r="G611"/>
      <c r="H611"/>
      <c r="I611"/>
      <c r="J611"/>
      <c r="N611" s="7"/>
      <c r="O611"/>
      <c r="P611" s="10"/>
      <c r="Q611" s="9"/>
      <c r="R611" s="10"/>
      <c r="S611" s="10"/>
      <c r="AA611" s="11"/>
      <c r="AD611"/>
      <c r="AE611"/>
      <c r="AF611"/>
      <c r="AG611"/>
      <c r="AH611" s="46"/>
      <c r="AI611"/>
      <c r="AJ611"/>
      <c r="AK611"/>
      <c r="AL611"/>
      <c r="AM611"/>
      <c r="AN611"/>
      <c r="AO611"/>
      <c r="AP611"/>
      <c r="AQ611"/>
      <c r="AR611"/>
      <c r="AS611"/>
      <c r="AT611" s="14"/>
      <c r="AU611"/>
      <c r="AV611"/>
      <c r="AW611"/>
      <c r="AX611" s="10"/>
      <c r="AY611" s="20"/>
      <c r="AZ611" s="16"/>
      <c r="BA611"/>
      <c r="BB611"/>
      <c r="BC611" s="16"/>
      <c r="BD611"/>
      <c r="BE611"/>
      <c r="BF611"/>
      <c r="BG611"/>
      <c r="BH611"/>
      <c r="BI611"/>
      <c r="BJ611"/>
      <c r="BK611"/>
      <c r="BL611"/>
      <c r="BM611"/>
      <c r="BN611" s="19"/>
      <c r="BO611"/>
      <c r="BP611"/>
      <c r="BQ611"/>
      <c r="BR611"/>
      <c r="BS611"/>
      <c r="BT611"/>
      <c r="BU611"/>
      <c r="BV611"/>
      <c r="BW611"/>
      <c r="BX611"/>
      <c r="BY611"/>
      <c r="BZ611"/>
      <c r="CA611"/>
      <c r="CB611"/>
      <c r="CC611"/>
      <c r="CD611"/>
      <c r="CE611"/>
      <c r="CF611"/>
      <c r="CG611"/>
      <c r="CH611"/>
      <c r="CI611"/>
      <c r="CJ611"/>
      <c r="CK611"/>
      <c r="CL611"/>
      <c r="CM611" s="20"/>
      <c r="CN611" s="20"/>
      <c r="CO611" s="20"/>
      <c r="CP611" s="20"/>
      <c r="CQ611" s="20"/>
      <c r="CR611" s="20"/>
      <c r="CS611" s="20"/>
      <c r="CT611" s="20"/>
      <c r="CU611" s="20"/>
      <c r="CV611" s="20"/>
      <c r="CW611" s="20"/>
      <c r="CX611" s="20"/>
      <c r="CY611" s="20"/>
    </row>
    <row r="612" spans="1:103" s="6" customFormat="1">
      <c r="A612"/>
      <c r="B612"/>
      <c r="C612"/>
      <c r="D612"/>
      <c r="E612"/>
      <c r="F612"/>
      <c r="G612"/>
      <c r="H612"/>
      <c r="I612"/>
      <c r="J612"/>
      <c r="N612" s="7"/>
      <c r="O612"/>
      <c r="P612" s="10"/>
      <c r="Q612" s="9"/>
      <c r="R612" s="10"/>
      <c r="S612" s="10"/>
      <c r="AA612" s="11"/>
      <c r="AD612"/>
      <c r="AE612"/>
      <c r="AF612"/>
      <c r="AG612"/>
      <c r="AH612" s="46"/>
      <c r="AI612"/>
      <c r="AJ612"/>
      <c r="AK612"/>
      <c r="AL612"/>
      <c r="AM612"/>
      <c r="AN612"/>
      <c r="AO612"/>
      <c r="AP612"/>
      <c r="AQ612"/>
      <c r="AR612"/>
      <c r="AS612"/>
      <c r="AT612" s="14"/>
      <c r="AU612"/>
      <c r="AV612"/>
      <c r="AW612"/>
      <c r="AX612" s="10"/>
      <c r="AY612" s="20"/>
      <c r="AZ612" s="16"/>
      <c r="BA612"/>
      <c r="BB612"/>
      <c r="BC612" s="16"/>
      <c r="BD612"/>
      <c r="BE612"/>
      <c r="BF612"/>
      <c r="BG612"/>
      <c r="BH612"/>
      <c r="BI612"/>
      <c r="BJ612"/>
      <c r="BK612"/>
      <c r="BL612"/>
      <c r="BM612"/>
      <c r="BN612" s="19"/>
      <c r="BO612"/>
      <c r="BP612"/>
      <c r="BQ612"/>
      <c r="BR612"/>
      <c r="BS612"/>
      <c r="BT612"/>
      <c r="BU612"/>
      <c r="BV612"/>
      <c r="BW612"/>
      <c r="BX612"/>
      <c r="BY612"/>
      <c r="BZ612"/>
      <c r="CA612"/>
      <c r="CB612"/>
      <c r="CC612"/>
      <c r="CD612"/>
      <c r="CE612"/>
      <c r="CF612"/>
      <c r="CG612"/>
      <c r="CH612"/>
      <c r="CI612"/>
      <c r="CJ612"/>
      <c r="CK612"/>
      <c r="CL612"/>
      <c r="CM612" s="20"/>
      <c r="CN612" s="20"/>
      <c r="CO612" s="20"/>
      <c r="CP612" s="20"/>
      <c r="CQ612" s="20"/>
      <c r="CR612" s="20"/>
      <c r="CS612" s="20"/>
      <c r="CT612" s="20"/>
      <c r="CU612" s="20"/>
      <c r="CV612" s="20"/>
      <c r="CW612" s="20"/>
      <c r="CX612" s="20"/>
      <c r="CY612" s="20"/>
    </row>
    <row r="613" spans="1:103" s="6" customFormat="1">
      <c r="A613"/>
      <c r="B613"/>
      <c r="C613"/>
      <c r="D613"/>
      <c r="E613"/>
      <c r="F613"/>
      <c r="G613"/>
      <c r="H613"/>
      <c r="I613"/>
      <c r="J613"/>
      <c r="N613" s="7"/>
      <c r="O613"/>
      <c r="P613" s="10"/>
      <c r="Q613" s="9"/>
      <c r="R613" s="10"/>
      <c r="S613" s="10"/>
      <c r="AA613" s="11"/>
      <c r="AD613"/>
      <c r="AE613"/>
      <c r="AF613"/>
      <c r="AG613"/>
      <c r="AH613" s="46"/>
      <c r="AI613"/>
      <c r="AJ613"/>
      <c r="AK613"/>
      <c r="AL613"/>
      <c r="AM613"/>
      <c r="AN613"/>
      <c r="AO613"/>
      <c r="AP613"/>
      <c r="AQ613"/>
      <c r="AR613"/>
      <c r="AS613"/>
      <c r="AT613" s="14"/>
      <c r="AU613"/>
      <c r="AV613"/>
      <c r="AW613"/>
      <c r="AX613" s="10"/>
      <c r="AY613" s="20"/>
      <c r="AZ613" s="16"/>
      <c r="BA613"/>
      <c r="BB613"/>
      <c r="BC613" s="16"/>
      <c r="BD613"/>
      <c r="BE613"/>
      <c r="BF613"/>
      <c r="BG613"/>
      <c r="BH613"/>
      <c r="BI613"/>
      <c r="BJ613"/>
      <c r="BK613"/>
      <c r="BL613"/>
      <c r="BM613"/>
      <c r="BN613" s="19"/>
      <c r="BO613"/>
      <c r="BP613"/>
      <c r="BQ613"/>
      <c r="BR613"/>
      <c r="BS613"/>
      <c r="BT613"/>
      <c r="BU613"/>
      <c r="BV613"/>
      <c r="BW613"/>
      <c r="BX613"/>
      <c r="BY613"/>
      <c r="BZ613"/>
      <c r="CA613"/>
      <c r="CB613"/>
      <c r="CC613"/>
      <c r="CD613"/>
      <c r="CE613"/>
      <c r="CF613"/>
      <c r="CG613"/>
      <c r="CH613"/>
      <c r="CI613"/>
      <c r="CJ613"/>
      <c r="CK613"/>
      <c r="CL613"/>
      <c r="CM613" s="20"/>
      <c r="CN613" s="20"/>
      <c r="CO613" s="20"/>
      <c r="CP613" s="20"/>
      <c r="CQ613" s="20"/>
      <c r="CR613" s="20"/>
      <c r="CS613" s="20"/>
      <c r="CT613" s="20"/>
      <c r="CU613" s="20"/>
      <c r="CV613" s="20"/>
      <c r="CW613" s="20"/>
      <c r="CX613" s="20"/>
      <c r="CY613" s="20"/>
    </row>
    <row r="614" spans="1:103" s="6" customFormat="1">
      <c r="A614"/>
      <c r="B614"/>
      <c r="C614"/>
      <c r="D614"/>
      <c r="E614"/>
      <c r="F614"/>
      <c r="G614"/>
      <c r="H614"/>
      <c r="I614"/>
      <c r="J614"/>
      <c r="N614" s="7"/>
      <c r="O614"/>
      <c r="P614" s="10"/>
      <c r="Q614" s="9"/>
      <c r="R614" s="10"/>
      <c r="S614" s="10"/>
      <c r="AA614" s="11"/>
      <c r="AD614"/>
      <c r="AE614"/>
      <c r="AF614"/>
      <c r="AG614"/>
      <c r="AH614" s="46"/>
      <c r="AI614"/>
      <c r="AJ614"/>
      <c r="AK614"/>
      <c r="AL614"/>
      <c r="AM614"/>
      <c r="AN614"/>
      <c r="AO614"/>
      <c r="AP614"/>
      <c r="AQ614"/>
      <c r="AR614"/>
      <c r="AS614"/>
      <c r="AT614" s="14"/>
      <c r="AU614"/>
      <c r="AV614"/>
      <c r="AW614"/>
      <c r="AX614" s="10"/>
      <c r="AY614" s="20"/>
      <c r="AZ614" s="16"/>
      <c r="BA614"/>
      <c r="BB614"/>
      <c r="BC614" s="16"/>
      <c r="BD614"/>
      <c r="BE614"/>
      <c r="BF614"/>
      <c r="BG614"/>
      <c r="BH614"/>
      <c r="BI614"/>
      <c r="BJ614"/>
      <c r="BK614"/>
      <c r="BL614"/>
      <c r="BM614"/>
      <c r="BN614" s="19"/>
      <c r="BO614"/>
      <c r="BP614"/>
      <c r="BQ614"/>
      <c r="BR614"/>
      <c r="BS614"/>
      <c r="BT614"/>
      <c r="BU614"/>
      <c r="BV614"/>
      <c r="BW614"/>
      <c r="BX614"/>
      <c r="BY614"/>
      <c r="BZ614"/>
      <c r="CA614"/>
      <c r="CB614"/>
      <c r="CC614"/>
      <c r="CD614"/>
      <c r="CE614"/>
      <c r="CF614"/>
      <c r="CG614"/>
      <c r="CH614"/>
      <c r="CI614"/>
      <c r="CJ614"/>
      <c r="CK614"/>
      <c r="CL614"/>
      <c r="CM614" s="20"/>
      <c r="CN614" s="20"/>
      <c r="CO614" s="20"/>
      <c r="CP614" s="20"/>
      <c r="CQ614" s="20"/>
      <c r="CR614" s="20"/>
      <c r="CS614" s="20"/>
      <c r="CT614" s="20"/>
      <c r="CU614" s="20"/>
      <c r="CV614" s="20"/>
      <c r="CW614" s="20"/>
      <c r="CX614" s="20"/>
      <c r="CY614" s="20"/>
    </row>
    <row r="615" spans="1:103" s="6" customFormat="1">
      <c r="A615"/>
      <c r="B615"/>
      <c r="C615"/>
      <c r="D615"/>
      <c r="E615"/>
      <c r="F615"/>
      <c r="G615"/>
      <c r="H615"/>
      <c r="I615"/>
      <c r="J615"/>
      <c r="N615" s="7"/>
      <c r="O615"/>
      <c r="P615" s="10"/>
      <c r="Q615" s="9"/>
      <c r="R615" s="10"/>
      <c r="S615" s="10"/>
      <c r="AA615" s="11"/>
      <c r="AD615"/>
      <c r="AE615"/>
      <c r="AF615"/>
      <c r="AG615"/>
      <c r="AH615" s="46"/>
      <c r="AI615"/>
      <c r="AJ615"/>
      <c r="AK615"/>
      <c r="AL615"/>
      <c r="AM615"/>
      <c r="AN615"/>
      <c r="AO615"/>
      <c r="AP615"/>
      <c r="AQ615"/>
      <c r="AR615"/>
      <c r="AS615"/>
      <c r="AT615" s="14"/>
      <c r="AU615"/>
      <c r="AV615"/>
      <c r="AW615"/>
      <c r="AX615" s="10"/>
      <c r="AY615" s="20"/>
      <c r="AZ615" s="16"/>
      <c r="BA615"/>
      <c r="BB615"/>
      <c r="BC615" s="16"/>
      <c r="BD615"/>
      <c r="BE615"/>
      <c r="BF615"/>
      <c r="BG615"/>
      <c r="BH615"/>
      <c r="BI615"/>
      <c r="BJ615"/>
      <c r="BK615"/>
      <c r="BL615"/>
      <c r="BM615"/>
      <c r="BN615" s="19"/>
      <c r="BO615"/>
      <c r="BP615"/>
      <c r="BQ615"/>
      <c r="BR615"/>
      <c r="BS615"/>
      <c r="BT615"/>
      <c r="BU615"/>
      <c r="BV615"/>
      <c r="BW615"/>
      <c r="BX615"/>
      <c r="BY615"/>
      <c r="BZ615"/>
      <c r="CA615"/>
      <c r="CB615"/>
      <c r="CC615"/>
      <c r="CD615"/>
      <c r="CE615"/>
      <c r="CF615"/>
      <c r="CG615"/>
      <c r="CH615"/>
      <c r="CI615"/>
      <c r="CJ615"/>
      <c r="CK615"/>
      <c r="CL615"/>
      <c r="CM615" s="20"/>
      <c r="CN615" s="20"/>
      <c r="CO615" s="20"/>
      <c r="CP615" s="20"/>
      <c r="CQ615" s="20"/>
      <c r="CR615" s="20"/>
      <c r="CS615" s="20"/>
      <c r="CT615" s="20"/>
      <c r="CU615" s="20"/>
      <c r="CV615" s="20"/>
      <c r="CW615" s="20"/>
      <c r="CX615" s="20"/>
      <c r="CY615" s="20"/>
    </row>
    <row r="616" spans="1:103" s="6" customFormat="1">
      <c r="A616"/>
      <c r="B616"/>
      <c r="C616"/>
      <c r="D616"/>
      <c r="E616"/>
      <c r="F616"/>
      <c r="G616"/>
      <c r="H616"/>
      <c r="I616"/>
      <c r="J616"/>
      <c r="N616" s="7"/>
      <c r="O616"/>
      <c r="P616" s="10"/>
      <c r="Q616" s="9"/>
      <c r="R616" s="10"/>
      <c r="S616" s="10"/>
      <c r="AA616" s="11"/>
      <c r="AD616"/>
      <c r="AE616"/>
      <c r="AF616"/>
      <c r="AG616"/>
      <c r="AH616" s="46"/>
      <c r="AI616"/>
      <c r="AJ616"/>
      <c r="AK616"/>
      <c r="AL616"/>
      <c r="AM616"/>
      <c r="AN616"/>
      <c r="AO616"/>
      <c r="AP616"/>
      <c r="AQ616"/>
      <c r="AR616"/>
      <c r="AS616"/>
      <c r="AT616" s="14"/>
      <c r="AU616"/>
      <c r="AV616"/>
      <c r="AW616"/>
      <c r="AX616" s="10"/>
      <c r="AY616" s="20"/>
      <c r="AZ616" s="16"/>
      <c r="BA616"/>
      <c r="BB616"/>
      <c r="BC616" s="16"/>
      <c r="BD616"/>
      <c r="BE616"/>
      <c r="BF616"/>
      <c r="BG616"/>
      <c r="BH616"/>
      <c r="BI616"/>
      <c r="BJ616"/>
      <c r="BK616"/>
      <c r="BL616"/>
      <c r="BM616"/>
      <c r="BN616" s="19"/>
      <c r="BO616"/>
      <c r="BP616"/>
      <c r="BQ616"/>
      <c r="BR616"/>
      <c r="BS616"/>
      <c r="BT616"/>
      <c r="BU616"/>
      <c r="BV616"/>
      <c r="BW616"/>
      <c r="BX616"/>
      <c r="BY616"/>
      <c r="BZ616"/>
      <c r="CA616"/>
      <c r="CB616"/>
      <c r="CC616"/>
      <c r="CD616"/>
      <c r="CE616"/>
      <c r="CF616"/>
      <c r="CG616"/>
      <c r="CH616"/>
      <c r="CI616"/>
      <c r="CJ616"/>
      <c r="CK616"/>
      <c r="CL616"/>
      <c r="CM616" s="20"/>
      <c r="CN616" s="20"/>
      <c r="CO616" s="20"/>
      <c r="CP616" s="20"/>
      <c r="CQ616" s="20"/>
      <c r="CR616" s="20"/>
      <c r="CS616" s="20"/>
      <c r="CT616" s="20"/>
      <c r="CU616" s="20"/>
      <c r="CV616" s="20"/>
      <c r="CW616" s="20"/>
      <c r="CX616" s="20"/>
      <c r="CY616" s="20"/>
    </row>
    <row r="617" spans="1:103" s="6" customFormat="1">
      <c r="A617"/>
      <c r="B617"/>
      <c r="C617"/>
      <c r="D617"/>
      <c r="E617"/>
      <c r="F617"/>
      <c r="G617"/>
      <c r="H617"/>
      <c r="I617"/>
      <c r="J617"/>
      <c r="N617" s="7"/>
      <c r="O617"/>
      <c r="P617" s="10"/>
      <c r="Q617" s="9"/>
      <c r="R617" s="10"/>
      <c r="S617" s="10"/>
      <c r="AA617" s="11"/>
      <c r="AD617"/>
      <c r="AE617"/>
      <c r="AF617"/>
      <c r="AG617"/>
      <c r="AH617" s="46"/>
      <c r="AI617"/>
      <c r="AJ617"/>
      <c r="AK617"/>
      <c r="AL617"/>
      <c r="AM617"/>
      <c r="AN617"/>
      <c r="AO617"/>
      <c r="AP617"/>
      <c r="AQ617"/>
      <c r="AR617"/>
      <c r="AS617"/>
      <c r="AT617" s="14"/>
      <c r="AU617"/>
      <c r="AV617"/>
      <c r="AW617"/>
      <c r="AX617" s="10"/>
      <c r="AY617" s="20"/>
      <c r="AZ617" s="16"/>
      <c r="BA617"/>
      <c r="BB617"/>
      <c r="BC617" s="16"/>
      <c r="BD617"/>
      <c r="BE617"/>
      <c r="BF617"/>
      <c r="BG617"/>
      <c r="BH617"/>
      <c r="BI617"/>
      <c r="BJ617"/>
      <c r="BK617"/>
      <c r="BL617"/>
      <c r="BM617"/>
      <c r="BN617" s="19"/>
      <c r="BO617"/>
      <c r="BP617"/>
      <c r="BQ617"/>
      <c r="BR617"/>
      <c r="BS617"/>
      <c r="BT617"/>
      <c r="BU617"/>
      <c r="BV617"/>
      <c r="BW617"/>
      <c r="BX617"/>
      <c r="BY617"/>
      <c r="BZ617"/>
      <c r="CA617"/>
      <c r="CB617"/>
      <c r="CC617"/>
      <c r="CD617"/>
      <c r="CE617"/>
      <c r="CF617"/>
      <c r="CG617"/>
      <c r="CH617"/>
      <c r="CI617"/>
      <c r="CJ617"/>
      <c r="CK617"/>
      <c r="CL617"/>
      <c r="CM617" s="20"/>
      <c r="CN617" s="20"/>
      <c r="CO617" s="20"/>
      <c r="CP617" s="20"/>
      <c r="CQ617" s="20"/>
      <c r="CR617" s="20"/>
      <c r="CS617" s="20"/>
      <c r="CT617" s="20"/>
      <c r="CU617" s="20"/>
      <c r="CV617" s="20"/>
      <c r="CW617" s="20"/>
      <c r="CX617" s="20"/>
      <c r="CY617" s="20"/>
    </row>
    <row r="618" spans="1:103" s="6" customFormat="1">
      <c r="A618"/>
      <c r="B618"/>
      <c r="C618"/>
      <c r="D618"/>
      <c r="E618"/>
      <c r="F618"/>
      <c r="G618"/>
      <c r="H618"/>
      <c r="I618"/>
      <c r="J618"/>
      <c r="N618" s="7"/>
      <c r="O618"/>
      <c r="P618" s="10"/>
      <c r="Q618" s="9"/>
      <c r="R618" s="10"/>
      <c r="S618" s="10"/>
      <c r="AA618" s="11"/>
      <c r="AD618"/>
      <c r="AE618"/>
      <c r="AF618"/>
      <c r="AG618"/>
      <c r="AH618" s="46"/>
      <c r="AI618"/>
      <c r="AJ618"/>
      <c r="AK618"/>
      <c r="AL618"/>
      <c r="AM618"/>
      <c r="AN618"/>
      <c r="AO618"/>
      <c r="AP618"/>
      <c r="AQ618"/>
      <c r="AR618"/>
      <c r="AS618"/>
      <c r="AT618" s="14"/>
      <c r="AU618"/>
      <c r="AV618"/>
      <c r="AW618"/>
      <c r="AX618" s="10"/>
      <c r="AY618" s="20"/>
      <c r="AZ618" s="16"/>
      <c r="BA618"/>
      <c r="BB618"/>
      <c r="BC618" s="16"/>
      <c r="BD618"/>
      <c r="BE618"/>
      <c r="BF618"/>
      <c r="BG618"/>
      <c r="BH618"/>
      <c r="BI618"/>
      <c r="BJ618"/>
      <c r="BK618"/>
      <c r="BL618"/>
      <c r="BM618"/>
      <c r="BN618" s="19"/>
      <c r="BO618"/>
      <c r="BP618"/>
      <c r="BQ618"/>
      <c r="BR618"/>
      <c r="BS618"/>
      <c r="BT618"/>
      <c r="BU618"/>
      <c r="BV618"/>
      <c r="BW618"/>
      <c r="BX618"/>
      <c r="BY618"/>
      <c r="BZ618"/>
      <c r="CA618"/>
      <c r="CB618"/>
      <c r="CC618"/>
      <c r="CD618"/>
      <c r="CE618"/>
      <c r="CF618"/>
      <c r="CG618"/>
      <c r="CH618"/>
      <c r="CI618"/>
      <c r="CJ618"/>
      <c r="CK618"/>
      <c r="CL618"/>
      <c r="CM618" s="20"/>
      <c r="CN618" s="20"/>
      <c r="CO618" s="20"/>
      <c r="CP618" s="20"/>
      <c r="CQ618" s="20"/>
      <c r="CR618" s="20"/>
      <c r="CS618" s="20"/>
      <c r="CT618" s="20"/>
      <c r="CU618" s="20"/>
      <c r="CV618" s="20"/>
      <c r="CW618" s="20"/>
      <c r="CX618" s="20"/>
      <c r="CY618" s="20"/>
    </row>
    <row r="619" spans="1:103" s="6" customFormat="1">
      <c r="A619"/>
      <c r="B619"/>
      <c r="C619"/>
      <c r="D619"/>
      <c r="E619"/>
      <c r="F619"/>
      <c r="G619"/>
      <c r="H619"/>
      <c r="I619"/>
      <c r="J619"/>
      <c r="N619" s="7"/>
      <c r="O619"/>
      <c r="P619" s="10"/>
      <c r="Q619" s="9"/>
      <c r="R619" s="10"/>
      <c r="S619" s="10"/>
      <c r="AA619" s="11"/>
      <c r="AD619"/>
      <c r="AE619"/>
      <c r="AF619"/>
      <c r="AG619"/>
      <c r="AH619" s="46"/>
      <c r="AI619"/>
      <c r="AJ619"/>
      <c r="AK619"/>
      <c r="AL619"/>
      <c r="AM619"/>
      <c r="AN619"/>
      <c r="AO619"/>
      <c r="AP619"/>
      <c r="AQ619"/>
      <c r="AR619"/>
      <c r="AS619"/>
      <c r="AT619" s="14"/>
      <c r="AU619"/>
      <c r="AV619"/>
      <c r="AW619"/>
      <c r="AX619" s="10"/>
      <c r="AY619" s="20"/>
      <c r="AZ619" s="16"/>
      <c r="BA619"/>
      <c r="BB619"/>
      <c r="BC619" s="16"/>
      <c r="BD619"/>
      <c r="BE619"/>
      <c r="BF619"/>
      <c r="BG619"/>
      <c r="BH619"/>
      <c r="BI619"/>
      <c r="BJ619"/>
      <c r="BK619"/>
      <c r="BL619"/>
      <c r="BM619"/>
      <c r="BN619" s="19"/>
      <c r="BO619"/>
      <c r="BP619"/>
      <c r="BQ619"/>
      <c r="BR619"/>
      <c r="BS619"/>
      <c r="BT619"/>
      <c r="BU619"/>
      <c r="BV619"/>
      <c r="BW619"/>
      <c r="BX619"/>
      <c r="BY619"/>
      <c r="BZ619"/>
      <c r="CA619"/>
      <c r="CB619"/>
      <c r="CC619"/>
      <c r="CD619"/>
      <c r="CE619"/>
      <c r="CF619"/>
      <c r="CG619"/>
      <c r="CH619"/>
      <c r="CI619"/>
      <c r="CJ619"/>
      <c r="CK619"/>
      <c r="CL619"/>
      <c r="CM619" s="20"/>
      <c r="CN619" s="20"/>
      <c r="CO619" s="20"/>
      <c r="CP619" s="20"/>
      <c r="CQ619" s="20"/>
      <c r="CR619" s="20"/>
      <c r="CS619" s="20"/>
      <c r="CT619" s="20"/>
      <c r="CU619" s="20"/>
      <c r="CV619" s="20"/>
      <c r="CW619" s="20"/>
      <c r="CX619" s="20"/>
      <c r="CY619" s="20"/>
    </row>
    <row r="620" spans="1:103" s="6" customFormat="1">
      <c r="A620"/>
      <c r="B620"/>
      <c r="C620"/>
      <c r="D620"/>
      <c r="E620"/>
      <c r="F620"/>
      <c r="G620"/>
      <c r="H620"/>
      <c r="I620"/>
      <c r="J620"/>
      <c r="N620" s="7"/>
      <c r="O620"/>
      <c r="P620" s="10"/>
      <c r="Q620" s="9"/>
      <c r="R620" s="10"/>
      <c r="S620" s="10"/>
      <c r="AA620" s="11"/>
      <c r="AD620"/>
      <c r="AE620"/>
      <c r="AF620"/>
      <c r="AG620"/>
      <c r="AH620" s="46"/>
      <c r="AI620"/>
      <c r="AJ620"/>
      <c r="AK620"/>
      <c r="AL620"/>
      <c r="AM620"/>
      <c r="AN620"/>
      <c r="AO620"/>
      <c r="AP620"/>
      <c r="AQ620"/>
      <c r="AR620"/>
      <c r="AS620"/>
      <c r="AT620" s="14"/>
      <c r="AU620"/>
      <c r="AV620"/>
      <c r="AW620"/>
      <c r="AX620" s="10"/>
      <c r="AY620" s="20"/>
      <c r="AZ620" s="16"/>
      <c r="BA620"/>
      <c r="BB620"/>
      <c r="BC620" s="16"/>
      <c r="BD620"/>
      <c r="BE620"/>
      <c r="BF620"/>
      <c r="BG620"/>
      <c r="BH620"/>
      <c r="BI620"/>
      <c r="BJ620"/>
      <c r="BK620"/>
      <c r="BL620"/>
      <c r="BM620"/>
      <c r="BN620" s="19"/>
      <c r="BO620"/>
      <c r="BP620"/>
      <c r="BQ620"/>
      <c r="BR620"/>
      <c r="BS620"/>
      <c r="BT620"/>
      <c r="BU620"/>
      <c r="BV620"/>
      <c r="BW620"/>
      <c r="BX620"/>
      <c r="BY620"/>
      <c r="BZ620"/>
      <c r="CA620"/>
      <c r="CB620"/>
      <c r="CC620"/>
      <c r="CD620"/>
      <c r="CE620"/>
      <c r="CF620"/>
      <c r="CG620"/>
      <c r="CH620"/>
      <c r="CI620"/>
      <c r="CJ620"/>
      <c r="CK620"/>
      <c r="CL620"/>
      <c r="CM620" s="20"/>
      <c r="CN620" s="20"/>
      <c r="CO620" s="20"/>
      <c r="CP620" s="20"/>
      <c r="CQ620" s="20"/>
      <c r="CR620" s="20"/>
      <c r="CS620" s="20"/>
      <c r="CT620" s="20"/>
      <c r="CU620" s="20"/>
      <c r="CV620" s="20"/>
      <c r="CW620" s="20"/>
      <c r="CX620" s="20"/>
      <c r="CY620" s="20"/>
    </row>
    <row r="621" spans="1:103" s="6" customFormat="1">
      <c r="A621"/>
      <c r="B621"/>
      <c r="C621"/>
      <c r="D621"/>
      <c r="E621"/>
      <c r="F621"/>
      <c r="G621"/>
      <c r="H621"/>
      <c r="I621"/>
      <c r="J621"/>
      <c r="N621" s="7"/>
      <c r="O621"/>
      <c r="P621" s="10"/>
      <c r="Q621" s="9"/>
      <c r="R621" s="10"/>
      <c r="S621" s="10"/>
      <c r="AA621" s="11"/>
      <c r="AD621"/>
      <c r="AE621"/>
      <c r="AF621"/>
      <c r="AG621"/>
      <c r="AH621" s="46"/>
      <c r="AI621"/>
      <c r="AJ621"/>
      <c r="AK621"/>
      <c r="AL621"/>
      <c r="AM621"/>
      <c r="AN621"/>
      <c r="AO621"/>
      <c r="AP621"/>
      <c r="AQ621"/>
      <c r="AR621"/>
      <c r="AS621"/>
      <c r="AT621" s="14"/>
      <c r="AU621"/>
      <c r="AV621"/>
      <c r="AW621"/>
      <c r="AX621" s="10"/>
      <c r="AY621" s="20"/>
      <c r="AZ621" s="16"/>
      <c r="BA621"/>
      <c r="BB621"/>
      <c r="BC621" s="16"/>
      <c r="BD621"/>
      <c r="BE621"/>
      <c r="BF621"/>
      <c r="BG621"/>
      <c r="BH621"/>
      <c r="BI621"/>
      <c r="BJ621"/>
      <c r="BK621"/>
      <c r="BL621"/>
      <c r="BM621"/>
      <c r="BN621" s="19"/>
      <c r="BO621"/>
      <c r="BP621"/>
      <c r="BQ621"/>
      <c r="BR621"/>
      <c r="BS621"/>
      <c r="BT621"/>
      <c r="BU621"/>
      <c r="BV621"/>
      <c r="BW621"/>
      <c r="BX621"/>
      <c r="BY621"/>
      <c r="BZ621"/>
      <c r="CA621"/>
      <c r="CB621"/>
      <c r="CC621"/>
      <c r="CD621"/>
      <c r="CE621"/>
      <c r="CF621"/>
      <c r="CG621"/>
      <c r="CH621"/>
      <c r="CI621"/>
      <c r="CJ621"/>
      <c r="CK621"/>
      <c r="CL621"/>
      <c r="CM621" s="20"/>
      <c r="CN621" s="20"/>
      <c r="CO621" s="20"/>
      <c r="CP621" s="20"/>
      <c r="CQ621" s="20"/>
      <c r="CR621" s="20"/>
      <c r="CS621" s="20"/>
      <c r="CT621" s="20"/>
      <c r="CU621" s="20"/>
      <c r="CV621" s="20"/>
      <c r="CW621" s="20"/>
      <c r="CX621" s="20"/>
      <c r="CY621" s="20"/>
    </row>
    <row r="622" spans="1:103" s="6" customFormat="1">
      <c r="A622"/>
      <c r="B622"/>
      <c r="C622"/>
      <c r="D622"/>
      <c r="E622"/>
      <c r="F622"/>
      <c r="G622"/>
      <c r="H622"/>
      <c r="I622"/>
      <c r="J622"/>
      <c r="N622" s="7"/>
      <c r="O622"/>
      <c r="P622" s="10"/>
      <c r="Q622" s="9"/>
      <c r="R622" s="10"/>
      <c r="S622" s="10"/>
      <c r="AA622" s="11"/>
      <c r="AD622"/>
      <c r="AE622"/>
      <c r="AF622"/>
      <c r="AG622"/>
      <c r="AH622" s="46"/>
      <c r="AI622"/>
      <c r="AJ622"/>
      <c r="AK622"/>
      <c r="AL622"/>
      <c r="AM622"/>
      <c r="AN622"/>
      <c r="AO622"/>
      <c r="AP622"/>
      <c r="AQ622"/>
      <c r="AR622"/>
      <c r="AS622"/>
      <c r="AT622" s="14"/>
      <c r="AU622"/>
      <c r="AV622"/>
      <c r="AW622"/>
      <c r="AX622" s="10"/>
      <c r="AY622" s="20"/>
      <c r="AZ622" s="16"/>
      <c r="BA622"/>
      <c r="BB622"/>
      <c r="BC622" s="16"/>
      <c r="BD622"/>
      <c r="BE622"/>
      <c r="BF622"/>
      <c r="BG622"/>
      <c r="BH622"/>
      <c r="BI622"/>
      <c r="BJ622"/>
      <c r="BK622"/>
      <c r="BL622"/>
      <c r="BM622"/>
      <c r="BN622" s="19"/>
      <c r="BO622"/>
      <c r="BP622"/>
      <c r="BQ622"/>
      <c r="BR622"/>
      <c r="BS622"/>
      <c r="BT622"/>
      <c r="BU622"/>
      <c r="BV622"/>
      <c r="BW622"/>
      <c r="BX622"/>
      <c r="BY622"/>
      <c r="BZ622"/>
      <c r="CA622"/>
      <c r="CB622"/>
      <c r="CC622"/>
      <c r="CD622"/>
      <c r="CE622"/>
      <c r="CF622"/>
      <c r="CG622"/>
      <c r="CH622"/>
      <c r="CI622"/>
      <c r="CJ622"/>
      <c r="CK622"/>
      <c r="CL622"/>
      <c r="CM622" s="20"/>
      <c r="CN622" s="20"/>
      <c r="CO622" s="20"/>
      <c r="CP622" s="20"/>
      <c r="CQ622" s="20"/>
      <c r="CR622" s="20"/>
      <c r="CS622" s="20"/>
      <c r="CT622" s="20"/>
      <c r="CU622" s="20"/>
      <c r="CV622" s="20"/>
      <c r="CW622" s="20"/>
      <c r="CX622" s="20"/>
      <c r="CY622" s="20"/>
    </row>
    <row r="623" spans="1:103" s="6" customFormat="1">
      <c r="A623"/>
      <c r="B623"/>
      <c r="C623"/>
      <c r="D623"/>
      <c r="E623"/>
      <c r="F623"/>
      <c r="G623"/>
      <c r="H623"/>
      <c r="I623"/>
      <c r="J623"/>
      <c r="N623" s="7"/>
      <c r="O623"/>
      <c r="P623" s="10"/>
      <c r="Q623" s="9"/>
      <c r="R623" s="10"/>
      <c r="S623" s="10"/>
      <c r="AA623" s="11"/>
      <c r="AD623"/>
      <c r="AE623"/>
      <c r="AF623"/>
      <c r="AG623"/>
      <c r="AH623" s="46"/>
      <c r="AI623"/>
      <c r="AJ623"/>
      <c r="AK623"/>
      <c r="AL623"/>
      <c r="AM623"/>
      <c r="AN623"/>
      <c r="AO623"/>
      <c r="AP623"/>
      <c r="AQ623"/>
      <c r="AR623"/>
      <c r="AS623"/>
      <c r="AT623" s="14"/>
      <c r="AU623"/>
      <c r="AV623"/>
      <c r="AW623"/>
      <c r="AX623" s="10"/>
      <c r="AY623" s="20"/>
      <c r="AZ623" s="16"/>
      <c r="BA623"/>
      <c r="BB623"/>
      <c r="BC623" s="16"/>
      <c r="BD623"/>
      <c r="BE623"/>
      <c r="BF623"/>
      <c r="BG623"/>
      <c r="BH623"/>
      <c r="BI623"/>
      <c r="BJ623"/>
      <c r="BK623"/>
      <c r="BL623"/>
      <c r="BM623"/>
      <c r="BN623" s="19"/>
      <c r="BO623"/>
      <c r="BP623"/>
      <c r="BQ623"/>
      <c r="BR623"/>
      <c r="BS623"/>
      <c r="BT623"/>
      <c r="BU623"/>
      <c r="BV623"/>
      <c r="BW623"/>
      <c r="BX623"/>
      <c r="BY623"/>
      <c r="BZ623"/>
      <c r="CA623"/>
      <c r="CB623"/>
      <c r="CC623"/>
      <c r="CD623"/>
      <c r="CE623"/>
      <c r="CF623"/>
      <c r="CG623"/>
      <c r="CH623"/>
      <c r="CI623"/>
      <c r="CJ623"/>
      <c r="CK623"/>
      <c r="CL623"/>
      <c r="CM623" s="20"/>
      <c r="CN623" s="20"/>
      <c r="CO623" s="20"/>
      <c r="CP623" s="20"/>
      <c r="CQ623" s="20"/>
      <c r="CR623" s="20"/>
      <c r="CS623" s="20"/>
      <c r="CT623" s="20"/>
      <c r="CU623" s="20"/>
      <c r="CV623" s="20"/>
      <c r="CW623" s="20"/>
      <c r="CX623" s="20"/>
      <c r="CY623" s="20"/>
    </row>
    <row r="624" spans="1:103" s="6" customFormat="1">
      <c r="A624"/>
      <c r="B624"/>
      <c r="C624"/>
      <c r="D624"/>
      <c r="E624"/>
      <c r="F624"/>
      <c r="G624"/>
      <c r="H624"/>
      <c r="I624"/>
      <c r="J624"/>
      <c r="N624" s="7"/>
      <c r="O624"/>
      <c r="P624" s="10"/>
      <c r="Q624" s="9"/>
      <c r="R624" s="10"/>
      <c r="S624" s="10"/>
      <c r="AA624" s="11"/>
      <c r="AD624"/>
      <c r="AE624"/>
      <c r="AF624"/>
      <c r="AG624"/>
      <c r="AH624" s="46"/>
      <c r="AI624"/>
      <c r="AJ624"/>
      <c r="AK624"/>
      <c r="AL624"/>
      <c r="AM624"/>
      <c r="AN624"/>
      <c r="AO624"/>
      <c r="AP624"/>
      <c r="AQ624"/>
      <c r="AR624"/>
      <c r="AS624"/>
      <c r="AT624" s="14"/>
      <c r="AU624"/>
      <c r="AV624"/>
      <c r="AW624"/>
      <c r="AX624" s="10"/>
      <c r="AY624" s="20"/>
      <c r="AZ624" s="16"/>
      <c r="BA624"/>
      <c r="BB624"/>
      <c r="BC624" s="16"/>
      <c r="BD624"/>
      <c r="BE624"/>
      <c r="BF624"/>
      <c r="BG624"/>
      <c r="BH624"/>
      <c r="BI624"/>
      <c r="BJ624"/>
      <c r="BK624"/>
      <c r="BL624"/>
      <c r="BM624"/>
      <c r="BN624" s="19"/>
      <c r="BO624"/>
      <c r="BP624"/>
      <c r="BQ624"/>
      <c r="BR624"/>
      <c r="BS624"/>
      <c r="BT624"/>
      <c r="BU624"/>
      <c r="BV624"/>
      <c r="BW624"/>
      <c r="BX624"/>
      <c r="BY624"/>
      <c r="BZ624"/>
      <c r="CA624"/>
      <c r="CB624"/>
      <c r="CC624"/>
      <c r="CD624"/>
      <c r="CE624"/>
      <c r="CF624"/>
      <c r="CG624"/>
      <c r="CH624"/>
      <c r="CI624"/>
      <c r="CJ624"/>
      <c r="CK624"/>
      <c r="CL624"/>
      <c r="CM624" s="20"/>
      <c r="CN624" s="20"/>
      <c r="CO624" s="20"/>
      <c r="CP624" s="20"/>
      <c r="CQ624" s="20"/>
      <c r="CR624" s="20"/>
      <c r="CS624" s="20"/>
      <c r="CT624" s="20"/>
      <c r="CU624" s="20"/>
      <c r="CV624" s="20"/>
      <c r="CW624" s="20"/>
      <c r="CX624" s="20"/>
      <c r="CY624" s="20"/>
    </row>
    <row r="625" spans="1:103" s="6" customFormat="1">
      <c r="A625"/>
      <c r="B625"/>
      <c r="C625"/>
      <c r="D625"/>
      <c r="E625"/>
      <c r="F625"/>
      <c r="G625"/>
      <c r="H625"/>
      <c r="I625"/>
      <c r="J625"/>
      <c r="N625" s="7"/>
      <c r="O625"/>
      <c r="P625" s="10"/>
      <c r="Q625" s="9"/>
      <c r="R625" s="10"/>
      <c r="S625" s="10"/>
      <c r="AA625" s="11"/>
      <c r="AD625"/>
      <c r="AE625"/>
      <c r="AF625"/>
      <c r="AG625"/>
      <c r="AH625" s="46"/>
      <c r="AI625"/>
      <c r="AJ625"/>
      <c r="AK625"/>
      <c r="AL625"/>
      <c r="AM625"/>
      <c r="AN625"/>
      <c r="AO625"/>
      <c r="AP625"/>
      <c r="AQ625"/>
      <c r="AR625"/>
      <c r="AS625"/>
      <c r="AT625" s="14"/>
      <c r="AU625"/>
      <c r="AV625"/>
      <c r="AW625"/>
      <c r="AX625" s="10"/>
      <c r="AY625" s="20"/>
      <c r="AZ625" s="16"/>
      <c r="BA625"/>
      <c r="BB625"/>
      <c r="BC625" s="16"/>
      <c r="BD625"/>
      <c r="BE625"/>
      <c r="BF625"/>
      <c r="BG625"/>
      <c r="BH625"/>
      <c r="BI625"/>
      <c r="BJ625"/>
      <c r="BK625"/>
      <c r="BL625"/>
      <c r="BM625"/>
      <c r="BN625" s="19"/>
      <c r="BO625"/>
      <c r="BP625"/>
      <c r="BQ625"/>
      <c r="BR625"/>
      <c r="BS625"/>
      <c r="BT625"/>
      <c r="BU625"/>
      <c r="BV625"/>
      <c r="BW625"/>
      <c r="BX625"/>
      <c r="BY625"/>
      <c r="BZ625"/>
      <c r="CA625"/>
      <c r="CB625"/>
      <c r="CC625"/>
      <c r="CD625"/>
      <c r="CE625"/>
      <c r="CF625"/>
      <c r="CG625"/>
      <c r="CH625"/>
      <c r="CI625"/>
      <c r="CJ625"/>
      <c r="CK625"/>
      <c r="CL625"/>
      <c r="CM625" s="20"/>
      <c r="CN625" s="20"/>
      <c r="CO625" s="20"/>
      <c r="CP625" s="20"/>
      <c r="CQ625" s="20"/>
      <c r="CR625" s="20"/>
      <c r="CS625" s="20"/>
      <c r="CT625" s="20"/>
      <c r="CU625" s="20"/>
      <c r="CV625" s="20"/>
      <c r="CW625" s="20"/>
      <c r="CX625" s="20"/>
      <c r="CY625" s="20"/>
    </row>
    <row r="626" spans="1:103" s="6" customFormat="1">
      <c r="A626"/>
      <c r="B626"/>
      <c r="C626"/>
      <c r="D626"/>
      <c r="E626"/>
      <c r="F626"/>
      <c r="G626"/>
      <c r="H626"/>
      <c r="I626"/>
      <c r="J626"/>
      <c r="N626" s="7"/>
      <c r="O626"/>
      <c r="P626" s="10"/>
      <c r="Q626" s="9"/>
      <c r="R626" s="10"/>
      <c r="S626" s="10"/>
      <c r="AA626" s="11"/>
      <c r="AD626"/>
      <c r="AE626"/>
      <c r="AF626"/>
      <c r="AG626"/>
      <c r="AH626" s="46"/>
      <c r="AI626"/>
      <c r="AJ626"/>
      <c r="AK626"/>
      <c r="AL626"/>
      <c r="AM626"/>
      <c r="AN626"/>
      <c r="AO626"/>
      <c r="AP626"/>
      <c r="AQ626"/>
      <c r="AR626"/>
      <c r="AS626"/>
      <c r="AT626" s="14"/>
      <c r="AU626"/>
      <c r="AV626"/>
      <c r="AW626"/>
      <c r="AX626" s="10"/>
      <c r="AY626" s="20"/>
      <c r="AZ626" s="16"/>
      <c r="BA626"/>
      <c r="BB626"/>
      <c r="BC626" s="16"/>
      <c r="BD626"/>
      <c r="BE626"/>
      <c r="BF626"/>
      <c r="BG626"/>
      <c r="BH626"/>
      <c r="BI626"/>
      <c r="BJ626"/>
      <c r="BK626"/>
      <c r="BL626"/>
      <c r="BM626"/>
      <c r="BN626" s="19"/>
      <c r="BO626"/>
      <c r="BP626"/>
      <c r="BQ626"/>
      <c r="BR626"/>
      <c r="BS626"/>
      <c r="BT626"/>
      <c r="BU626"/>
      <c r="BV626"/>
      <c r="BW626"/>
      <c r="BX626"/>
      <c r="BY626"/>
      <c r="BZ626"/>
      <c r="CA626"/>
      <c r="CB626"/>
      <c r="CC626"/>
      <c r="CD626"/>
      <c r="CE626"/>
      <c r="CF626"/>
      <c r="CG626"/>
      <c r="CH626"/>
      <c r="CI626"/>
      <c r="CJ626"/>
      <c r="CK626"/>
      <c r="CL626"/>
      <c r="CM626" s="20"/>
      <c r="CN626" s="20"/>
      <c r="CO626" s="20"/>
      <c r="CP626" s="20"/>
      <c r="CQ626" s="20"/>
      <c r="CR626" s="20"/>
      <c r="CS626" s="20"/>
      <c r="CT626" s="20"/>
      <c r="CU626" s="20"/>
      <c r="CV626" s="20"/>
      <c r="CW626" s="20"/>
      <c r="CX626" s="20"/>
      <c r="CY626" s="20"/>
    </row>
    <row r="627" spans="1:103" s="6" customFormat="1">
      <c r="A627"/>
      <c r="B627"/>
      <c r="C627"/>
      <c r="D627"/>
      <c r="E627"/>
      <c r="F627"/>
      <c r="G627"/>
      <c r="H627"/>
      <c r="I627"/>
      <c r="J627"/>
      <c r="N627" s="7"/>
      <c r="O627"/>
      <c r="P627" s="10"/>
      <c r="Q627" s="9"/>
      <c r="R627" s="10"/>
      <c r="S627" s="10"/>
      <c r="AA627" s="11"/>
      <c r="AD627"/>
      <c r="AE627"/>
      <c r="AF627"/>
      <c r="AG627"/>
      <c r="AH627" s="46"/>
      <c r="AI627"/>
      <c r="AJ627"/>
      <c r="AK627"/>
      <c r="AL627"/>
      <c r="AM627"/>
      <c r="AN627"/>
      <c r="AO627"/>
      <c r="AP627"/>
      <c r="AQ627"/>
      <c r="AR627"/>
      <c r="AS627"/>
      <c r="AT627" s="14"/>
      <c r="AU627"/>
      <c r="AV627"/>
      <c r="AW627"/>
      <c r="AX627" s="10"/>
      <c r="AY627" s="20"/>
      <c r="AZ627" s="16"/>
      <c r="BA627"/>
      <c r="BB627"/>
      <c r="BC627" s="16"/>
      <c r="BD627"/>
      <c r="BE627"/>
      <c r="BF627"/>
      <c r="BG627"/>
      <c r="BH627"/>
      <c r="BI627"/>
      <c r="BJ627"/>
      <c r="BK627"/>
      <c r="BL627"/>
      <c r="BM627"/>
      <c r="BN627" s="19"/>
      <c r="BO627"/>
      <c r="BP627"/>
      <c r="BQ627"/>
      <c r="BR627"/>
      <c r="BS627"/>
      <c r="BT627"/>
      <c r="BU627"/>
      <c r="BV627"/>
      <c r="BW627"/>
      <c r="BX627"/>
      <c r="BY627"/>
      <c r="BZ627"/>
      <c r="CA627"/>
      <c r="CB627"/>
      <c r="CC627"/>
      <c r="CD627"/>
      <c r="CE627"/>
      <c r="CF627"/>
      <c r="CG627"/>
      <c r="CH627"/>
      <c r="CI627"/>
      <c r="CJ627"/>
      <c r="CK627"/>
      <c r="CL627"/>
      <c r="CM627" s="20"/>
      <c r="CN627" s="20"/>
      <c r="CO627" s="20"/>
      <c r="CP627" s="20"/>
      <c r="CQ627" s="20"/>
      <c r="CR627" s="20"/>
      <c r="CS627" s="20"/>
      <c r="CT627" s="20"/>
      <c r="CU627" s="20"/>
      <c r="CV627" s="20"/>
      <c r="CW627" s="20"/>
      <c r="CX627" s="20"/>
      <c r="CY627" s="20"/>
    </row>
    <row r="628" spans="1:103" s="6" customFormat="1">
      <c r="A628"/>
      <c r="B628"/>
      <c r="C628"/>
      <c r="D628"/>
      <c r="E628"/>
      <c r="F628"/>
      <c r="G628"/>
      <c r="H628"/>
      <c r="I628"/>
      <c r="J628"/>
      <c r="N628" s="7"/>
      <c r="O628"/>
      <c r="P628" s="10"/>
      <c r="Q628" s="9"/>
      <c r="R628" s="10"/>
      <c r="S628" s="10"/>
      <c r="AA628" s="11"/>
      <c r="AD628"/>
      <c r="AE628"/>
      <c r="AF628"/>
      <c r="AG628"/>
      <c r="AH628" s="46"/>
      <c r="AI628"/>
      <c r="AJ628"/>
      <c r="AK628"/>
      <c r="AL628"/>
      <c r="AM628"/>
      <c r="AN628"/>
      <c r="AO628"/>
      <c r="AP628"/>
      <c r="AQ628"/>
      <c r="AR628"/>
      <c r="AS628"/>
      <c r="AT628" s="14"/>
      <c r="AU628"/>
      <c r="AV628"/>
      <c r="AW628"/>
      <c r="AX628" s="10"/>
      <c r="AY628" s="20"/>
      <c r="AZ628" s="16"/>
      <c r="BA628"/>
      <c r="BB628"/>
      <c r="BC628" s="16"/>
      <c r="BD628"/>
      <c r="BE628"/>
      <c r="BF628"/>
      <c r="BG628"/>
      <c r="BH628"/>
      <c r="BI628"/>
      <c r="BJ628"/>
      <c r="BK628"/>
      <c r="BL628"/>
      <c r="BM628"/>
      <c r="BN628" s="19"/>
      <c r="BO628"/>
      <c r="BP628"/>
      <c r="BQ628"/>
      <c r="BR628"/>
      <c r="BS628"/>
      <c r="BT628"/>
      <c r="BU628"/>
      <c r="BV628"/>
      <c r="BW628"/>
      <c r="BX628"/>
      <c r="BY628"/>
      <c r="BZ628"/>
      <c r="CA628"/>
      <c r="CB628"/>
      <c r="CC628"/>
      <c r="CD628"/>
      <c r="CE628"/>
      <c r="CF628"/>
      <c r="CG628"/>
      <c r="CH628"/>
      <c r="CI628"/>
      <c r="CJ628"/>
      <c r="CK628"/>
      <c r="CL628"/>
      <c r="CM628" s="20"/>
      <c r="CN628" s="20"/>
      <c r="CO628" s="20"/>
      <c r="CP628" s="20"/>
      <c r="CQ628" s="20"/>
      <c r="CR628" s="20"/>
      <c r="CS628" s="20"/>
      <c r="CT628" s="20"/>
      <c r="CU628" s="20"/>
      <c r="CV628" s="20"/>
      <c r="CW628" s="20"/>
      <c r="CX628" s="20"/>
      <c r="CY628" s="20"/>
    </row>
    <row r="629" spans="1:103" s="6" customFormat="1">
      <c r="A629"/>
      <c r="B629"/>
      <c r="C629"/>
      <c r="D629"/>
      <c r="E629"/>
      <c r="F629"/>
      <c r="G629"/>
      <c r="H629"/>
      <c r="I629"/>
      <c r="J629"/>
      <c r="N629" s="7"/>
      <c r="O629"/>
      <c r="P629" s="10"/>
      <c r="Q629" s="9"/>
      <c r="R629" s="10"/>
      <c r="S629" s="10"/>
      <c r="AA629" s="11"/>
      <c r="AD629"/>
      <c r="AE629"/>
      <c r="AF629"/>
      <c r="AG629"/>
      <c r="AH629" s="46"/>
      <c r="AI629"/>
      <c r="AJ629"/>
      <c r="AK629"/>
      <c r="AL629"/>
      <c r="AM629"/>
      <c r="AN629"/>
      <c r="AO629"/>
      <c r="AP629"/>
      <c r="AQ629"/>
      <c r="AR629"/>
      <c r="AS629"/>
      <c r="AT629" s="14"/>
      <c r="AU629"/>
      <c r="AV629"/>
      <c r="AW629"/>
      <c r="AX629" s="10"/>
      <c r="AY629" s="20"/>
      <c r="AZ629" s="16"/>
      <c r="BA629"/>
      <c r="BB629"/>
      <c r="BC629" s="16"/>
      <c r="BD629"/>
      <c r="BE629"/>
      <c r="BF629"/>
      <c r="BG629"/>
      <c r="BH629"/>
      <c r="BI629"/>
      <c r="BJ629"/>
      <c r="BK629"/>
      <c r="BL629"/>
      <c r="BM629"/>
      <c r="BN629" s="19"/>
      <c r="BO629"/>
      <c r="BP629"/>
      <c r="BQ629"/>
      <c r="BR629"/>
      <c r="BS629"/>
      <c r="BT629"/>
      <c r="BU629"/>
      <c r="BV629"/>
      <c r="BW629"/>
      <c r="BX629"/>
      <c r="BY629"/>
      <c r="BZ629"/>
      <c r="CA629"/>
      <c r="CB629"/>
      <c r="CC629"/>
      <c r="CD629"/>
      <c r="CE629"/>
      <c r="CF629"/>
      <c r="CG629"/>
      <c r="CH629"/>
      <c r="CI629"/>
      <c r="CJ629"/>
      <c r="CK629"/>
      <c r="CL629"/>
      <c r="CM629" s="20"/>
      <c r="CN629" s="20"/>
      <c r="CO629" s="20"/>
      <c r="CP629" s="20"/>
      <c r="CQ629" s="20"/>
      <c r="CR629" s="20"/>
      <c r="CS629" s="20"/>
      <c r="CT629" s="20"/>
      <c r="CU629" s="20"/>
      <c r="CV629" s="20"/>
      <c r="CW629" s="20"/>
      <c r="CX629" s="20"/>
      <c r="CY629" s="20"/>
    </row>
    <row r="630" spans="1:103" s="6" customFormat="1">
      <c r="A630"/>
      <c r="B630"/>
      <c r="C630"/>
      <c r="D630"/>
      <c r="E630"/>
      <c r="F630"/>
      <c r="G630"/>
      <c r="H630"/>
      <c r="I630"/>
      <c r="J630"/>
      <c r="N630" s="7"/>
      <c r="O630"/>
      <c r="P630" s="10"/>
      <c r="Q630" s="9"/>
      <c r="R630" s="10"/>
      <c r="S630" s="10"/>
      <c r="AA630" s="11"/>
      <c r="AD630"/>
      <c r="AE630"/>
      <c r="AF630"/>
      <c r="AG630"/>
      <c r="AH630" s="46"/>
      <c r="AI630"/>
      <c r="AJ630"/>
      <c r="AK630"/>
      <c r="AL630"/>
      <c r="AM630"/>
      <c r="AN630"/>
      <c r="AO630"/>
      <c r="AP630"/>
      <c r="AQ630"/>
      <c r="AR630"/>
      <c r="AS630"/>
      <c r="AT630" s="14"/>
      <c r="AU630"/>
      <c r="AV630"/>
      <c r="AW630"/>
      <c r="AX630" s="10"/>
      <c r="AY630" s="20"/>
      <c r="AZ630" s="16"/>
      <c r="BA630"/>
      <c r="BB630"/>
      <c r="BC630" s="16"/>
      <c r="BD630"/>
      <c r="BE630"/>
      <c r="BF630"/>
      <c r="BG630"/>
      <c r="BH630"/>
      <c r="BI630"/>
      <c r="BJ630"/>
      <c r="BK630"/>
      <c r="BL630"/>
      <c r="BM630"/>
      <c r="BN630" s="19"/>
      <c r="BO630"/>
      <c r="BP630"/>
      <c r="BQ630"/>
      <c r="BR630"/>
      <c r="BS630"/>
      <c r="BT630"/>
      <c r="BU630"/>
      <c r="BV630"/>
      <c r="BW630"/>
      <c r="BX630"/>
      <c r="BY630"/>
      <c r="BZ630"/>
      <c r="CA630"/>
      <c r="CB630"/>
      <c r="CC630"/>
      <c r="CD630"/>
      <c r="CE630"/>
      <c r="CF630"/>
      <c r="CG630"/>
      <c r="CH630"/>
      <c r="CI630"/>
      <c r="CJ630"/>
      <c r="CK630"/>
      <c r="CL630"/>
      <c r="CM630" s="20"/>
      <c r="CN630" s="20"/>
      <c r="CO630" s="20"/>
      <c r="CP630" s="20"/>
      <c r="CQ630" s="20"/>
      <c r="CR630" s="20"/>
      <c r="CS630" s="20"/>
      <c r="CT630" s="20"/>
      <c r="CU630" s="20"/>
      <c r="CV630" s="20"/>
      <c r="CW630" s="20"/>
      <c r="CX630" s="20"/>
      <c r="CY630" s="20"/>
    </row>
    <row r="631" spans="1:103" s="6" customFormat="1">
      <c r="A631"/>
      <c r="B631"/>
      <c r="C631"/>
      <c r="D631"/>
      <c r="E631"/>
      <c r="F631"/>
      <c r="G631"/>
      <c r="H631"/>
      <c r="I631"/>
      <c r="J631"/>
      <c r="N631" s="7"/>
      <c r="O631"/>
      <c r="P631" s="10"/>
      <c r="Q631" s="9"/>
      <c r="R631" s="10"/>
      <c r="S631" s="10"/>
      <c r="AA631" s="11"/>
      <c r="AD631"/>
      <c r="AE631"/>
      <c r="AF631"/>
      <c r="AG631"/>
      <c r="AH631" s="46"/>
      <c r="AI631"/>
      <c r="AJ631"/>
      <c r="AK631"/>
      <c r="AL631"/>
      <c r="AM631"/>
      <c r="AN631"/>
      <c r="AO631"/>
      <c r="AP631"/>
      <c r="AQ631"/>
      <c r="AR631"/>
      <c r="AS631"/>
      <c r="AT631" s="14"/>
      <c r="AU631"/>
      <c r="AV631"/>
      <c r="AW631"/>
      <c r="AX631" s="10"/>
      <c r="AY631" s="20"/>
      <c r="AZ631" s="16"/>
      <c r="BA631"/>
      <c r="BB631"/>
      <c r="BC631" s="16"/>
      <c r="BD631"/>
      <c r="BE631"/>
      <c r="BF631"/>
      <c r="BG631"/>
      <c r="BH631"/>
      <c r="BI631"/>
      <c r="BJ631"/>
      <c r="BK631"/>
      <c r="BL631"/>
      <c r="BM631"/>
      <c r="BN631" s="19"/>
      <c r="BO631"/>
      <c r="BP631"/>
      <c r="BQ631"/>
      <c r="BR631"/>
      <c r="BS631"/>
      <c r="BT631"/>
      <c r="BU631"/>
      <c r="BV631"/>
      <c r="BW631"/>
      <c r="BX631"/>
      <c r="BY631"/>
      <c r="BZ631"/>
      <c r="CA631"/>
      <c r="CB631"/>
      <c r="CC631"/>
      <c r="CD631"/>
      <c r="CE631"/>
      <c r="CF631"/>
      <c r="CG631"/>
      <c r="CH631"/>
      <c r="CI631"/>
      <c r="CJ631"/>
      <c r="CK631"/>
      <c r="CL631"/>
      <c r="CM631" s="20"/>
      <c r="CN631" s="20"/>
      <c r="CO631" s="20"/>
      <c r="CP631" s="20"/>
      <c r="CQ631" s="20"/>
      <c r="CR631" s="20"/>
      <c r="CS631" s="20"/>
      <c r="CT631" s="20"/>
      <c r="CU631" s="20"/>
      <c r="CV631" s="20"/>
      <c r="CW631" s="20"/>
      <c r="CX631" s="20"/>
      <c r="CY631" s="20"/>
    </row>
    <row r="632" spans="1:103" s="6" customFormat="1">
      <c r="A632"/>
      <c r="B632"/>
      <c r="C632"/>
      <c r="D632"/>
      <c r="E632"/>
      <c r="F632"/>
      <c r="G632"/>
      <c r="H632"/>
      <c r="I632"/>
      <c r="J632"/>
      <c r="N632" s="7"/>
      <c r="O632"/>
      <c r="P632" s="10"/>
      <c r="Q632" s="9"/>
      <c r="R632" s="10"/>
      <c r="S632" s="10"/>
      <c r="AA632" s="11"/>
      <c r="AD632"/>
      <c r="AE632"/>
      <c r="AF632"/>
      <c r="AG632"/>
      <c r="AH632" s="46"/>
      <c r="AI632"/>
      <c r="AJ632"/>
      <c r="AK632"/>
      <c r="AL632"/>
      <c r="AM632"/>
      <c r="AN632"/>
      <c r="AO632"/>
      <c r="AP632"/>
      <c r="AQ632"/>
      <c r="AR632"/>
      <c r="AS632"/>
      <c r="AT632" s="14"/>
      <c r="AU632"/>
      <c r="AV632"/>
      <c r="AW632"/>
      <c r="AX632" s="10"/>
      <c r="AY632" s="20"/>
      <c r="AZ632" s="16"/>
      <c r="BA632"/>
      <c r="BB632"/>
      <c r="BC632" s="16"/>
      <c r="BD632"/>
      <c r="BE632"/>
      <c r="BF632"/>
      <c r="BG632"/>
      <c r="BH632"/>
      <c r="BI632"/>
      <c r="BJ632"/>
      <c r="BK632"/>
      <c r="BL632"/>
      <c r="BM632"/>
      <c r="BN632" s="19"/>
      <c r="BO632"/>
      <c r="BP632"/>
      <c r="BQ632"/>
      <c r="BR632"/>
      <c r="BS632"/>
      <c r="BT632"/>
      <c r="BU632"/>
      <c r="BV632"/>
      <c r="BW632"/>
      <c r="BX632"/>
      <c r="BY632"/>
      <c r="BZ632"/>
      <c r="CA632"/>
      <c r="CB632"/>
      <c r="CC632"/>
      <c r="CD632"/>
      <c r="CE632"/>
      <c r="CF632"/>
      <c r="CG632"/>
      <c r="CH632"/>
      <c r="CI632"/>
      <c r="CJ632"/>
      <c r="CK632"/>
      <c r="CL632"/>
      <c r="CM632" s="20"/>
      <c r="CN632" s="20"/>
      <c r="CO632" s="20"/>
      <c r="CP632" s="20"/>
      <c r="CQ632" s="20"/>
      <c r="CR632" s="20"/>
      <c r="CS632" s="20"/>
      <c r="CT632" s="20"/>
      <c r="CU632" s="20"/>
      <c r="CV632" s="20"/>
      <c r="CW632" s="20"/>
      <c r="CX632" s="20"/>
      <c r="CY632" s="20"/>
    </row>
    <row r="633" spans="1:103" s="6" customFormat="1">
      <c r="A633"/>
      <c r="B633"/>
      <c r="C633"/>
      <c r="D633"/>
      <c r="E633"/>
      <c r="F633"/>
      <c r="G633"/>
      <c r="H633"/>
      <c r="I633"/>
      <c r="J633"/>
      <c r="N633" s="7"/>
      <c r="O633"/>
      <c r="P633" s="10"/>
      <c r="Q633" s="9"/>
      <c r="R633" s="10"/>
      <c r="S633" s="10"/>
      <c r="AA633" s="11"/>
      <c r="AD633"/>
      <c r="AE633"/>
      <c r="AF633"/>
      <c r="AG633"/>
      <c r="AH633" s="46"/>
      <c r="AI633"/>
      <c r="AJ633"/>
      <c r="AK633"/>
      <c r="AL633"/>
      <c r="AM633"/>
      <c r="AN633"/>
      <c r="AO633"/>
      <c r="AP633"/>
      <c r="AQ633"/>
      <c r="AR633"/>
      <c r="AS633"/>
      <c r="AT633" s="14"/>
      <c r="AU633"/>
      <c r="AV633"/>
      <c r="AW633"/>
      <c r="AX633" s="10"/>
      <c r="AY633" s="20"/>
      <c r="AZ633" s="16"/>
      <c r="BA633"/>
      <c r="BB633"/>
      <c r="BC633" s="16"/>
      <c r="BD633"/>
      <c r="BE633"/>
      <c r="BF633"/>
      <c r="BG633"/>
      <c r="BH633"/>
      <c r="BI633"/>
      <c r="BJ633"/>
      <c r="BK633"/>
      <c r="BL633"/>
      <c r="BM633"/>
      <c r="BN633" s="19"/>
      <c r="BO633"/>
      <c r="BP633"/>
      <c r="BQ633"/>
      <c r="BR633"/>
      <c r="BS633"/>
      <c r="BT633"/>
      <c r="BU633"/>
      <c r="BV633"/>
      <c r="BW633"/>
      <c r="BX633"/>
      <c r="BY633"/>
      <c r="BZ633"/>
      <c r="CA633"/>
      <c r="CB633"/>
      <c r="CC633"/>
      <c r="CD633"/>
      <c r="CE633"/>
      <c r="CF633"/>
      <c r="CG633"/>
      <c r="CH633"/>
      <c r="CI633"/>
      <c r="CJ633"/>
      <c r="CK633"/>
      <c r="CL633"/>
      <c r="CM633" s="20"/>
      <c r="CN633" s="20"/>
      <c r="CO633" s="20"/>
      <c r="CP633" s="20"/>
      <c r="CQ633" s="20"/>
      <c r="CR633" s="20"/>
      <c r="CS633" s="20"/>
      <c r="CT633" s="20"/>
      <c r="CU633" s="20"/>
      <c r="CV633" s="20"/>
      <c r="CW633" s="20"/>
      <c r="CX633" s="20"/>
      <c r="CY633" s="20"/>
    </row>
    <row r="634" spans="1:103" s="6" customFormat="1">
      <c r="A634"/>
      <c r="B634"/>
      <c r="C634"/>
      <c r="D634"/>
      <c r="E634"/>
      <c r="F634"/>
      <c r="G634"/>
      <c r="H634"/>
      <c r="I634"/>
      <c r="J634"/>
      <c r="N634" s="7"/>
      <c r="O634"/>
      <c r="P634" s="10"/>
      <c r="Q634" s="9"/>
      <c r="R634" s="10"/>
      <c r="S634" s="10"/>
      <c r="AA634" s="11"/>
      <c r="AD634"/>
      <c r="AE634"/>
      <c r="AF634"/>
      <c r="AG634"/>
      <c r="AH634" s="46"/>
      <c r="AI634"/>
      <c r="AJ634"/>
      <c r="AK634"/>
      <c r="AL634"/>
      <c r="AM634"/>
      <c r="AN634"/>
      <c r="AO634"/>
      <c r="AP634"/>
      <c r="AQ634"/>
      <c r="AR634"/>
      <c r="AS634"/>
      <c r="AT634" s="14"/>
      <c r="AU634"/>
      <c r="AV634"/>
      <c r="AW634"/>
      <c r="AX634" s="10"/>
      <c r="AY634" s="20"/>
      <c r="AZ634" s="16"/>
      <c r="BA634"/>
      <c r="BB634"/>
      <c r="BC634" s="16"/>
      <c r="BD634"/>
      <c r="BE634"/>
      <c r="BF634"/>
      <c r="BG634"/>
      <c r="BH634"/>
      <c r="BI634"/>
      <c r="BJ634"/>
      <c r="BK634"/>
      <c r="BL634"/>
      <c r="BM634"/>
      <c r="BN634" s="19"/>
      <c r="BO634"/>
      <c r="BP634"/>
      <c r="BQ634"/>
      <c r="BR634"/>
      <c r="BS634"/>
      <c r="BT634"/>
      <c r="BU634"/>
      <c r="BV634"/>
      <c r="BW634"/>
      <c r="BX634"/>
      <c r="BY634"/>
      <c r="BZ634"/>
      <c r="CA634"/>
      <c r="CB634"/>
      <c r="CC634"/>
      <c r="CD634"/>
      <c r="CE634"/>
      <c r="CF634"/>
      <c r="CG634"/>
      <c r="CH634"/>
      <c r="CI634"/>
      <c r="CJ634"/>
      <c r="CK634"/>
      <c r="CL634"/>
      <c r="CM634" s="20"/>
      <c r="CN634" s="20"/>
      <c r="CO634" s="20"/>
      <c r="CP634" s="20"/>
      <c r="CQ634" s="20"/>
      <c r="CR634" s="20"/>
      <c r="CS634" s="20"/>
      <c r="CT634" s="20"/>
      <c r="CU634" s="20"/>
      <c r="CV634" s="20"/>
      <c r="CW634" s="20"/>
      <c r="CX634" s="20"/>
      <c r="CY634" s="20"/>
    </row>
    <row r="635" spans="1:103" s="6" customFormat="1">
      <c r="A635"/>
      <c r="B635"/>
      <c r="C635"/>
      <c r="D635"/>
      <c r="E635"/>
      <c r="F635"/>
      <c r="G635"/>
      <c r="H635"/>
      <c r="I635"/>
      <c r="J635"/>
      <c r="N635" s="7"/>
      <c r="O635"/>
      <c r="P635" s="10"/>
      <c r="Q635" s="9"/>
      <c r="R635" s="10"/>
      <c r="S635" s="10"/>
      <c r="AA635" s="11"/>
      <c r="AD635"/>
      <c r="AE635"/>
      <c r="AF635"/>
      <c r="AG635"/>
      <c r="AH635" s="46"/>
      <c r="AI635"/>
      <c r="AJ635"/>
      <c r="AK635"/>
      <c r="AL635"/>
      <c r="AM635"/>
      <c r="AN635"/>
      <c r="AO635"/>
      <c r="AP635"/>
      <c r="AQ635"/>
      <c r="AR635"/>
      <c r="AS635"/>
      <c r="AT635" s="14"/>
      <c r="AU635"/>
      <c r="AV635"/>
      <c r="AW635"/>
      <c r="AX635" s="10"/>
      <c r="AY635" s="20"/>
      <c r="AZ635" s="16"/>
      <c r="BA635"/>
      <c r="BB635"/>
      <c r="BC635" s="16"/>
      <c r="BD635"/>
      <c r="BE635"/>
      <c r="BF635"/>
      <c r="BG635"/>
      <c r="BH635"/>
      <c r="BI635"/>
      <c r="BJ635"/>
      <c r="BK635"/>
      <c r="BL635"/>
      <c r="BM635"/>
      <c r="BN635" s="19"/>
      <c r="BO635"/>
      <c r="BP635"/>
      <c r="BQ635"/>
      <c r="BR635"/>
      <c r="BS635"/>
      <c r="BT635"/>
      <c r="BU635"/>
      <c r="BV635"/>
      <c r="BW635"/>
      <c r="BX635"/>
      <c r="BY635"/>
      <c r="BZ635"/>
      <c r="CA635"/>
      <c r="CB635"/>
      <c r="CC635"/>
      <c r="CD635"/>
      <c r="CE635"/>
      <c r="CF635"/>
      <c r="CG635"/>
      <c r="CH635"/>
      <c r="CI635"/>
      <c r="CJ635"/>
      <c r="CK635"/>
      <c r="CL635"/>
      <c r="CM635" s="20"/>
      <c r="CN635" s="20"/>
      <c r="CO635" s="20"/>
      <c r="CP635" s="20"/>
      <c r="CQ635" s="20"/>
      <c r="CR635" s="20"/>
      <c r="CS635" s="20"/>
      <c r="CT635" s="20"/>
      <c r="CU635" s="20"/>
      <c r="CV635" s="20"/>
      <c r="CW635" s="20"/>
      <c r="CX635" s="20"/>
      <c r="CY635" s="20"/>
    </row>
    <row r="636" spans="1:103" s="6" customFormat="1">
      <c r="A636"/>
      <c r="B636"/>
      <c r="C636"/>
      <c r="D636"/>
      <c r="E636"/>
      <c r="F636"/>
      <c r="G636"/>
      <c r="H636"/>
      <c r="I636"/>
      <c r="J636"/>
      <c r="N636" s="7"/>
      <c r="O636"/>
      <c r="P636" s="10"/>
      <c r="Q636" s="9"/>
      <c r="R636" s="10"/>
      <c r="S636" s="10"/>
      <c r="AA636" s="11"/>
      <c r="AD636"/>
      <c r="AE636"/>
      <c r="AF636"/>
      <c r="AG636"/>
      <c r="AH636" s="46"/>
      <c r="AI636"/>
      <c r="AJ636"/>
      <c r="AK636"/>
      <c r="AL636"/>
      <c r="AM636"/>
      <c r="AN636"/>
      <c r="AO636"/>
      <c r="AP636"/>
      <c r="AQ636"/>
      <c r="AR636"/>
      <c r="AS636"/>
      <c r="AT636" s="14"/>
      <c r="AU636"/>
      <c r="AV636"/>
      <c r="AW636"/>
      <c r="AX636" s="10"/>
      <c r="AY636" s="20"/>
      <c r="AZ636" s="16"/>
      <c r="BA636"/>
      <c r="BB636"/>
      <c r="BC636" s="16"/>
      <c r="BD636"/>
      <c r="BE636"/>
      <c r="BF636"/>
      <c r="BG636"/>
      <c r="BH636"/>
      <c r="BI636"/>
      <c r="BJ636"/>
      <c r="BK636"/>
      <c r="BL636"/>
      <c r="BM636"/>
      <c r="BN636" s="19"/>
      <c r="BO636"/>
      <c r="BP636"/>
      <c r="BQ636"/>
      <c r="BR636"/>
      <c r="BS636"/>
      <c r="BT636"/>
      <c r="BU636"/>
      <c r="BV636"/>
      <c r="BW636"/>
      <c r="BX636"/>
      <c r="BY636"/>
      <c r="BZ636"/>
      <c r="CA636"/>
      <c r="CB636"/>
      <c r="CC636"/>
      <c r="CD636"/>
      <c r="CE636"/>
      <c r="CF636"/>
      <c r="CG636"/>
      <c r="CH636"/>
      <c r="CI636"/>
      <c r="CJ636"/>
      <c r="CK636"/>
      <c r="CL636"/>
      <c r="CM636" s="20"/>
      <c r="CN636" s="20"/>
      <c r="CO636" s="20"/>
      <c r="CP636" s="20"/>
      <c r="CQ636" s="20"/>
      <c r="CR636" s="20"/>
      <c r="CS636" s="20"/>
      <c r="CT636" s="20"/>
      <c r="CU636" s="20"/>
      <c r="CV636" s="20"/>
      <c r="CW636" s="20"/>
      <c r="CX636" s="20"/>
      <c r="CY636" s="20"/>
    </row>
    <row r="637" spans="1:103" s="6" customFormat="1">
      <c r="A637"/>
      <c r="B637"/>
      <c r="C637"/>
      <c r="D637"/>
      <c r="E637"/>
      <c r="F637"/>
      <c r="G637"/>
      <c r="H637"/>
      <c r="I637"/>
      <c r="J637"/>
      <c r="N637" s="7"/>
      <c r="O637"/>
      <c r="P637" s="10"/>
      <c r="Q637" s="9"/>
      <c r="R637" s="10"/>
      <c r="S637" s="10"/>
      <c r="AA637" s="11"/>
      <c r="AD637"/>
      <c r="AE637"/>
      <c r="AF637"/>
      <c r="AG637"/>
      <c r="AH637" s="46"/>
      <c r="AI637"/>
      <c r="AJ637"/>
      <c r="AK637"/>
      <c r="AL637"/>
      <c r="AM637"/>
      <c r="AN637"/>
      <c r="AO637"/>
      <c r="AP637"/>
      <c r="AQ637"/>
      <c r="AR637"/>
      <c r="AS637"/>
      <c r="AT637" s="14"/>
      <c r="AU637"/>
      <c r="AV637"/>
      <c r="AW637"/>
      <c r="AX637" s="10"/>
      <c r="AY637" s="20"/>
      <c r="AZ637" s="16"/>
      <c r="BA637"/>
      <c r="BB637"/>
      <c r="BC637" s="16"/>
      <c r="BD637"/>
      <c r="BE637"/>
      <c r="BF637"/>
      <c r="BG637"/>
      <c r="BH637"/>
      <c r="BI637"/>
      <c r="BJ637"/>
      <c r="BK637"/>
      <c r="BL637"/>
      <c r="BM637"/>
      <c r="BN637" s="19"/>
      <c r="BO637"/>
      <c r="BP637"/>
      <c r="BQ637"/>
      <c r="BR637"/>
      <c r="BS637"/>
      <c r="BT637"/>
      <c r="BU637"/>
      <c r="BV637"/>
      <c r="BW637"/>
      <c r="BX637"/>
      <c r="BY637"/>
      <c r="BZ637"/>
      <c r="CA637"/>
      <c r="CB637"/>
      <c r="CC637"/>
      <c r="CD637"/>
      <c r="CE637"/>
      <c r="CF637"/>
      <c r="CG637"/>
      <c r="CH637"/>
      <c r="CI637"/>
      <c r="CJ637"/>
      <c r="CK637"/>
      <c r="CL637"/>
      <c r="CM637" s="20"/>
      <c r="CN637" s="20"/>
      <c r="CO637" s="20"/>
      <c r="CP637" s="20"/>
      <c r="CQ637" s="20"/>
      <c r="CR637" s="20"/>
      <c r="CS637" s="20"/>
      <c r="CT637" s="20"/>
      <c r="CU637" s="20"/>
      <c r="CV637" s="20"/>
      <c r="CW637" s="20"/>
      <c r="CX637" s="20"/>
      <c r="CY637" s="20"/>
    </row>
    <row r="638" spans="1:103" s="6" customFormat="1">
      <c r="A638"/>
      <c r="B638"/>
      <c r="C638"/>
      <c r="D638"/>
      <c r="E638"/>
      <c r="F638"/>
      <c r="G638"/>
      <c r="H638"/>
      <c r="I638"/>
      <c r="J638"/>
      <c r="N638" s="7"/>
      <c r="O638"/>
      <c r="P638" s="10"/>
      <c r="Q638" s="9"/>
      <c r="R638" s="10"/>
      <c r="S638" s="10"/>
      <c r="AA638" s="11"/>
      <c r="AD638"/>
      <c r="AE638"/>
      <c r="AF638"/>
      <c r="AG638"/>
      <c r="AH638" s="46"/>
      <c r="AI638"/>
      <c r="AJ638"/>
      <c r="AK638"/>
      <c r="AL638"/>
      <c r="AM638"/>
      <c r="AN638"/>
      <c r="AO638"/>
      <c r="AP638"/>
      <c r="AQ638"/>
      <c r="AR638"/>
      <c r="AS638"/>
      <c r="AT638" s="14"/>
      <c r="AU638"/>
      <c r="AV638"/>
      <c r="AW638"/>
      <c r="AX638" s="10"/>
      <c r="AY638" s="20"/>
      <c r="AZ638" s="16"/>
      <c r="BA638"/>
      <c r="BB638"/>
      <c r="BC638" s="16"/>
      <c r="BD638"/>
      <c r="BE638"/>
      <c r="BF638"/>
      <c r="BG638"/>
      <c r="BH638"/>
      <c r="BI638"/>
      <c r="BJ638"/>
      <c r="BK638"/>
      <c r="BL638"/>
      <c r="BM638"/>
      <c r="BN638" s="19"/>
      <c r="BO638"/>
      <c r="BP638"/>
      <c r="BQ638"/>
      <c r="BR638"/>
      <c r="BS638"/>
      <c r="BT638"/>
      <c r="BU638"/>
      <c r="BV638"/>
      <c r="BW638"/>
      <c r="BX638"/>
      <c r="BY638"/>
      <c r="BZ638"/>
      <c r="CA638"/>
      <c r="CB638"/>
      <c r="CC638"/>
      <c r="CD638"/>
      <c r="CE638"/>
      <c r="CF638"/>
      <c r="CG638"/>
      <c r="CH638"/>
      <c r="CI638"/>
      <c r="CJ638"/>
      <c r="CK638"/>
      <c r="CL638"/>
      <c r="CM638" s="20"/>
      <c r="CN638" s="20"/>
      <c r="CO638" s="20"/>
      <c r="CP638" s="20"/>
      <c r="CQ638" s="20"/>
      <c r="CR638" s="20"/>
      <c r="CS638" s="20"/>
      <c r="CT638" s="20"/>
      <c r="CU638" s="20"/>
      <c r="CV638" s="20"/>
      <c r="CW638" s="20"/>
      <c r="CX638" s="20"/>
      <c r="CY638" s="20"/>
    </row>
    <row r="639" spans="1:103" s="6" customFormat="1">
      <c r="A639"/>
      <c r="B639"/>
      <c r="C639"/>
      <c r="D639"/>
      <c r="E639"/>
      <c r="F639"/>
      <c r="G639"/>
      <c r="H639"/>
      <c r="I639"/>
      <c r="J639"/>
      <c r="N639" s="7"/>
      <c r="O639"/>
      <c r="P639" s="10"/>
      <c r="Q639" s="9"/>
      <c r="R639" s="10"/>
      <c r="S639" s="10"/>
      <c r="AA639" s="11"/>
      <c r="AD639"/>
      <c r="AE639"/>
      <c r="AF639"/>
      <c r="AG639"/>
      <c r="AH639" s="46"/>
      <c r="AI639"/>
      <c r="AJ639"/>
      <c r="AK639"/>
      <c r="AL639"/>
      <c r="AM639"/>
      <c r="AN639"/>
      <c r="AO639"/>
      <c r="AP639"/>
      <c r="AQ639"/>
      <c r="AR639"/>
      <c r="AS639"/>
      <c r="AT639" s="14"/>
      <c r="AU639"/>
      <c r="AV639"/>
      <c r="AW639"/>
      <c r="AX639" s="10"/>
      <c r="AY639" s="20"/>
      <c r="AZ639" s="16"/>
      <c r="BA639"/>
      <c r="BB639"/>
      <c r="BC639" s="16"/>
      <c r="BD639"/>
      <c r="BE639"/>
      <c r="BF639"/>
      <c r="BG639"/>
      <c r="BH639"/>
      <c r="BI639"/>
      <c r="BJ639"/>
      <c r="BK639"/>
      <c r="BL639"/>
      <c r="BM639"/>
      <c r="BN639" s="19"/>
      <c r="BO639"/>
      <c r="BP639"/>
      <c r="BQ639"/>
      <c r="BR639"/>
      <c r="BS639"/>
      <c r="BT639"/>
      <c r="BU639"/>
      <c r="BV639"/>
      <c r="BW639"/>
      <c r="BX639"/>
      <c r="BY639"/>
      <c r="BZ639"/>
      <c r="CA639"/>
      <c r="CB639"/>
      <c r="CC639"/>
      <c r="CD639"/>
      <c r="CE639"/>
      <c r="CF639"/>
      <c r="CG639"/>
      <c r="CH639"/>
      <c r="CI639"/>
      <c r="CJ639"/>
      <c r="CK639"/>
      <c r="CL639"/>
      <c r="CM639" s="20"/>
      <c r="CN639" s="20"/>
      <c r="CO639" s="20"/>
      <c r="CP639" s="20"/>
      <c r="CQ639" s="20"/>
      <c r="CR639" s="20"/>
      <c r="CS639" s="20"/>
      <c r="CT639" s="20"/>
      <c r="CU639" s="20"/>
      <c r="CV639" s="20"/>
      <c r="CW639" s="20"/>
      <c r="CX639" s="20"/>
      <c r="CY639" s="20"/>
    </row>
    <row r="640" spans="1:103" s="6" customFormat="1">
      <c r="A640"/>
      <c r="B640"/>
      <c r="C640"/>
      <c r="D640"/>
      <c r="E640"/>
      <c r="F640"/>
      <c r="G640"/>
      <c r="H640"/>
      <c r="I640"/>
      <c r="J640"/>
      <c r="N640" s="7"/>
      <c r="O640"/>
      <c r="P640" s="10"/>
      <c r="Q640" s="9"/>
      <c r="R640" s="10"/>
      <c r="S640" s="10"/>
      <c r="AA640" s="11"/>
      <c r="AD640"/>
      <c r="AE640"/>
      <c r="AF640"/>
      <c r="AG640"/>
      <c r="AH640" s="46"/>
      <c r="AI640"/>
      <c r="AJ640"/>
      <c r="AK640"/>
      <c r="AL640"/>
      <c r="AM640"/>
      <c r="AN640"/>
      <c r="AO640"/>
      <c r="AP640"/>
      <c r="AQ640"/>
      <c r="AR640"/>
      <c r="AS640"/>
      <c r="AT640" s="14"/>
      <c r="AU640"/>
      <c r="AV640"/>
      <c r="AW640"/>
      <c r="AX640" s="10"/>
      <c r="AY640" s="20"/>
      <c r="AZ640" s="16"/>
      <c r="BA640"/>
      <c r="BB640"/>
      <c r="BC640" s="16"/>
      <c r="BD640"/>
      <c r="BE640"/>
      <c r="BF640"/>
      <c r="BG640"/>
      <c r="BH640"/>
      <c r="BI640"/>
      <c r="BJ640"/>
      <c r="BK640"/>
      <c r="BL640"/>
      <c r="BM640"/>
      <c r="BN640" s="19"/>
      <c r="BO640"/>
      <c r="BP640"/>
      <c r="BQ640"/>
      <c r="BR640"/>
      <c r="BS640"/>
      <c r="BT640"/>
      <c r="BU640"/>
      <c r="BV640"/>
      <c r="BW640"/>
      <c r="BX640"/>
      <c r="BY640"/>
      <c r="BZ640"/>
      <c r="CA640"/>
      <c r="CB640"/>
      <c r="CC640"/>
      <c r="CD640"/>
      <c r="CE640"/>
      <c r="CF640"/>
      <c r="CG640"/>
      <c r="CH640"/>
      <c r="CI640"/>
      <c r="CJ640"/>
      <c r="CK640"/>
      <c r="CL640"/>
      <c r="CM640" s="20"/>
      <c r="CN640" s="20"/>
      <c r="CO640" s="20"/>
      <c r="CP640" s="20"/>
      <c r="CQ640" s="20"/>
      <c r="CR640" s="20"/>
      <c r="CS640" s="20"/>
      <c r="CT640" s="20"/>
      <c r="CU640" s="20"/>
      <c r="CV640" s="20"/>
      <c r="CW640" s="20"/>
      <c r="CX640" s="20"/>
      <c r="CY640" s="20"/>
    </row>
    <row r="641" spans="1:103" s="6" customFormat="1">
      <c r="A641"/>
      <c r="B641"/>
      <c r="C641"/>
      <c r="D641"/>
      <c r="E641"/>
      <c r="F641"/>
      <c r="G641"/>
      <c r="H641"/>
      <c r="I641"/>
      <c r="J641"/>
      <c r="N641" s="7"/>
      <c r="O641"/>
      <c r="P641" s="10"/>
      <c r="Q641" s="9"/>
      <c r="R641" s="10"/>
      <c r="S641" s="10"/>
      <c r="AA641" s="11"/>
      <c r="AD641"/>
      <c r="AE641"/>
      <c r="AF641"/>
      <c r="AG641"/>
      <c r="AH641" s="46"/>
      <c r="AI641"/>
      <c r="AJ641"/>
      <c r="AK641"/>
      <c r="AL641"/>
      <c r="AM641"/>
      <c r="AN641"/>
      <c r="AO641"/>
      <c r="AP641"/>
      <c r="AQ641"/>
      <c r="AR641"/>
      <c r="AS641"/>
      <c r="AT641" s="14"/>
      <c r="AU641"/>
      <c r="AV641"/>
      <c r="AW641"/>
      <c r="AX641" s="10"/>
      <c r="AY641" s="20"/>
      <c r="AZ641" s="16"/>
      <c r="BA641"/>
      <c r="BB641"/>
      <c r="BC641" s="16"/>
      <c r="BD641"/>
      <c r="BE641"/>
      <c r="BF641"/>
      <c r="BG641"/>
      <c r="BH641"/>
      <c r="BI641"/>
      <c r="BJ641"/>
      <c r="BK641"/>
      <c r="BL641"/>
      <c r="BM641"/>
      <c r="BN641" s="19"/>
      <c r="BO641"/>
      <c r="BP641"/>
      <c r="BQ641"/>
      <c r="BR641"/>
      <c r="BS641"/>
      <c r="BT641"/>
      <c r="BU641"/>
      <c r="BV641"/>
      <c r="BW641"/>
      <c r="BX641"/>
      <c r="BY641"/>
      <c r="BZ641"/>
      <c r="CA641"/>
      <c r="CB641"/>
      <c r="CC641"/>
      <c r="CD641"/>
      <c r="CE641"/>
      <c r="CF641"/>
      <c r="CG641"/>
      <c r="CH641"/>
      <c r="CI641"/>
      <c r="CJ641"/>
      <c r="CK641"/>
      <c r="CL641"/>
      <c r="CM641" s="20"/>
      <c r="CN641" s="20"/>
      <c r="CO641" s="20"/>
      <c r="CP641" s="20"/>
      <c r="CQ641" s="20"/>
      <c r="CR641" s="20"/>
      <c r="CS641" s="20"/>
      <c r="CT641" s="20"/>
      <c r="CU641" s="20"/>
      <c r="CV641" s="20"/>
      <c r="CW641" s="20"/>
      <c r="CX641" s="20"/>
      <c r="CY641" s="20"/>
    </row>
    <row r="642" spans="1:103" s="6" customFormat="1">
      <c r="A642"/>
      <c r="B642"/>
      <c r="C642"/>
      <c r="D642"/>
      <c r="E642"/>
      <c r="F642"/>
      <c r="G642"/>
      <c r="H642"/>
      <c r="I642"/>
      <c r="J642"/>
      <c r="N642" s="7"/>
      <c r="O642"/>
      <c r="P642" s="10"/>
      <c r="Q642" s="9"/>
      <c r="R642" s="10"/>
      <c r="S642" s="10"/>
      <c r="AA642" s="11"/>
      <c r="AD642"/>
      <c r="AE642"/>
      <c r="AF642"/>
      <c r="AG642"/>
      <c r="AH642" s="46"/>
      <c r="AI642"/>
      <c r="AJ642"/>
      <c r="AK642"/>
      <c r="AL642"/>
      <c r="AM642"/>
      <c r="AN642"/>
      <c r="AO642"/>
      <c r="AP642"/>
      <c r="AQ642"/>
      <c r="AR642"/>
      <c r="AS642"/>
      <c r="AT642" s="14"/>
      <c r="AU642"/>
      <c r="AV642"/>
      <c r="AW642"/>
      <c r="AX642" s="10"/>
      <c r="AY642" s="20"/>
      <c r="AZ642" s="16"/>
      <c r="BA642"/>
      <c r="BB642"/>
      <c r="BC642" s="16"/>
      <c r="BD642"/>
      <c r="BE642"/>
      <c r="BF642"/>
      <c r="BG642"/>
      <c r="BH642"/>
      <c r="BI642"/>
      <c r="BJ642"/>
      <c r="BK642"/>
      <c r="BL642"/>
      <c r="BM642"/>
      <c r="BN642" s="19"/>
      <c r="BO642"/>
      <c r="BP642"/>
      <c r="BQ642"/>
      <c r="BR642"/>
      <c r="BS642"/>
      <c r="BT642"/>
      <c r="BU642"/>
      <c r="BV642"/>
      <c r="BW642"/>
      <c r="BX642"/>
      <c r="BY642"/>
      <c r="BZ642"/>
      <c r="CA642"/>
      <c r="CB642"/>
      <c r="CC642"/>
      <c r="CD642"/>
      <c r="CE642"/>
      <c r="CF642"/>
      <c r="CG642"/>
      <c r="CH642"/>
      <c r="CI642"/>
      <c r="CJ642"/>
      <c r="CK642"/>
      <c r="CL642"/>
      <c r="CM642" s="20"/>
      <c r="CN642" s="20"/>
      <c r="CO642" s="20"/>
      <c r="CP642" s="20"/>
      <c r="CQ642" s="20"/>
      <c r="CR642" s="20"/>
      <c r="CS642" s="20"/>
      <c r="CT642" s="20"/>
      <c r="CU642" s="20"/>
      <c r="CV642" s="20"/>
      <c r="CW642" s="20"/>
      <c r="CX642" s="20"/>
      <c r="CY642" s="20"/>
    </row>
    <row r="643" spans="1:103" s="6" customFormat="1">
      <c r="A643"/>
      <c r="B643"/>
      <c r="C643"/>
      <c r="D643"/>
      <c r="E643"/>
      <c r="F643"/>
      <c r="G643"/>
      <c r="H643"/>
      <c r="I643"/>
      <c r="J643"/>
      <c r="N643" s="7"/>
      <c r="O643"/>
      <c r="P643" s="10"/>
      <c r="Q643" s="9"/>
      <c r="R643" s="10"/>
      <c r="S643" s="10"/>
      <c r="AA643" s="11"/>
      <c r="AD643"/>
      <c r="AE643"/>
      <c r="AF643"/>
      <c r="AG643"/>
      <c r="AH643" s="46"/>
      <c r="AI643"/>
      <c r="AJ643"/>
      <c r="AK643"/>
      <c r="AL643"/>
      <c r="AM643"/>
      <c r="AN643"/>
      <c r="AO643"/>
      <c r="AP643"/>
      <c r="AQ643"/>
      <c r="AR643"/>
      <c r="AS643"/>
      <c r="AT643" s="14"/>
      <c r="AU643"/>
      <c r="AV643"/>
      <c r="AW643"/>
      <c r="AX643" s="10"/>
      <c r="AY643" s="20"/>
      <c r="AZ643" s="16"/>
      <c r="BA643"/>
      <c r="BB643"/>
      <c r="BC643" s="16"/>
      <c r="BD643"/>
      <c r="BE643"/>
      <c r="BF643"/>
      <c r="BG643"/>
      <c r="BH643"/>
      <c r="BI643"/>
      <c r="BJ643"/>
      <c r="BK643"/>
      <c r="BL643"/>
      <c r="BM643"/>
      <c r="BN643" s="19"/>
      <c r="BO643"/>
      <c r="BP643"/>
      <c r="BQ643"/>
      <c r="BR643"/>
      <c r="BS643"/>
      <c r="BT643"/>
      <c r="BU643"/>
      <c r="BV643"/>
      <c r="BW643"/>
      <c r="BX643"/>
      <c r="BY643"/>
      <c r="BZ643"/>
      <c r="CA643"/>
      <c r="CB643"/>
      <c r="CC643"/>
      <c r="CD643"/>
      <c r="CE643"/>
      <c r="CF643"/>
      <c r="CG643"/>
      <c r="CH643"/>
      <c r="CI643"/>
      <c r="CJ643"/>
      <c r="CK643"/>
      <c r="CL643"/>
      <c r="CM643" s="20"/>
      <c r="CN643" s="20"/>
      <c r="CO643" s="20"/>
      <c r="CP643" s="20"/>
      <c r="CQ643" s="20"/>
      <c r="CR643" s="20"/>
      <c r="CS643" s="20"/>
      <c r="CT643" s="20"/>
      <c r="CU643" s="20"/>
      <c r="CV643" s="20"/>
      <c r="CW643" s="20"/>
      <c r="CX643" s="20"/>
      <c r="CY643" s="20"/>
    </row>
    <row r="644" spans="1:103" s="6" customFormat="1">
      <c r="A644"/>
      <c r="B644"/>
      <c r="C644"/>
      <c r="D644"/>
      <c r="E644"/>
      <c r="F644"/>
      <c r="G644"/>
      <c r="H644"/>
      <c r="I644"/>
      <c r="J644"/>
      <c r="N644" s="7"/>
      <c r="O644"/>
      <c r="P644" s="10"/>
      <c r="Q644" s="9"/>
      <c r="R644" s="10"/>
      <c r="S644" s="10"/>
      <c r="AA644" s="11"/>
      <c r="AD644"/>
      <c r="AE644"/>
      <c r="AF644"/>
      <c r="AG644"/>
      <c r="AH644" s="46"/>
      <c r="AI644"/>
      <c r="AJ644"/>
      <c r="AK644"/>
      <c r="AL644"/>
      <c r="AM644"/>
      <c r="AN644"/>
      <c r="AO644"/>
      <c r="AP644"/>
      <c r="AQ644"/>
      <c r="AR644"/>
      <c r="AS644"/>
      <c r="AT644" s="14"/>
      <c r="AU644"/>
      <c r="AV644"/>
      <c r="AW644"/>
      <c r="AX644" s="10"/>
      <c r="AY644" s="20"/>
      <c r="AZ644" s="16"/>
      <c r="BA644"/>
      <c r="BB644"/>
      <c r="BC644" s="16"/>
      <c r="BD644"/>
      <c r="BE644"/>
      <c r="BF644"/>
      <c r="BG644"/>
      <c r="BH644"/>
      <c r="BI644"/>
      <c r="BJ644"/>
      <c r="BK644"/>
      <c r="BL644"/>
      <c r="BM644"/>
      <c r="BN644" s="19"/>
      <c r="BO644"/>
      <c r="BP644"/>
      <c r="BQ644"/>
      <c r="BR644"/>
      <c r="BS644"/>
      <c r="BT644"/>
      <c r="BU644"/>
      <c r="BV644"/>
      <c r="BW644"/>
      <c r="BX644"/>
      <c r="BY644"/>
      <c r="BZ644"/>
      <c r="CA644"/>
      <c r="CB644"/>
      <c r="CC644"/>
      <c r="CD644"/>
      <c r="CE644"/>
      <c r="CF644"/>
      <c r="CG644"/>
      <c r="CH644"/>
      <c r="CI644"/>
      <c r="CJ644"/>
      <c r="CK644"/>
      <c r="CL644"/>
      <c r="CM644" s="20"/>
      <c r="CN644" s="20"/>
      <c r="CO644" s="20"/>
      <c r="CP644" s="20"/>
      <c r="CQ644" s="20"/>
      <c r="CR644" s="20"/>
      <c r="CS644" s="20"/>
      <c r="CT644" s="20"/>
      <c r="CU644" s="20"/>
      <c r="CV644" s="20"/>
      <c r="CW644" s="20"/>
      <c r="CX644" s="20"/>
      <c r="CY644" s="20"/>
    </row>
    <row r="645" spans="1:103" s="6" customFormat="1">
      <c r="A645"/>
      <c r="B645"/>
      <c r="C645"/>
      <c r="D645"/>
      <c r="E645"/>
      <c r="F645"/>
      <c r="G645"/>
      <c r="H645"/>
      <c r="I645"/>
      <c r="J645"/>
      <c r="N645" s="7"/>
      <c r="O645"/>
      <c r="P645" s="10"/>
      <c r="Q645" s="9"/>
      <c r="R645" s="10"/>
      <c r="S645" s="10"/>
      <c r="AA645" s="11"/>
      <c r="AD645"/>
      <c r="AE645"/>
      <c r="AF645"/>
      <c r="AG645"/>
      <c r="AH645" s="46"/>
      <c r="AI645"/>
      <c r="AJ645"/>
      <c r="AK645"/>
      <c r="AL645"/>
      <c r="AM645"/>
      <c r="AN645"/>
      <c r="AO645"/>
      <c r="AP645"/>
      <c r="AQ645"/>
      <c r="AR645"/>
      <c r="AS645"/>
      <c r="AT645" s="14"/>
      <c r="AU645"/>
      <c r="AV645"/>
      <c r="AW645"/>
      <c r="AX645" s="10"/>
      <c r="AY645" s="20"/>
      <c r="AZ645" s="16"/>
      <c r="BA645"/>
      <c r="BB645"/>
      <c r="BC645" s="16"/>
      <c r="BD645"/>
      <c r="BE645"/>
      <c r="BF645"/>
      <c r="BG645"/>
      <c r="BH645"/>
      <c r="BI645"/>
      <c r="BJ645"/>
      <c r="BK645"/>
      <c r="BL645"/>
      <c r="BM645"/>
      <c r="BN645" s="19"/>
      <c r="BO645"/>
      <c r="BP645"/>
      <c r="BQ645"/>
      <c r="BR645"/>
      <c r="BS645"/>
      <c r="BT645"/>
      <c r="BU645"/>
      <c r="BV645"/>
      <c r="BW645"/>
      <c r="BX645"/>
      <c r="BY645"/>
      <c r="BZ645"/>
      <c r="CA645"/>
      <c r="CB645"/>
      <c r="CC645"/>
      <c r="CD645"/>
      <c r="CE645"/>
      <c r="CF645"/>
      <c r="CG645"/>
      <c r="CH645"/>
      <c r="CI645"/>
      <c r="CJ645"/>
      <c r="CK645"/>
      <c r="CL645"/>
      <c r="CM645" s="20"/>
      <c r="CN645" s="20"/>
      <c r="CO645" s="20"/>
      <c r="CP645" s="20"/>
      <c r="CQ645" s="20"/>
      <c r="CR645" s="20"/>
      <c r="CS645" s="20"/>
      <c r="CT645" s="20"/>
      <c r="CU645" s="20"/>
      <c r="CV645" s="20"/>
      <c r="CW645" s="20"/>
      <c r="CX645" s="20"/>
      <c r="CY645" s="20"/>
    </row>
    <row r="646" spans="1:103" s="6" customFormat="1">
      <c r="A646"/>
      <c r="B646"/>
      <c r="C646"/>
      <c r="D646"/>
      <c r="E646"/>
      <c r="F646"/>
      <c r="G646"/>
      <c r="H646"/>
      <c r="I646"/>
      <c r="J646"/>
      <c r="N646" s="7"/>
      <c r="O646"/>
      <c r="P646" s="10"/>
      <c r="Q646" s="9"/>
      <c r="R646" s="10"/>
      <c r="S646" s="10"/>
      <c r="AA646" s="11"/>
      <c r="AD646"/>
      <c r="AE646"/>
      <c r="AF646"/>
      <c r="AG646"/>
      <c r="AH646" s="46"/>
      <c r="AI646"/>
      <c r="AJ646"/>
      <c r="AK646"/>
      <c r="AL646"/>
      <c r="AM646"/>
      <c r="AN646"/>
      <c r="AO646"/>
      <c r="AP646"/>
      <c r="AQ646"/>
      <c r="AR646"/>
      <c r="AS646"/>
      <c r="AT646" s="14"/>
      <c r="AU646"/>
      <c r="AV646"/>
      <c r="AW646"/>
      <c r="AX646" s="10"/>
      <c r="AY646" s="20"/>
      <c r="AZ646" s="16"/>
      <c r="BA646"/>
      <c r="BB646"/>
      <c r="BC646" s="16"/>
      <c r="BD646"/>
      <c r="BE646"/>
      <c r="BF646"/>
      <c r="BG646"/>
      <c r="BH646"/>
      <c r="BI646"/>
      <c r="BJ646"/>
      <c r="BK646"/>
      <c r="BL646"/>
      <c r="BM646"/>
      <c r="BN646" s="19"/>
      <c r="BO646"/>
      <c r="BP646"/>
      <c r="BQ646"/>
      <c r="BR646"/>
      <c r="BS646"/>
      <c r="BT646"/>
      <c r="BU646"/>
      <c r="BV646"/>
      <c r="BW646"/>
      <c r="BX646"/>
      <c r="BY646"/>
      <c r="BZ646"/>
      <c r="CA646"/>
      <c r="CB646"/>
      <c r="CC646"/>
      <c r="CD646"/>
      <c r="CE646"/>
      <c r="CF646"/>
      <c r="CG646"/>
      <c r="CH646"/>
      <c r="CI646"/>
      <c r="CJ646"/>
      <c r="CK646"/>
      <c r="CL646"/>
      <c r="CM646" s="20"/>
      <c r="CN646" s="20"/>
      <c r="CO646" s="20"/>
      <c r="CP646" s="20"/>
      <c r="CQ646" s="20"/>
      <c r="CR646" s="20"/>
      <c r="CS646" s="20"/>
      <c r="CT646" s="20"/>
      <c r="CU646" s="20"/>
      <c r="CV646" s="20"/>
      <c r="CW646" s="20"/>
      <c r="CX646" s="20"/>
      <c r="CY646" s="20"/>
    </row>
    <row r="647" spans="1:103" s="6" customFormat="1">
      <c r="A647"/>
      <c r="B647"/>
      <c r="C647"/>
      <c r="D647"/>
      <c r="E647"/>
      <c r="F647"/>
      <c r="G647"/>
      <c r="H647"/>
      <c r="I647"/>
      <c r="J647"/>
      <c r="N647" s="7"/>
      <c r="O647"/>
      <c r="P647" s="10"/>
      <c r="Q647" s="9"/>
      <c r="R647" s="10"/>
      <c r="S647" s="10"/>
      <c r="AA647" s="11"/>
      <c r="AD647"/>
      <c r="AE647"/>
      <c r="AF647"/>
      <c r="AG647"/>
      <c r="AH647" s="46"/>
      <c r="AI647"/>
      <c r="AJ647"/>
      <c r="AK647"/>
      <c r="AL647"/>
      <c r="AM647"/>
      <c r="AN647"/>
      <c r="AO647"/>
      <c r="AP647"/>
      <c r="AQ647"/>
      <c r="AR647"/>
      <c r="AS647"/>
      <c r="AT647" s="14"/>
      <c r="AU647"/>
      <c r="AV647"/>
      <c r="AW647"/>
      <c r="AX647" s="10"/>
      <c r="AY647" s="20"/>
      <c r="AZ647" s="16"/>
      <c r="BA647"/>
      <c r="BB647"/>
      <c r="BC647" s="16"/>
      <c r="BD647"/>
      <c r="BE647"/>
      <c r="BF647"/>
      <c r="BG647"/>
      <c r="BH647"/>
      <c r="BI647"/>
      <c r="BJ647"/>
      <c r="BK647"/>
      <c r="BL647"/>
      <c r="BM647"/>
      <c r="BN647" s="19"/>
      <c r="BO647"/>
      <c r="BP647"/>
      <c r="BQ647"/>
      <c r="BR647"/>
      <c r="BS647"/>
      <c r="BT647"/>
      <c r="BU647"/>
      <c r="BV647"/>
      <c r="BW647"/>
      <c r="BX647"/>
      <c r="BY647"/>
      <c r="BZ647"/>
      <c r="CA647"/>
      <c r="CB647"/>
      <c r="CC647"/>
      <c r="CD647"/>
      <c r="CE647"/>
      <c r="CF647"/>
      <c r="CG647"/>
      <c r="CH647"/>
      <c r="CI647"/>
      <c r="CJ647"/>
      <c r="CK647"/>
      <c r="CL647"/>
      <c r="CM647" s="20"/>
      <c r="CN647" s="20"/>
      <c r="CO647" s="20"/>
      <c r="CP647" s="20"/>
      <c r="CQ647" s="20"/>
      <c r="CR647" s="20"/>
      <c r="CS647" s="20"/>
      <c r="CT647" s="20"/>
      <c r="CU647" s="20"/>
      <c r="CV647" s="20"/>
      <c r="CW647" s="20"/>
      <c r="CX647" s="20"/>
      <c r="CY647" s="20"/>
    </row>
    <row r="648" spans="1:103" s="6" customFormat="1">
      <c r="A648"/>
      <c r="B648"/>
      <c r="C648"/>
      <c r="D648"/>
      <c r="E648"/>
      <c r="F648"/>
      <c r="G648"/>
      <c r="H648"/>
      <c r="I648"/>
      <c r="J648"/>
      <c r="N648" s="7"/>
      <c r="O648"/>
      <c r="P648" s="10"/>
      <c r="Q648" s="9"/>
      <c r="R648" s="10"/>
      <c r="S648" s="10"/>
      <c r="AA648" s="11"/>
      <c r="AD648"/>
      <c r="AE648"/>
      <c r="AF648"/>
      <c r="AG648"/>
      <c r="AH648" s="46"/>
      <c r="AI648"/>
      <c r="AJ648"/>
      <c r="AK648"/>
      <c r="AL648"/>
      <c r="AM648"/>
      <c r="AN648"/>
      <c r="AO648"/>
      <c r="AP648"/>
      <c r="AQ648"/>
      <c r="AR648"/>
      <c r="AS648"/>
      <c r="AT648" s="14"/>
      <c r="AU648"/>
      <c r="AV648"/>
      <c r="AW648"/>
      <c r="AX648" s="10"/>
      <c r="AY648" s="20"/>
      <c r="AZ648" s="16"/>
      <c r="BA648"/>
      <c r="BB648"/>
      <c r="BC648" s="16"/>
      <c r="BD648"/>
      <c r="BE648"/>
      <c r="BF648"/>
      <c r="BG648"/>
      <c r="BH648"/>
      <c r="BI648"/>
      <c r="BJ648"/>
      <c r="BK648"/>
      <c r="BL648"/>
      <c r="BM648"/>
      <c r="BN648" s="19"/>
      <c r="BO648"/>
      <c r="BP648"/>
      <c r="BQ648"/>
      <c r="BR648"/>
      <c r="BS648"/>
      <c r="BT648"/>
      <c r="BU648"/>
      <c r="BV648"/>
      <c r="BW648"/>
      <c r="BX648"/>
      <c r="BY648"/>
      <c r="BZ648"/>
      <c r="CA648"/>
      <c r="CB648"/>
      <c r="CC648"/>
      <c r="CD648"/>
      <c r="CE648"/>
      <c r="CF648"/>
      <c r="CG648"/>
      <c r="CH648"/>
      <c r="CI648"/>
      <c r="CJ648"/>
      <c r="CK648"/>
      <c r="CL648"/>
      <c r="CM648" s="20"/>
      <c r="CN648" s="20"/>
      <c r="CO648" s="20"/>
      <c r="CP648" s="20"/>
      <c r="CQ648" s="20"/>
      <c r="CR648" s="20"/>
      <c r="CS648" s="20"/>
      <c r="CT648" s="20"/>
      <c r="CU648" s="20"/>
      <c r="CV648" s="20"/>
      <c r="CW648" s="20"/>
      <c r="CX648" s="20"/>
      <c r="CY648" s="20"/>
    </row>
    <row r="649" spans="1:103" s="6" customFormat="1">
      <c r="A649"/>
      <c r="B649"/>
      <c r="C649"/>
      <c r="D649"/>
      <c r="E649"/>
      <c r="F649"/>
      <c r="G649"/>
      <c r="H649"/>
      <c r="I649"/>
      <c r="J649"/>
      <c r="N649" s="7"/>
      <c r="O649"/>
      <c r="P649" s="10"/>
      <c r="Q649" s="9"/>
      <c r="R649" s="10"/>
      <c r="S649" s="10"/>
      <c r="AA649" s="11"/>
      <c r="AD649"/>
      <c r="AE649"/>
      <c r="AF649"/>
      <c r="AG649"/>
      <c r="AH649" s="46"/>
      <c r="AI649"/>
      <c r="AJ649"/>
      <c r="AK649"/>
      <c r="AL649"/>
      <c r="AM649"/>
      <c r="AN649"/>
      <c r="AO649"/>
      <c r="AP649"/>
      <c r="AQ649"/>
      <c r="AR649"/>
      <c r="AS649"/>
      <c r="AT649" s="14"/>
      <c r="AU649"/>
      <c r="AV649"/>
      <c r="AW649"/>
      <c r="AX649" s="10"/>
      <c r="AY649" s="20"/>
      <c r="AZ649" s="16"/>
      <c r="BA649"/>
      <c r="BB649"/>
      <c r="BC649" s="16"/>
      <c r="BD649"/>
      <c r="BE649"/>
      <c r="BF649"/>
      <c r="BG649"/>
      <c r="BH649"/>
      <c r="BI649"/>
      <c r="BJ649"/>
      <c r="BK649"/>
      <c r="BL649"/>
      <c r="BM649"/>
      <c r="BN649" s="19"/>
      <c r="BO649"/>
      <c r="BP649"/>
      <c r="BQ649"/>
      <c r="BR649"/>
      <c r="BS649"/>
      <c r="BT649"/>
      <c r="BU649"/>
      <c r="BV649"/>
      <c r="BW649"/>
      <c r="BX649"/>
      <c r="BY649"/>
      <c r="BZ649"/>
      <c r="CA649"/>
      <c r="CB649"/>
      <c r="CC649"/>
      <c r="CD649"/>
      <c r="CE649"/>
      <c r="CF649"/>
      <c r="CG649"/>
      <c r="CH649"/>
      <c r="CI649"/>
      <c r="CJ649"/>
      <c r="CK649"/>
      <c r="CL649"/>
      <c r="CM649" s="20"/>
      <c r="CN649" s="20"/>
      <c r="CO649" s="20"/>
      <c r="CP649" s="20"/>
      <c r="CQ649" s="20"/>
      <c r="CR649" s="20"/>
      <c r="CS649" s="20"/>
      <c r="CT649" s="20"/>
      <c r="CU649" s="20"/>
      <c r="CV649" s="20"/>
      <c r="CW649" s="20"/>
      <c r="CX649" s="20"/>
      <c r="CY649" s="20"/>
    </row>
    <row r="650" spans="1:103" s="6" customFormat="1">
      <c r="A650"/>
      <c r="B650"/>
      <c r="C650"/>
      <c r="D650"/>
      <c r="E650"/>
      <c r="F650"/>
      <c r="G650"/>
      <c r="H650"/>
      <c r="I650"/>
      <c r="J650"/>
      <c r="N650" s="7"/>
      <c r="O650"/>
      <c r="P650" s="10"/>
      <c r="Q650" s="9"/>
      <c r="R650" s="10"/>
      <c r="S650" s="10"/>
      <c r="AA650" s="11"/>
      <c r="AD650"/>
      <c r="AE650"/>
      <c r="AF650"/>
      <c r="AG650"/>
      <c r="AH650" s="46"/>
      <c r="AI650"/>
      <c r="AJ650"/>
      <c r="AK650"/>
      <c r="AL650"/>
      <c r="AM650"/>
      <c r="AN650"/>
      <c r="AO650"/>
      <c r="AP650"/>
      <c r="AQ650"/>
      <c r="AR650"/>
      <c r="AS650"/>
      <c r="AT650" s="14"/>
      <c r="AU650"/>
      <c r="AV650"/>
      <c r="AW650"/>
      <c r="AX650" s="10"/>
      <c r="AY650" s="20"/>
      <c r="AZ650" s="16"/>
      <c r="BA650"/>
      <c r="BB650"/>
      <c r="BC650" s="16"/>
      <c r="BD650"/>
      <c r="BE650"/>
      <c r="BF650"/>
      <c r="BG650"/>
      <c r="BH650"/>
      <c r="BI650"/>
      <c r="BJ650"/>
      <c r="BK650"/>
      <c r="BL650"/>
      <c r="BM650"/>
      <c r="BN650" s="19"/>
      <c r="BO650"/>
      <c r="BP650"/>
      <c r="BQ650"/>
      <c r="BR650"/>
      <c r="BS650"/>
      <c r="BT650"/>
      <c r="BU650"/>
      <c r="BV650"/>
      <c r="BW650"/>
      <c r="BX650"/>
      <c r="BY650"/>
      <c r="BZ650"/>
      <c r="CA650"/>
      <c r="CB650"/>
      <c r="CC650"/>
      <c r="CD650"/>
      <c r="CE650"/>
      <c r="CF650"/>
      <c r="CG650"/>
      <c r="CH650"/>
      <c r="CI650"/>
      <c r="CJ650"/>
      <c r="CK650"/>
      <c r="CL650"/>
      <c r="CM650" s="20"/>
      <c r="CN650" s="20"/>
      <c r="CO650" s="20"/>
      <c r="CP650" s="20"/>
      <c r="CQ650" s="20"/>
      <c r="CR650" s="20"/>
      <c r="CS650" s="20"/>
      <c r="CT650" s="20"/>
      <c r="CU650" s="20"/>
      <c r="CV650" s="20"/>
      <c r="CW650" s="20"/>
      <c r="CX650" s="20"/>
      <c r="CY650" s="20"/>
    </row>
    <row r="651" spans="1:103" s="6" customFormat="1">
      <c r="A651"/>
      <c r="B651"/>
      <c r="C651"/>
      <c r="D651"/>
      <c r="E651"/>
      <c r="F651"/>
      <c r="G651"/>
      <c r="H651"/>
      <c r="I651"/>
      <c r="J651"/>
      <c r="N651" s="7"/>
      <c r="O651"/>
      <c r="P651" s="10"/>
      <c r="Q651" s="9"/>
      <c r="R651" s="10"/>
      <c r="S651" s="10"/>
      <c r="AA651" s="11"/>
      <c r="AD651"/>
      <c r="AE651"/>
      <c r="AF651"/>
      <c r="AG651"/>
      <c r="AH651" s="46"/>
      <c r="AI651"/>
      <c r="AJ651"/>
      <c r="AK651"/>
      <c r="AL651"/>
      <c r="AM651"/>
      <c r="AN651"/>
      <c r="AO651"/>
      <c r="AP651"/>
      <c r="AQ651"/>
      <c r="AR651"/>
      <c r="AS651"/>
      <c r="AT651" s="14"/>
      <c r="AU651"/>
      <c r="AV651"/>
      <c r="AW651"/>
      <c r="AX651" s="10"/>
      <c r="AY651" s="20"/>
      <c r="AZ651" s="16"/>
      <c r="BA651"/>
      <c r="BB651"/>
      <c r="BC651" s="16"/>
      <c r="BD651"/>
      <c r="BE651"/>
      <c r="BF651"/>
      <c r="BG651"/>
      <c r="BH651"/>
      <c r="BI651"/>
      <c r="BJ651"/>
      <c r="BK651"/>
      <c r="BL651"/>
      <c r="BM651"/>
      <c r="BN651" s="19"/>
      <c r="BO651"/>
      <c r="BP651"/>
      <c r="BQ651"/>
      <c r="BR651"/>
      <c r="BS651"/>
      <c r="BT651"/>
      <c r="BU651"/>
      <c r="BV651"/>
      <c r="BW651"/>
      <c r="BX651"/>
      <c r="BY651"/>
      <c r="BZ651"/>
      <c r="CA651"/>
      <c r="CB651"/>
      <c r="CC651"/>
      <c r="CD651"/>
      <c r="CE651"/>
      <c r="CF651"/>
      <c r="CG651"/>
      <c r="CH651"/>
      <c r="CI651"/>
      <c r="CJ651"/>
      <c r="CK651"/>
      <c r="CL651"/>
      <c r="CM651" s="20"/>
      <c r="CN651" s="20"/>
      <c r="CO651" s="20"/>
      <c r="CP651" s="20"/>
      <c r="CQ651" s="20"/>
      <c r="CR651" s="20"/>
      <c r="CS651" s="20"/>
      <c r="CT651" s="20"/>
      <c r="CU651" s="20"/>
      <c r="CV651" s="20"/>
      <c r="CW651" s="20"/>
      <c r="CX651" s="20"/>
      <c r="CY651" s="20"/>
    </row>
    <row r="652" spans="1:103" s="6" customFormat="1">
      <c r="A652"/>
      <c r="B652"/>
      <c r="C652"/>
      <c r="D652"/>
      <c r="E652"/>
      <c r="F652"/>
      <c r="G652"/>
      <c r="H652"/>
      <c r="I652"/>
      <c r="J652"/>
      <c r="N652" s="7"/>
      <c r="O652"/>
      <c r="P652" s="10"/>
      <c r="Q652" s="9"/>
      <c r="R652" s="10"/>
      <c r="S652" s="10"/>
      <c r="AA652" s="11"/>
      <c r="AD652"/>
      <c r="AE652"/>
      <c r="AF652"/>
      <c r="AG652"/>
      <c r="AH652" s="46"/>
      <c r="AI652"/>
      <c r="AJ652"/>
      <c r="AK652"/>
      <c r="AL652"/>
      <c r="AM652"/>
      <c r="AN652"/>
      <c r="AO652"/>
      <c r="AP652"/>
      <c r="AQ652"/>
      <c r="AR652"/>
      <c r="AS652"/>
      <c r="AT652" s="14"/>
      <c r="AU652"/>
      <c r="AV652"/>
      <c r="AW652"/>
      <c r="AX652" s="10"/>
      <c r="AY652" s="20"/>
      <c r="AZ652" s="16"/>
      <c r="BA652"/>
      <c r="BB652"/>
      <c r="BC652" s="16"/>
      <c r="BD652"/>
      <c r="BE652"/>
      <c r="BF652"/>
      <c r="BG652"/>
      <c r="BH652"/>
      <c r="BI652"/>
      <c r="BJ652"/>
      <c r="BK652"/>
      <c r="BL652"/>
      <c r="BM652"/>
      <c r="BN652" s="19"/>
      <c r="BO652"/>
      <c r="BP652"/>
      <c r="BQ652"/>
      <c r="BR652"/>
      <c r="BS652"/>
      <c r="BT652"/>
      <c r="BU652"/>
      <c r="BV652"/>
      <c r="BW652"/>
      <c r="BX652"/>
      <c r="BY652"/>
      <c r="BZ652"/>
      <c r="CA652"/>
      <c r="CB652"/>
      <c r="CC652"/>
      <c r="CD652"/>
      <c r="CE652"/>
      <c r="CF652"/>
      <c r="CG652"/>
      <c r="CH652"/>
      <c r="CI652"/>
      <c r="CJ652"/>
      <c r="CK652"/>
      <c r="CL652"/>
      <c r="CM652" s="20"/>
      <c r="CN652" s="20"/>
      <c r="CO652" s="20"/>
      <c r="CP652" s="20"/>
      <c r="CQ652" s="20"/>
      <c r="CR652" s="20"/>
      <c r="CS652" s="20"/>
      <c r="CT652" s="20"/>
      <c r="CU652" s="20"/>
      <c r="CV652" s="20"/>
      <c r="CW652" s="20"/>
      <c r="CX652" s="20"/>
      <c r="CY652" s="20"/>
    </row>
    <row r="653" spans="1:103" s="6" customFormat="1">
      <c r="A653"/>
      <c r="B653"/>
      <c r="C653"/>
      <c r="D653"/>
      <c r="E653"/>
      <c r="F653"/>
      <c r="G653"/>
      <c r="H653"/>
      <c r="I653"/>
      <c r="J653"/>
      <c r="N653" s="7"/>
      <c r="O653"/>
      <c r="P653" s="10"/>
      <c r="Q653" s="9"/>
      <c r="R653" s="10"/>
      <c r="S653" s="10"/>
      <c r="AA653" s="11"/>
      <c r="AD653"/>
      <c r="AE653"/>
      <c r="AF653"/>
      <c r="AG653"/>
      <c r="AH653" s="46"/>
      <c r="AI653"/>
      <c r="AJ653"/>
      <c r="AK653"/>
      <c r="AL653"/>
      <c r="AM653"/>
      <c r="AN653"/>
      <c r="AO653"/>
      <c r="AP653"/>
      <c r="AQ653"/>
      <c r="AR653"/>
      <c r="AS653"/>
      <c r="AT653" s="14"/>
      <c r="AU653"/>
      <c r="AV653"/>
      <c r="AW653"/>
      <c r="AX653" s="10"/>
      <c r="AY653" s="20"/>
      <c r="AZ653" s="16"/>
      <c r="BA653"/>
      <c r="BB653"/>
      <c r="BC653" s="16"/>
      <c r="BD653"/>
      <c r="BE653"/>
      <c r="BF653"/>
      <c r="BG653"/>
      <c r="BH653"/>
      <c r="BI653"/>
      <c r="BJ653"/>
      <c r="BK653"/>
      <c r="BL653"/>
      <c r="BM653"/>
      <c r="BN653" s="19"/>
      <c r="BO653"/>
      <c r="BP653"/>
      <c r="BQ653"/>
      <c r="BR653"/>
      <c r="BS653"/>
      <c r="BT653"/>
      <c r="BU653"/>
      <c r="BV653"/>
      <c r="BW653"/>
      <c r="BX653"/>
      <c r="BY653"/>
      <c r="BZ653"/>
      <c r="CA653"/>
      <c r="CB653"/>
      <c r="CC653"/>
      <c r="CD653"/>
      <c r="CE653"/>
      <c r="CF653"/>
      <c r="CG653"/>
      <c r="CH653"/>
      <c r="CI653"/>
      <c r="CJ653"/>
      <c r="CK653"/>
      <c r="CL653"/>
      <c r="CM653" s="20"/>
      <c r="CN653" s="20"/>
      <c r="CO653" s="20"/>
      <c r="CP653" s="20"/>
      <c r="CQ653" s="20"/>
      <c r="CR653" s="20"/>
      <c r="CS653" s="20"/>
      <c r="CT653" s="20"/>
      <c r="CU653" s="20"/>
      <c r="CV653" s="20"/>
      <c r="CW653" s="20"/>
      <c r="CX653" s="20"/>
      <c r="CY653" s="20"/>
    </row>
    <row r="654" spans="1:103" s="6" customFormat="1">
      <c r="A654"/>
      <c r="B654"/>
      <c r="C654"/>
      <c r="D654"/>
      <c r="E654"/>
      <c r="F654"/>
      <c r="G654"/>
      <c r="H654"/>
      <c r="I654"/>
      <c r="J654"/>
      <c r="N654" s="7"/>
      <c r="O654"/>
      <c r="P654" s="10"/>
      <c r="Q654" s="9"/>
      <c r="R654" s="10"/>
      <c r="S654" s="10"/>
      <c r="AA654" s="11"/>
      <c r="AD654"/>
      <c r="AE654"/>
      <c r="AF654"/>
      <c r="AG654"/>
      <c r="AH654" s="46"/>
      <c r="AI654"/>
      <c r="AJ654"/>
      <c r="AK654"/>
      <c r="AL654"/>
      <c r="AM654"/>
      <c r="AN654"/>
      <c r="AO654"/>
      <c r="AP654"/>
      <c r="AQ654"/>
      <c r="AR654"/>
      <c r="AS654"/>
      <c r="AT654" s="14"/>
      <c r="AU654"/>
      <c r="AV654"/>
      <c r="AW654"/>
      <c r="AX654" s="10"/>
      <c r="AY654" s="20"/>
      <c r="AZ654" s="16"/>
      <c r="BA654"/>
      <c r="BB654"/>
      <c r="BC654" s="16"/>
      <c r="BD654"/>
      <c r="BE654"/>
      <c r="BF654"/>
      <c r="BG654"/>
      <c r="BH654"/>
      <c r="BI654"/>
      <c r="BJ654"/>
      <c r="BK654"/>
      <c r="BL654"/>
      <c r="BM654"/>
      <c r="BN654" s="19"/>
      <c r="BO654"/>
      <c r="BP654"/>
      <c r="BQ654"/>
      <c r="BR654"/>
      <c r="BS654"/>
      <c r="BT654"/>
      <c r="BU654"/>
      <c r="BV654"/>
      <c r="BW654"/>
      <c r="BX654"/>
      <c r="BY654"/>
      <c r="BZ654"/>
      <c r="CA654"/>
      <c r="CB654"/>
      <c r="CC654"/>
      <c r="CD654"/>
      <c r="CE654"/>
      <c r="CF654"/>
      <c r="CG654"/>
      <c r="CH654"/>
      <c r="CI654"/>
      <c r="CJ654"/>
      <c r="CK654"/>
      <c r="CL654"/>
      <c r="CM654" s="20"/>
      <c r="CN654" s="20"/>
      <c r="CO654" s="20"/>
      <c r="CP654" s="20"/>
      <c r="CQ654" s="20"/>
      <c r="CR654" s="20"/>
      <c r="CS654" s="20"/>
      <c r="CT654" s="20"/>
      <c r="CU654" s="20"/>
      <c r="CV654" s="20"/>
      <c r="CW654" s="20"/>
      <c r="CX654" s="20"/>
      <c r="CY654" s="20"/>
    </row>
    <row r="655" spans="1:103" s="6" customFormat="1">
      <c r="A655"/>
      <c r="B655"/>
      <c r="C655"/>
      <c r="D655"/>
      <c r="E655"/>
      <c r="F655"/>
      <c r="G655"/>
      <c r="H655"/>
      <c r="I655"/>
      <c r="J655"/>
      <c r="N655" s="7"/>
      <c r="O655"/>
      <c r="P655" s="10"/>
      <c r="Q655" s="9"/>
      <c r="R655" s="10"/>
      <c r="S655" s="10"/>
      <c r="AA655" s="11"/>
      <c r="AD655"/>
      <c r="AE655"/>
      <c r="AF655"/>
      <c r="AG655"/>
      <c r="AH655" s="46"/>
      <c r="AI655"/>
      <c r="AJ655"/>
      <c r="AK655"/>
      <c r="AL655"/>
      <c r="AM655"/>
      <c r="AN655"/>
      <c r="AO655"/>
      <c r="AP655"/>
      <c r="AQ655"/>
      <c r="AR655"/>
      <c r="AS655"/>
      <c r="AT655" s="14"/>
      <c r="AU655"/>
      <c r="AV655"/>
      <c r="AW655"/>
      <c r="AX655" s="10"/>
      <c r="AY655" s="20"/>
      <c r="AZ655" s="16"/>
      <c r="BA655"/>
      <c r="BB655"/>
      <c r="BC655" s="16"/>
      <c r="BD655"/>
      <c r="BE655"/>
      <c r="BF655"/>
      <c r="BG655"/>
      <c r="BH655"/>
      <c r="BI655"/>
      <c r="BJ655"/>
      <c r="BK655"/>
      <c r="BL655"/>
      <c r="BM655"/>
      <c r="BN655" s="19"/>
      <c r="BO655"/>
      <c r="BP655"/>
      <c r="BQ655"/>
      <c r="BR655"/>
      <c r="BS655"/>
      <c r="BT655"/>
      <c r="BU655"/>
      <c r="BV655"/>
      <c r="BW655"/>
      <c r="BX655"/>
      <c r="BY655"/>
      <c r="BZ655"/>
      <c r="CA655"/>
      <c r="CB655"/>
      <c r="CC655"/>
      <c r="CD655"/>
      <c r="CE655"/>
      <c r="CF655"/>
      <c r="CG655"/>
      <c r="CH655"/>
      <c r="CI655"/>
      <c r="CJ655"/>
      <c r="CK655"/>
      <c r="CL655"/>
      <c r="CM655" s="20"/>
      <c r="CN655" s="20"/>
      <c r="CO655" s="20"/>
      <c r="CP655" s="20"/>
      <c r="CQ655" s="20"/>
      <c r="CR655" s="20"/>
      <c r="CS655" s="20"/>
      <c r="CT655" s="20"/>
      <c r="CU655" s="20"/>
      <c r="CV655" s="20"/>
      <c r="CW655" s="20"/>
      <c r="CX655" s="20"/>
      <c r="CY655" s="20"/>
    </row>
    <row r="656" spans="1:103" s="6" customFormat="1">
      <c r="A656"/>
      <c r="B656"/>
      <c r="C656"/>
      <c r="D656"/>
      <c r="E656"/>
      <c r="F656"/>
      <c r="G656"/>
      <c r="H656"/>
      <c r="I656"/>
      <c r="J656"/>
      <c r="N656" s="7"/>
      <c r="O656"/>
      <c r="P656" s="10"/>
      <c r="Q656" s="9"/>
      <c r="R656" s="10"/>
      <c r="S656" s="10"/>
      <c r="AA656" s="11"/>
      <c r="AD656"/>
      <c r="AE656"/>
      <c r="AF656"/>
      <c r="AG656"/>
      <c r="AH656" s="46"/>
      <c r="AI656"/>
      <c r="AJ656"/>
      <c r="AK656"/>
      <c r="AL656"/>
      <c r="AM656"/>
      <c r="AN656"/>
      <c r="AO656"/>
      <c r="AP656"/>
      <c r="AQ656"/>
      <c r="AR656"/>
      <c r="AS656"/>
      <c r="AT656" s="14"/>
      <c r="AU656"/>
      <c r="AV656"/>
      <c r="AW656"/>
      <c r="AX656" s="10"/>
      <c r="AY656" s="20"/>
      <c r="AZ656" s="16"/>
      <c r="BA656"/>
      <c r="BB656"/>
      <c r="BC656" s="16"/>
      <c r="BD656"/>
      <c r="BE656"/>
      <c r="BF656"/>
      <c r="BG656"/>
      <c r="BH656"/>
      <c r="BI656"/>
      <c r="BJ656"/>
      <c r="BK656"/>
      <c r="BL656"/>
      <c r="BM656"/>
      <c r="BN656" s="19"/>
      <c r="BO656"/>
      <c r="BP656"/>
      <c r="BQ656"/>
      <c r="BR656"/>
      <c r="BS656"/>
      <c r="BT656"/>
      <c r="BU656"/>
      <c r="BV656"/>
      <c r="BW656"/>
      <c r="BX656"/>
      <c r="BY656"/>
      <c r="BZ656"/>
      <c r="CA656"/>
      <c r="CB656"/>
      <c r="CC656"/>
      <c r="CD656"/>
      <c r="CE656"/>
      <c r="CF656"/>
      <c r="CG656"/>
      <c r="CH656"/>
      <c r="CI656"/>
      <c r="CJ656"/>
      <c r="CK656"/>
      <c r="CL656"/>
      <c r="CM656" s="20"/>
      <c r="CN656" s="20"/>
      <c r="CO656" s="20"/>
      <c r="CP656" s="20"/>
      <c r="CQ656" s="20"/>
      <c r="CR656" s="20"/>
      <c r="CS656" s="20"/>
      <c r="CT656" s="20"/>
      <c r="CU656" s="20"/>
      <c r="CV656" s="20"/>
      <c r="CW656" s="20"/>
      <c r="CX656" s="20"/>
      <c r="CY656" s="20"/>
    </row>
    <row r="657" spans="1:103" s="6" customFormat="1">
      <c r="A657"/>
      <c r="B657"/>
      <c r="C657"/>
      <c r="D657"/>
      <c r="E657"/>
      <c r="F657"/>
      <c r="G657"/>
      <c r="H657"/>
      <c r="I657"/>
      <c r="J657"/>
      <c r="N657" s="7"/>
      <c r="O657"/>
      <c r="P657" s="10"/>
      <c r="Q657" s="9"/>
      <c r="R657" s="10"/>
      <c r="S657" s="10"/>
      <c r="AA657" s="11"/>
      <c r="AD657"/>
      <c r="AE657"/>
      <c r="AF657"/>
      <c r="AG657"/>
      <c r="AH657" s="46"/>
      <c r="AI657"/>
      <c r="AJ657"/>
      <c r="AK657"/>
      <c r="AL657"/>
      <c r="AM657"/>
      <c r="AN657"/>
      <c r="AO657"/>
      <c r="AP657"/>
      <c r="AQ657"/>
      <c r="AR657"/>
      <c r="AS657"/>
      <c r="AT657" s="14"/>
      <c r="AU657"/>
      <c r="AV657"/>
      <c r="AW657"/>
      <c r="AX657" s="10"/>
      <c r="AY657" s="20"/>
      <c r="AZ657" s="16"/>
      <c r="BA657"/>
      <c r="BB657"/>
      <c r="BC657" s="16"/>
      <c r="BD657"/>
      <c r="BE657"/>
      <c r="BF657"/>
      <c r="BG657"/>
      <c r="BH657"/>
      <c r="BI657"/>
      <c r="BJ657"/>
      <c r="BK657"/>
      <c r="BL657"/>
      <c r="BM657"/>
      <c r="BN657" s="19"/>
      <c r="BO657"/>
      <c r="BP657"/>
      <c r="BQ657"/>
      <c r="BR657"/>
      <c r="BS657"/>
      <c r="BT657"/>
      <c r="BU657"/>
      <c r="BV657"/>
      <c r="BW657"/>
      <c r="BX657"/>
      <c r="BY657"/>
      <c r="BZ657"/>
      <c r="CA657"/>
      <c r="CB657"/>
      <c r="CC657"/>
      <c r="CD657"/>
      <c r="CE657"/>
      <c r="CF657"/>
      <c r="CG657"/>
      <c r="CH657"/>
      <c r="CI657"/>
      <c r="CJ657"/>
      <c r="CK657"/>
      <c r="CL657"/>
      <c r="CM657" s="20"/>
      <c r="CN657" s="20"/>
      <c r="CO657" s="20"/>
      <c r="CP657" s="20"/>
      <c r="CQ657" s="20"/>
      <c r="CR657" s="20"/>
      <c r="CS657" s="20"/>
      <c r="CT657" s="20"/>
      <c r="CU657" s="20"/>
      <c r="CV657" s="20"/>
      <c r="CW657" s="20"/>
      <c r="CX657" s="20"/>
      <c r="CY657" s="20"/>
    </row>
    <row r="658" spans="1:103" s="6" customFormat="1">
      <c r="A658"/>
      <c r="B658"/>
      <c r="C658"/>
      <c r="D658"/>
      <c r="E658"/>
      <c r="F658"/>
      <c r="G658"/>
      <c r="H658"/>
      <c r="I658"/>
      <c r="J658"/>
      <c r="N658" s="7"/>
      <c r="O658"/>
      <c r="P658" s="10"/>
      <c r="Q658" s="9"/>
      <c r="R658" s="10"/>
      <c r="S658" s="10"/>
      <c r="AA658" s="11"/>
      <c r="AD658"/>
      <c r="AE658"/>
      <c r="AF658"/>
      <c r="AG658"/>
      <c r="AH658" s="46"/>
      <c r="AI658"/>
      <c r="AJ658"/>
      <c r="AK658"/>
      <c r="AL658"/>
      <c r="AM658"/>
      <c r="AN658"/>
      <c r="AO658"/>
      <c r="AP658"/>
      <c r="AQ658"/>
      <c r="AR658"/>
      <c r="AS658"/>
      <c r="AT658" s="14"/>
      <c r="AU658"/>
      <c r="AV658"/>
      <c r="AW658"/>
      <c r="AX658" s="10"/>
      <c r="AY658" s="20"/>
      <c r="AZ658" s="16"/>
      <c r="BA658"/>
      <c r="BB658"/>
      <c r="BC658" s="16"/>
      <c r="BD658"/>
      <c r="BE658"/>
      <c r="BF658"/>
      <c r="BG658"/>
      <c r="BH658"/>
      <c r="BI658"/>
      <c r="BJ658"/>
      <c r="BK658"/>
      <c r="BL658"/>
      <c r="BM658"/>
      <c r="BN658" s="19"/>
      <c r="BO658"/>
      <c r="BP658"/>
      <c r="BQ658"/>
      <c r="BR658"/>
      <c r="BS658"/>
      <c r="BT658"/>
      <c r="BU658"/>
      <c r="BV658"/>
      <c r="BW658"/>
      <c r="BX658"/>
      <c r="BY658"/>
      <c r="BZ658"/>
      <c r="CA658"/>
      <c r="CB658"/>
      <c r="CC658"/>
      <c r="CD658"/>
      <c r="CE658"/>
      <c r="CF658"/>
      <c r="CG658"/>
      <c r="CH658"/>
      <c r="CI658"/>
      <c r="CJ658"/>
      <c r="CK658"/>
      <c r="CL658"/>
      <c r="CM658" s="20"/>
      <c r="CN658" s="20"/>
      <c r="CO658" s="20"/>
      <c r="CP658" s="20"/>
      <c r="CQ658" s="20"/>
      <c r="CR658" s="20"/>
      <c r="CS658" s="20"/>
      <c r="CT658" s="20"/>
      <c r="CU658" s="20"/>
      <c r="CV658" s="20"/>
      <c r="CW658" s="20"/>
      <c r="CX658" s="20"/>
      <c r="CY658" s="20"/>
    </row>
    <row r="659" spans="1:103" s="6" customFormat="1">
      <c r="A659"/>
      <c r="B659"/>
      <c r="C659"/>
      <c r="D659"/>
      <c r="E659"/>
      <c r="F659"/>
      <c r="G659"/>
      <c r="H659"/>
      <c r="I659"/>
      <c r="J659"/>
      <c r="N659" s="7"/>
      <c r="O659"/>
      <c r="P659" s="10"/>
      <c r="Q659" s="9"/>
      <c r="R659" s="10"/>
      <c r="S659" s="10"/>
      <c r="AA659" s="11"/>
      <c r="AD659"/>
      <c r="AE659"/>
      <c r="AF659"/>
      <c r="AG659"/>
      <c r="AH659" s="46"/>
      <c r="AI659"/>
      <c r="AJ659"/>
      <c r="AK659"/>
      <c r="AL659"/>
      <c r="AM659"/>
      <c r="AN659"/>
      <c r="AO659"/>
      <c r="AP659"/>
      <c r="AQ659"/>
      <c r="AR659"/>
      <c r="AS659"/>
      <c r="AT659" s="14"/>
      <c r="AU659"/>
      <c r="AV659"/>
      <c r="AW659"/>
      <c r="AX659" s="10"/>
      <c r="AY659" s="20"/>
      <c r="AZ659" s="16"/>
      <c r="BA659"/>
      <c r="BB659"/>
      <c r="BC659" s="16"/>
      <c r="BD659"/>
      <c r="BE659"/>
      <c r="BF659"/>
      <c r="BG659"/>
      <c r="BH659"/>
      <c r="BI659"/>
      <c r="BJ659"/>
      <c r="BK659"/>
      <c r="BL659"/>
      <c r="BM659"/>
      <c r="BN659" s="19"/>
      <c r="BO659"/>
      <c r="BP659"/>
      <c r="BQ659"/>
      <c r="BR659"/>
      <c r="BS659"/>
      <c r="BT659"/>
      <c r="BU659"/>
      <c r="BV659"/>
      <c r="BW659"/>
      <c r="BX659"/>
      <c r="BY659"/>
      <c r="BZ659"/>
      <c r="CA659"/>
      <c r="CB659"/>
      <c r="CC659"/>
      <c r="CD659"/>
      <c r="CE659"/>
      <c r="CF659"/>
      <c r="CG659"/>
      <c r="CH659"/>
      <c r="CI659"/>
      <c r="CJ659"/>
      <c r="CK659"/>
      <c r="CL659"/>
      <c r="CM659" s="20"/>
      <c r="CN659" s="20"/>
      <c r="CO659" s="20"/>
      <c r="CP659" s="20"/>
      <c r="CQ659" s="20"/>
      <c r="CR659" s="20"/>
      <c r="CS659" s="20"/>
      <c r="CT659" s="20"/>
      <c r="CU659" s="20"/>
      <c r="CV659" s="20"/>
      <c r="CW659" s="20"/>
      <c r="CX659" s="20"/>
      <c r="CY659" s="20"/>
    </row>
    <row r="660" spans="1:103" s="6" customFormat="1">
      <c r="A660"/>
      <c r="B660"/>
      <c r="C660"/>
      <c r="D660"/>
      <c r="E660"/>
      <c r="F660"/>
      <c r="G660"/>
      <c r="H660"/>
      <c r="I660"/>
      <c r="J660"/>
      <c r="N660" s="7"/>
      <c r="O660"/>
      <c r="P660" s="10"/>
      <c r="Q660" s="9"/>
      <c r="R660" s="10"/>
      <c r="S660" s="10"/>
      <c r="AA660" s="11"/>
      <c r="AD660"/>
      <c r="AE660"/>
      <c r="AF660"/>
      <c r="AG660"/>
      <c r="AH660" s="46"/>
      <c r="AI660"/>
      <c r="AJ660"/>
      <c r="AK660"/>
      <c r="AL660"/>
      <c r="AM660"/>
      <c r="AN660"/>
      <c r="AO660"/>
      <c r="AP660"/>
      <c r="AQ660"/>
      <c r="AR660"/>
      <c r="AS660"/>
      <c r="AT660" s="14"/>
      <c r="AU660"/>
      <c r="AV660"/>
      <c r="AW660"/>
      <c r="AX660" s="10"/>
      <c r="AY660" s="20"/>
      <c r="AZ660" s="16"/>
      <c r="BA660"/>
      <c r="BB660"/>
      <c r="BC660" s="16"/>
      <c r="BD660"/>
      <c r="BE660"/>
      <c r="BF660"/>
      <c r="BG660"/>
      <c r="BH660"/>
      <c r="BI660"/>
      <c r="BJ660"/>
      <c r="BK660"/>
      <c r="BL660"/>
      <c r="BM660"/>
      <c r="BN660" s="19"/>
      <c r="BO660"/>
      <c r="BP660"/>
      <c r="BQ660"/>
      <c r="BR660"/>
      <c r="BS660"/>
      <c r="BT660"/>
      <c r="BU660"/>
      <c r="BV660"/>
      <c r="BW660"/>
      <c r="BX660"/>
      <c r="BY660"/>
      <c r="BZ660"/>
      <c r="CA660"/>
      <c r="CB660"/>
      <c r="CC660"/>
      <c r="CD660"/>
      <c r="CE660"/>
      <c r="CF660"/>
      <c r="CG660"/>
      <c r="CH660"/>
      <c r="CI660"/>
      <c r="CJ660"/>
      <c r="CK660"/>
      <c r="CL660"/>
      <c r="CM660" s="20"/>
      <c r="CN660" s="20"/>
      <c r="CO660" s="20"/>
      <c r="CP660" s="20"/>
      <c r="CQ660" s="20"/>
      <c r="CR660" s="20"/>
      <c r="CS660" s="20"/>
      <c r="CT660" s="20"/>
      <c r="CU660" s="20"/>
      <c r="CV660" s="20"/>
      <c r="CW660" s="20"/>
      <c r="CX660" s="20"/>
      <c r="CY660" s="20"/>
    </row>
    <row r="661" spans="1:103" s="6" customFormat="1">
      <c r="A661"/>
      <c r="B661"/>
      <c r="C661"/>
      <c r="D661"/>
      <c r="E661"/>
      <c r="F661"/>
      <c r="G661"/>
      <c r="H661"/>
      <c r="I661"/>
      <c r="J661"/>
      <c r="N661" s="7"/>
      <c r="O661"/>
      <c r="P661" s="10"/>
      <c r="Q661" s="9"/>
      <c r="R661" s="10"/>
      <c r="S661" s="10"/>
      <c r="AA661" s="11"/>
      <c r="AD661"/>
      <c r="AE661"/>
      <c r="AF661"/>
      <c r="AG661"/>
      <c r="AH661" s="46"/>
      <c r="AI661"/>
      <c r="AJ661"/>
      <c r="AK661"/>
      <c r="AL661"/>
      <c r="AM661"/>
      <c r="AN661"/>
      <c r="AO661"/>
      <c r="AP661"/>
      <c r="AQ661"/>
      <c r="AR661"/>
      <c r="AS661"/>
      <c r="AT661" s="14"/>
      <c r="AU661"/>
      <c r="AV661"/>
      <c r="AW661"/>
      <c r="AX661" s="10"/>
      <c r="AY661" s="20"/>
      <c r="AZ661" s="16"/>
      <c r="BA661"/>
      <c r="BB661"/>
      <c r="BC661" s="16"/>
      <c r="BD661"/>
      <c r="BE661"/>
      <c r="BF661"/>
      <c r="BG661"/>
      <c r="BH661"/>
      <c r="BI661"/>
      <c r="BJ661"/>
      <c r="BK661"/>
      <c r="BL661"/>
      <c r="BM661"/>
      <c r="BN661" s="19"/>
      <c r="BO661"/>
      <c r="BP661"/>
      <c r="BQ661"/>
      <c r="BR661"/>
      <c r="BS661"/>
      <c r="BT661"/>
      <c r="BU661"/>
      <c r="BV661"/>
      <c r="BW661"/>
      <c r="BX661"/>
      <c r="BY661"/>
      <c r="BZ661"/>
      <c r="CA661"/>
      <c r="CB661"/>
      <c r="CC661"/>
      <c r="CD661"/>
      <c r="CE661"/>
      <c r="CF661"/>
      <c r="CG661"/>
      <c r="CH661"/>
      <c r="CI661"/>
      <c r="CJ661"/>
      <c r="CK661"/>
      <c r="CL661"/>
      <c r="CM661" s="20"/>
      <c r="CN661" s="20"/>
      <c r="CO661" s="20"/>
      <c r="CP661" s="20"/>
      <c r="CQ661" s="20"/>
      <c r="CR661" s="20"/>
      <c r="CS661" s="20"/>
      <c r="CT661" s="20"/>
      <c r="CU661" s="20"/>
      <c r="CV661" s="20"/>
      <c r="CW661" s="20"/>
      <c r="CX661" s="20"/>
      <c r="CY661" s="20"/>
    </row>
    <row r="662" spans="1:103" s="6" customFormat="1">
      <c r="A662"/>
      <c r="B662"/>
      <c r="C662"/>
      <c r="D662"/>
      <c r="E662"/>
      <c r="F662"/>
      <c r="G662"/>
      <c r="H662"/>
      <c r="I662"/>
      <c r="J662"/>
      <c r="N662" s="7"/>
      <c r="O662"/>
      <c r="P662" s="10"/>
      <c r="Q662" s="9"/>
      <c r="R662" s="10"/>
      <c r="S662" s="10"/>
      <c r="AA662" s="11"/>
      <c r="AD662"/>
      <c r="AE662"/>
      <c r="AF662"/>
      <c r="AG662"/>
      <c r="AH662" s="46"/>
      <c r="AI662"/>
      <c r="AJ662"/>
      <c r="AK662"/>
      <c r="AL662"/>
      <c r="AM662"/>
      <c r="AN662"/>
      <c r="AO662"/>
      <c r="AP662"/>
      <c r="AQ662"/>
      <c r="AR662"/>
      <c r="AS662"/>
      <c r="AT662" s="14"/>
      <c r="AU662"/>
      <c r="AV662"/>
      <c r="AW662"/>
      <c r="AX662" s="10"/>
      <c r="AY662" s="20"/>
      <c r="AZ662" s="16"/>
      <c r="BA662"/>
      <c r="BB662"/>
      <c r="BC662" s="16"/>
      <c r="BD662"/>
      <c r="BE662"/>
      <c r="BF662"/>
      <c r="BG662"/>
      <c r="BH662"/>
      <c r="BI662"/>
      <c r="BJ662"/>
      <c r="BK662"/>
      <c r="BL662"/>
      <c r="BM662"/>
      <c r="BN662" s="19"/>
      <c r="BO662"/>
      <c r="BP662"/>
      <c r="BQ662"/>
      <c r="BR662"/>
      <c r="BS662"/>
      <c r="BT662"/>
      <c r="BU662"/>
      <c r="BV662"/>
      <c r="BW662"/>
      <c r="BX662"/>
      <c r="BY662"/>
      <c r="BZ662"/>
      <c r="CA662"/>
      <c r="CB662"/>
      <c r="CC662"/>
      <c r="CD662"/>
      <c r="CE662"/>
      <c r="CF662"/>
      <c r="CG662"/>
      <c r="CH662"/>
      <c r="CI662"/>
      <c r="CJ662"/>
      <c r="CK662"/>
      <c r="CL662"/>
      <c r="CM662" s="20"/>
      <c r="CN662" s="20"/>
      <c r="CO662" s="20"/>
      <c r="CP662" s="20"/>
      <c r="CQ662" s="20"/>
      <c r="CR662" s="20"/>
      <c r="CS662" s="20"/>
      <c r="CT662" s="20"/>
      <c r="CU662" s="20"/>
      <c r="CV662" s="20"/>
      <c r="CW662" s="20"/>
      <c r="CX662" s="20"/>
      <c r="CY662" s="20"/>
    </row>
    <row r="663" spans="1:103" s="6" customFormat="1">
      <c r="A663"/>
      <c r="B663"/>
      <c r="C663"/>
      <c r="D663"/>
      <c r="E663"/>
      <c r="F663"/>
      <c r="G663"/>
      <c r="H663"/>
      <c r="I663"/>
      <c r="J663"/>
      <c r="N663" s="7"/>
      <c r="O663"/>
      <c r="P663" s="10"/>
      <c r="Q663" s="9"/>
      <c r="R663" s="10"/>
      <c r="S663" s="10"/>
      <c r="AA663" s="11"/>
      <c r="AD663"/>
      <c r="AE663"/>
      <c r="AF663"/>
      <c r="AG663"/>
      <c r="AH663" s="46"/>
      <c r="AI663"/>
      <c r="AJ663"/>
      <c r="AK663"/>
      <c r="AL663"/>
      <c r="AM663"/>
      <c r="AN663"/>
      <c r="AO663"/>
      <c r="AP663"/>
      <c r="AQ663"/>
      <c r="AR663"/>
      <c r="AS663"/>
      <c r="AT663" s="14"/>
      <c r="AU663"/>
      <c r="AV663"/>
      <c r="AW663"/>
      <c r="AX663" s="10"/>
      <c r="AY663" s="20"/>
      <c r="AZ663" s="16"/>
      <c r="BA663"/>
      <c r="BB663"/>
      <c r="BC663" s="16"/>
      <c r="BD663"/>
      <c r="BE663"/>
      <c r="BF663"/>
      <c r="BG663"/>
      <c r="BH663"/>
      <c r="BI663"/>
      <c r="BJ663"/>
      <c r="BK663"/>
      <c r="BL663"/>
      <c r="BM663"/>
      <c r="BN663" s="19"/>
      <c r="BO663"/>
      <c r="BP663"/>
      <c r="BQ663"/>
      <c r="BR663"/>
      <c r="BS663"/>
      <c r="BT663"/>
      <c r="BU663"/>
      <c r="BV663"/>
      <c r="BW663"/>
      <c r="BX663"/>
      <c r="BY663"/>
      <c r="BZ663"/>
      <c r="CA663"/>
      <c r="CB663"/>
      <c r="CC663"/>
      <c r="CD663"/>
      <c r="CE663"/>
      <c r="CF663"/>
      <c r="CG663"/>
      <c r="CH663"/>
      <c r="CI663"/>
      <c r="CJ663"/>
      <c r="CK663"/>
      <c r="CL663"/>
      <c r="CM663" s="20"/>
      <c r="CN663" s="20"/>
      <c r="CO663" s="20"/>
      <c r="CP663" s="20"/>
      <c r="CQ663" s="20"/>
      <c r="CR663" s="20"/>
      <c r="CS663" s="20"/>
      <c r="CT663" s="20"/>
      <c r="CU663" s="20"/>
      <c r="CV663" s="20"/>
      <c r="CW663" s="20"/>
      <c r="CX663" s="20"/>
      <c r="CY663" s="20"/>
    </row>
    <row r="664" spans="1:103" s="6" customFormat="1">
      <c r="A664"/>
      <c r="B664"/>
      <c r="C664"/>
      <c r="D664"/>
      <c r="E664"/>
      <c r="F664"/>
      <c r="G664"/>
      <c r="H664"/>
      <c r="I664"/>
      <c r="J664"/>
      <c r="N664" s="7"/>
      <c r="O664"/>
      <c r="P664" s="10"/>
      <c r="Q664" s="9"/>
      <c r="R664" s="10"/>
      <c r="S664" s="10"/>
      <c r="AA664" s="11"/>
      <c r="AD664"/>
      <c r="AE664"/>
      <c r="AF664"/>
      <c r="AG664"/>
      <c r="AH664" s="46"/>
      <c r="AI664"/>
      <c r="AJ664"/>
      <c r="AK664"/>
      <c r="AL664"/>
      <c r="AM664"/>
      <c r="AN664"/>
      <c r="AO664"/>
      <c r="AP664"/>
      <c r="AQ664"/>
      <c r="AR664"/>
      <c r="AS664"/>
      <c r="AT664" s="14"/>
      <c r="AU664"/>
      <c r="AV664"/>
      <c r="AW664"/>
      <c r="AX664" s="10"/>
      <c r="AY664" s="20"/>
      <c r="AZ664" s="16"/>
      <c r="BA664"/>
      <c r="BB664"/>
      <c r="BC664" s="16"/>
      <c r="BD664"/>
      <c r="BE664"/>
      <c r="BF664"/>
      <c r="BG664"/>
      <c r="BH664"/>
      <c r="BI664"/>
      <c r="BJ664"/>
      <c r="BK664"/>
      <c r="BL664"/>
      <c r="BM664"/>
      <c r="BN664" s="19"/>
      <c r="BO664"/>
      <c r="BP664"/>
      <c r="BQ664"/>
      <c r="BR664"/>
      <c r="BS664"/>
      <c r="BT664"/>
      <c r="BU664"/>
      <c r="BV664"/>
      <c r="BW664"/>
      <c r="BX664"/>
      <c r="BY664"/>
      <c r="BZ664"/>
      <c r="CA664"/>
      <c r="CB664"/>
      <c r="CC664"/>
      <c r="CD664"/>
      <c r="CE664"/>
      <c r="CF664"/>
      <c r="CG664"/>
      <c r="CH664"/>
      <c r="CI664"/>
      <c r="CJ664"/>
      <c r="CK664"/>
      <c r="CL664"/>
      <c r="CM664" s="20"/>
      <c r="CN664" s="20"/>
      <c r="CO664" s="20"/>
      <c r="CP664" s="20"/>
      <c r="CQ664" s="20"/>
      <c r="CR664" s="20"/>
      <c r="CS664" s="20"/>
      <c r="CT664" s="20"/>
      <c r="CU664" s="20"/>
      <c r="CV664" s="20"/>
      <c r="CW664" s="20"/>
      <c r="CX664" s="20"/>
      <c r="CY664" s="20"/>
    </row>
    <row r="665" spans="1:103" s="6" customFormat="1">
      <c r="A665"/>
      <c r="B665"/>
      <c r="C665"/>
      <c r="D665"/>
      <c r="E665"/>
      <c r="F665"/>
      <c r="G665"/>
      <c r="H665"/>
      <c r="I665"/>
      <c r="J665"/>
      <c r="N665" s="7"/>
      <c r="O665"/>
      <c r="P665" s="10"/>
      <c r="Q665" s="9"/>
      <c r="R665" s="10"/>
      <c r="S665" s="10"/>
      <c r="AA665" s="11"/>
      <c r="AD665"/>
      <c r="AE665"/>
      <c r="AF665"/>
      <c r="AG665"/>
      <c r="AH665" s="46"/>
      <c r="AI665"/>
      <c r="AJ665"/>
      <c r="AK665"/>
      <c r="AL665"/>
      <c r="AM665"/>
      <c r="AN665"/>
      <c r="AO665"/>
      <c r="AP665"/>
      <c r="AQ665"/>
      <c r="AR665"/>
      <c r="AS665"/>
      <c r="AT665" s="14"/>
      <c r="AU665"/>
      <c r="AV665"/>
      <c r="AW665"/>
      <c r="AX665" s="10"/>
      <c r="AY665" s="20"/>
      <c r="AZ665" s="16"/>
      <c r="BA665"/>
      <c r="BB665"/>
      <c r="BC665" s="16"/>
      <c r="BD665"/>
      <c r="BE665"/>
      <c r="BF665"/>
      <c r="BG665"/>
      <c r="BH665"/>
      <c r="BI665"/>
      <c r="BJ665"/>
      <c r="BK665"/>
      <c r="BL665"/>
      <c r="BM665"/>
      <c r="BN665" s="19"/>
      <c r="BO665"/>
      <c r="BP665"/>
      <c r="BQ665"/>
      <c r="BR665"/>
      <c r="BS665"/>
      <c r="BT665"/>
      <c r="BU665"/>
      <c r="BV665"/>
      <c r="BW665"/>
      <c r="BX665"/>
      <c r="BY665"/>
      <c r="BZ665"/>
      <c r="CA665"/>
      <c r="CB665"/>
      <c r="CC665"/>
      <c r="CD665"/>
      <c r="CE665"/>
      <c r="CF665"/>
      <c r="CG665"/>
      <c r="CH665"/>
      <c r="CI665"/>
      <c r="CJ665"/>
      <c r="CK665"/>
      <c r="CL665"/>
      <c r="CM665" s="20"/>
      <c r="CN665" s="20"/>
      <c r="CO665" s="20"/>
      <c r="CP665" s="20"/>
      <c r="CQ665" s="20"/>
      <c r="CR665" s="20"/>
      <c r="CS665" s="20"/>
      <c r="CT665" s="20"/>
      <c r="CU665" s="20"/>
      <c r="CV665" s="20"/>
      <c r="CW665" s="20"/>
      <c r="CX665" s="20"/>
      <c r="CY665" s="20"/>
    </row>
    <row r="666" spans="1:103" s="6" customFormat="1">
      <c r="A666"/>
      <c r="B666"/>
      <c r="C666"/>
      <c r="D666"/>
      <c r="E666"/>
      <c r="F666"/>
      <c r="G666"/>
      <c r="H666"/>
      <c r="I666"/>
      <c r="J666"/>
      <c r="N666" s="7"/>
      <c r="O666"/>
      <c r="P666" s="10"/>
      <c r="Q666" s="9"/>
      <c r="R666" s="10"/>
      <c r="S666" s="10"/>
      <c r="AA666" s="11"/>
      <c r="AD666"/>
      <c r="AE666"/>
      <c r="AF666"/>
      <c r="AG666"/>
      <c r="AH666" s="46"/>
      <c r="AI666"/>
      <c r="AJ666"/>
      <c r="AK666"/>
      <c r="AL666"/>
      <c r="AM666"/>
      <c r="AN666"/>
      <c r="AO666"/>
      <c r="AP666"/>
      <c r="AQ666"/>
      <c r="AR666"/>
      <c r="AS666"/>
      <c r="AT666" s="14"/>
      <c r="AU666"/>
      <c r="AV666"/>
      <c r="AW666"/>
      <c r="AX666" s="10"/>
      <c r="AY666" s="20"/>
      <c r="AZ666" s="16"/>
      <c r="BA666"/>
      <c r="BB666"/>
      <c r="BC666" s="16"/>
      <c r="BD666"/>
      <c r="BE666"/>
      <c r="BF666"/>
      <c r="BG666"/>
      <c r="BH666"/>
      <c r="BI666"/>
      <c r="BJ666"/>
      <c r="BK666"/>
      <c r="BL666"/>
      <c r="BM666"/>
      <c r="BN666" s="19"/>
      <c r="BO666"/>
      <c r="BP666"/>
      <c r="BQ666"/>
      <c r="BR666"/>
      <c r="BS666"/>
      <c r="BT666"/>
      <c r="BU666"/>
      <c r="BV666"/>
      <c r="BW666"/>
      <c r="BX666"/>
      <c r="BY666"/>
      <c r="BZ666"/>
      <c r="CA666"/>
      <c r="CB666"/>
      <c r="CC666"/>
      <c r="CD666"/>
      <c r="CE666"/>
      <c r="CF666"/>
      <c r="CG666"/>
      <c r="CH666"/>
      <c r="CI666"/>
      <c r="CJ666"/>
      <c r="CK666"/>
      <c r="CL666"/>
      <c r="CM666" s="20"/>
      <c r="CN666" s="20"/>
      <c r="CO666" s="20"/>
      <c r="CP666" s="20"/>
      <c r="CQ666" s="20"/>
      <c r="CR666" s="20"/>
      <c r="CS666" s="20"/>
      <c r="CT666" s="20"/>
      <c r="CU666" s="20"/>
      <c r="CV666" s="20"/>
      <c r="CW666" s="20"/>
      <c r="CX666" s="20"/>
      <c r="CY666" s="20"/>
    </row>
    <row r="667" spans="1:103" s="6" customFormat="1">
      <c r="A667"/>
      <c r="B667"/>
      <c r="C667"/>
      <c r="D667"/>
      <c r="E667"/>
      <c r="F667"/>
      <c r="G667"/>
      <c r="H667"/>
      <c r="I667"/>
      <c r="J667"/>
      <c r="N667" s="7"/>
      <c r="O667"/>
      <c r="P667" s="10"/>
      <c r="Q667" s="9"/>
      <c r="R667" s="10"/>
      <c r="S667" s="10"/>
      <c r="AA667" s="11"/>
      <c r="AD667"/>
      <c r="AE667"/>
      <c r="AF667"/>
      <c r="AG667"/>
      <c r="AH667" s="46"/>
      <c r="AI667"/>
      <c r="AJ667"/>
      <c r="AK667"/>
      <c r="AL667"/>
      <c r="AM667"/>
      <c r="AN667"/>
      <c r="AO667"/>
      <c r="AP667"/>
      <c r="AQ667"/>
      <c r="AR667"/>
      <c r="AS667"/>
      <c r="AT667" s="14"/>
      <c r="AU667"/>
      <c r="AV667"/>
      <c r="AW667"/>
      <c r="AX667" s="10"/>
      <c r="AY667" s="20"/>
      <c r="AZ667" s="16"/>
      <c r="BA667"/>
      <c r="BB667"/>
      <c r="BC667" s="16"/>
      <c r="BD667"/>
      <c r="BE667"/>
      <c r="BF667"/>
      <c r="BG667"/>
      <c r="BH667"/>
      <c r="BI667"/>
      <c r="BJ667"/>
      <c r="BK667"/>
      <c r="BL667"/>
      <c r="BM667"/>
      <c r="BN667" s="19"/>
      <c r="BO667"/>
      <c r="BP667"/>
      <c r="BQ667"/>
      <c r="BR667"/>
      <c r="BS667"/>
      <c r="BT667"/>
      <c r="BU667"/>
      <c r="BV667"/>
      <c r="BW667"/>
      <c r="BX667"/>
      <c r="BY667"/>
      <c r="BZ667"/>
      <c r="CA667"/>
      <c r="CB667"/>
      <c r="CC667"/>
      <c r="CD667"/>
      <c r="CE667"/>
      <c r="CF667"/>
      <c r="CG667"/>
      <c r="CH667"/>
      <c r="CI667"/>
      <c r="CJ667"/>
      <c r="CK667"/>
      <c r="CL667"/>
      <c r="CM667" s="20"/>
      <c r="CN667" s="20"/>
      <c r="CO667" s="20"/>
      <c r="CP667" s="20"/>
      <c r="CQ667" s="20"/>
      <c r="CR667" s="20"/>
      <c r="CS667" s="20"/>
      <c r="CT667" s="20"/>
      <c r="CU667" s="20"/>
      <c r="CV667" s="20"/>
      <c r="CW667" s="20"/>
      <c r="CX667" s="20"/>
      <c r="CY667" s="20"/>
    </row>
    <row r="668" spans="1:103" s="6" customFormat="1">
      <c r="A668"/>
      <c r="B668"/>
      <c r="C668"/>
      <c r="D668"/>
      <c r="E668"/>
      <c r="F668"/>
      <c r="G668"/>
      <c r="H668"/>
      <c r="I668"/>
      <c r="J668"/>
      <c r="N668" s="7"/>
      <c r="O668"/>
      <c r="P668" s="10"/>
      <c r="Q668" s="9"/>
      <c r="R668" s="10"/>
      <c r="S668" s="10"/>
      <c r="AA668" s="11"/>
      <c r="AD668"/>
      <c r="AE668"/>
      <c r="AF668"/>
      <c r="AG668"/>
      <c r="AH668" s="46"/>
      <c r="AI668"/>
      <c r="AJ668"/>
      <c r="AK668"/>
      <c r="AL668"/>
      <c r="AM668"/>
      <c r="AN668"/>
      <c r="AO668"/>
      <c r="AP668"/>
      <c r="AQ668"/>
      <c r="AR668"/>
      <c r="AS668"/>
      <c r="AT668" s="14"/>
      <c r="AU668"/>
      <c r="AV668"/>
      <c r="AW668"/>
      <c r="AX668" s="10"/>
      <c r="AY668" s="20"/>
      <c r="AZ668" s="16"/>
      <c r="BA668"/>
      <c r="BB668"/>
      <c r="BC668" s="16"/>
      <c r="BD668"/>
      <c r="BE668"/>
      <c r="BF668"/>
      <c r="BG668"/>
      <c r="BH668"/>
      <c r="BI668"/>
      <c r="BJ668"/>
      <c r="BK668"/>
      <c r="BL668"/>
      <c r="BM668"/>
      <c r="BN668" s="19"/>
      <c r="BO668"/>
      <c r="BP668"/>
      <c r="BQ668"/>
      <c r="BR668"/>
      <c r="BS668"/>
      <c r="BT668"/>
      <c r="BU668"/>
      <c r="BV668"/>
      <c r="BW668"/>
      <c r="BX668"/>
      <c r="BY668"/>
      <c r="BZ668"/>
      <c r="CA668"/>
      <c r="CB668"/>
      <c r="CC668"/>
      <c r="CD668"/>
      <c r="CE668"/>
      <c r="CF668"/>
      <c r="CG668"/>
      <c r="CH668"/>
      <c r="CI668"/>
      <c r="CJ668"/>
      <c r="CK668"/>
      <c r="CL668"/>
      <c r="CM668" s="20"/>
      <c r="CN668" s="20"/>
      <c r="CO668" s="20"/>
      <c r="CP668" s="20"/>
      <c r="CQ668" s="20"/>
      <c r="CR668" s="20"/>
      <c r="CS668" s="20"/>
      <c r="CT668" s="20"/>
      <c r="CU668" s="20"/>
      <c r="CV668" s="20"/>
      <c r="CW668" s="20"/>
      <c r="CX668" s="20"/>
      <c r="CY668" s="20"/>
    </row>
    <row r="669" spans="1:103" s="6" customFormat="1">
      <c r="A669"/>
      <c r="B669"/>
      <c r="C669"/>
      <c r="D669"/>
      <c r="E669"/>
      <c r="F669"/>
      <c r="G669"/>
      <c r="H669"/>
      <c r="I669"/>
      <c r="J669"/>
      <c r="N669" s="7"/>
      <c r="O669"/>
      <c r="P669" s="10"/>
      <c r="Q669" s="9"/>
      <c r="R669" s="10"/>
      <c r="S669" s="10"/>
      <c r="AA669" s="11"/>
      <c r="AD669"/>
      <c r="AE669"/>
      <c r="AF669"/>
      <c r="AG669"/>
      <c r="AH669" s="46"/>
      <c r="AI669"/>
      <c r="AJ669"/>
      <c r="AK669"/>
      <c r="AL669"/>
      <c r="AM669"/>
      <c r="AN669"/>
      <c r="AO669"/>
      <c r="AP669"/>
      <c r="AQ669"/>
      <c r="AR669"/>
      <c r="AS669"/>
      <c r="AT669" s="14"/>
      <c r="AU669"/>
      <c r="AV669"/>
      <c r="AW669"/>
      <c r="AX669" s="10"/>
      <c r="AY669" s="20"/>
      <c r="AZ669" s="16"/>
      <c r="BA669"/>
      <c r="BB669"/>
      <c r="BC669" s="16"/>
      <c r="BD669"/>
      <c r="BE669"/>
      <c r="BF669"/>
      <c r="BG669"/>
      <c r="BH669"/>
      <c r="BI669"/>
      <c r="BJ669"/>
      <c r="BK669"/>
      <c r="BL669"/>
      <c r="BM669"/>
      <c r="BN669" s="19"/>
      <c r="BO669"/>
      <c r="BP669"/>
      <c r="BQ669"/>
      <c r="BR669"/>
      <c r="BS669"/>
      <c r="BT669"/>
      <c r="BU669"/>
      <c r="BV669"/>
      <c r="BW669"/>
      <c r="BX669"/>
      <c r="BY669"/>
      <c r="BZ669"/>
      <c r="CA669"/>
      <c r="CB669"/>
      <c r="CC669"/>
      <c r="CD669"/>
      <c r="CE669"/>
      <c r="CF669"/>
      <c r="CG669"/>
      <c r="CH669"/>
      <c r="CI669"/>
      <c r="CJ669"/>
      <c r="CK669"/>
      <c r="CL669"/>
      <c r="CM669" s="20"/>
      <c r="CN669" s="20"/>
      <c r="CO669" s="20"/>
      <c r="CP669" s="20"/>
      <c r="CQ669" s="20"/>
      <c r="CR669" s="20"/>
      <c r="CS669" s="20"/>
      <c r="CT669" s="20"/>
      <c r="CU669" s="20"/>
      <c r="CV669" s="20"/>
      <c r="CW669" s="20"/>
      <c r="CX669" s="20"/>
      <c r="CY669" s="20"/>
    </row>
    <row r="670" spans="1:103" s="6" customFormat="1">
      <c r="A670"/>
      <c r="B670"/>
      <c r="C670"/>
      <c r="D670"/>
      <c r="E670"/>
      <c r="F670"/>
      <c r="G670"/>
      <c r="H670"/>
      <c r="I670"/>
      <c r="J670"/>
      <c r="N670" s="7"/>
      <c r="O670"/>
      <c r="P670" s="10"/>
      <c r="Q670" s="9"/>
      <c r="R670" s="10"/>
      <c r="S670" s="10"/>
      <c r="AA670" s="11"/>
      <c r="AD670"/>
      <c r="AE670"/>
      <c r="AF670"/>
      <c r="AG670"/>
      <c r="AH670" s="46"/>
      <c r="AI670"/>
      <c r="AJ670"/>
      <c r="AK670"/>
      <c r="AL670"/>
      <c r="AM670"/>
      <c r="AN670"/>
      <c r="AO670"/>
      <c r="AP670"/>
      <c r="AQ670"/>
      <c r="AR670"/>
      <c r="AS670"/>
      <c r="AT670" s="14"/>
      <c r="AU670"/>
      <c r="AV670"/>
      <c r="AW670"/>
      <c r="AX670" s="10"/>
      <c r="AY670" s="20"/>
      <c r="AZ670" s="16"/>
      <c r="BA670"/>
      <c r="BB670"/>
      <c r="BC670" s="16"/>
      <c r="BD670"/>
      <c r="BE670"/>
      <c r="BF670"/>
      <c r="BG670"/>
      <c r="BH670"/>
      <c r="BI670"/>
      <c r="BJ670"/>
      <c r="BK670"/>
      <c r="BL670"/>
      <c r="BM670"/>
      <c r="BN670" s="19"/>
      <c r="BO670"/>
      <c r="BP670"/>
      <c r="BQ670"/>
      <c r="BR670"/>
      <c r="BS670"/>
      <c r="BT670"/>
      <c r="BU670"/>
      <c r="BV670"/>
      <c r="BW670"/>
      <c r="BX670"/>
      <c r="BY670"/>
      <c r="BZ670"/>
      <c r="CA670"/>
      <c r="CB670"/>
      <c r="CC670"/>
      <c r="CD670"/>
      <c r="CE670"/>
      <c r="CF670"/>
      <c r="CG670"/>
      <c r="CH670"/>
      <c r="CI670"/>
      <c r="CJ670"/>
      <c r="CK670"/>
      <c r="CL670"/>
      <c r="CM670" s="20"/>
      <c r="CN670" s="20"/>
      <c r="CO670" s="20"/>
      <c r="CP670" s="20"/>
      <c r="CQ670" s="20"/>
      <c r="CR670" s="20"/>
      <c r="CS670" s="20"/>
      <c r="CT670" s="20"/>
      <c r="CU670" s="20"/>
      <c r="CV670" s="20"/>
      <c r="CW670" s="20"/>
      <c r="CX670" s="20"/>
      <c r="CY670" s="20"/>
    </row>
    <row r="671" spans="1:103" s="6" customFormat="1">
      <c r="A671"/>
      <c r="B671"/>
      <c r="C671"/>
      <c r="D671"/>
      <c r="E671"/>
      <c r="F671"/>
      <c r="G671"/>
      <c r="H671"/>
      <c r="I671"/>
      <c r="J671"/>
      <c r="N671" s="7"/>
      <c r="O671"/>
      <c r="P671" s="10"/>
      <c r="Q671" s="9"/>
      <c r="R671" s="10"/>
      <c r="S671" s="10"/>
      <c r="AA671" s="11"/>
      <c r="AD671"/>
      <c r="AE671"/>
      <c r="AF671"/>
      <c r="AG671"/>
      <c r="AH671" s="46"/>
      <c r="AI671"/>
      <c r="AJ671"/>
      <c r="AK671"/>
      <c r="AL671"/>
      <c r="AM671"/>
      <c r="AN671"/>
      <c r="AO671"/>
      <c r="AP671"/>
      <c r="AQ671"/>
      <c r="AR671"/>
      <c r="AS671"/>
      <c r="AT671" s="14"/>
      <c r="AU671"/>
      <c r="AV671"/>
      <c r="AW671"/>
      <c r="AX671" s="10"/>
      <c r="AY671" s="20"/>
      <c r="AZ671" s="16"/>
      <c r="BA671"/>
      <c r="BB671"/>
      <c r="BC671" s="16"/>
      <c r="BD671"/>
      <c r="BE671"/>
      <c r="BF671"/>
      <c r="BG671"/>
      <c r="BH671"/>
      <c r="BI671"/>
      <c r="BJ671"/>
      <c r="BK671"/>
      <c r="BL671"/>
      <c r="BM671"/>
      <c r="BN671" s="19"/>
      <c r="BO671"/>
      <c r="BP671"/>
      <c r="BQ671"/>
      <c r="BR671"/>
      <c r="BS671"/>
      <c r="BT671"/>
      <c r="BU671"/>
      <c r="BV671"/>
      <c r="BW671"/>
      <c r="BX671"/>
      <c r="BY671"/>
      <c r="BZ671"/>
      <c r="CA671"/>
      <c r="CB671"/>
      <c r="CC671"/>
      <c r="CD671"/>
      <c r="CE671"/>
      <c r="CF671"/>
      <c r="CG671"/>
      <c r="CH671"/>
      <c r="CI671"/>
      <c r="CJ671"/>
      <c r="CK671"/>
      <c r="CL671"/>
      <c r="CM671" s="20"/>
      <c r="CN671" s="20"/>
      <c r="CO671" s="20"/>
      <c r="CP671" s="20"/>
      <c r="CQ671" s="20"/>
      <c r="CR671" s="20"/>
      <c r="CS671" s="20"/>
      <c r="CT671" s="20"/>
      <c r="CU671" s="20"/>
      <c r="CV671" s="20"/>
      <c r="CW671" s="20"/>
      <c r="CX671" s="20"/>
      <c r="CY671" s="20"/>
    </row>
    <row r="672" spans="1:103" s="6" customFormat="1">
      <c r="A672"/>
      <c r="B672"/>
      <c r="C672"/>
      <c r="D672"/>
      <c r="E672"/>
      <c r="F672"/>
      <c r="G672"/>
      <c r="H672"/>
      <c r="I672"/>
      <c r="J672"/>
      <c r="N672" s="7"/>
      <c r="O672"/>
      <c r="P672" s="10"/>
      <c r="Q672" s="9"/>
      <c r="R672" s="10"/>
      <c r="S672" s="10"/>
      <c r="AA672" s="11"/>
      <c r="AD672"/>
      <c r="AE672"/>
      <c r="AF672"/>
      <c r="AG672"/>
      <c r="AH672" s="46"/>
      <c r="AI672"/>
      <c r="AJ672"/>
      <c r="AK672"/>
      <c r="AL672"/>
      <c r="AM672"/>
      <c r="AN672"/>
      <c r="AO672"/>
      <c r="AP672"/>
      <c r="AQ672"/>
      <c r="AR672"/>
      <c r="AS672"/>
      <c r="AT672" s="14"/>
      <c r="AU672"/>
      <c r="AV672"/>
      <c r="AW672"/>
      <c r="AX672" s="10"/>
      <c r="AY672" s="20"/>
      <c r="AZ672" s="16"/>
      <c r="BA672"/>
      <c r="BB672"/>
      <c r="BC672" s="16"/>
      <c r="BD672"/>
      <c r="BE672"/>
      <c r="BF672"/>
      <c r="BG672"/>
      <c r="BH672"/>
      <c r="BI672"/>
      <c r="BJ672"/>
      <c r="BK672"/>
      <c r="BL672"/>
      <c r="BM672"/>
      <c r="BN672" s="19"/>
      <c r="BO672"/>
      <c r="BP672"/>
      <c r="BQ672"/>
      <c r="BR672"/>
      <c r="BS672"/>
      <c r="BT672"/>
      <c r="BU672"/>
      <c r="BV672"/>
      <c r="BW672"/>
      <c r="BX672"/>
      <c r="BY672"/>
      <c r="BZ672"/>
      <c r="CA672"/>
      <c r="CB672"/>
      <c r="CC672"/>
      <c r="CD672"/>
      <c r="CE672"/>
      <c r="CF672"/>
      <c r="CG672"/>
      <c r="CH672"/>
      <c r="CI672"/>
      <c r="CJ672"/>
      <c r="CK672"/>
      <c r="CL672"/>
      <c r="CM672" s="20"/>
      <c r="CN672" s="20"/>
      <c r="CO672" s="20"/>
      <c r="CP672" s="20"/>
      <c r="CQ672" s="20"/>
      <c r="CR672" s="20"/>
      <c r="CS672" s="20"/>
      <c r="CT672" s="20"/>
      <c r="CU672" s="20"/>
      <c r="CV672" s="20"/>
      <c r="CW672" s="20"/>
      <c r="CX672" s="20"/>
      <c r="CY672" s="20"/>
    </row>
    <row r="673" spans="1:103" s="6" customFormat="1">
      <c r="A673"/>
      <c r="B673"/>
      <c r="C673"/>
      <c r="D673"/>
      <c r="E673"/>
      <c r="F673"/>
      <c r="G673"/>
      <c r="H673"/>
      <c r="I673"/>
      <c r="J673"/>
      <c r="N673" s="7"/>
      <c r="O673"/>
      <c r="P673" s="10"/>
      <c r="Q673" s="9"/>
      <c r="R673" s="10"/>
      <c r="S673" s="10"/>
      <c r="AA673" s="11"/>
      <c r="AD673"/>
      <c r="AE673"/>
      <c r="AF673"/>
      <c r="AG673"/>
      <c r="AH673" s="46"/>
      <c r="AI673"/>
      <c r="AJ673"/>
      <c r="AK673"/>
      <c r="AL673"/>
      <c r="AM673"/>
      <c r="AN673"/>
      <c r="AO673"/>
      <c r="AP673"/>
      <c r="AQ673"/>
      <c r="AR673"/>
      <c r="AS673"/>
      <c r="AT673" s="14"/>
      <c r="AU673"/>
      <c r="AV673"/>
      <c r="AW673"/>
      <c r="AX673" s="10"/>
      <c r="AY673" s="20"/>
      <c r="AZ673" s="16"/>
      <c r="BA673"/>
      <c r="BB673"/>
      <c r="BC673" s="16"/>
      <c r="BD673"/>
      <c r="BE673"/>
      <c r="BF673"/>
      <c r="BG673"/>
      <c r="BH673"/>
      <c r="BI673"/>
      <c r="BJ673"/>
      <c r="BK673"/>
      <c r="BL673"/>
      <c r="BM673"/>
      <c r="BN673" s="19"/>
      <c r="BO673"/>
      <c r="BP673"/>
      <c r="BQ673"/>
      <c r="BR673"/>
      <c r="BS673"/>
      <c r="BT673"/>
      <c r="BU673"/>
      <c r="BV673"/>
      <c r="BW673"/>
      <c r="BX673"/>
      <c r="BY673"/>
      <c r="BZ673"/>
      <c r="CA673"/>
      <c r="CB673"/>
      <c r="CC673"/>
      <c r="CD673"/>
      <c r="CE673"/>
      <c r="CF673"/>
      <c r="CG673"/>
      <c r="CH673"/>
      <c r="CI673"/>
      <c r="CJ673"/>
      <c r="CK673"/>
      <c r="CL673"/>
      <c r="CM673" s="20"/>
      <c r="CN673" s="20"/>
      <c r="CO673" s="20"/>
      <c r="CP673" s="20"/>
      <c r="CQ673" s="20"/>
      <c r="CR673" s="20"/>
      <c r="CS673" s="20"/>
      <c r="CT673" s="20"/>
      <c r="CU673" s="20"/>
      <c r="CV673" s="20"/>
      <c r="CW673" s="20"/>
      <c r="CX673" s="20"/>
      <c r="CY673" s="20"/>
    </row>
    <row r="674" spans="1:103" s="6" customFormat="1">
      <c r="A674"/>
      <c r="B674"/>
      <c r="C674"/>
      <c r="D674"/>
      <c r="E674"/>
      <c r="F674"/>
      <c r="G674"/>
      <c r="H674"/>
      <c r="I674"/>
      <c r="J674"/>
      <c r="N674" s="7"/>
      <c r="O674"/>
      <c r="P674" s="10"/>
      <c r="Q674" s="9"/>
      <c r="R674" s="10"/>
      <c r="S674" s="10"/>
      <c r="AA674" s="11"/>
      <c r="AD674"/>
      <c r="AE674"/>
      <c r="AF674"/>
      <c r="AG674"/>
      <c r="AH674" s="46"/>
      <c r="AI674"/>
      <c r="AJ674"/>
      <c r="AK674"/>
      <c r="AL674"/>
      <c r="AM674"/>
      <c r="AN674"/>
      <c r="AO674"/>
      <c r="AP674"/>
      <c r="AQ674"/>
      <c r="AR674"/>
      <c r="AS674"/>
      <c r="AT674" s="14"/>
      <c r="AU674"/>
      <c r="AV674"/>
      <c r="AW674"/>
      <c r="AX674" s="10"/>
      <c r="AY674" s="20"/>
      <c r="AZ674" s="16"/>
      <c r="BA674"/>
      <c r="BB674"/>
      <c r="BC674" s="16"/>
      <c r="BD674"/>
      <c r="BE674"/>
      <c r="BF674"/>
      <c r="BG674"/>
      <c r="BH674"/>
      <c r="BI674"/>
      <c r="BJ674"/>
      <c r="BK674"/>
      <c r="BL674"/>
      <c r="BM674"/>
      <c r="BN674" s="19"/>
      <c r="BO674"/>
      <c r="BP674"/>
      <c r="BQ674"/>
      <c r="BR674"/>
      <c r="BS674"/>
      <c r="BT674"/>
      <c r="BU674"/>
      <c r="BV674"/>
      <c r="BW674"/>
      <c r="BX674"/>
      <c r="BY674"/>
      <c r="BZ674"/>
      <c r="CA674"/>
      <c r="CB674"/>
      <c r="CC674"/>
      <c r="CD674"/>
      <c r="CE674"/>
      <c r="CF674"/>
      <c r="CG674"/>
      <c r="CH674"/>
      <c r="CI674"/>
      <c r="CJ674"/>
      <c r="CK674"/>
      <c r="CL674"/>
      <c r="CM674" s="20"/>
      <c r="CN674" s="20"/>
      <c r="CO674" s="20"/>
      <c r="CP674" s="20"/>
      <c r="CQ674" s="20"/>
      <c r="CR674" s="20"/>
      <c r="CS674" s="20"/>
      <c r="CT674" s="20"/>
      <c r="CU674" s="20"/>
      <c r="CV674" s="20"/>
      <c r="CW674" s="20"/>
      <c r="CX674" s="20"/>
      <c r="CY674" s="20"/>
    </row>
    <row r="675" spans="1:103" s="6" customFormat="1">
      <c r="A675"/>
      <c r="B675"/>
      <c r="C675"/>
      <c r="D675"/>
      <c r="E675"/>
      <c r="F675"/>
      <c r="G675"/>
      <c r="H675"/>
      <c r="I675"/>
      <c r="J675"/>
      <c r="N675" s="7"/>
      <c r="O675"/>
      <c r="P675" s="10"/>
      <c r="Q675" s="9"/>
      <c r="R675" s="10"/>
      <c r="S675" s="10"/>
      <c r="AA675" s="11"/>
      <c r="AD675"/>
      <c r="AE675"/>
      <c r="AF675"/>
      <c r="AG675"/>
      <c r="AH675" s="46"/>
      <c r="AI675"/>
      <c r="AJ675"/>
      <c r="AK675"/>
      <c r="AL675"/>
      <c r="AM675"/>
      <c r="AN675"/>
      <c r="AO675"/>
      <c r="AP675"/>
      <c r="AQ675"/>
      <c r="AR675"/>
      <c r="AS675"/>
      <c r="AT675" s="14"/>
      <c r="AU675"/>
      <c r="AV675"/>
      <c r="AW675"/>
      <c r="AX675" s="10"/>
      <c r="AY675" s="20"/>
      <c r="AZ675" s="16"/>
      <c r="BA675"/>
      <c r="BB675"/>
      <c r="BC675" s="16"/>
      <c r="BD675"/>
      <c r="BE675"/>
      <c r="BF675"/>
      <c r="BG675"/>
      <c r="BH675"/>
      <c r="BI675"/>
      <c r="BJ675"/>
      <c r="BK675"/>
      <c r="BL675"/>
      <c r="BM675"/>
      <c r="BN675" s="19"/>
      <c r="BO675"/>
      <c r="BP675"/>
      <c r="BQ675"/>
      <c r="BR675"/>
      <c r="BS675"/>
      <c r="BT675"/>
      <c r="BU675"/>
      <c r="BV675"/>
      <c r="BW675"/>
      <c r="BX675"/>
      <c r="BY675"/>
      <c r="BZ675"/>
      <c r="CA675"/>
      <c r="CB675"/>
      <c r="CC675"/>
      <c r="CD675"/>
      <c r="CE675"/>
      <c r="CF675"/>
      <c r="CG675"/>
      <c r="CH675"/>
      <c r="CI675"/>
      <c r="CJ675"/>
      <c r="CK675"/>
      <c r="CL675"/>
      <c r="CM675" s="20"/>
      <c r="CN675" s="20"/>
      <c r="CO675" s="20"/>
      <c r="CP675" s="20"/>
      <c r="CQ675" s="20"/>
      <c r="CR675" s="20"/>
      <c r="CS675" s="20"/>
      <c r="CT675" s="20"/>
      <c r="CU675" s="20"/>
      <c r="CV675" s="20"/>
      <c r="CW675" s="20"/>
      <c r="CX675" s="20"/>
      <c r="CY675" s="20"/>
    </row>
    <row r="676" spans="1:103" s="6" customFormat="1">
      <c r="A676"/>
      <c r="B676"/>
      <c r="C676"/>
      <c r="D676"/>
      <c r="E676"/>
      <c r="F676"/>
      <c r="G676"/>
      <c r="H676"/>
      <c r="I676"/>
      <c r="J676"/>
      <c r="N676" s="7"/>
      <c r="O676"/>
      <c r="P676" s="10"/>
      <c r="Q676" s="9"/>
      <c r="R676" s="10"/>
      <c r="S676" s="10"/>
      <c r="AA676" s="11"/>
      <c r="AD676"/>
      <c r="AE676"/>
      <c r="AF676"/>
      <c r="AG676"/>
      <c r="AH676" s="46"/>
      <c r="AI676"/>
      <c r="AJ676"/>
      <c r="AK676"/>
      <c r="AL676"/>
      <c r="AM676"/>
      <c r="AN676"/>
      <c r="AO676"/>
      <c r="AP676"/>
      <c r="AQ676"/>
      <c r="AR676"/>
      <c r="AS676"/>
      <c r="AT676" s="14"/>
      <c r="AU676"/>
      <c r="AV676"/>
      <c r="AW676"/>
      <c r="AX676" s="10"/>
      <c r="AY676" s="20"/>
      <c r="AZ676" s="16"/>
      <c r="BA676"/>
      <c r="BB676"/>
      <c r="BC676" s="16"/>
      <c r="BD676"/>
      <c r="BE676"/>
      <c r="BF676"/>
      <c r="BG676"/>
      <c r="BH676"/>
      <c r="BI676"/>
      <c r="BJ676"/>
      <c r="BK676"/>
      <c r="BL676"/>
      <c r="BM676"/>
      <c r="BN676" s="19"/>
      <c r="BO676"/>
      <c r="BP676"/>
      <c r="BQ676"/>
      <c r="BR676"/>
      <c r="BS676"/>
      <c r="BT676"/>
      <c r="BU676"/>
      <c r="BV676"/>
      <c r="BW676"/>
      <c r="BX676"/>
      <c r="BY676"/>
      <c r="BZ676"/>
      <c r="CA676"/>
      <c r="CB676"/>
      <c r="CC676"/>
      <c r="CD676"/>
      <c r="CE676"/>
      <c r="CF676"/>
      <c r="CG676"/>
      <c r="CH676"/>
      <c r="CI676"/>
      <c r="CJ676"/>
      <c r="CK676"/>
      <c r="CL676"/>
      <c r="CM676" s="20"/>
      <c r="CN676" s="20"/>
      <c r="CO676" s="20"/>
      <c r="CP676" s="20"/>
      <c r="CQ676" s="20"/>
      <c r="CR676" s="20"/>
      <c r="CS676" s="20"/>
      <c r="CT676" s="20"/>
      <c r="CU676" s="20"/>
      <c r="CV676" s="20"/>
      <c r="CW676" s="20"/>
      <c r="CX676" s="20"/>
      <c r="CY676" s="20"/>
    </row>
    <row r="677" spans="1:103" s="6" customFormat="1">
      <c r="A677"/>
      <c r="B677"/>
      <c r="C677"/>
      <c r="D677"/>
      <c r="E677"/>
      <c r="F677"/>
      <c r="G677"/>
      <c r="H677"/>
      <c r="I677"/>
      <c r="J677"/>
      <c r="N677" s="7"/>
      <c r="O677"/>
      <c r="P677" s="10"/>
      <c r="Q677" s="9"/>
      <c r="R677" s="10"/>
      <c r="S677" s="10"/>
      <c r="AA677" s="11"/>
      <c r="AD677"/>
      <c r="AE677"/>
      <c r="AF677"/>
      <c r="AG677"/>
      <c r="AH677" s="46"/>
      <c r="AI677"/>
      <c r="AJ677"/>
      <c r="AK677"/>
      <c r="AL677"/>
      <c r="AM677"/>
      <c r="AN677"/>
      <c r="AO677"/>
      <c r="AP677"/>
      <c r="AQ677"/>
      <c r="AR677"/>
      <c r="AS677"/>
      <c r="AT677" s="14"/>
      <c r="AU677"/>
      <c r="AV677"/>
      <c r="AW677"/>
      <c r="AX677" s="10"/>
      <c r="AY677" s="20"/>
      <c r="AZ677" s="16"/>
      <c r="BA677"/>
      <c r="BB677"/>
      <c r="BC677" s="16"/>
      <c r="BD677"/>
      <c r="BE677"/>
      <c r="BF677"/>
      <c r="BG677"/>
      <c r="BH677"/>
      <c r="BI677"/>
      <c r="BJ677"/>
      <c r="BK677"/>
      <c r="BL677"/>
      <c r="BM677"/>
      <c r="BN677" s="19"/>
      <c r="BO677"/>
      <c r="BP677"/>
      <c r="BQ677"/>
      <c r="BR677"/>
      <c r="BS677"/>
      <c r="BT677"/>
      <c r="BU677"/>
      <c r="BV677"/>
      <c r="BW677"/>
      <c r="BX677"/>
      <c r="BY677"/>
      <c r="BZ677"/>
      <c r="CA677"/>
      <c r="CB677"/>
      <c r="CC677"/>
      <c r="CD677"/>
      <c r="CE677"/>
      <c r="CF677"/>
      <c r="CG677"/>
      <c r="CH677"/>
      <c r="CI677"/>
      <c r="CJ677"/>
      <c r="CK677"/>
      <c r="CL677"/>
      <c r="CM677" s="20"/>
      <c r="CN677" s="20"/>
      <c r="CO677" s="20"/>
      <c r="CP677" s="20"/>
      <c r="CQ677" s="20"/>
      <c r="CR677" s="20"/>
      <c r="CS677" s="20"/>
      <c r="CT677" s="20"/>
      <c r="CU677" s="20"/>
      <c r="CV677" s="20"/>
      <c r="CW677" s="20"/>
      <c r="CX677" s="20"/>
      <c r="CY677" s="20"/>
    </row>
    <row r="678" spans="1:103" s="6" customFormat="1">
      <c r="A678"/>
      <c r="B678"/>
      <c r="C678"/>
      <c r="D678"/>
      <c r="E678"/>
      <c r="F678"/>
      <c r="G678"/>
      <c r="H678"/>
      <c r="I678"/>
      <c r="J678"/>
      <c r="N678" s="7"/>
      <c r="O678"/>
      <c r="P678" s="10"/>
      <c r="Q678" s="9"/>
      <c r="R678" s="10"/>
      <c r="S678" s="10"/>
      <c r="AA678" s="11"/>
      <c r="AD678"/>
      <c r="AE678"/>
      <c r="AF678"/>
      <c r="AG678"/>
      <c r="AH678" s="46"/>
      <c r="AI678"/>
      <c r="AJ678"/>
      <c r="AK678"/>
      <c r="AL678"/>
      <c r="AM678"/>
      <c r="AN678"/>
      <c r="AO678"/>
      <c r="AP678"/>
      <c r="AQ678"/>
      <c r="AR678"/>
      <c r="AS678"/>
      <c r="AT678" s="14"/>
      <c r="AU678"/>
      <c r="AV678"/>
      <c r="AW678"/>
      <c r="AX678" s="10"/>
      <c r="AY678" s="20"/>
      <c r="AZ678" s="16"/>
      <c r="BA678"/>
      <c r="BB678"/>
      <c r="BC678" s="16"/>
      <c r="BD678"/>
      <c r="BE678"/>
      <c r="BF678"/>
      <c r="BG678"/>
      <c r="BH678"/>
      <c r="BI678"/>
      <c r="BJ678"/>
      <c r="BK678"/>
      <c r="BL678"/>
      <c r="BM678"/>
      <c r="BN678" s="19"/>
      <c r="BO678"/>
      <c r="BP678"/>
      <c r="BQ678"/>
      <c r="BR678"/>
      <c r="BS678"/>
      <c r="BT678"/>
      <c r="BU678"/>
      <c r="BV678"/>
      <c r="BW678"/>
      <c r="BX678"/>
      <c r="BY678"/>
      <c r="BZ678"/>
      <c r="CA678"/>
      <c r="CB678"/>
      <c r="CC678"/>
      <c r="CD678"/>
      <c r="CE678"/>
      <c r="CF678"/>
      <c r="CG678"/>
      <c r="CH678"/>
      <c r="CI678"/>
      <c r="CJ678"/>
      <c r="CK678"/>
      <c r="CL678"/>
      <c r="CM678" s="20"/>
      <c r="CN678" s="20"/>
      <c r="CO678" s="20"/>
      <c r="CP678" s="20"/>
      <c r="CQ678" s="20"/>
      <c r="CR678" s="20"/>
      <c r="CS678" s="20"/>
      <c r="CT678" s="20"/>
      <c r="CU678" s="20"/>
      <c r="CV678" s="20"/>
      <c r="CW678" s="20"/>
      <c r="CX678" s="20"/>
      <c r="CY678" s="20"/>
    </row>
    <row r="679" spans="1:103" s="6" customFormat="1">
      <c r="A679"/>
      <c r="B679"/>
      <c r="C679"/>
      <c r="D679"/>
      <c r="E679"/>
      <c r="F679"/>
      <c r="G679"/>
      <c r="H679"/>
      <c r="I679"/>
      <c r="J679"/>
      <c r="N679" s="7"/>
      <c r="O679"/>
      <c r="P679" s="10"/>
      <c r="Q679" s="9"/>
      <c r="R679" s="10"/>
      <c r="S679" s="10"/>
      <c r="AA679" s="11"/>
      <c r="AD679"/>
      <c r="AE679"/>
      <c r="AF679"/>
      <c r="AG679"/>
      <c r="AH679" s="46"/>
      <c r="AI679"/>
      <c r="AJ679"/>
      <c r="AK679"/>
      <c r="AL679"/>
      <c r="AM679"/>
      <c r="AN679"/>
      <c r="AO679"/>
      <c r="AP679"/>
      <c r="AQ679"/>
      <c r="AR679"/>
      <c r="AS679"/>
      <c r="AT679" s="14"/>
      <c r="AU679"/>
      <c r="AV679"/>
      <c r="AW679"/>
      <c r="AX679" s="10"/>
      <c r="AY679" s="20"/>
      <c r="AZ679" s="16"/>
      <c r="BA679"/>
      <c r="BB679"/>
      <c r="BC679" s="16"/>
      <c r="BD679"/>
      <c r="BE679"/>
      <c r="BF679"/>
      <c r="BG679"/>
      <c r="BH679"/>
      <c r="BI679"/>
      <c r="BJ679"/>
      <c r="BK679"/>
      <c r="BL679"/>
      <c r="BM679"/>
      <c r="BN679" s="19"/>
      <c r="BO679"/>
      <c r="BP679"/>
      <c r="BQ679"/>
      <c r="BR679"/>
      <c r="BS679"/>
      <c r="BT679"/>
      <c r="BU679"/>
      <c r="BV679"/>
      <c r="BW679"/>
      <c r="BX679"/>
      <c r="BY679"/>
      <c r="BZ679"/>
      <c r="CA679"/>
      <c r="CB679"/>
      <c r="CC679"/>
      <c r="CD679"/>
      <c r="CE679"/>
      <c r="CF679"/>
      <c r="CG679"/>
      <c r="CH679"/>
      <c r="CI679"/>
      <c r="CJ679"/>
      <c r="CK679"/>
      <c r="CL679"/>
      <c r="CM679" s="20"/>
      <c r="CN679" s="20"/>
      <c r="CO679" s="20"/>
      <c r="CP679" s="20"/>
      <c r="CQ679" s="20"/>
      <c r="CR679" s="20"/>
      <c r="CS679" s="20"/>
      <c r="CT679" s="20"/>
      <c r="CU679" s="20"/>
      <c r="CV679" s="20"/>
      <c r="CW679" s="20"/>
      <c r="CX679" s="20"/>
      <c r="CY679" s="20"/>
    </row>
    <row r="680" spans="1:103" s="6" customFormat="1">
      <c r="A680"/>
      <c r="B680"/>
      <c r="C680"/>
      <c r="D680"/>
      <c r="E680"/>
      <c r="F680"/>
      <c r="G680"/>
      <c r="H680"/>
      <c r="I680"/>
      <c r="J680"/>
      <c r="N680" s="7"/>
      <c r="O680"/>
      <c r="P680" s="10"/>
      <c r="Q680" s="9"/>
      <c r="R680" s="10"/>
      <c r="S680" s="10"/>
      <c r="AA680" s="11"/>
      <c r="AD680"/>
      <c r="AE680"/>
      <c r="AF680"/>
      <c r="AG680"/>
      <c r="AH680" s="46"/>
      <c r="AI680"/>
      <c r="AJ680"/>
      <c r="AK680"/>
      <c r="AL680"/>
      <c r="AM680"/>
      <c r="AN680"/>
      <c r="AO680"/>
      <c r="AP680"/>
      <c r="AQ680"/>
      <c r="AR680"/>
      <c r="AS680"/>
      <c r="AT680" s="14"/>
      <c r="AU680"/>
      <c r="AV680"/>
      <c r="AW680"/>
      <c r="AX680" s="10"/>
      <c r="AY680" s="20"/>
      <c r="AZ680" s="16"/>
      <c r="BA680"/>
      <c r="BB680"/>
      <c r="BC680" s="16"/>
      <c r="BD680"/>
      <c r="BE680"/>
      <c r="BF680"/>
      <c r="BG680"/>
      <c r="BH680"/>
      <c r="BI680"/>
      <c r="BJ680"/>
      <c r="BK680"/>
      <c r="BL680"/>
      <c r="BM680"/>
      <c r="BN680" s="19"/>
      <c r="BO680"/>
      <c r="BP680"/>
      <c r="BQ680"/>
      <c r="BR680"/>
      <c r="BS680"/>
      <c r="BT680"/>
      <c r="BU680"/>
      <c r="BV680"/>
      <c r="BW680"/>
      <c r="BX680"/>
      <c r="BY680"/>
      <c r="BZ680"/>
      <c r="CA680"/>
      <c r="CB680"/>
      <c r="CC680"/>
      <c r="CD680"/>
      <c r="CE680"/>
      <c r="CF680"/>
      <c r="CG680"/>
      <c r="CH680"/>
      <c r="CI680"/>
      <c r="CJ680"/>
      <c r="CK680"/>
      <c r="CL680"/>
      <c r="CM680" s="20"/>
      <c r="CN680" s="20"/>
      <c r="CO680" s="20"/>
      <c r="CP680" s="20"/>
      <c r="CQ680" s="20"/>
      <c r="CR680" s="20"/>
      <c r="CS680" s="20"/>
      <c r="CT680" s="20"/>
      <c r="CU680" s="20"/>
      <c r="CV680" s="20"/>
      <c r="CW680" s="20"/>
      <c r="CX680" s="20"/>
      <c r="CY680" s="20"/>
    </row>
    <row r="681" spans="1:103" s="6" customFormat="1">
      <c r="A681"/>
      <c r="B681"/>
      <c r="C681"/>
      <c r="D681"/>
      <c r="E681"/>
      <c r="F681"/>
      <c r="G681"/>
      <c r="H681"/>
      <c r="I681"/>
      <c r="J681"/>
      <c r="N681" s="7"/>
      <c r="O681"/>
      <c r="P681" s="10"/>
      <c r="Q681" s="9"/>
      <c r="R681" s="10"/>
      <c r="S681" s="10"/>
      <c r="AA681" s="11"/>
      <c r="AD681"/>
      <c r="AE681"/>
      <c r="AF681"/>
      <c r="AG681"/>
      <c r="AH681" s="46"/>
      <c r="AI681"/>
      <c r="AJ681"/>
      <c r="AK681"/>
      <c r="AL681"/>
      <c r="AM681"/>
      <c r="AN681"/>
      <c r="AO681"/>
      <c r="AP681"/>
      <c r="AQ681"/>
      <c r="AR681"/>
      <c r="AS681"/>
      <c r="AT681" s="14"/>
      <c r="AU681"/>
      <c r="AV681"/>
      <c r="AW681"/>
      <c r="AX681" s="10"/>
      <c r="AY681" s="20"/>
      <c r="AZ681" s="16"/>
      <c r="BA681"/>
      <c r="BB681"/>
      <c r="BC681" s="16"/>
      <c r="BD681"/>
      <c r="BE681"/>
      <c r="BF681"/>
      <c r="BG681"/>
      <c r="BH681"/>
      <c r="BI681"/>
      <c r="BJ681"/>
      <c r="BK681"/>
      <c r="BL681"/>
      <c r="BM681"/>
      <c r="BN681" s="19"/>
      <c r="BO681"/>
      <c r="BP681"/>
      <c r="BQ681"/>
      <c r="BR681"/>
      <c r="BS681"/>
      <c r="BT681"/>
      <c r="BU681"/>
      <c r="BV681"/>
      <c r="BW681"/>
      <c r="BX681"/>
      <c r="BY681"/>
      <c r="BZ681"/>
      <c r="CA681"/>
      <c r="CB681"/>
      <c r="CC681"/>
      <c r="CD681"/>
      <c r="CE681"/>
      <c r="CF681"/>
      <c r="CG681"/>
      <c r="CH681"/>
      <c r="CI681"/>
      <c r="CJ681"/>
      <c r="CK681"/>
      <c r="CL681"/>
      <c r="CM681" s="20"/>
      <c r="CN681" s="20"/>
      <c r="CO681" s="20"/>
      <c r="CP681" s="20"/>
      <c r="CQ681" s="20"/>
      <c r="CR681" s="20"/>
      <c r="CS681" s="20"/>
      <c r="CT681" s="20"/>
      <c r="CU681" s="20"/>
      <c r="CV681" s="20"/>
      <c r="CW681" s="20"/>
      <c r="CX681" s="20"/>
      <c r="CY681" s="20"/>
    </row>
    <row r="682" spans="1:103" s="6" customFormat="1">
      <c r="A682"/>
      <c r="B682"/>
      <c r="C682"/>
      <c r="D682"/>
      <c r="E682"/>
      <c r="F682"/>
      <c r="G682"/>
      <c r="H682"/>
      <c r="I682"/>
      <c r="J682"/>
      <c r="N682" s="7"/>
      <c r="O682"/>
      <c r="P682" s="10"/>
      <c r="Q682" s="9"/>
      <c r="R682" s="10"/>
      <c r="S682" s="10"/>
      <c r="AA682" s="11"/>
      <c r="AD682"/>
      <c r="AE682"/>
      <c r="AF682"/>
      <c r="AG682"/>
      <c r="AH682" s="46"/>
      <c r="AI682"/>
      <c r="AJ682"/>
      <c r="AK682"/>
      <c r="AL682"/>
      <c r="AM682"/>
      <c r="AN682"/>
      <c r="AO682"/>
      <c r="AP682"/>
      <c r="AQ682"/>
      <c r="AR682"/>
      <c r="AS682"/>
      <c r="AT682" s="14"/>
      <c r="AU682"/>
      <c r="AV682"/>
      <c r="AW682"/>
      <c r="AX682" s="10"/>
      <c r="AY682" s="20"/>
      <c r="AZ682" s="16"/>
      <c r="BA682"/>
      <c r="BB682"/>
      <c r="BC682" s="16"/>
      <c r="BD682"/>
      <c r="BE682"/>
      <c r="BF682"/>
      <c r="BG682"/>
      <c r="BH682"/>
      <c r="BI682"/>
      <c r="BJ682"/>
      <c r="BK682"/>
      <c r="BL682"/>
      <c r="BM682"/>
      <c r="BN682" s="19"/>
      <c r="BO682"/>
      <c r="BP682"/>
      <c r="BQ682"/>
      <c r="BR682"/>
      <c r="BS682"/>
      <c r="BT682"/>
      <c r="BU682"/>
      <c r="BV682"/>
      <c r="BW682"/>
      <c r="BX682"/>
      <c r="BY682"/>
      <c r="BZ682"/>
      <c r="CA682"/>
      <c r="CB682"/>
      <c r="CC682"/>
      <c r="CD682"/>
      <c r="CE682"/>
      <c r="CF682"/>
      <c r="CG682"/>
      <c r="CH682"/>
      <c r="CI682"/>
      <c r="CJ682"/>
      <c r="CK682"/>
      <c r="CL682"/>
      <c r="CM682" s="20"/>
      <c r="CN682" s="20"/>
      <c r="CO682" s="20"/>
      <c r="CP682" s="20"/>
      <c r="CQ682" s="20"/>
      <c r="CR682" s="20"/>
      <c r="CS682" s="20"/>
      <c r="CT682" s="20"/>
      <c r="CU682" s="20"/>
      <c r="CV682" s="20"/>
      <c r="CW682" s="20"/>
      <c r="CX682" s="20"/>
      <c r="CY682" s="20"/>
    </row>
    <row r="683" spans="1:103" s="6" customFormat="1">
      <c r="A683"/>
      <c r="B683"/>
      <c r="C683"/>
      <c r="D683"/>
      <c r="E683"/>
      <c r="F683"/>
      <c r="G683"/>
      <c r="H683"/>
      <c r="I683"/>
      <c r="J683"/>
      <c r="N683" s="7"/>
      <c r="O683"/>
      <c r="P683" s="10"/>
      <c r="Q683" s="9"/>
      <c r="R683" s="10"/>
      <c r="S683" s="10"/>
      <c r="AA683" s="11"/>
      <c r="AD683"/>
      <c r="AE683"/>
      <c r="AF683"/>
      <c r="AG683"/>
      <c r="AH683" s="46"/>
      <c r="AI683"/>
      <c r="AJ683"/>
      <c r="AK683"/>
      <c r="AL683"/>
      <c r="AM683"/>
      <c r="AN683"/>
      <c r="AO683"/>
      <c r="AP683"/>
      <c r="AQ683"/>
      <c r="AR683"/>
      <c r="AS683"/>
      <c r="AT683" s="14"/>
      <c r="AU683"/>
      <c r="AV683"/>
      <c r="AW683"/>
      <c r="AX683" s="10"/>
      <c r="AY683" s="20"/>
      <c r="AZ683" s="16"/>
      <c r="BA683"/>
      <c r="BB683"/>
      <c r="BC683" s="16"/>
      <c r="BD683"/>
      <c r="BE683"/>
      <c r="BF683"/>
      <c r="BG683"/>
      <c r="BH683"/>
      <c r="BI683"/>
      <c r="BJ683"/>
      <c r="BK683"/>
      <c r="BL683"/>
      <c r="BM683"/>
      <c r="BN683" s="19"/>
      <c r="BO683"/>
      <c r="BP683"/>
      <c r="BQ683"/>
      <c r="BR683"/>
      <c r="BS683"/>
      <c r="BT683"/>
      <c r="BU683"/>
      <c r="BV683"/>
      <c r="BW683"/>
      <c r="BX683"/>
      <c r="BY683"/>
      <c r="BZ683"/>
      <c r="CA683"/>
      <c r="CB683"/>
      <c r="CC683"/>
      <c r="CD683"/>
      <c r="CE683"/>
      <c r="CF683"/>
      <c r="CG683"/>
      <c r="CH683"/>
      <c r="CI683"/>
      <c r="CJ683"/>
      <c r="CK683"/>
      <c r="CL683"/>
      <c r="CM683" s="20"/>
      <c r="CN683" s="20"/>
      <c r="CO683" s="20"/>
      <c r="CP683" s="20"/>
      <c r="CQ683" s="20"/>
      <c r="CR683" s="20"/>
      <c r="CS683" s="20"/>
      <c r="CT683" s="20"/>
      <c r="CU683" s="20"/>
      <c r="CV683" s="20"/>
      <c r="CW683" s="20"/>
      <c r="CX683" s="20"/>
      <c r="CY683" s="20"/>
    </row>
    <row r="684" spans="1:103" s="6" customFormat="1">
      <c r="A684"/>
      <c r="B684"/>
      <c r="C684"/>
      <c r="D684"/>
      <c r="E684"/>
      <c r="F684"/>
      <c r="G684"/>
      <c r="H684"/>
      <c r="I684"/>
      <c r="J684"/>
      <c r="N684" s="7"/>
      <c r="O684"/>
      <c r="P684" s="10"/>
      <c r="Q684" s="9"/>
      <c r="R684" s="10"/>
      <c r="S684" s="10"/>
      <c r="AA684" s="11"/>
      <c r="AD684"/>
      <c r="AE684"/>
      <c r="AF684"/>
      <c r="AG684"/>
      <c r="AH684" s="46"/>
      <c r="AI684"/>
      <c r="AJ684"/>
      <c r="AK684"/>
      <c r="AL684"/>
      <c r="AM684"/>
      <c r="AN684"/>
      <c r="AO684"/>
      <c r="AP684"/>
      <c r="AQ684"/>
      <c r="AR684"/>
      <c r="AS684"/>
      <c r="AT684" s="14"/>
      <c r="AU684"/>
      <c r="AV684"/>
      <c r="AW684"/>
      <c r="AX684" s="10"/>
      <c r="AY684" s="20"/>
      <c r="AZ684" s="16"/>
      <c r="BA684"/>
      <c r="BB684"/>
      <c r="BC684" s="16"/>
      <c r="BD684"/>
      <c r="BE684"/>
      <c r="BF684"/>
      <c r="BG684"/>
      <c r="BH684"/>
      <c r="BI684"/>
      <c r="BJ684"/>
      <c r="BK684"/>
      <c r="BL684"/>
      <c r="BM684"/>
      <c r="BN684" s="19"/>
      <c r="BO684"/>
      <c r="BP684"/>
      <c r="BQ684"/>
      <c r="BR684"/>
      <c r="BS684"/>
      <c r="BT684"/>
      <c r="BU684"/>
      <c r="BV684"/>
      <c r="BW684"/>
      <c r="BX684"/>
      <c r="BY684"/>
      <c r="BZ684"/>
      <c r="CA684"/>
      <c r="CB684"/>
      <c r="CC684"/>
      <c r="CD684"/>
      <c r="CE684"/>
      <c r="CF684"/>
      <c r="CG684"/>
      <c r="CH684"/>
      <c r="CI684"/>
      <c r="CJ684"/>
      <c r="CK684"/>
      <c r="CL684"/>
      <c r="CM684" s="20"/>
      <c r="CN684" s="20"/>
      <c r="CO684" s="20"/>
      <c r="CP684" s="20"/>
      <c r="CQ684" s="20"/>
      <c r="CR684" s="20"/>
      <c r="CS684" s="20"/>
      <c r="CT684" s="20"/>
      <c r="CU684" s="20"/>
      <c r="CV684" s="20"/>
      <c r="CW684" s="20"/>
      <c r="CX684" s="20"/>
      <c r="CY684" s="20"/>
    </row>
    <row r="685" spans="1:103" s="6" customFormat="1">
      <c r="A685"/>
      <c r="B685"/>
      <c r="C685"/>
      <c r="D685"/>
      <c r="E685"/>
      <c r="F685"/>
      <c r="G685"/>
      <c r="H685"/>
      <c r="I685"/>
      <c r="J685"/>
      <c r="N685" s="7"/>
      <c r="O685"/>
      <c r="P685" s="10"/>
      <c r="Q685" s="9"/>
      <c r="R685" s="10"/>
      <c r="S685" s="10"/>
      <c r="AA685" s="11"/>
      <c r="AD685"/>
      <c r="AE685"/>
      <c r="AF685"/>
      <c r="AG685"/>
      <c r="AH685" s="46"/>
      <c r="AI685"/>
      <c r="AJ685"/>
      <c r="AK685"/>
      <c r="AL685"/>
      <c r="AM685"/>
      <c r="AN685"/>
      <c r="AO685"/>
      <c r="AP685"/>
      <c r="AQ685"/>
      <c r="AR685"/>
      <c r="AS685"/>
      <c r="AT685" s="14"/>
      <c r="AU685"/>
      <c r="AV685"/>
      <c r="AW685"/>
      <c r="AX685" s="10"/>
      <c r="AY685" s="20"/>
      <c r="AZ685" s="16"/>
      <c r="BA685"/>
      <c r="BB685"/>
      <c r="BC685" s="16"/>
      <c r="BD685"/>
      <c r="BE685"/>
      <c r="BF685"/>
      <c r="BG685"/>
      <c r="BH685"/>
      <c r="BI685"/>
      <c r="BJ685"/>
      <c r="BK685"/>
      <c r="BL685"/>
      <c r="BM685"/>
      <c r="BN685" s="19"/>
      <c r="BO685"/>
      <c r="BP685"/>
      <c r="BQ685"/>
      <c r="BR685"/>
      <c r="BS685"/>
      <c r="BT685"/>
      <c r="BU685"/>
      <c r="BV685"/>
      <c r="BW685"/>
      <c r="BX685"/>
      <c r="BY685"/>
      <c r="BZ685"/>
      <c r="CA685"/>
      <c r="CB685"/>
      <c r="CC685"/>
      <c r="CD685"/>
      <c r="CE685"/>
      <c r="CF685"/>
      <c r="CG685"/>
      <c r="CH685"/>
      <c r="CI685"/>
      <c r="CJ685"/>
      <c r="CK685"/>
      <c r="CL685"/>
      <c r="CM685" s="20"/>
      <c r="CN685" s="20"/>
      <c r="CO685" s="20"/>
      <c r="CP685" s="20"/>
      <c r="CQ685" s="20"/>
      <c r="CR685" s="20"/>
      <c r="CS685" s="20"/>
      <c r="CT685" s="20"/>
      <c r="CU685" s="20"/>
      <c r="CV685" s="20"/>
      <c r="CW685" s="20"/>
      <c r="CX685" s="20"/>
      <c r="CY685" s="20"/>
    </row>
    <row r="686" spans="1:103" s="6" customFormat="1">
      <c r="A686"/>
      <c r="B686"/>
      <c r="C686"/>
      <c r="D686"/>
      <c r="E686"/>
      <c r="F686"/>
      <c r="G686"/>
      <c r="H686"/>
      <c r="I686"/>
      <c r="J686"/>
      <c r="N686" s="7"/>
      <c r="O686"/>
      <c r="P686" s="10"/>
      <c r="Q686" s="9"/>
      <c r="R686" s="10"/>
      <c r="S686" s="10"/>
      <c r="AA686" s="11"/>
      <c r="AD686"/>
      <c r="AE686"/>
      <c r="AF686"/>
      <c r="AG686"/>
      <c r="AH686" s="46"/>
      <c r="AI686"/>
      <c r="AJ686"/>
      <c r="AK686"/>
      <c r="AL686"/>
      <c r="AM686"/>
      <c r="AN686"/>
      <c r="AO686"/>
      <c r="AP686"/>
      <c r="AQ686"/>
      <c r="AR686"/>
      <c r="AS686"/>
      <c r="AT686" s="14"/>
      <c r="AU686"/>
      <c r="AV686"/>
      <c r="AW686"/>
      <c r="AX686" s="10"/>
      <c r="AY686" s="20"/>
      <c r="AZ686" s="16"/>
      <c r="BA686"/>
      <c r="BB686"/>
      <c r="BC686" s="16"/>
      <c r="BD686"/>
      <c r="BE686"/>
      <c r="BF686"/>
      <c r="BG686"/>
      <c r="BH686"/>
      <c r="BI686"/>
      <c r="BJ686"/>
      <c r="BK686"/>
      <c r="BL686"/>
      <c r="BM686"/>
      <c r="BN686" s="19"/>
      <c r="BO686"/>
      <c r="BP686"/>
      <c r="BQ686"/>
      <c r="BR686"/>
      <c r="BS686"/>
      <c r="BT686"/>
      <c r="BU686"/>
      <c r="BV686"/>
      <c r="BW686"/>
      <c r="BX686"/>
      <c r="BY686"/>
      <c r="BZ686"/>
      <c r="CA686"/>
      <c r="CB686"/>
      <c r="CC686"/>
      <c r="CD686"/>
      <c r="CE686"/>
      <c r="CF686"/>
      <c r="CG686"/>
      <c r="CH686"/>
      <c r="CI686"/>
      <c r="CJ686"/>
      <c r="CK686"/>
      <c r="CL686"/>
      <c r="CM686" s="20"/>
      <c r="CN686" s="20"/>
      <c r="CO686" s="20"/>
      <c r="CP686" s="20"/>
      <c r="CQ686" s="20"/>
      <c r="CR686" s="20"/>
      <c r="CS686" s="20"/>
      <c r="CT686" s="20"/>
      <c r="CU686" s="20"/>
      <c r="CV686" s="20"/>
      <c r="CW686" s="20"/>
      <c r="CX686" s="20"/>
      <c r="CY686" s="20"/>
    </row>
    <row r="687" spans="1:103" s="6" customFormat="1">
      <c r="A687"/>
      <c r="B687"/>
      <c r="C687"/>
      <c r="D687"/>
      <c r="E687"/>
      <c r="F687"/>
      <c r="G687"/>
      <c r="H687"/>
      <c r="I687"/>
      <c r="J687"/>
      <c r="N687" s="7"/>
      <c r="O687"/>
      <c r="P687" s="10"/>
      <c r="Q687" s="9"/>
      <c r="R687" s="10"/>
      <c r="S687" s="10"/>
      <c r="AA687" s="11"/>
      <c r="AD687"/>
      <c r="AE687"/>
      <c r="AF687"/>
      <c r="AG687"/>
      <c r="AH687" s="46"/>
      <c r="AI687"/>
      <c r="AJ687"/>
      <c r="AK687"/>
      <c r="AL687"/>
      <c r="AM687"/>
      <c r="AN687"/>
      <c r="AO687"/>
      <c r="AP687"/>
      <c r="AQ687"/>
      <c r="AR687"/>
      <c r="AS687"/>
      <c r="AT687" s="14"/>
      <c r="AU687"/>
      <c r="AV687"/>
      <c r="AW687"/>
      <c r="AX687" s="10"/>
      <c r="AY687" s="20"/>
      <c r="AZ687" s="16"/>
      <c r="BA687"/>
      <c r="BB687"/>
      <c r="BC687" s="16"/>
      <c r="BD687"/>
      <c r="BE687"/>
      <c r="BF687"/>
      <c r="BG687"/>
      <c r="BH687"/>
      <c r="BI687"/>
      <c r="BJ687"/>
      <c r="BK687"/>
      <c r="BL687"/>
      <c r="BM687"/>
      <c r="BN687" s="19"/>
      <c r="BO687"/>
      <c r="BP687"/>
      <c r="BQ687"/>
      <c r="BR687"/>
      <c r="BS687"/>
      <c r="BT687"/>
      <c r="BU687"/>
      <c r="BV687"/>
      <c r="BW687"/>
      <c r="BX687"/>
      <c r="BY687"/>
      <c r="BZ687"/>
      <c r="CA687"/>
      <c r="CB687"/>
      <c r="CC687"/>
      <c r="CD687"/>
      <c r="CE687"/>
      <c r="CF687"/>
      <c r="CG687"/>
      <c r="CH687"/>
      <c r="CI687"/>
      <c r="CJ687"/>
      <c r="CK687"/>
      <c r="CL687"/>
      <c r="CM687" s="20"/>
      <c r="CN687" s="20"/>
      <c r="CO687" s="20"/>
      <c r="CP687" s="20"/>
      <c r="CQ687" s="20"/>
      <c r="CR687" s="20"/>
      <c r="CS687" s="20"/>
      <c r="CT687" s="20"/>
      <c r="CU687" s="20"/>
      <c r="CV687" s="20"/>
      <c r="CW687" s="20"/>
      <c r="CX687" s="20"/>
      <c r="CY687" s="20"/>
    </row>
    <row r="688" spans="1:103" s="6" customFormat="1">
      <c r="A688"/>
      <c r="B688"/>
      <c r="C688"/>
      <c r="D688"/>
      <c r="E688"/>
      <c r="F688"/>
      <c r="G688"/>
      <c r="H688"/>
      <c r="I688"/>
      <c r="J688"/>
      <c r="N688" s="7"/>
      <c r="O688"/>
      <c r="P688" s="10"/>
      <c r="Q688" s="9"/>
      <c r="R688" s="10"/>
      <c r="S688" s="10"/>
      <c r="AA688" s="11"/>
      <c r="AD688"/>
      <c r="AE688"/>
      <c r="AF688"/>
      <c r="AG688"/>
      <c r="AH688" s="46"/>
      <c r="AI688"/>
      <c r="AJ688"/>
      <c r="AK688"/>
      <c r="AL688"/>
      <c r="AM688"/>
      <c r="AN688"/>
      <c r="AO688"/>
      <c r="AP688"/>
      <c r="AQ688"/>
      <c r="AR688"/>
      <c r="AS688"/>
      <c r="AT688" s="14"/>
      <c r="AU688"/>
      <c r="AV688"/>
      <c r="AW688"/>
      <c r="AX688" s="10"/>
      <c r="AY688" s="20"/>
      <c r="AZ688" s="16"/>
      <c r="BA688"/>
      <c r="BB688"/>
      <c r="BC688" s="16"/>
      <c r="BD688"/>
      <c r="BE688"/>
      <c r="BF688"/>
      <c r="BG688"/>
      <c r="BH688"/>
      <c r="BI688"/>
      <c r="BJ688"/>
      <c r="BK688"/>
      <c r="BL688"/>
      <c r="BM688"/>
      <c r="BN688" s="19"/>
      <c r="BO688"/>
      <c r="BP688"/>
      <c r="BQ688"/>
      <c r="BR688"/>
      <c r="BS688"/>
      <c r="BT688"/>
      <c r="BU688"/>
      <c r="BV688"/>
      <c r="BW688"/>
      <c r="BX688"/>
      <c r="BY688"/>
      <c r="BZ688"/>
      <c r="CA688"/>
      <c r="CB688"/>
      <c r="CC688"/>
      <c r="CD688"/>
      <c r="CE688"/>
      <c r="CF688"/>
      <c r="CG688"/>
      <c r="CH688"/>
      <c r="CI688"/>
      <c r="CJ688"/>
      <c r="CK688"/>
      <c r="CL688"/>
      <c r="CM688" s="20"/>
      <c r="CN688" s="20"/>
      <c r="CO688" s="20"/>
      <c r="CP688" s="20"/>
      <c r="CQ688" s="20"/>
      <c r="CR688" s="20"/>
      <c r="CS688" s="20"/>
      <c r="CT688" s="20"/>
      <c r="CU688" s="20"/>
      <c r="CV688" s="20"/>
      <c r="CW688" s="20"/>
      <c r="CX688" s="20"/>
      <c r="CY688" s="20"/>
    </row>
    <row r="689" spans="1:103" s="6" customFormat="1">
      <c r="A689"/>
      <c r="B689"/>
      <c r="C689"/>
      <c r="D689"/>
      <c r="E689"/>
      <c r="F689"/>
      <c r="G689"/>
      <c r="H689"/>
      <c r="I689"/>
      <c r="J689"/>
      <c r="N689" s="7"/>
      <c r="O689"/>
      <c r="P689" s="10"/>
      <c r="Q689" s="9"/>
      <c r="R689" s="10"/>
      <c r="S689" s="10"/>
      <c r="AA689" s="11"/>
      <c r="AD689"/>
      <c r="AE689"/>
      <c r="AF689"/>
      <c r="AG689"/>
      <c r="AH689" s="46"/>
      <c r="AI689"/>
      <c r="AJ689"/>
      <c r="AK689"/>
      <c r="AL689"/>
      <c r="AM689"/>
      <c r="AN689"/>
      <c r="AO689"/>
      <c r="AP689"/>
      <c r="AQ689"/>
      <c r="AR689"/>
      <c r="AS689"/>
      <c r="AT689" s="14"/>
      <c r="AU689"/>
      <c r="AV689"/>
      <c r="AW689"/>
      <c r="AX689" s="10"/>
      <c r="AY689" s="20"/>
      <c r="AZ689" s="16"/>
      <c r="BA689"/>
      <c r="BB689"/>
      <c r="BC689" s="16"/>
      <c r="BD689"/>
      <c r="BE689"/>
      <c r="BF689"/>
      <c r="BG689"/>
      <c r="BH689"/>
      <c r="BI689"/>
      <c r="BJ689"/>
      <c r="BK689"/>
      <c r="BL689"/>
      <c r="BM689"/>
      <c r="BN689" s="19"/>
      <c r="BO689"/>
      <c r="BP689"/>
      <c r="BQ689"/>
      <c r="BR689"/>
      <c r="BS689"/>
      <c r="BT689"/>
      <c r="BU689"/>
      <c r="BV689"/>
      <c r="BW689"/>
      <c r="BX689"/>
      <c r="BY689"/>
      <c r="BZ689"/>
      <c r="CA689"/>
      <c r="CB689"/>
      <c r="CC689"/>
      <c r="CD689"/>
      <c r="CE689"/>
      <c r="CF689"/>
      <c r="CG689"/>
      <c r="CH689"/>
      <c r="CI689"/>
      <c r="CJ689"/>
      <c r="CK689"/>
      <c r="CL689"/>
      <c r="CM689" s="20"/>
      <c r="CN689" s="20"/>
      <c r="CO689" s="20"/>
      <c r="CP689" s="20"/>
      <c r="CQ689" s="20"/>
      <c r="CR689" s="20"/>
      <c r="CS689" s="20"/>
      <c r="CT689" s="20"/>
      <c r="CU689" s="20"/>
      <c r="CV689" s="20"/>
      <c r="CW689" s="20"/>
      <c r="CX689" s="20"/>
      <c r="CY689" s="20"/>
    </row>
    <row r="690" spans="1:103" s="6" customFormat="1">
      <c r="A690"/>
      <c r="B690"/>
      <c r="C690"/>
      <c r="D690"/>
      <c r="E690"/>
      <c r="F690"/>
      <c r="G690"/>
      <c r="H690"/>
      <c r="I690"/>
      <c r="J690"/>
      <c r="N690" s="7"/>
      <c r="O690"/>
      <c r="P690" s="10"/>
      <c r="Q690" s="9"/>
      <c r="R690" s="10"/>
      <c r="S690" s="10"/>
      <c r="AA690" s="11"/>
      <c r="AD690"/>
      <c r="AE690"/>
      <c r="AF690"/>
      <c r="AG690"/>
      <c r="AH690" s="46"/>
      <c r="AI690"/>
      <c r="AJ690"/>
      <c r="AK690"/>
      <c r="AL690"/>
      <c r="AM690"/>
      <c r="AN690"/>
      <c r="AO690"/>
      <c r="AP690"/>
      <c r="AQ690"/>
      <c r="AR690"/>
      <c r="AS690"/>
      <c r="AT690" s="14"/>
      <c r="AU690"/>
      <c r="AV690"/>
      <c r="AW690"/>
      <c r="AX690" s="10"/>
      <c r="AY690" s="20"/>
      <c r="AZ690" s="16"/>
      <c r="BA690"/>
      <c r="BB690"/>
      <c r="BC690" s="16"/>
      <c r="BD690"/>
      <c r="BE690"/>
      <c r="BF690"/>
      <c r="BG690"/>
      <c r="BH690"/>
      <c r="BI690"/>
      <c r="BJ690"/>
      <c r="BK690"/>
      <c r="BL690"/>
      <c r="BM690"/>
      <c r="BN690" s="19"/>
      <c r="BO690"/>
      <c r="BP690"/>
      <c r="BQ690"/>
      <c r="BR690"/>
      <c r="BS690"/>
      <c r="BT690"/>
      <c r="BU690"/>
      <c r="BV690"/>
      <c r="BW690"/>
      <c r="BX690"/>
      <c r="BY690"/>
      <c r="BZ690"/>
      <c r="CA690"/>
      <c r="CB690"/>
      <c r="CC690"/>
      <c r="CD690"/>
      <c r="CE690"/>
      <c r="CF690"/>
      <c r="CG690"/>
      <c r="CH690"/>
      <c r="CI690"/>
      <c r="CJ690"/>
      <c r="CK690"/>
      <c r="CL690"/>
      <c r="CM690" s="20"/>
      <c r="CN690" s="20"/>
      <c r="CO690" s="20"/>
      <c r="CP690" s="20"/>
      <c r="CQ690" s="20"/>
      <c r="CR690" s="20"/>
      <c r="CS690" s="20"/>
      <c r="CT690" s="20"/>
      <c r="CU690" s="20"/>
      <c r="CV690" s="20"/>
      <c r="CW690" s="20"/>
      <c r="CX690" s="20"/>
      <c r="CY690" s="20"/>
    </row>
    <row r="691" spans="1:103" s="6" customFormat="1">
      <c r="A691"/>
      <c r="B691"/>
      <c r="C691"/>
      <c r="D691"/>
      <c r="E691"/>
      <c r="F691"/>
      <c r="G691"/>
      <c r="H691"/>
      <c r="I691"/>
      <c r="J691"/>
      <c r="N691" s="7"/>
      <c r="O691"/>
      <c r="P691" s="10"/>
      <c r="Q691" s="9"/>
      <c r="R691" s="10"/>
      <c r="S691" s="10"/>
      <c r="AA691" s="11"/>
      <c r="AD691"/>
      <c r="AE691"/>
      <c r="AF691"/>
      <c r="AG691"/>
      <c r="AH691" s="46"/>
      <c r="AI691"/>
      <c r="AJ691"/>
      <c r="AK691"/>
      <c r="AL691"/>
      <c r="AM691"/>
      <c r="AN691"/>
      <c r="AO691"/>
      <c r="AP691"/>
      <c r="AQ691"/>
      <c r="AR691"/>
      <c r="AS691"/>
      <c r="AT691" s="14"/>
      <c r="AU691"/>
      <c r="AV691"/>
      <c r="AW691"/>
      <c r="AX691" s="10"/>
      <c r="AY691" s="20"/>
      <c r="AZ691" s="16"/>
      <c r="BA691"/>
      <c r="BB691"/>
      <c r="BC691" s="16"/>
      <c r="BD691"/>
      <c r="BE691"/>
      <c r="BF691"/>
      <c r="BG691"/>
      <c r="BH691"/>
      <c r="BI691"/>
      <c r="BJ691"/>
      <c r="BK691"/>
      <c r="BL691"/>
      <c r="BM691"/>
      <c r="BN691" s="19"/>
      <c r="BO691"/>
      <c r="BP691"/>
      <c r="BQ691"/>
      <c r="BR691"/>
      <c r="BS691"/>
      <c r="BT691"/>
      <c r="BU691"/>
      <c r="BV691"/>
      <c r="BW691"/>
      <c r="BX691"/>
      <c r="BY691"/>
      <c r="BZ691"/>
      <c r="CA691"/>
      <c r="CB691"/>
      <c r="CC691"/>
      <c r="CD691"/>
      <c r="CE691"/>
      <c r="CF691"/>
      <c r="CG691"/>
      <c r="CH691"/>
      <c r="CI691"/>
      <c r="CJ691"/>
      <c r="CK691"/>
      <c r="CL691"/>
      <c r="CM691" s="20"/>
      <c r="CN691" s="20"/>
      <c r="CO691" s="20"/>
      <c r="CP691" s="20"/>
      <c r="CQ691" s="20"/>
      <c r="CR691" s="20"/>
      <c r="CS691" s="20"/>
      <c r="CT691" s="20"/>
      <c r="CU691" s="20"/>
      <c r="CV691" s="20"/>
      <c r="CW691" s="20"/>
      <c r="CX691" s="20"/>
      <c r="CY691" s="20"/>
    </row>
    <row r="692" spans="1:103" s="6" customFormat="1">
      <c r="A692"/>
      <c r="B692"/>
      <c r="C692"/>
      <c r="D692"/>
      <c r="E692"/>
      <c r="F692"/>
      <c r="G692"/>
      <c r="H692"/>
      <c r="I692"/>
      <c r="J692"/>
      <c r="N692" s="7"/>
      <c r="O692"/>
      <c r="P692" s="10"/>
      <c r="Q692" s="9"/>
      <c r="R692" s="10"/>
      <c r="S692" s="10"/>
      <c r="AA692" s="11"/>
      <c r="AD692"/>
      <c r="AE692"/>
      <c r="AF692"/>
      <c r="AG692"/>
      <c r="AH692" s="46"/>
      <c r="AI692"/>
      <c r="AJ692"/>
      <c r="AK692"/>
      <c r="AL692"/>
      <c r="AM692"/>
      <c r="AN692"/>
      <c r="AO692"/>
      <c r="AP692"/>
      <c r="AQ692"/>
      <c r="AR692"/>
      <c r="AS692"/>
      <c r="AT692" s="14"/>
      <c r="AU692"/>
      <c r="AV692"/>
      <c r="AW692"/>
      <c r="AX692" s="10"/>
      <c r="AY692" s="20"/>
      <c r="AZ692" s="16"/>
      <c r="BA692"/>
      <c r="BB692"/>
      <c r="BC692" s="16"/>
      <c r="BD692"/>
      <c r="BE692"/>
      <c r="BF692"/>
      <c r="BG692"/>
      <c r="BH692"/>
      <c r="BI692"/>
      <c r="BJ692"/>
      <c r="BK692"/>
      <c r="BL692"/>
      <c r="BM692"/>
      <c r="BN692" s="19"/>
      <c r="BO692"/>
      <c r="BP692"/>
      <c r="BQ692"/>
      <c r="BR692"/>
      <c r="BS692"/>
      <c r="BT692"/>
      <c r="BU692"/>
      <c r="BV692"/>
      <c r="BW692"/>
      <c r="BX692"/>
      <c r="BY692"/>
      <c r="BZ692"/>
      <c r="CA692"/>
      <c r="CB692"/>
      <c r="CC692"/>
      <c r="CD692"/>
      <c r="CE692"/>
      <c r="CF692"/>
      <c r="CG692"/>
      <c r="CH692"/>
      <c r="CI692"/>
      <c r="CJ692"/>
      <c r="CK692"/>
      <c r="CL692"/>
      <c r="CM692" s="20"/>
      <c r="CN692" s="20"/>
      <c r="CO692" s="20"/>
      <c r="CP692" s="20"/>
      <c r="CQ692" s="20"/>
      <c r="CR692" s="20"/>
      <c r="CS692" s="20"/>
      <c r="CT692" s="20"/>
      <c r="CU692" s="20"/>
      <c r="CV692" s="20"/>
      <c r="CW692" s="20"/>
      <c r="CX692" s="20"/>
      <c r="CY692" s="20"/>
    </row>
    <row r="693" spans="1:103" s="6" customFormat="1">
      <c r="A693"/>
      <c r="B693"/>
      <c r="C693"/>
      <c r="D693"/>
      <c r="E693"/>
      <c r="F693"/>
      <c r="G693"/>
      <c r="H693"/>
      <c r="I693"/>
      <c r="J693"/>
      <c r="N693" s="7"/>
      <c r="O693"/>
      <c r="P693" s="10"/>
      <c r="Q693" s="9"/>
      <c r="R693" s="10"/>
      <c r="S693" s="10"/>
      <c r="AA693" s="11"/>
      <c r="AD693"/>
      <c r="AE693"/>
      <c r="AF693"/>
      <c r="AG693"/>
      <c r="AH693" s="46"/>
      <c r="AI693"/>
      <c r="AJ693"/>
      <c r="AK693"/>
      <c r="AL693"/>
      <c r="AM693"/>
      <c r="AN693"/>
      <c r="AO693"/>
      <c r="AP693"/>
      <c r="AQ693"/>
      <c r="AR693"/>
      <c r="AS693"/>
      <c r="AT693" s="14"/>
      <c r="AU693"/>
      <c r="AV693"/>
      <c r="AW693"/>
      <c r="AX693" s="10"/>
      <c r="AY693" s="20"/>
      <c r="AZ693" s="16"/>
      <c r="BA693"/>
      <c r="BB693"/>
      <c r="BC693" s="16"/>
      <c r="BD693"/>
      <c r="BE693"/>
      <c r="BF693"/>
      <c r="BG693"/>
      <c r="BH693"/>
      <c r="BI693"/>
      <c r="BJ693"/>
      <c r="BK693"/>
      <c r="BL693"/>
      <c r="BM693"/>
      <c r="BN693" s="19"/>
      <c r="BO693"/>
      <c r="BP693"/>
      <c r="BQ693"/>
      <c r="BR693"/>
      <c r="BS693"/>
      <c r="BT693"/>
      <c r="BU693"/>
      <c r="BV693"/>
      <c r="BW693"/>
      <c r="BX693"/>
      <c r="BY693"/>
      <c r="BZ693"/>
      <c r="CA693"/>
      <c r="CB693"/>
      <c r="CC693"/>
      <c r="CD693"/>
      <c r="CE693"/>
      <c r="CF693"/>
      <c r="CG693"/>
      <c r="CH693"/>
      <c r="CI693"/>
      <c r="CJ693"/>
      <c r="CK693"/>
      <c r="CL693"/>
      <c r="CM693" s="20"/>
      <c r="CN693" s="20"/>
      <c r="CO693" s="20"/>
      <c r="CP693" s="20"/>
      <c r="CQ693" s="20"/>
      <c r="CR693" s="20"/>
      <c r="CS693" s="20"/>
      <c r="CT693" s="20"/>
      <c r="CU693" s="20"/>
      <c r="CV693" s="20"/>
      <c r="CW693" s="20"/>
      <c r="CX693" s="20"/>
      <c r="CY693" s="20"/>
    </row>
    <row r="694" spans="1:103" s="6" customFormat="1">
      <c r="A694"/>
      <c r="B694"/>
      <c r="C694"/>
      <c r="D694"/>
      <c r="E694"/>
      <c r="F694"/>
      <c r="G694"/>
      <c r="H694"/>
      <c r="I694"/>
      <c r="J694"/>
      <c r="N694" s="7"/>
      <c r="O694"/>
      <c r="P694" s="10"/>
      <c r="Q694" s="9"/>
      <c r="R694" s="10"/>
      <c r="S694" s="10"/>
      <c r="AA694" s="11"/>
      <c r="AD694"/>
      <c r="AE694"/>
      <c r="AF694"/>
      <c r="AG694"/>
      <c r="AH694" s="46"/>
      <c r="AI694"/>
      <c r="AJ694"/>
      <c r="AK694"/>
      <c r="AL694"/>
      <c r="AM694"/>
      <c r="AN694"/>
      <c r="AO694"/>
      <c r="AP694"/>
      <c r="AQ694"/>
      <c r="AR694"/>
      <c r="AS694"/>
      <c r="AT694" s="14"/>
      <c r="AU694"/>
      <c r="AV694"/>
      <c r="AW694"/>
      <c r="AX694" s="10"/>
      <c r="AY694" s="20"/>
      <c r="AZ694" s="16"/>
      <c r="BA694"/>
      <c r="BB694"/>
      <c r="BC694" s="16"/>
      <c r="BD694"/>
      <c r="BE694"/>
      <c r="BF694"/>
      <c r="BG694"/>
      <c r="BH694"/>
      <c r="BI694"/>
      <c r="BJ694"/>
      <c r="BK694"/>
      <c r="BL694"/>
      <c r="BM694"/>
      <c r="BN694" s="19"/>
      <c r="BO694"/>
      <c r="BP694"/>
      <c r="BQ694"/>
      <c r="BR694"/>
      <c r="BS694"/>
      <c r="BT694"/>
      <c r="BU694"/>
      <c r="BV694"/>
      <c r="BW694"/>
      <c r="BX694"/>
      <c r="BY694"/>
      <c r="BZ694"/>
      <c r="CA694"/>
      <c r="CB694"/>
      <c r="CC694"/>
      <c r="CD694"/>
      <c r="CE694"/>
      <c r="CF694"/>
      <c r="CG694"/>
      <c r="CH694"/>
      <c r="CI694"/>
      <c r="CJ694"/>
      <c r="CK694"/>
      <c r="CL694"/>
      <c r="CM694" s="20"/>
      <c r="CN694" s="20"/>
      <c r="CO694" s="20"/>
      <c r="CP694" s="20"/>
      <c r="CQ694" s="20"/>
      <c r="CR694" s="20"/>
      <c r="CS694" s="20"/>
      <c r="CT694" s="20"/>
      <c r="CU694" s="20"/>
      <c r="CV694" s="20"/>
      <c r="CW694" s="20"/>
      <c r="CX694" s="20"/>
      <c r="CY694" s="20"/>
    </row>
    <row r="695" spans="1:103" s="6" customFormat="1">
      <c r="A695"/>
      <c r="B695"/>
      <c r="C695"/>
      <c r="D695"/>
      <c r="E695"/>
      <c r="F695"/>
      <c r="G695"/>
      <c r="H695"/>
      <c r="I695"/>
      <c r="J695"/>
      <c r="N695" s="7"/>
      <c r="O695"/>
      <c r="P695" s="10"/>
      <c r="Q695" s="9"/>
      <c r="R695" s="10"/>
      <c r="S695" s="10"/>
      <c r="AA695" s="11"/>
      <c r="AD695"/>
      <c r="AE695"/>
      <c r="AF695"/>
      <c r="AG695"/>
      <c r="AH695" s="46"/>
      <c r="AI695"/>
      <c r="AJ695"/>
      <c r="AK695"/>
      <c r="AL695"/>
      <c r="AM695"/>
      <c r="AN695"/>
      <c r="AO695"/>
      <c r="AP695"/>
      <c r="AQ695"/>
      <c r="AR695"/>
      <c r="AS695"/>
      <c r="AT695" s="14"/>
      <c r="AU695"/>
      <c r="AV695"/>
      <c r="AW695"/>
      <c r="AX695" s="10"/>
      <c r="AY695" s="20"/>
      <c r="AZ695" s="16"/>
      <c r="BA695"/>
      <c r="BB695"/>
      <c r="BC695" s="16"/>
      <c r="BD695"/>
      <c r="BE695"/>
      <c r="BF695"/>
      <c r="BG695"/>
      <c r="BH695"/>
      <c r="BI695"/>
      <c r="BJ695"/>
      <c r="BK695"/>
      <c r="BL695"/>
      <c r="BM695"/>
      <c r="BN695" s="19"/>
      <c r="BO695"/>
      <c r="BP695"/>
      <c r="BQ695"/>
      <c r="BR695"/>
      <c r="BS695"/>
      <c r="BT695"/>
      <c r="BU695"/>
      <c r="BV695"/>
      <c r="BW695"/>
      <c r="BX695"/>
      <c r="BY695"/>
      <c r="BZ695"/>
      <c r="CA695"/>
      <c r="CB695"/>
      <c r="CC695"/>
      <c r="CD695"/>
      <c r="CE695"/>
      <c r="CF695"/>
      <c r="CG695"/>
      <c r="CH695"/>
      <c r="CI695"/>
      <c r="CJ695"/>
      <c r="CK695"/>
      <c r="CL695"/>
      <c r="CM695" s="20"/>
      <c r="CN695" s="20"/>
      <c r="CO695" s="20"/>
      <c r="CP695" s="20"/>
      <c r="CQ695" s="20"/>
      <c r="CR695" s="20"/>
      <c r="CS695" s="20"/>
      <c r="CT695" s="20"/>
      <c r="CU695" s="20"/>
      <c r="CV695" s="20"/>
      <c r="CW695" s="20"/>
      <c r="CX695" s="20"/>
      <c r="CY695" s="20"/>
    </row>
    <row r="696" spans="1:103" s="6" customFormat="1">
      <c r="A696"/>
      <c r="B696"/>
      <c r="C696"/>
      <c r="D696"/>
      <c r="E696"/>
      <c r="F696"/>
      <c r="G696"/>
      <c r="H696"/>
      <c r="I696"/>
      <c r="J696"/>
      <c r="N696" s="7"/>
      <c r="O696"/>
      <c r="P696" s="10"/>
      <c r="Q696" s="9"/>
      <c r="R696" s="10"/>
      <c r="S696" s="10"/>
      <c r="AA696" s="11"/>
      <c r="AD696"/>
      <c r="AE696"/>
      <c r="AF696"/>
      <c r="AG696"/>
      <c r="AH696" s="46"/>
      <c r="AI696"/>
      <c r="AJ696"/>
      <c r="AK696"/>
      <c r="AL696"/>
      <c r="AM696"/>
      <c r="AN696"/>
      <c r="AO696"/>
      <c r="AP696"/>
      <c r="AQ696"/>
      <c r="AR696"/>
      <c r="AS696"/>
      <c r="AT696" s="14"/>
      <c r="AU696"/>
      <c r="AV696"/>
      <c r="AW696"/>
      <c r="AX696" s="10"/>
      <c r="AY696" s="20"/>
      <c r="AZ696" s="16"/>
      <c r="BA696"/>
      <c r="BB696"/>
      <c r="BC696" s="16"/>
      <c r="BD696"/>
      <c r="BE696"/>
      <c r="BF696"/>
      <c r="BG696"/>
      <c r="BH696"/>
      <c r="BI696"/>
      <c r="BJ696"/>
      <c r="BK696"/>
      <c r="BL696"/>
      <c r="BM696"/>
      <c r="BN696" s="19"/>
      <c r="BO696"/>
      <c r="BP696"/>
      <c r="BQ696"/>
      <c r="BR696"/>
      <c r="BS696"/>
      <c r="BT696"/>
      <c r="BU696"/>
      <c r="BV696"/>
      <c r="BW696"/>
      <c r="BX696"/>
      <c r="BY696"/>
      <c r="BZ696"/>
      <c r="CA696"/>
      <c r="CB696"/>
      <c r="CC696"/>
      <c r="CD696"/>
      <c r="CE696"/>
      <c r="CF696"/>
      <c r="CG696"/>
      <c r="CH696"/>
      <c r="CI696"/>
      <c r="CJ696"/>
      <c r="CK696"/>
      <c r="CL696"/>
      <c r="CM696" s="20"/>
      <c r="CN696" s="20"/>
      <c r="CO696" s="20"/>
      <c r="CP696" s="20"/>
      <c r="CQ696" s="20"/>
      <c r="CR696" s="20"/>
      <c r="CS696" s="20"/>
      <c r="CT696" s="20"/>
      <c r="CU696" s="20"/>
      <c r="CV696" s="20"/>
      <c r="CW696" s="20"/>
      <c r="CX696" s="20"/>
      <c r="CY696" s="20"/>
    </row>
    <row r="697" spans="1:103" s="6" customFormat="1">
      <c r="A697"/>
      <c r="B697"/>
      <c r="C697"/>
      <c r="D697"/>
      <c r="E697"/>
      <c r="F697"/>
      <c r="G697"/>
      <c r="H697"/>
      <c r="I697"/>
      <c r="J697"/>
      <c r="N697" s="7"/>
      <c r="O697"/>
      <c r="P697" s="10"/>
      <c r="Q697" s="9"/>
      <c r="R697" s="10"/>
      <c r="S697" s="10"/>
      <c r="AA697" s="11"/>
      <c r="AD697"/>
      <c r="AE697"/>
      <c r="AF697"/>
      <c r="AG697"/>
      <c r="AH697" s="46"/>
      <c r="AI697"/>
      <c r="AJ697"/>
      <c r="AK697"/>
      <c r="AL697"/>
      <c r="AM697"/>
      <c r="AN697"/>
      <c r="AO697"/>
      <c r="AP697"/>
      <c r="AQ697"/>
      <c r="AR697"/>
      <c r="AS697"/>
      <c r="AT697" s="14"/>
      <c r="AU697"/>
      <c r="AV697"/>
      <c r="AW697"/>
      <c r="AX697" s="10"/>
      <c r="AY697" s="20"/>
      <c r="AZ697" s="16"/>
      <c r="BA697"/>
      <c r="BB697"/>
      <c r="BC697" s="16"/>
      <c r="BD697"/>
      <c r="BE697"/>
      <c r="BF697"/>
      <c r="BG697"/>
      <c r="BH697"/>
      <c r="BI697"/>
      <c r="BJ697"/>
      <c r="BK697"/>
      <c r="BL697"/>
      <c r="BM697"/>
      <c r="BN697" s="19"/>
      <c r="BO697"/>
      <c r="BP697"/>
      <c r="BQ697"/>
      <c r="BR697"/>
      <c r="BS697"/>
      <c r="BT697"/>
      <c r="BU697"/>
      <c r="BV697"/>
      <c r="BW697"/>
      <c r="BX697"/>
      <c r="BY697"/>
      <c r="BZ697"/>
      <c r="CA697"/>
      <c r="CB697"/>
      <c r="CC697"/>
      <c r="CD697"/>
      <c r="CE697"/>
      <c r="CF697"/>
      <c r="CG697"/>
      <c r="CH697"/>
      <c r="CI697"/>
      <c r="CJ697"/>
      <c r="CK697"/>
      <c r="CL697"/>
      <c r="CM697" s="20"/>
      <c r="CN697" s="20"/>
      <c r="CO697" s="20"/>
      <c r="CP697" s="20"/>
      <c r="CQ697" s="20"/>
      <c r="CR697" s="20"/>
      <c r="CS697" s="20"/>
      <c r="CT697" s="20"/>
      <c r="CU697" s="20"/>
      <c r="CV697" s="20"/>
      <c r="CW697" s="20"/>
      <c r="CX697" s="20"/>
      <c r="CY697" s="20"/>
    </row>
    <row r="698" spans="1:103" s="6" customFormat="1">
      <c r="A698"/>
      <c r="B698"/>
      <c r="C698"/>
      <c r="D698"/>
      <c r="E698"/>
      <c r="F698"/>
      <c r="G698"/>
      <c r="H698"/>
      <c r="I698"/>
      <c r="J698"/>
      <c r="N698" s="7"/>
      <c r="O698"/>
      <c r="P698" s="10"/>
      <c r="Q698" s="9"/>
      <c r="R698" s="10"/>
      <c r="S698" s="10"/>
      <c r="AA698" s="11"/>
      <c r="AD698"/>
      <c r="AE698"/>
      <c r="AF698"/>
      <c r="AG698"/>
      <c r="AH698" s="46"/>
      <c r="AI698"/>
      <c r="AJ698"/>
      <c r="AK698"/>
      <c r="AL698"/>
      <c r="AM698"/>
      <c r="AN698"/>
      <c r="AO698"/>
      <c r="AP698"/>
      <c r="AQ698"/>
      <c r="AR698"/>
      <c r="AS698"/>
      <c r="AT698" s="14"/>
      <c r="AU698"/>
      <c r="AV698"/>
      <c r="AW698"/>
      <c r="AX698" s="10"/>
      <c r="AY698" s="20"/>
      <c r="AZ698" s="16"/>
      <c r="BA698"/>
      <c r="BB698"/>
      <c r="BC698" s="16"/>
      <c r="BD698"/>
      <c r="BE698"/>
      <c r="BF698"/>
      <c r="BG698"/>
      <c r="BH698"/>
      <c r="BI698"/>
      <c r="BJ698"/>
      <c r="BK698"/>
      <c r="BL698"/>
      <c r="BM698"/>
      <c r="BN698" s="19"/>
      <c r="BO698"/>
      <c r="BP698"/>
      <c r="BQ698"/>
      <c r="BR698"/>
      <c r="BS698"/>
      <c r="BT698"/>
      <c r="BU698"/>
      <c r="BV698"/>
      <c r="BW698"/>
      <c r="BX698"/>
      <c r="BY698"/>
      <c r="BZ698"/>
      <c r="CA698"/>
      <c r="CB698"/>
      <c r="CC698"/>
      <c r="CD698"/>
      <c r="CE698"/>
      <c r="CF698"/>
      <c r="CG698"/>
      <c r="CH698"/>
      <c r="CI698"/>
      <c r="CJ698"/>
      <c r="CK698"/>
      <c r="CL698"/>
      <c r="CM698" s="20"/>
      <c r="CN698" s="20"/>
      <c r="CO698" s="20"/>
      <c r="CP698" s="20"/>
      <c r="CQ698" s="20"/>
      <c r="CR698" s="20"/>
      <c r="CS698" s="20"/>
      <c r="CT698" s="20"/>
      <c r="CU698" s="20"/>
      <c r="CV698" s="20"/>
      <c r="CW698" s="20"/>
      <c r="CX698" s="20"/>
      <c r="CY698" s="20"/>
    </row>
    <row r="699" spans="1:103" s="6" customFormat="1">
      <c r="A699"/>
      <c r="B699"/>
      <c r="C699"/>
      <c r="D699"/>
      <c r="E699"/>
      <c r="F699"/>
      <c r="G699"/>
      <c r="H699"/>
      <c r="I699"/>
      <c r="J699"/>
      <c r="N699" s="7"/>
      <c r="O699"/>
      <c r="P699" s="10"/>
      <c r="Q699" s="9"/>
      <c r="R699" s="10"/>
      <c r="S699" s="10"/>
      <c r="AA699" s="11"/>
      <c r="AD699"/>
      <c r="AE699"/>
      <c r="AF699"/>
      <c r="AG699"/>
      <c r="AH699" s="46"/>
      <c r="AI699"/>
      <c r="AJ699"/>
      <c r="AK699"/>
      <c r="AL699"/>
      <c r="AM699"/>
      <c r="AN699"/>
      <c r="AO699"/>
      <c r="AP699"/>
      <c r="AQ699"/>
      <c r="AR699"/>
      <c r="AS699"/>
      <c r="AT699" s="14"/>
      <c r="AU699"/>
      <c r="AV699"/>
      <c r="AW699"/>
      <c r="AX699" s="10"/>
      <c r="AY699" s="20"/>
      <c r="AZ699" s="16"/>
      <c r="BA699"/>
      <c r="BB699"/>
      <c r="BC699" s="16"/>
      <c r="BD699"/>
      <c r="BE699"/>
      <c r="BF699"/>
      <c r="BG699"/>
      <c r="BH699"/>
      <c r="BI699"/>
      <c r="BJ699"/>
      <c r="BK699"/>
      <c r="BL699"/>
      <c r="BM699"/>
      <c r="BN699" s="19"/>
      <c r="BO699"/>
      <c r="BP699"/>
      <c r="BQ699"/>
      <c r="BR699"/>
      <c r="BS699"/>
      <c r="BT699"/>
      <c r="BU699"/>
      <c r="BV699"/>
      <c r="BW699"/>
      <c r="BX699"/>
      <c r="BY699"/>
      <c r="BZ699"/>
      <c r="CA699"/>
      <c r="CB699"/>
      <c r="CC699"/>
      <c r="CD699"/>
      <c r="CE699"/>
      <c r="CF699"/>
      <c r="CG699"/>
      <c r="CH699"/>
      <c r="CI699"/>
      <c r="CJ699"/>
      <c r="CK699"/>
      <c r="CL699"/>
      <c r="CM699" s="20"/>
      <c r="CN699" s="20"/>
      <c r="CO699" s="20"/>
      <c r="CP699" s="20"/>
      <c r="CQ699" s="20"/>
      <c r="CR699" s="20"/>
      <c r="CS699" s="20"/>
      <c r="CT699" s="20"/>
      <c r="CU699" s="20"/>
      <c r="CV699" s="20"/>
      <c r="CW699" s="20"/>
      <c r="CX699" s="20"/>
      <c r="CY699" s="20"/>
    </row>
    <row r="700" spans="1:103" s="6" customFormat="1">
      <c r="A700"/>
      <c r="B700"/>
      <c r="C700"/>
      <c r="D700"/>
      <c r="E700"/>
      <c r="F700"/>
      <c r="G700"/>
      <c r="H700"/>
      <c r="I700"/>
      <c r="J700"/>
      <c r="N700" s="7"/>
      <c r="O700"/>
      <c r="P700" s="10"/>
      <c r="Q700" s="9"/>
      <c r="R700" s="10"/>
      <c r="S700" s="10"/>
      <c r="AA700" s="11"/>
      <c r="AD700"/>
      <c r="AE700"/>
      <c r="AF700"/>
      <c r="AG700"/>
      <c r="AH700" s="46"/>
      <c r="AI700"/>
      <c r="AJ700"/>
      <c r="AK700"/>
      <c r="AL700"/>
      <c r="AM700"/>
      <c r="AN700"/>
      <c r="AO700"/>
      <c r="AP700"/>
      <c r="AQ700"/>
      <c r="AR700"/>
      <c r="AS700"/>
      <c r="AT700" s="14"/>
      <c r="AU700"/>
      <c r="AV700"/>
      <c r="AW700"/>
      <c r="AX700" s="10"/>
      <c r="AY700" s="20"/>
      <c r="AZ700" s="16"/>
      <c r="BA700"/>
      <c r="BB700"/>
      <c r="BC700" s="16"/>
      <c r="BD700"/>
      <c r="BE700"/>
      <c r="BF700"/>
      <c r="BG700"/>
      <c r="BH700"/>
      <c r="BI700"/>
      <c r="BJ700"/>
      <c r="BK700"/>
      <c r="BL700"/>
      <c r="BM700"/>
      <c r="BN700" s="19"/>
      <c r="BO700"/>
      <c r="BP700"/>
      <c r="BQ700"/>
      <c r="BR700"/>
      <c r="BS700"/>
      <c r="BT700"/>
      <c r="BU700"/>
      <c r="BV700"/>
      <c r="BW700"/>
      <c r="BX700"/>
      <c r="BY700"/>
      <c r="BZ700"/>
      <c r="CA700"/>
      <c r="CB700"/>
      <c r="CC700"/>
      <c r="CD700"/>
      <c r="CE700"/>
      <c r="CF700"/>
      <c r="CG700"/>
      <c r="CH700"/>
      <c r="CI700"/>
      <c r="CJ700"/>
      <c r="CK700"/>
      <c r="CL700"/>
      <c r="CM700" s="20"/>
      <c r="CN700" s="20"/>
      <c r="CO700" s="20"/>
      <c r="CP700" s="20"/>
      <c r="CQ700" s="20"/>
      <c r="CR700" s="20"/>
      <c r="CS700" s="20"/>
      <c r="CT700" s="20"/>
      <c r="CU700" s="20"/>
      <c r="CV700" s="20"/>
      <c r="CW700" s="20"/>
      <c r="CX700" s="20"/>
      <c r="CY700" s="20"/>
    </row>
    <row r="701" spans="1:103" s="6" customFormat="1">
      <c r="A701"/>
      <c r="B701"/>
      <c r="C701"/>
      <c r="D701"/>
      <c r="E701"/>
      <c r="F701"/>
      <c r="G701"/>
      <c r="H701"/>
      <c r="I701"/>
      <c r="J701"/>
      <c r="N701" s="7"/>
      <c r="O701"/>
      <c r="P701" s="10"/>
      <c r="Q701" s="9"/>
      <c r="R701" s="10"/>
      <c r="S701" s="10"/>
      <c r="AA701" s="11"/>
      <c r="AD701"/>
      <c r="AE701"/>
      <c r="AF701"/>
      <c r="AG701"/>
      <c r="AH701" s="46"/>
      <c r="AI701"/>
      <c r="AJ701"/>
      <c r="AK701"/>
      <c r="AL701"/>
      <c r="AM701"/>
      <c r="AN701"/>
      <c r="AO701"/>
      <c r="AP701"/>
      <c r="AQ701"/>
      <c r="AR701"/>
      <c r="AS701"/>
      <c r="AT701" s="14"/>
      <c r="AU701"/>
      <c r="AV701"/>
      <c r="AW701"/>
      <c r="AX701" s="10"/>
      <c r="AY701" s="20"/>
      <c r="AZ701" s="16"/>
      <c r="BA701"/>
      <c r="BB701"/>
      <c r="BC701" s="16"/>
      <c r="BD701"/>
      <c r="BE701"/>
      <c r="BF701"/>
      <c r="BG701"/>
      <c r="BH701"/>
      <c r="BI701"/>
      <c r="BJ701"/>
      <c r="BK701"/>
      <c r="BL701"/>
      <c r="BM701"/>
      <c r="BN701" s="19"/>
      <c r="BO701"/>
      <c r="BP701"/>
      <c r="BQ701"/>
      <c r="BR701"/>
      <c r="BS701"/>
      <c r="BT701"/>
      <c r="BU701"/>
      <c r="BV701"/>
      <c r="BW701"/>
      <c r="BX701"/>
      <c r="BY701"/>
      <c r="BZ701"/>
      <c r="CA701"/>
      <c r="CB701"/>
      <c r="CC701"/>
      <c r="CD701"/>
      <c r="CE701"/>
      <c r="CF701"/>
      <c r="CG701"/>
      <c r="CH701"/>
      <c r="CI701"/>
      <c r="CJ701"/>
      <c r="CK701"/>
      <c r="CL701"/>
      <c r="CM701" s="20"/>
      <c r="CN701" s="20"/>
      <c r="CO701" s="20"/>
      <c r="CP701" s="20"/>
      <c r="CQ701" s="20"/>
      <c r="CR701" s="20"/>
      <c r="CS701" s="20"/>
      <c r="CT701" s="20"/>
      <c r="CU701" s="20"/>
      <c r="CV701" s="20"/>
      <c r="CW701" s="20"/>
      <c r="CX701" s="20"/>
      <c r="CY701" s="20"/>
    </row>
    <row r="702" spans="1:103" s="6" customFormat="1">
      <c r="A702"/>
      <c r="B702"/>
      <c r="C702"/>
      <c r="D702"/>
      <c r="E702"/>
      <c r="F702"/>
      <c r="G702"/>
      <c r="H702"/>
      <c r="I702"/>
      <c r="J702"/>
      <c r="N702" s="7"/>
      <c r="O702"/>
      <c r="P702" s="10"/>
      <c r="Q702" s="9"/>
      <c r="R702" s="10"/>
      <c r="S702" s="10"/>
      <c r="AA702" s="11"/>
      <c r="AD702"/>
      <c r="AE702"/>
      <c r="AF702"/>
      <c r="AG702"/>
      <c r="AH702" s="46"/>
      <c r="AI702"/>
      <c r="AJ702"/>
      <c r="AK702"/>
      <c r="AL702"/>
      <c r="AM702"/>
      <c r="AN702"/>
      <c r="AO702"/>
      <c r="AP702"/>
      <c r="AQ702"/>
      <c r="AR702"/>
      <c r="AS702"/>
      <c r="AT702" s="14"/>
      <c r="AU702"/>
      <c r="AV702"/>
      <c r="AW702"/>
      <c r="AX702" s="10"/>
      <c r="AY702" s="20"/>
      <c r="AZ702" s="16"/>
      <c r="BA702"/>
      <c r="BB702"/>
      <c r="BC702" s="16"/>
      <c r="BD702"/>
      <c r="BE702"/>
      <c r="BF702"/>
      <c r="BG702"/>
      <c r="BH702"/>
      <c r="BI702"/>
      <c r="BJ702"/>
      <c r="BK702"/>
      <c r="BL702"/>
      <c r="BM702"/>
      <c r="BN702" s="19"/>
      <c r="BO702"/>
      <c r="BP702"/>
      <c r="BQ702"/>
      <c r="BR702"/>
      <c r="BS702"/>
      <c r="BT702"/>
      <c r="BU702"/>
      <c r="BV702"/>
      <c r="BW702"/>
      <c r="BX702"/>
      <c r="BY702"/>
      <c r="BZ702"/>
      <c r="CA702"/>
      <c r="CB702"/>
      <c r="CC702"/>
      <c r="CD702"/>
      <c r="CE702"/>
      <c r="CF702"/>
      <c r="CG702"/>
      <c r="CH702"/>
      <c r="CI702"/>
      <c r="CJ702"/>
      <c r="CK702"/>
      <c r="CL702"/>
      <c r="CM702" s="20"/>
      <c r="CN702" s="20"/>
      <c r="CO702" s="20"/>
      <c r="CP702" s="20"/>
      <c r="CQ702" s="20"/>
      <c r="CR702" s="20"/>
      <c r="CS702" s="20"/>
      <c r="CT702" s="20"/>
      <c r="CU702" s="20"/>
      <c r="CV702" s="20"/>
      <c r="CW702" s="20"/>
      <c r="CX702" s="20"/>
      <c r="CY702" s="20"/>
    </row>
    <row r="703" spans="1:103" s="6" customFormat="1">
      <c r="A703"/>
      <c r="B703"/>
      <c r="C703"/>
      <c r="D703"/>
      <c r="E703"/>
      <c r="F703"/>
      <c r="G703"/>
      <c r="H703"/>
      <c r="I703"/>
      <c r="J703"/>
      <c r="N703" s="7"/>
      <c r="O703"/>
      <c r="P703" s="10"/>
      <c r="Q703" s="9"/>
      <c r="R703" s="10"/>
      <c r="S703" s="10"/>
      <c r="AA703" s="11"/>
      <c r="AD703"/>
      <c r="AE703"/>
      <c r="AF703"/>
      <c r="AG703"/>
      <c r="AH703" s="46"/>
      <c r="AI703"/>
      <c r="AJ703"/>
      <c r="AK703"/>
      <c r="AL703"/>
      <c r="AM703"/>
      <c r="AN703"/>
      <c r="AO703"/>
      <c r="AP703"/>
      <c r="AQ703"/>
      <c r="AR703"/>
      <c r="AS703"/>
      <c r="AT703" s="14"/>
      <c r="AU703"/>
      <c r="AV703"/>
      <c r="AW703"/>
      <c r="AX703" s="10"/>
      <c r="AY703" s="20"/>
      <c r="AZ703" s="16"/>
      <c r="BA703"/>
      <c r="BB703"/>
      <c r="BC703" s="16"/>
      <c r="BD703"/>
      <c r="BE703"/>
      <c r="BF703"/>
      <c r="BG703"/>
      <c r="BH703"/>
      <c r="BI703"/>
      <c r="BJ703"/>
      <c r="BK703"/>
      <c r="BL703"/>
      <c r="BM703"/>
      <c r="BN703" s="19"/>
      <c r="BO703"/>
      <c r="BP703"/>
      <c r="BQ703"/>
      <c r="BR703"/>
      <c r="BS703"/>
      <c r="BT703"/>
      <c r="BU703"/>
      <c r="BV703"/>
      <c r="BW703"/>
      <c r="BX703"/>
      <c r="BY703"/>
      <c r="BZ703"/>
      <c r="CA703"/>
      <c r="CB703"/>
      <c r="CC703"/>
      <c r="CD703"/>
      <c r="CE703"/>
      <c r="CF703"/>
      <c r="CG703"/>
      <c r="CH703"/>
      <c r="CI703"/>
      <c r="CJ703"/>
      <c r="CK703"/>
      <c r="CL703"/>
      <c r="CM703" s="20"/>
      <c r="CN703" s="20"/>
      <c r="CO703" s="20"/>
      <c r="CP703" s="20"/>
      <c r="CQ703" s="20"/>
      <c r="CR703" s="20"/>
      <c r="CS703" s="20"/>
      <c r="CT703" s="20"/>
      <c r="CU703" s="20"/>
      <c r="CV703" s="20"/>
      <c r="CW703" s="20"/>
      <c r="CX703" s="20"/>
      <c r="CY703" s="20"/>
    </row>
    <row r="704" spans="1:103" s="6" customFormat="1">
      <c r="A704"/>
      <c r="B704"/>
      <c r="C704"/>
      <c r="D704"/>
      <c r="E704"/>
      <c r="F704"/>
      <c r="G704"/>
      <c r="H704"/>
      <c r="I704"/>
      <c r="J704"/>
      <c r="N704" s="7"/>
      <c r="O704"/>
      <c r="P704" s="10"/>
      <c r="Q704" s="9"/>
      <c r="R704" s="10"/>
      <c r="S704" s="10"/>
      <c r="AA704" s="11"/>
      <c r="AD704"/>
      <c r="AE704"/>
      <c r="AF704"/>
      <c r="AG704"/>
      <c r="AH704" s="46"/>
      <c r="AI704"/>
      <c r="AJ704"/>
      <c r="AK704"/>
      <c r="AL704"/>
      <c r="AM704"/>
      <c r="AN704"/>
      <c r="AO704"/>
      <c r="AP704"/>
      <c r="AQ704"/>
      <c r="AR704"/>
      <c r="AS704"/>
      <c r="AT704" s="14"/>
      <c r="AU704"/>
      <c r="AV704"/>
      <c r="AW704"/>
      <c r="AX704" s="10"/>
      <c r="AY704" s="20"/>
      <c r="AZ704" s="16"/>
      <c r="BA704"/>
      <c r="BB704"/>
      <c r="BC704" s="16"/>
      <c r="BD704"/>
      <c r="BE704"/>
      <c r="BF704"/>
      <c r="BG704"/>
      <c r="BH704"/>
      <c r="BI704"/>
      <c r="BJ704"/>
      <c r="BK704"/>
      <c r="BL704"/>
      <c r="BM704"/>
      <c r="BN704" s="19"/>
      <c r="BO704"/>
      <c r="BP704"/>
      <c r="BQ704"/>
      <c r="BR704"/>
      <c r="BS704"/>
      <c r="BT704"/>
      <c r="BU704"/>
      <c r="BV704"/>
      <c r="BW704"/>
      <c r="BX704"/>
      <c r="BY704"/>
      <c r="BZ704"/>
      <c r="CA704"/>
      <c r="CB704"/>
      <c r="CC704"/>
      <c r="CD704"/>
      <c r="CE704"/>
      <c r="CF704"/>
      <c r="CG704"/>
      <c r="CH704"/>
      <c r="CI704"/>
      <c r="CJ704"/>
      <c r="CK704"/>
      <c r="CL704"/>
      <c r="CM704" s="20"/>
      <c r="CN704" s="20"/>
      <c r="CO704" s="20"/>
      <c r="CP704" s="20"/>
      <c r="CQ704" s="20"/>
      <c r="CR704" s="20"/>
      <c r="CS704" s="20"/>
      <c r="CT704" s="20"/>
      <c r="CU704" s="20"/>
      <c r="CV704" s="20"/>
      <c r="CW704" s="20"/>
      <c r="CX704" s="20"/>
      <c r="CY704" s="20"/>
    </row>
    <row r="705" spans="1:103" s="6" customFormat="1">
      <c r="A705"/>
      <c r="B705"/>
      <c r="C705"/>
      <c r="D705"/>
      <c r="E705"/>
      <c r="F705"/>
      <c r="G705"/>
      <c r="H705"/>
      <c r="I705"/>
      <c r="J705"/>
      <c r="N705" s="7"/>
      <c r="O705"/>
      <c r="P705" s="10"/>
      <c r="Q705" s="9"/>
      <c r="R705" s="10"/>
      <c r="S705" s="10"/>
      <c r="AA705" s="11"/>
      <c r="AD705"/>
      <c r="AE705"/>
      <c r="AF705"/>
      <c r="AG705"/>
      <c r="AH705" s="46"/>
      <c r="AI705"/>
      <c r="AJ705"/>
      <c r="AK705"/>
      <c r="AL705"/>
      <c r="AM705"/>
      <c r="AN705"/>
      <c r="AO705"/>
      <c r="AP705"/>
      <c r="AQ705"/>
      <c r="AR705"/>
      <c r="AS705"/>
      <c r="AT705" s="14"/>
      <c r="AU705"/>
      <c r="AV705"/>
      <c r="AW705"/>
      <c r="AX705" s="10"/>
      <c r="AY705" s="20"/>
      <c r="AZ705" s="16"/>
      <c r="BA705"/>
      <c r="BB705"/>
      <c r="BC705" s="16"/>
      <c r="BD705"/>
      <c r="BE705"/>
      <c r="BF705"/>
      <c r="BG705"/>
      <c r="BH705"/>
      <c r="BI705"/>
      <c r="BJ705"/>
      <c r="BK705"/>
      <c r="BL705"/>
      <c r="BM705"/>
      <c r="BN705" s="19"/>
      <c r="BO705"/>
      <c r="BP705"/>
      <c r="BQ705"/>
      <c r="BR705"/>
      <c r="BS705"/>
      <c r="BT705"/>
      <c r="BU705"/>
      <c r="BV705"/>
      <c r="BW705"/>
      <c r="BX705"/>
      <c r="BY705"/>
      <c r="BZ705"/>
      <c r="CA705"/>
      <c r="CB705"/>
      <c r="CC705"/>
      <c r="CD705"/>
      <c r="CE705"/>
      <c r="CF705"/>
      <c r="CG705"/>
      <c r="CH705"/>
      <c r="CI705"/>
      <c r="CJ705"/>
      <c r="CK705"/>
      <c r="CL705"/>
      <c r="CM705" s="20"/>
      <c r="CN705" s="20"/>
      <c r="CO705" s="20"/>
      <c r="CP705" s="20"/>
      <c r="CQ705" s="20"/>
      <c r="CR705" s="20"/>
      <c r="CS705" s="20"/>
      <c r="CT705" s="20"/>
      <c r="CU705" s="20"/>
      <c r="CV705" s="20"/>
      <c r="CW705" s="20"/>
      <c r="CX705" s="20"/>
      <c r="CY705" s="20"/>
    </row>
    <row r="706" spans="1:103" s="6" customFormat="1">
      <c r="A706"/>
      <c r="B706"/>
      <c r="C706"/>
      <c r="D706"/>
      <c r="E706"/>
      <c r="F706"/>
      <c r="G706"/>
      <c r="H706"/>
      <c r="I706"/>
      <c r="J706"/>
      <c r="N706" s="7"/>
      <c r="O706"/>
      <c r="P706" s="10"/>
      <c r="Q706" s="9"/>
      <c r="R706" s="10"/>
      <c r="S706" s="10"/>
      <c r="AA706" s="11"/>
      <c r="AD706"/>
      <c r="AE706"/>
      <c r="AF706"/>
      <c r="AG706"/>
      <c r="AH706" s="46"/>
      <c r="AI706"/>
      <c r="AJ706"/>
      <c r="AK706"/>
      <c r="AL706"/>
      <c r="AM706"/>
      <c r="AN706"/>
      <c r="AO706"/>
      <c r="AP706"/>
      <c r="AQ706"/>
      <c r="AR706"/>
      <c r="AS706"/>
      <c r="AT706" s="14"/>
      <c r="AU706"/>
      <c r="AV706"/>
      <c r="AW706"/>
      <c r="AX706" s="10"/>
      <c r="AY706" s="20"/>
      <c r="AZ706" s="16"/>
      <c r="BA706"/>
      <c r="BB706"/>
      <c r="BC706" s="16"/>
      <c r="BD706"/>
      <c r="BE706"/>
      <c r="BF706"/>
      <c r="BG706"/>
      <c r="BH706"/>
      <c r="BI706"/>
      <c r="BJ706"/>
      <c r="BK706"/>
      <c r="BL706"/>
      <c r="BM706"/>
      <c r="BN706" s="19"/>
      <c r="BO706"/>
      <c r="BP706"/>
      <c r="BQ706"/>
      <c r="BR706"/>
      <c r="BS706"/>
      <c r="BT706"/>
      <c r="BU706"/>
      <c r="BV706"/>
      <c r="BW706"/>
      <c r="BX706"/>
      <c r="BY706"/>
      <c r="BZ706"/>
      <c r="CA706"/>
      <c r="CB706"/>
      <c r="CC706"/>
      <c r="CD706"/>
      <c r="CE706"/>
      <c r="CF706"/>
      <c r="CG706"/>
      <c r="CH706"/>
      <c r="CI706"/>
      <c r="CJ706"/>
      <c r="CK706"/>
      <c r="CL706"/>
      <c r="CM706" s="20"/>
      <c r="CN706" s="20"/>
      <c r="CO706" s="20"/>
      <c r="CP706" s="20"/>
      <c r="CQ706" s="20"/>
      <c r="CR706" s="20"/>
      <c r="CS706" s="20"/>
      <c r="CT706" s="20"/>
      <c r="CU706" s="20"/>
      <c r="CV706" s="20"/>
      <c r="CW706" s="20"/>
      <c r="CX706" s="20"/>
      <c r="CY706" s="20"/>
    </row>
    <row r="707" spans="1:103" s="6" customFormat="1">
      <c r="A707"/>
      <c r="B707"/>
      <c r="C707"/>
      <c r="D707"/>
      <c r="E707"/>
      <c r="F707"/>
      <c r="G707"/>
      <c r="H707"/>
      <c r="I707"/>
      <c r="J707"/>
      <c r="N707" s="7"/>
      <c r="O707"/>
      <c r="P707" s="10"/>
      <c r="Q707" s="9"/>
      <c r="R707" s="10"/>
      <c r="S707" s="10"/>
      <c r="AA707" s="11"/>
      <c r="AD707"/>
      <c r="AE707"/>
      <c r="AF707"/>
      <c r="AG707"/>
      <c r="AH707" s="46"/>
      <c r="AI707"/>
      <c r="AJ707"/>
      <c r="AK707"/>
      <c r="AL707"/>
      <c r="AM707"/>
      <c r="AN707"/>
      <c r="AO707"/>
      <c r="AP707"/>
      <c r="AQ707"/>
      <c r="AR707"/>
      <c r="AS707"/>
      <c r="AT707" s="14"/>
      <c r="AU707"/>
      <c r="AV707"/>
      <c r="AW707"/>
      <c r="AX707" s="10"/>
      <c r="AY707" s="20"/>
      <c r="AZ707" s="16"/>
      <c r="BA707"/>
      <c r="BB707"/>
      <c r="BC707" s="16"/>
      <c r="BD707"/>
      <c r="BE707"/>
      <c r="BF707"/>
      <c r="BG707"/>
      <c r="BH707"/>
      <c r="BI707"/>
      <c r="BJ707"/>
      <c r="BK707"/>
      <c r="BL707"/>
      <c r="BM707"/>
      <c r="BN707" s="19"/>
      <c r="BO707"/>
      <c r="BP707"/>
      <c r="BQ707"/>
      <c r="BR707"/>
      <c r="BS707"/>
      <c r="BT707"/>
      <c r="BU707"/>
      <c r="BV707"/>
      <c r="BW707"/>
      <c r="BX707"/>
      <c r="BY707"/>
      <c r="BZ707"/>
      <c r="CA707"/>
      <c r="CB707"/>
      <c r="CC707"/>
      <c r="CD707"/>
      <c r="CE707"/>
      <c r="CF707"/>
      <c r="CG707"/>
      <c r="CH707"/>
      <c r="CI707"/>
      <c r="CJ707"/>
      <c r="CK707"/>
      <c r="CL707"/>
      <c r="CM707" s="20"/>
      <c r="CN707" s="20"/>
      <c r="CO707" s="20"/>
      <c r="CP707" s="20"/>
      <c r="CQ707" s="20"/>
      <c r="CR707" s="20"/>
      <c r="CS707" s="20"/>
      <c r="CT707" s="20"/>
      <c r="CU707" s="20"/>
      <c r="CV707" s="20"/>
      <c r="CW707" s="20"/>
      <c r="CX707" s="20"/>
      <c r="CY707" s="20"/>
    </row>
    <row r="708" spans="1:103" s="6" customFormat="1">
      <c r="A708"/>
      <c r="B708"/>
      <c r="C708"/>
      <c r="D708"/>
      <c r="E708"/>
      <c r="F708"/>
      <c r="G708"/>
      <c r="H708"/>
      <c r="I708"/>
      <c r="J708"/>
      <c r="N708" s="7"/>
      <c r="O708"/>
      <c r="P708" s="10"/>
      <c r="Q708" s="9"/>
      <c r="R708" s="10"/>
      <c r="S708" s="10"/>
      <c r="AA708" s="11"/>
      <c r="AD708"/>
      <c r="AE708"/>
      <c r="AF708"/>
      <c r="AG708"/>
      <c r="AH708" s="46"/>
      <c r="AI708"/>
      <c r="AJ708"/>
      <c r="AK708"/>
      <c r="AL708"/>
      <c r="AM708"/>
      <c r="AN708"/>
      <c r="AO708"/>
      <c r="AP708"/>
      <c r="AQ708"/>
      <c r="AR708"/>
      <c r="AS708"/>
      <c r="AT708" s="14"/>
      <c r="AU708"/>
      <c r="AV708"/>
      <c r="AW708"/>
      <c r="AX708" s="10"/>
      <c r="AY708" s="20"/>
      <c r="AZ708" s="16"/>
      <c r="BA708"/>
      <c r="BB708"/>
      <c r="BC708" s="16"/>
      <c r="BD708"/>
      <c r="BE708"/>
      <c r="BF708"/>
      <c r="BG708"/>
      <c r="BH708"/>
      <c r="BI708"/>
      <c r="BJ708"/>
      <c r="BK708"/>
      <c r="BL708"/>
      <c r="BM708"/>
      <c r="BN708" s="19"/>
      <c r="BO708"/>
      <c r="BP708"/>
      <c r="BQ708"/>
      <c r="BR708"/>
      <c r="BS708"/>
      <c r="BT708"/>
      <c r="BU708"/>
      <c r="BV708"/>
      <c r="BW708"/>
      <c r="BX708"/>
      <c r="BY708"/>
      <c r="BZ708"/>
      <c r="CA708"/>
      <c r="CB708"/>
      <c r="CC708"/>
      <c r="CD708"/>
      <c r="CE708"/>
      <c r="CF708"/>
      <c r="CG708"/>
      <c r="CH708"/>
      <c r="CI708"/>
      <c r="CJ708"/>
      <c r="CK708"/>
      <c r="CL708"/>
      <c r="CM708" s="20"/>
      <c r="CN708" s="20"/>
      <c r="CO708" s="20"/>
      <c r="CP708" s="20"/>
      <c r="CQ708" s="20"/>
      <c r="CR708" s="20"/>
      <c r="CS708" s="20"/>
      <c r="CT708" s="20"/>
      <c r="CU708" s="20"/>
      <c r="CV708" s="20"/>
      <c r="CW708" s="20"/>
      <c r="CX708" s="20"/>
      <c r="CY708" s="20"/>
    </row>
    <row r="709" spans="1:103" s="6" customFormat="1">
      <c r="A709"/>
      <c r="B709"/>
      <c r="C709"/>
      <c r="D709"/>
      <c r="E709"/>
      <c r="F709"/>
      <c r="G709"/>
      <c r="H709"/>
      <c r="I709"/>
      <c r="J709"/>
      <c r="N709" s="7"/>
      <c r="O709"/>
      <c r="P709" s="10"/>
      <c r="Q709" s="9"/>
      <c r="R709" s="10"/>
      <c r="S709" s="10"/>
      <c r="AA709" s="11"/>
      <c r="AD709"/>
      <c r="AE709"/>
      <c r="AF709"/>
      <c r="AG709"/>
      <c r="AH709" s="46"/>
      <c r="AI709"/>
      <c r="AJ709"/>
      <c r="AK709"/>
      <c r="AL709"/>
      <c r="AM709"/>
      <c r="AN709"/>
      <c r="AO709"/>
      <c r="AP709"/>
      <c r="AQ709"/>
      <c r="AR709"/>
      <c r="AS709"/>
      <c r="AT709" s="14"/>
      <c r="AU709"/>
      <c r="AV709"/>
      <c r="AW709"/>
      <c r="AX709" s="10"/>
      <c r="AY709" s="20"/>
      <c r="AZ709" s="16"/>
      <c r="BA709"/>
      <c r="BB709"/>
      <c r="BC709" s="16"/>
      <c r="BD709"/>
      <c r="BE709"/>
      <c r="BF709"/>
      <c r="BG709"/>
      <c r="BH709"/>
      <c r="BI709"/>
      <c r="BJ709"/>
      <c r="BK709"/>
      <c r="BL709"/>
      <c r="BM709"/>
      <c r="BN709" s="19"/>
      <c r="BO709"/>
      <c r="BP709"/>
      <c r="BQ709"/>
      <c r="BR709"/>
      <c r="BS709"/>
      <c r="BT709"/>
      <c r="BU709"/>
      <c r="BV709"/>
      <c r="BW709"/>
      <c r="BX709"/>
      <c r="BY709"/>
      <c r="BZ709"/>
      <c r="CA709"/>
      <c r="CB709"/>
      <c r="CC709"/>
      <c r="CD709"/>
      <c r="CE709"/>
      <c r="CF709"/>
      <c r="CG709"/>
      <c r="CH709"/>
      <c r="CI709"/>
      <c r="CJ709"/>
      <c r="CK709"/>
      <c r="CL709"/>
      <c r="CM709" s="20"/>
      <c r="CN709" s="20"/>
      <c r="CO709" s="20"/>
      <c r="CP709" s="20"/>
      <c r="CQ709" s="20"/>
      <c r="CR709" s="20"/>
      <c r="CS709" s="20"/>
      <c r="CT709" s="20"/>
      <c r="CU709" s="20"/>
      <c r="CV709" s="20"/>
      <c r="CW709" s="20"/>
      <c r="CX709" s="20"/>
      <c r="CY709" s="20"/>
    </row>
    <row r="710" spans="1:103" s="6" customFormat="1">
      <c r="A710"/>
      <c r="B710"/>
      <c r="C710"/>
      <c r="D710"/>
      <c r="E710"/>
      <c r="F710"/>
      <c r="G710"/>
      <c r="H710"/>
      <c r="I710"/>
      <c r="J710"/>
      <c r="N710" s="7"/>
      <c r="O710"/>
      <c r="P710" s="10"/>
      <c r="Q710" s="9"/>
      <c r="R710" s="10"/>
      <c r="S710" s="10"/>
      <c r="AA710" s="11"/>
      <c r="AD710"/>
      <c r="AE710"/>
      <c r="AF710"/>
      <c r="AG710"/>
      <c r="AH710" s="46"/>
      <c r="AI710"/>
      <c r="AJ710"/>
      <c r="AK710"/>
      <c r="AL710"/>
      <c r="AM710"/>
      <c r="AN710"/>
      <c r="AO710"/>
      <c r="AP710"/>
      <c r="AQ710"/>
      <c r="AR710"/>
      <c r="AS710"/>
      <c r="AT710" s="14"/>
      <c r="AU710"/>
      <c r="AV710"/>
      <c r="AW710"/>
      <c r="AX710" s="10"/>
      <c r="AY710" s="20"/>
      <c r="AZ710" s="16"/>
      <c r="BA710"/>
      <c r="BB710"/>
      <c r="BC710" s="16"/>
      <c r="BD710"/>
      <c r="BE710"/>
      <c r="BF710"/>
      <c r="BG710"/>
      <c r="BH710"/>
      <c r="BI710"/>
      <c r="BJ710"/>
      <c r="BK710"/>
      <c r="BL710"/>
      <c r="BM710"/>
      <c r="BN710" s="19"/>
      <c r="BO710"/>
      <c r="BP710"/>
      <c r="BQ710"/>
      <c r="BR710"/>
      <c r="BS710"/>
      <c r="BT710"/>
      <c r="BU710"/>
      <c r="BV710"/>
      <c r="BW710"/>
      <c r="BX710"/>
      <c r="BY710"/>
      <c r="BZ710"/>
      <c r="CA710"/>
      <c r="CB710"/>
      <c r="CC710"/>
      <c r="CD710"/>
      <c r="CE710"/>
      <c r="CF710"/>
      <c r="CG710"/>
      <c r="CH710"/>
      <c r="CI710"/>
      <c r="CJ710"/>
      <c r="CK710"/>
      <c r="CL710"/>
      <c r="CM710" s="20"/>
      <c r="CN710" s="20"/>
      <c r="CO710" s="20"/>
      <c r="CP710" s="20"/>
      <c r="CQ710" s="20"/>
      <c r="CR710" s="20"/>
      <c r="CS710" s="20"/>
      <c r="CT710" s="20"/>
      <c r="CU710" s="20"/>
      <c r="CV710" s="20"/>
      <c r="CW710" s="20"/>
      <c r="CX710" s="20"/>
      <c r="CY710" s="20"/>
    </row>
    <row r="711" spans="1:103" s="6" customFormat="1">
      <c r="A711"/>
      <c r="B711"/>
      <c r="C711"/>
      <c r="D711"/>
      <c r="E711"/>
      <c r="F711"/>
      <c r="G711"/>
      <c r="H711"/>
      <c r="I711"/>
      <c r="J711"/>
      <c r="N711" s="7"/>
      <c r="O711"/>
      <c r="P711" s="10"/>
      <c r="Q711" s="9"/>
      <c r="R711" s="10"/>
      <c r="S711" s="10"/>
      <c r="AA711" s="11"/>
      <c r="AD711"/>
      <c r="AE711"/>
      <c r="AF711"/>
      <c r="AG711"/>
      <c r="AH711" s="46"/>
      <c r="AI711"/>
      <c r="AJ711"/>
      <c r="AK711"/>
      <c r="AL711"/>
      <c r="AM711"/>
      <c r="AN711"/>
      <c r="AO711"/>
      <c r="AP711"/>
      <c r="AQ711"/>
      <c r="AR711"/>
      <c r="AS711"/>
      <c r="AT711" s="14"/>
      <c r="AU711"/>
      <c r="AV711"/>
      <c r="AW711"/>
      <c r="AX711" s="10"/>
      <c r="AY711" s="20"/>
      <c r="AZ711" s="16"/>
      <c r="BA711"/>
      <c r="BB711"/>
      <c r="BC711" s="16"/>
      <c r="BD711"/>
      <c r="BE711"/>
      <c r="BF711"/>
      <c r="BG711"/>
      <c r="BH711"/>
      <c r="BI711"/>
      <c r="BJ711"/>
      <c r="BK711"/>
      <c r="BL711"/>
      <c r="BM711"/>
      <c r="BN711" s="19"/>
      <c r="BO711"/>
      <c r="BP711"/>
      <c r="BQ711"/>
      <c r="BR711"/>
      <c r="BS711"/>
      <c r="BT711"/>
      <c r="BU711"/>
      <c r="BV711"/>
      <c r="BW711"/>
      <c r="BX711"/>
      <c r="BY711"/>
      <c r="BZ711"/>
      <c r="CA711"/>
      <c r="CB711"/>
      <c r="CC711"/>
      <c r="CD711"/>
      <c r="CE711"/>
      <c r="CF711"/>
      <c r="CG711"/>
      <c r="CH711"/>
      <c r="CI711"/>
      <c r="CJ711"/>
      <c r="CK711"/>
      <c r="CL711"/>
      <c r="CM711" s="20"/>
      <c r="CN711" s="20"/>
      <c r="CO711" s="20"/>
      <c r="CP711" s="20"/>
      <c r="CQ711" s="20"/>
      <c r="CR711" s="20"/>
      <c r="CS711" s="20"/>
      <c r="CT711" s="20"/>
      <c r="CU711" s="20"/>
      <c r="CV711" s="20"/>
      <c r="CW711" s="20"/>
      <c r="CX711" s="20"/>
      <c r="CY711" s="20"/>
    </row>
    <row r="712" spans="1:103" s="6" customFormat="1">
      <c r="A712"/>
      <c r="B712"/>
      <c r="C712"/>
      <c r="D712"/>
      <c r="E712"/>
      <c r="F712"/>
      <c r="G712"/>
      <c r="H712"/>
      <c r="I712"/>
      <c r="J712"/>
      <c r="N712" s="7"/>
      <c r="O712"/>
      <c r="P712" s="10"/>
      <c r="Q712" s="9"/>
      <c r="R712" s="10"/>
      <c r="S712" s="10"/>
      <c r="AA712" s="11"/>
      <c r="AD712"/>
      <c r="AE712"/>
      <c r="AF712"/>
      <c r="AG712"/>
      <c r="AH712" s="46"/>
      <c r="AI712"/>
      <c r="AJ712"/>
      <c r="AK712"/>
      <c r="AL712"/>
      <c r="AM712"/>
      <c r="AN712"/>
      <c r="AO712"/>
      <c r="AP712"/>
      <c r="AQ712"/>
      <c r="AR712"/>
      <c r="AS712"/>
      <c r="AT712" s="14"/>
      <c r="AU712"/>
      <c r="AV712"/>
      <c r="AW712"/>
      <c r="AX712" s="10"/>
      <c r="AY712" s="20"/>
      <c r="AZ712" s="16"/>
      <c r="BA712"/>
      <c r="BB712"/>
      <c r="BC712" s="16"/>
      <c r="BD712"/>
      <c r="BE712"/>
      <c r="BF712"/>
      <c r="BG712"/>
      <c r="BH712"/>
      <c r="BI712"/>
      <c r="BJ712"/>
      <c r="BK712"/>
      <c r="BL712"/>
      <c r="BM712"/>
      <c r="BN712" s="19"/>
      <c r="BO712"/>
      <c r="BP712"/>
      <c r="BQ712"/>
      <c r="BR712"/>
      <c r="BS712"/>
      <c r="BT712"/>
      <c r="BU712"/>
      <c r="BV712"/>
      <c r="BW712"/>
      <c r="BX712"/>
      <c r="BY712"/>
      <c r="BZ712"/>
      <c r="CA712"/>
      <c r="CB712"/>
      <c r="CC712"/>
      <c r="CD712"/>
      <c r="CE712"/>
      <c r="CF712"/>
      <c r="CG712"/>
      <c r="CH712"/>
      <c r="CI712"/>
      <c r="CJ712"/>
      <c r="CK712"/>
      <c r="CL712"/>
      <c r="CM712" s="20"/>
      <c r="CN712" s="20"/>
      <c r="CO712" s="20"/>
      <c r="CP712" s="20"/>
      <c r="CQ712" s="20"/>
      <c r="CR712" s="20"/>
      <c r="CS712" s="20"/>
      <c r="CT712" s="20"/>
      <c r="CU712" s="20"/>
      <c r="CV712" s="20"/>
      <c r="CW712" s="20"/>
      <c r="CX712" s="20"/>
      <c r="CY712" s="20"/>
    </row>
    <row r="713" spans="1:103" s="6" customFormat="1">
      <c r="A713"/>
      <c r="B713"/>
      <c r="C713"/>
      <c r="D713"/>
      <c r="E713"/>
      <c r="F713"/>
      <c r="G713"/>
      <c r="H713"/>
      <c r="I713"/>
      <c r="J713"/>
      <c r="N713" s="7"/>
      <c r="O713"/>
      <c r="P713" s="10"/>
      <c r="Q713" s="9"/>
      <c r="R713" s="10"/>
      <c r="S713" s="10"/>
      <c r="AA713" s="11"/>
      <c r="AD713"/>
      <c r="AE713"/>
      <c r="AF713"/>
      <c r="AG713"/>
      <c r="AH713" s="46"/>
      <c r="AI713"/>
      <c r="AJ713"/>
      <c r="AK713"/>
      <c r="AL713"/>
      <c r="AM713"/>
      <c r="AN713"/>
      <c r="AO713"/>
      <c r="AP713"/>
      <c r="AQ713"/>
      <c r="AR713"/>
      <c r="AS713"/>
      <c r="AT713" s="14"/>
      <c r="AU713"/>
      <c r="AV713"/>
      <c r="AW713"/>
      <c r="AX713" s="10"/>
      <c r="AY713" s="20"/>
      <c r="AZ713" s="16"/>
      <c r="BA713"/>
      <c r="BB713"/>
      <c r="BC713" s="16"/>
      <c r="BD713"/>
      <c r="BE713"/>
      <c r="BF713"/>
      <c r="BG713"/>
      <c r="BH713"/>
      <c r="BI713"/>
      <c r="BJ713"/>
      <c r="BK713"/>
      <c r="BL713"/>
      <c r="BM713"/>
      <c r="BN713" s="19"/>
      <c r="BO713"/>
      <c r="BP713"/>
      <c r="BQ713"/>
      <c r="BR713"/>
      <c r="BS713"/>
      <c r="BT713"/>
      <c r="BU713"/>
      <c r="BV713"/>
      <c r="BW713"/>
      <c r="BX713"/>
      <c r="BY713"/>
      <c r="BZ713"/>
      <c r="CA713"/>
      <c r="CB713"/>
      <c r="CC713"/>
      <c r="CD713"/>
      <c r="CE713"/>
      <c r="CF713"/>
      <c r="CG713"/>
      <c r="CH713"/>
      <c r="CI713"/>
      <c r="CJ713"/>
      <c r="CK713"/>
      <c r="CL713"/>
      <c r="CM713" s="20"/>
      <c r="CN713" s="20"/>
      <c r="CO713" s="20"/>
      <c r="CP713" s="20"/>
      <c r="CQ713" s="20"/>
      <c r="CR713" s="20"/>
      <c r="CS713" s="20"/>
      <c r="CT713" s="20"/>
      <c r="CU713" s="20"/>
      <c r="CV713" s="20"/>
      <c r="CW713" s="20"/>
      <c r="CX713" s="20"/>
      <c r="CY713" s="20"/>
    </row>
    <row r="714" spans="1:103" s="6" customFormat="1">
      <c r="A714"/>
      <c r="B714"/>
      <c r="C714"/>
      <c r="D714"/>
      <c r="E714"/>
      <c r="F714"/>
      <c r="G714"/>
      <c r="H714"/>
      <c r="I714"/>
      <c r="J714"/>
      <c r="N714" s="7"/>
      <c r="O714"/>
      <c r="P714" s="10"/>
      <c r="Q714" s="9"/>
      <c r="R714" s="10"/>
      <c r="S714" s="10"/>
      <c r="AA714" s="11"/>
      <c r="AD714"/>
      <c r="AE714"/>
      <c r="AF714"/>
      <c r="AG714"/>
      <c r="AH714" s="46"/>
      <c r="AI714"/>
      <c r="AJ714"/>
      <c r="AK714"/>
      <c r="AL714"/>
      <c r="AM714"/>
      <c r="AN714"/>
      <c r="AO714"/>
      <c r="AP714"/>
      <c r="AQ714"/>
      <c r="AR714"/>
      <c r="AS714"/>
      <c r="AT714" s="14"/>
      <c r="AU714"/>
      <c r="AV714"/>
      <c r="AW714"/>
      <c r="AX714" s="10"/>
      <c r="AY714" s="20"/>
      <c r="AZ714" s="16"/>
      <c r="BA714"/>
      <c r="BB714"/>
      <c r="BC714" s="16"/>
      <c r="BD714"/>
      <c r="BE714"/>
      <c r="BF714"/>
      <c r="BG714"/>
      <c r="BH714"/>
      <c r="BI714"/>
      <c r="BJ714"/>
      <c r="BK714"/>
      <c r="BL714"/>
      <c r="BM714"/>
      <c r="BN714" s="19"/>
      <c r="BO714"/>
      <c r="BP714"/>
      <c r="BQ714"/>
      <c r="BR714"/>
      <c r="BS714"/>
      <c r="BT714"/>
      <c r="BU714"/>
      <c r="BV714"/>
      <c r="BW714"/>
      <c r="BX714"/>
      <c r="BY714"/>
      <c r="BZ714"/>
      <c r="CA714"/>
      <c r="CB714"/>
      <c r="CC714"/>
      <c r="CD714"/>
      <c r="CE714"/>
      <c r="CF714"/>
      <c r="CG714"/>
      <c r="CH714"/>
      <c r="CI714"/>
      <c r="CJ714"/>
      <c r="CK714"/>
      <c r="CL714"/>
      <c r="CM714" s="20"/>
      <c r="CN714" s="20"/>
      <c r="CO714" s="20"/>
      <c r="CP714" s="20"/>
      <c r="CQ714" s="20"/>
      <c r="CR714" s="20"/>
      <c r="CS714" s="20"/>
      <c r="CT714" s="20"/>
      <c r="CU714" s="20"/>
      <c r="CV714" s="20"/>
      <c r="CW714" s="20"/>
      <c r="CX714" s="20"/>
      <c r="CY714" s="20"/>
    </row>
    <row r="715" spans="1:103" s="6" customFormat="1">
      <c r="A715"/>
      <c r="B715"/>
      <c r="C715"/>
      <c r="D715"/>
      <c r="E715"/>
      <c r="F715"/>
      <c r="G715"/>
      <c r="H715"/>
      <c r="I715"/>
      <c r="J715"/>
      <c r="N715" s="7"/>
      <c r="O715"/>
      <c r="P715" s="10"/>
      <c r="Q715" s="9"/>
      <c r="R715" s="10"/>
      <c r="S715" s="10"/>
      <c r="AA715" s="11"/>
      <c r="AD715"/>
      <c r="AE715"/>
      <c r="AF715"/>
      <c r="AG715"/>
      <c r="AH715" s="46"/>
      <c r="AI715"/>
      <c r="AJ715"/>
      <c r="AK715"/>
      <c r="AL715"/>
      <c r="AM715"/>
      <c r="AN715"/>
      <c r="AO715"/>
      <c r="AP715"/>
      <c r="AQ715"/>
      <c r="AR715"/>
      <c r="AS715"/>
      <c r="AT715" s="14"/>
      <c r="AU715"/>
      <c r="AV715"/>
      <c r="AW715"/>
      <c r="AX715" s="10"/>
      <c r="AY715" s="20"/>
      <c r="AZ715" s="16"/>
      <c r="BA715"/>
      <c r="BB715"/>
      <c r="BC715" s="16"/>
      <c r="BD715"/>
      <c r="BE715"/>
      <c r="BF715"/>
      <c r="BG715"/>
      <c r="BH715"/>
      <c r="BI715"/>
      <c r="BJ715"/>
      <c r="BK715"/>
      <c r="BL715"/>
      <c r="BM715"/>
      <c r="BN715" s="19"/>
      <c r="BO715"/>
      <c r="BP715"/>
      <c r="BQ715"/>
      <c r="BR715"/>
      <c r="BS715"/>
      <c r="BT715"/>
      <c r="BU715"/>
      <c r="BV715"/>
      <c r="BW715"/>
      <c r="BX715"/>
      <c r="BY715"/>
      <c r="BZ715"/>
      <c r="CA715"/>
      <c r="CB715"/>
      <c r="CC715"/>
      <c r="CD715"/>
      <c r="CE715"/>
      <c r="CF715"/>
      <c r="CG715"/>
      <c r="CH715"/>
      <c r="CI715"/>
      <c r="CJ715"/>
      <c r="CK715"/>
      <c r="CL715"/>
      <c r="CM715" s="20"/>
      <c r="CN715" s="20"/>
      <c r="CO715" s="20"/>
      <c r="CP715" s="20"/>
      <c r="CQ715" s="20"/>
      <c r="CR715" s="20"/>
      <c r="CS715" s="20"/>
      <c r="CT715" s="20"/>
      <c r="CU715" s="20"/>
      <c r="CV715" s="20"/>
      <c r="CW715" s="20"/>
      <c r="CX715" s="20"/>
      <c r="CY715" s="20"/>
    </row>
    <row r="716" spans="1:103" s="6" customFormat="1">
      <c r="A716"/>
      <c r="B716"/>
      <c r="C716"/>
      <c r="D716"/>
      <c r="E716"/>
      <c r="F716"/>
      <c r="G716"/>
      <c r="H716"/>
      <c r="I716"/>
      <c r="J716"/>
      <c r="N716" s="7"/>
      <c r="O716"/>
      <c r="P716" s="10"/>
      <c r="Q716" s="9"/>
      <c r="R716" s="10"/>
      <c r="S716" s="10"/>
      <c r="AA716" s="11"/>
      <c r="AD716"/>
      <c r="AE716"/>
      <c r="AF716"/>
      <c r="AG716"/>
      <c r="AH716" s="46"/>
      <c r="AI716"/>
      <c r="AJ716"/>
      <c r="AK716"/>
      <c r="AL716"/>
      <c r="AM716"/>
      <c r="AN716"/>
      <c r="AO716"/>
      <c r="AP716"/>
      <c r="AQ716"/>
      <c r="AR716"/>
      <c r="AS716"/>
      <c r="AT716" s="14"/>
      <c r="AU716"/>
      <c r="AV716"/>
      <c r="AW716"/>
      <c r="AX716" s="10"/>
      <c r="AY716" s="20"/>
      <c r="AZ716" s="16"/>
      <c r="BA716"/>
      <c r="BB716"/>
      <c r="BC716" s="16"/>
      <c r="BD716"/>
      <c r="BE716"/>
      <c r="BF716"/>
      <c r="BG716"/>
      <c r="BH716"/>
      <c r="BI716"/>
      <c r="BJ716"/>
      <c r="BK716"/>
      <c r="BL716"/>
      <c r="BM716"/>
      <c r="BN716" s="19"/>
      <c r="BO716"/>
      <c r="BP716"/>
      <c r="BQ716"/>
      <c r="BR716"/>
      <c r="BS716"/>
      <c r="BT716"/>
      <c r="BU716"/>
      <c r="BV716"/>
      <c r="BW716"/>
      <c r="BX716"/>
      <c r="BY716"/>
      <c r="BZ716"/>
      <c r="CA716"/>
      <c r="CB716"/>
      <c r="CC716"/>
      <c r="CD716"/>
      <c r="CE716"/>
      <c r="CF716"/>
      <c r="CG716"/>
      <c r="CH716"/>
      <c r="CI716"/>
      <c r="CJ716"/>
      <c r="CK716"/>
      <c r="CL716"/>
      <c r="CM716" s="20"/>
      <c r="CN716" s="20"/>
      <c r="CO716" s="20"/>
      <c r="CP716" s="20"/>
      <c r="CQ716" s="20"/>
      <c r="CR716" s="20"/>
      <c r="CS716" s="20"/>
      <c r="CT716" s="20"/>
      <c r="CU716" s="20"/>
      <c r="CV716" s="20"/>
      <c r="CW716" s="20"/>
      <c r="CX716" s="20"/>
      <c r="CY716" s="20"/>
    </row>
    <row r="717" spans="1:103" s="6" customFormat="1">
      <c r="A717"/>
      <c r="B717"/>
      <c r="C717"/>
      <c r="D717"/>
      <c r="E717"/>
      <c r="F717"/>
      <c r="G717"/>
      <c r="H717"/>
      <c r="I717"/>
      <c r="J717"/>
      <c r="N717" s="7"/>
      <c r="O717"/>
      <c r="P717" s="10"/>
      <c r="Q717" s="9"/>
      <c r="R717" s="10"/>
      <c r="S717" s="10"/>
      <c r="AA717" s="11"/>
      <c r="AD717"/>
      <c r="AE717"/>
      <c r="AF717"/>
      <c r="AG717"/>
      <c r="AH717" s="46"/>
      <c r="AI717"/>
      <c r="AJ717"/>
      <c r="AK717"/>
      <c r="AL717"/>
      <c r="AM717"/>
      <c r="AN717"/>
      <c r="AO717"/>
      <c r="AP717"/>
      <c r="AQ717"/>
      <c r="AR717"/>
      <c r="AS717"/>
      <c r="AT717" s="14"/>
      <c r="AU717"/>
      <c r="AV717"/>
      <c r="AW717"/>
      <c r="AX717" s="10"/>
      <c r="AY717" s="20"/>
      <c r="AZ717" s="16"/>
      <c r="BA717"/>
      <c r="BB717"/>
      <c r="BC717" s="16"/>
      <c r="BD717"/>
      <c r="BE717"/>
      <c r="BF717"/>
      <c r="BG717"/>
      <c r="BH717"/>
      <c r="BI717"/>
      <c r="BJ717"/>
      <c r="BK717"/>
      <c r="BL717"/>
      <c r="BM717"/>
      <c r="BN717" s="19"/>
      <c r="BO717"/>
      <c r="BP717"/>
      <c r="BQ717"/>
      <c r="BR717"/>
      <c r="BS717"/>
      <c r="BT717"/>
      <c r="BU717"/>
      <c r="BV717"/>
      <c r="BW717"/>
      <c r="BX717"/>
      <c r="BY717"/>
      <c r="BZ717"/>
      <c r="CA717"/>
      <c r="CB717"/>
      <c r="CC717"/>
      <c r="CD717"/>
      <c r="CE717"/>
      <c r="CF717"/>
      <c r="CG717"/>
      <c r="CH717"/>
      <c r="CI717"/>
      <c r="CJ717"/>
      <c r="CK717"/>
      <c r="CL717"/>
      <c r="CM717" s="20"/>
      <c r="CN717" s="20"/>
      <c r="CO717" s="20"/>
      <c r="CP717" s="20"/>
      <c r="CQ717" s="20"/>
      <c r="CR717" s="20"/>
      <c r="CS717" s="20"/>
      <c r="CT717" s="20"/>
      <c r="CU717" s="20"/>
      <c r="CV717" s="20"/>
      <c r="CW717" s="20"/>
      <c r="CX717" s="20"/>
      <c r="CY717" s="20"/>
    </row>
    <row r="718" spans="1:103" s="6" customFormat="1">
      <c r="A718"/>
      <c r="B718"/>
      <c r="C718"/>
      <c r="D718"/>
      <c r="E718"/>
      <c r="F718"/>
      <c r="G718"/>
      <c r="H718"/>
      <c r="I718"/>
      <c r="J718"/>
      <c r="N718" s="7"/>
      <c r="O718"/>
      <c r="P718" s="10"/>
      <c r="Q718" s="9"/>
      <c r="R718" s="10"/>
      <c r="S718" s="10"/>
      <c r="AA718" s="11"/>
      <c r="AD718"/>
      <c r="AE718"/>
      <c r="AF718"/>
      <c r="AG718"/>
      <c r="AH718" s="46"/>
      <c r="AI718"/>
      <c r="AJ718"/>
      <c r="AK718"/>
      <c r="AL718"/>
      <c r="AM718"/>
      <c r="AN718"/>
      <c r="AO718"/>
      <c r="AP718"/>
      <c r="AQ718"/>
      <c r="AR718"/>
      <c r="AS718"/>
      <c r="AT718" s="14"/>
      <c r="AU718"/>
      <c r="AV718"/>
      <c r="AW718"/>
      <c r="AX718" s="10"/>
      <c r="AY718" s="20"/>
      <c r="AZ718" s="16"/>
      <c r="BA718"/>
      <c r="BB718"/>
      <c r="BC718" s="16"/>
      <c r="BD718"/>
      <c r="BE718"/>
      <c r="BF718"/>
      <c r="BG718"/>
      <c r="BH718"/>
      <c r="BI718"/>
      <c r="BJ718"/>
      <c r="BK718"/>
      <c r="BL718"/>
      <c r="BM718"/>
      <c r="BN718" s="19"/>
      <c r="BO718"/>
      <c r="BP718"/>
      <c r="BQ718"/>
      <c r="BR718"/>
      <c r="BS718"/>
      <c r="BT718"/>
      <c r="BU718"/>
      <c r="BV718"/>
      <c r="BW718"/>
      <c r="BX718"/>
      <c r="BY718"/>
      <c r="BZ718"/>
      <c r="CA718"/>
      <c r="CB718"/>
      <c r="CC718"/>
      <c r="CD718"/>
      <c r="CE718"/>
      <c r="CF718"/>
      <c r="CG718"/>
      <c r="CH718"/>
      <c r="CI718"/>
      <c r="CJ718"/>
      <c r="CK718"/>
      <c r="CL718"/>
      <c r="CM718" s="20"/>
      <c r="CN718" s="20"/>
      <c r="CO718" s="20"/>
      <c r="CP718" s="20"/>
      <c r="CQ718" s="20"/>
      <c r="CR718" s="20"/>
      <c r="CS718" s="20"/>
      <c r="CT718" s="20"/>
      <c r="CU718" s="20"/>
      <c r="CV718" s="20"/>
      <c r="CW718" s="20"/>
      <c r="CX718" s="20"/>
      <c r="CY718" s="20"/>
    </row>
    <row r="719" spans="1:103" s="6" customFormat="1">
      <c r="A719"/>
      <c r="B719"/>
      <c r="C719"/>
      <c r="D719"/>
      <c r="E719"/>
      <c r="F719"/>
      <c r="G719"/>
      <c r="H719"/>
      <c r="I719"/>
      <c r="J719"/>
      <c r="N719" s="7"/>
      <c r="O719"/>
      <c r="P719" s="10"/>
      <c r="Q719" s="9"/>
      <c r="R719" s="10"/>
      <c r="S719" s="10"/>
      <c r="AA719" s="11"/>
      <c r="AD719"/>
      <c r="AE719"/>
      <c r="AF719"/>
      <c r="AG719"/>
      <c r="AH719" s="46"/>
      <c r="AI719"/>
      <c r="AJ719"/>
      <c r="AK719"/>
      <c r="AL719"/>
      <c r="AM719"/>
      <c r="AN719"/>
      <c r="AO719"/>
      <c r="AP719"/>
      <c r="AQ719"/>
      <c r="AR719"/>
      <c r="AS719"/>
      <c r="AT719" s="14"/>
      <c r="AU719"/>
      <c r="AV719"/>
      <c r="AW719"/>
      <c r="AX719" s="10"/>
      <c r="AY719" s="20"/>
      <c r="AZ719" s="16"/>
      <c r="BA719"/>
      <c r="BB719"/>
      <c r="BC719" s="16"/>
      <c r="BD719"/>
      <c r="BE719"/>
      <c r="BF719"/>
      <c r="BG719"/>
      <c r="BH719"/>
      <c r="BI719"/>
      <c r="BJ719"/>
      <c r="BK719"/>
      <c r="BL719"/>
      <c r="BM719"/>
      <c r="BN719" s="19"/>
      <c r="BO719"/>
      <c r="BP719"/>
      <c r="BQ719"/>
      <c r="BR719"/>
      <c r="BS719"/>
      <c r="BT719"/>
      <c r="BU719"/>
      <c r="BV719"/>
      <c r="BW719"/>
      <c r="BX719"/>
      <c r="BY719"/>
      <c r="BZ719"/>
      <c r="CA719"/>
      <c r="CB719"/>
      <c r="CC719"/>
      <c r="CD719"/>
      <c r="CE719"/>
      <c r="CF719"/>
      <c r="CG719"/>
      <c r="CH719"/>
      <c r="CI719"/>
      <c r="CJ719"/>
      <c r="CK719"/>
      <c r="CL719"/>
      <c r="CM719" s="20"/>
      <c r="CN719" s="20"/>
      <c r="CO719" s="20"/>
      <c r="CP719" s="20"/>
      <c r="CQ719" s="20"/>
      <c r="CR719" s="20"/>
      <c r="CS719" s="20"/>
      <c r="CT719" s="20"/>
      <c r="CU719" s="20"/>
      <c r="CV719" s="20"/>
      <c r="CW719" s="20"/>
      <c r="CX719" s="20"/>
      <c r="CY719" s="20"/>
    </row>
    <row r="720" spans="1:103" s="6" customFormat="1">
      <c r="A720"/>
      <c r="B720"/>
      <c r="C720"/>
      <c r="D720"/>
      <c r="E720"/>
      <c r="F720"/>
      <c r="G720"/>
      <c r="H720"/>
      <c r="I720"/>
      <c r="J720"/>
      <c r="N720" s="7"/>
      <c r="O720"/>
      <c r="P720" s="10"/>
      <c r="Q720" s="9"/>
      <c r="R720" s="10"/>
      <c r="S720" s="10"/>
      <c r="AA720" s="11"/>
      <c r="AD720"/>
      <c r="AE720"/>
      <c r="AF720"/>
      <c r="AG720"/>
      <c r="AH720" s="46"/>
      <c r="AI720"/>
      <c r="AJ720"/>
      <c r="AK720"/>
      <c r="AL720"/>
      <c r="AM720"/>
      <c r="AN720"/>
      <c r="AO720"/>
      <c r="AP720"/>
      <c r="AQ720"/>
      <c r="AR720"/>
      <c r="AS720"/>
      <c r="AT720" s="14"/>
      <c r="AU720"/>
      <c r="AV720"/>
      <c r="AW720"/>
      <c r="AX720" s="10"/>
      <c r="AY720" s="20"/>
      <c r="AZ720" s="16"/>
      <c r="BA720"/>
      <c r="BB720"/>
      <c r="BC720" s="16"/>
      <c r="BD720"/>
      <c r="BE720"/>
      <c r="BF720"/>
      <c r="BG720"/>
      <c r="BH720"/>
      <c r="BI720"/>
      <c r="BJ720"/>
      <c r="BK720"/>
      <c r="BL720"/>
      <c r="BM720"/>
      <c r="BN720" s="19"/>
      <c r="BO720"/>
      <c r="BP720"/>
      <c r="BQ720"/>
      <c r="BR720"/>
      <c r="BS720"/>
      <c r="BT720"/>
      <c r="BU720"/>
      <c r="BV720"/>
      <c r="BW720"/>
      <c r="BX720"/>
      <c r="BY720"/>
      <c r="BZ720"/>
      <c r="CA720"/>
      <c r="CB720"/>
      <c r="CC720"/>
      <c r="CD720"/>
      <c r="CE720"/>
      <c r="CF720"/>
      <c r="CG720"/>
      <c r="CH720"/>
      <c r="CI720"/>
      <c r="CJ720"/>
      <c r="CK720"/>
      <c r="CL720"/>
      <c r="CM720" s="20"/>
      <c r="CN720" s="20"/>
      <c r="CO720" s="20"/>
      <c r="CP720" s="20"/>
      <c r="CQ720" s="20"/>
      <c r="CR720" s="20"/>
      <c r="CS720" s="20"/>
      <c r="CT720" s="20"/>
      <c r="CU720" s="20"/>
      <c r="CV720" s="20"/>
      <c r="CW720" s="20"/>
      <c r="CX720" s="20"/>
      <c r="CY720" s="20"/>
    </row>
    <row r="721" spans="1:103" s="6" customFormat="1">
      <c r="A721"/>
      <c r="B721"/>
      <c r="C721"/>
      <c r="D721"/>
      <c r="E721"/>
      <c r="F721"/>
      <c r="G721"/>
      <c r="H721"/>
      <c r="I721"/>
      <c r="J721"/>
      <c r="N721" s="7"/>
      <c r="O721"/>
      <c r="P721" s="10"/>
      <c r="Q721" s="9"/>
      <c r="R721" s="10"/>
      <c r="S721" s="10"/>
      <c r="AA721" s="11"/>
      <c r="AD721"/>
      <c r="AE721"/>
      <c r="AF721"/>
      <c r="AG721"/>
      <c r="AH721" s="46"/>
      <c r="AI721"/>
      <c r="AJ721"/>
      <c r="AK721"/>
      <c r="AL721"/>
      <c r="AM721"/>
      <c r="AN721"/>
      <c r="AO721"/>
      <c r="AP721"/>
      <c r="AQ721"/>
      <c r="AR721"/>
      <c r="AS721"/>
      <c r="AT721" s="14"/>
      <c r="AU721"/>
      <c r="AV721"/>
      <c r="AW721"/>
      <c r="AX721" s="10"/>
      <c r="AY721" s="20"/>
      <c r="AZ721" s="16"/>
      <c r="BA721"/>
      <c r="BB721"/>
      <c r="BC721" s="16"/>
      <c r="BD721"/>
      <c r="BE721"/>
      <c r="BF721"/>
      <c r="BG721"/>
      <c r="BH721"/>
      <c r="BI721"/>
      <c r="BJ721"/>
      <c r="BK721"/>
      <c r="BL721"/>
      <c r="BM721"/>
      <c r="BN721" s="19"/>
      <c r="BO721"/>
      <c r="BP721"/>
      <c r="BQ721"/>
      <c r="BR721"/>
      <c r="BS721"/>
      <c r="BT721"/>
      <c r="BU721"/>
      <c r="BV721"/>
      <c r="BW721"/>
      <c r="BX721"/>
      <c r="BY721"/>
      <c r="BZ721"/>
      <c r="CA721"/>
      <c r="CB721"/>
      <c r="CC721"/>
      <c r="CD721"/>
      <c r="CE721"/>
      <c r="CF721"/>
      <c r="CG721"/>
      <c r="CH721"/>
      <c r="CI721"/>
      <c r="CJ721"/>
      <c r="CK721"/>
      <c r="CL721"/>
      <c r="CM721" s="20"/>
      <c r="CN721" s="20"/>
      <c r="CO721" s="20"/>
      <c r="CP721" s="20"/>
      <c r="CQ721" s="20"/>
      <c r="CR721" s="20"/>
      <c r="CS721" s="20"/>
      <c r="CT721" s="20"/>
      <c r="CU721" s="20"/>
      <c r="CV721" s="20"/>
      <c r="CW721" s="20"/>
      <c r="CX721" s="20"/>
      <c r="CY721" s="20"/>
    </row>
    <row r="722" spans="1:103" s="6" customFormat="1">
      <c r="A722"/>
      <c r="B722"/>
      <c r="C722"/>
      <c r="D722"/>
      <c r="E722"/>
      <c r="F722"/>
      <c r="G722"/>
      <c r="H722"/>
      <c r="I722"/>
      <c r="J722"/>
      <c r="N722" s="7"/>
      <c r="O722"/>
      <c r="P722" s="10"/>
      <c r="Q722" s="9"/>
      <c r="R722" s="10"/>
      <c r="S722" s="10"/>
      <c r="AA722" s="11"/>
      <c r="AD722"/>
      <c r="AE722"/>
      <c r="AF722"/>
      <c r="AG722"/>
      <c r="AH722" s="46"/>
      <c r="AI722"/>
      <c r="AJ722"/>
      <c r="AK722"/>
      <c r="AL722"/>
      <c r="AM722"/>
      <c r="AN722"/>
      <c r="AO722"/>
      <c r="AP722"/>
      <c r="AQ722"/>
      <c r="AR722"/>
      <c r="AS722"/>
      <c r="AT722" s="14"/>
      <c r="AU722"/>
      <c r="AV722"/>
      <c r="AW722"/>
      <c r="AX722" s="10"/>
      <c r="AY722" s="20"/>
      <c r="AZ722" s="16"/>
      <c r="BA722"/>
      <c r="BB722"/>
      <c r="BC722" s="16"/>
      <c r="BD722"/>
      <c r="BE722"/>
      <c r="BF722"/>
      <c r="BG722"/>
      <c r="BH722"/>
      <c r="BI722"/>
      <c r="BJ722"/>
      <c r="BK722"/>
      <c r="BL722"/>
      <c r="BM722"/>
      <c r="BN722" s="19"/>
      <c r="BO722"/>
      <c r="BP722"/>
      <c r="BQ722"/>
      <c r="BR722"/>
      <c r="BS722"/>
      <c r="BT722"/>
      <c r="BU722"/>
      <c r="BV722"/>
      <c r="BW722"/>
      <c r="BX722"/>
      <c r="BY722"/>
      <c r="BZ722"/>
      <c r="CA722"/>
      <c r="CB722"/>
      <c r="CC722"/>
      <c r="CD722"/>
      <c r="CE722"/>
      <c r="CF722"/>
      <c r="CG722"/>
      <c r="CH722"/>
      <c r="CI722"/>
      <c r="CJ722"/>
      <c r="CK722"/>
      <c r="CL722"/>
      <c r="CM722" s="20"/>
      <c r="CN722" s="20"/>
      <c r="CO722" s="20"/>
      <c r="CP722" s="20"/>
      <c r="CQ722" s="20"/>
      <c r="CR722" s="20"/>
      <c r="CS722" s="20"/>
      <c r="CT722" s="20"/>
      <c r="CU722" s="20"/>
      <c r="CV722" s="20"/>
      <c r="CW722" s="20"/>
      <c r="CX722" s="20"/>
      <c r="CY722" s="20"/>
    </row>
    <row r="723" spans="1:103" s="6" customFormat="1">
      <c r="A723"/>
      <c r="B723"/>
      <c r="C723"/>
      <c r="D723"/>
      <c r="E723"/>
      <c r="F723"/>
      <c r="G723"/>
      <c r="H723"/>
      <c r="I723"/>
      <c r="J723"/>
      <c r="N723" s="7"/>
      <c r="O723"/>
      <c r="P723" s="10"/>
      <c r="Q723" s="9"/>
      <c r="R723" s="10"/>
      <c r="S723" s="10"/>
      <c r="AA723" s="11"/>
      <c r="AD723"/>
      <c r="AE723"/>
      <c r="AF723"/>
      <c r="AG723"/>
      <c r="AH723" s="46"/>
      <c r="AI723"/>
      <c r="AJ723"/>
      <c r="AK723"/>
      <c r="AL723"/>
      <c r="AM723"/>
      <c r="AN723"/>
      <c r="AO723"/>
      <c r="AP723"/>
      <c r="AQ723"/>
      <c r="AR723"/>
      <c r="AS723"/>
      <c r="AT723" s="14"/>
      <c r="AU723"/>
      <c r="AV723"/>
      <c r="AW723"/>
      <c r="AX723" s="10"/>
      <c r="AY723" s="20"/>
      <c r="AZ723" s="16"/>
      <c r="BA723"/>
      <c r="BB723"/>
      <c r="BC723" s="16"/>
      <c r="BD723"/>
      <c r="BE723"/>
      <c r="BF723"/>
      <c r="BG723"/>
      <c r="BH723"/>
      <c r="BI723"/>
      <c r="BJ723"/>
      <c r="BK723"/>
      <c r="BL723"/>
      <c r="BM723"/>
      <c r="BN723" s="19"/>
      <c r="BO723"/>
      <c r="BP723"/>
      <c r="BQ723"/>
      <c r="BR723"/>
      <c r="BS723"/>
      <c r="BT723"/>
      <c r="BU723"/>
      <c r="BV723"/>
      <c r="BW723"/>
      <c r="BX723"/>
      <c r="BY723"/>
      <c r="BZ723"/>
      <c r="CA723"/>
      <c r="CB723"/>
      <c r="CC723"/>
      <c r="CD723"/>
      <c r="CE723"/>
      <c r="CF723"/>
      <c r="CG723"/>
      <c r="CH723"/>
      <c r="CI723"/>
      <c r="CJ723"/>
      <c r="CK723"/>
      <c r="CL723"/>
      <c r="CM723" s="20"/>
      <c r="CN723" s="20"/>
      <c r="CO723" s="20"/>
      <c r="CP723" s="20"/>
      <c r="CQ723" s="20"/>
      <c r="CR723" s="20"/>
      <c r="CS723" s="20"/>
      <c r="CT723" s="20"/>
      <c r="CU723" s="20"/>
      <c r="CV723" s="20"/>
      <c r="CW723" s="20"/>
      <c r="CX723" s="20"/>
      <c r="CY723" s="20"/>
    </row>
    <row r="724" spans="1:103" s="6" customFormat="1">
      <c r="A724"/>
      <c r="B724"/>
      <c r="C724"/>
      <c r="D724"/>
      <c r="E724"/>
      <c r="F724"/>
      <c r="G724"/>
      <c r="H724"/>
      <c r="I724"/>
      <c r="J724"/>
      <c r="N724" s="7"/>
      <c r="O724"/>
      <c r="P724" s="10"/>
      <c r="Q724" s="9"/>
      <c r="R724" s="10"/>
      <c r="S724" s="10"/>
      <c r="AA724" s="11"/>
      <c r="AD724"/>
      <c r="AE724"/>
      <c r="AF724"/>
      <c r="AG724"/>
      <c r="AH724" s="46"/>
      <c r="AI724"/>
      <c r="AJ724"/>
      <c r="AK724"/>
      <c r="AL724"/>
      <c r="AM724"/>
      <c r="AN724"/>
      <c r="AO724"/>
      <c r="AP724"/>
      <c r="AQ724"/>
      <c r="AR724"/>
      <c r="AS724"/>
      <c r="AT724" s="14"/>
      <c r="AU724"/>
      <c r="AV724"/>
      <c r="AW724"/>
      <c r="AX724" s="10"/>
      <c r="AY724" s="20"/>
      <c r="AZ724" s="16"/>
      <c r="BA724"/>
      <c r="BB724"/>
      <c r="BC724" s="16"/>
      <c r="BD724"/>
      <c r="BE724"/>
      <c r="BF724"/>
      <c r="BG724"/>
      <c r="BH724"/>
      <c r="BI724"/>
      <c r="BJ724"/>
      <c r="BK724"/>
      <c r="BL724"/>
      <c r="BM724"/>
      <c r="BN724" s="19"/>
      <c r="BO724"/>
      <c r="BP724"/>
      <c r="BQ724"/>
      <c r="BR724"/>
      <c r="BS724"/>
      <c r="BT724"/>
      <c r="BU724"/>
      <c r="BV724"/>
      <c r="BW724"/>
      <c r="BX724"/>
      <c r="BY724"/>
      <c r="BZ724"/>
      <c r="CA724"/>
      <c r="CB724"/>
      <c r="CC724"/>
      <c r="CD724"/>
      <c r="CE724"/>
      <c r="CF724"/>
      <c r="CG724"/>
      <c r="CH724"/>
      <c r="CI724"/>
      <c r="CJ724"/>
      <c r="CK724"/>
      <c r="CL724"/>
      <c r="CM724" s="20"/>
      <c r="CN724" s="20"/>
      <c r="CO724" s="20"/>
      <c r="CP724" s="20"/>
      <c r="CQ724" s="20"/>
      <c r="CR724" s="20"/>
      <c r="CS724" s="20"/>
      <c r="CT724" s="20"/>
      <c r="CU724" s="20"/>
      <c r="CV724" s="20"/>
      <c r="CW724" s="20"/>
      <c r="CX724" s="20"/>
      <c r="CY724" s="20"/>
    </row>
    <row r="725" spans="1:103" s="6" customFormat="1">
      <c r="A725"/>
      <c r="B725"/>
      <c r="C725"/>
      <c r="D725"/>
      <c r="E725"/>
      <c r="F725"/>
      <c r="G725"/>
      <c r="H725"/>
      <c r="I725"/>
      <c r="J725"/>
      <c r="N725" s="7"/>
      <c r="O725"/>
      <c r="P725" s="10"/>
      <c r="Q725" s="9"/>
      <c r="R725" s="10"/>
      <c r="S725" s="10"/>
      <c r="AA725" s="11"/>
      <c r="AD725"/>
      <c r="AE725"/>
      <c r="AF725"/>
      <c r="AG725"/>
      <c r="AH725" s="46"/>
      <c r="AI725"/>
      <c r="AJ725"/>
      <c r="AK725"/>
      <c r="AL725"/>
      <c r="AM725"/>
      <c r="AN725"/>
      <c r="AO725"/>
      <c r="AP725"/>
      <c r="AQ725"/>
      <c r="AR725"/>
      <c r="AS725"/>
      <c r="AT725" s="14"/>
      <c r="AU725"/>
      <c r="AV725"/>
      <c r="AW725"/>
      <c r="AX725" s="10"/>
      <c r="AY725" s="20"/>
      <c r="AZ725" s="16"/>
      <c r="BA725"/>
      <c r="BB725"/>
      <c r="BC725" s="16"/>
      <c r="BD725"/>
      <c r="BE725"/>
      <c r="BF725"/>
      <c r="BG725"/>
      <c r="BH725"/>
      <c r="BI725"/>
      <c r="BJ725"/>
      <c r="BK725"/>
      <c r="BL725"/>
      <c r="BM725"/>
      <c r="BN725" s="19"/>
      <c r="BO725"/>
      <c r="BP725"/>
      <c r="BQ725"/>
      <c r="BR725"/>
      <c r="BS725"/>
      <c r="BT725"/>
      <c r="BU725"/>
      <c r="BV725"/>
      <c r="BW725"/>
      <c r="BX725"/>
      <c r="BY725"/>
      <c r="BZ725"/>
      <c r="CA725"/>
      <c r="CB725"/>
      <c r="CC725"/>
      <c r="CD725"/>
      <c r="CE725"/>
      <c r="CF725"/>
      <c r="CG725"/>
      <c r="CH725"/>
      <c r="CI725"/>
      <c r="CJ725"/>
      <c r="CK725"/>
      <c r="CL725"/>
      <c r="CM725" s="20"/>
      <c r="CN725" s="20"/>
      <c r="CO725" s="20"/>
      <c r="CP725" s="20"/>
      <c r="CQ725" s="20"/>
      <c r="CR725" s="20"/>
      <c r="CS725" s="20"/>
      <c r="CT725" s="20"/>
      <c r="CU725" s="20"/>
      <c r="CV725" s="20"/>
      <c r="CW725" s="20"/>
      <c r="CX725" s="20"/>
      <c r="CY725" s="20"/>
    </row>
    <row r="726" spans="1:103" s="6" customFormat="1">
      <c r="A726"/>
      <c r="B726"/>
      <c r="C726"/>
      <c r="D726"/>
      <c r="E726"/>
      <c r="F726"/>
      <c r="G726"/>
      <c r="H726"/>
      <c r="I726"/>
      <c r="J726"/>
      <c r="N726" s="7"/>
      <c r="O726"/>
      <c r="P726" s="10"/>
      <c r="Q726" s="9"/>
      <c r="R726" s="10"/>
      <c r="S726" s="10"/>
      <c r="AA726" s="11"/>
      <c r="AD726"/>
      <c r="AE726"/>
      <c r="AF726"/>
      <c r="AG726"/>
      <c r="AH726" s="46"/>
      <c r="AI726"/>
      <c r="AJ726"/>
      <c r="AK726"/>
      <c r="AL726"/>
      <c r="AM726"/>
      <c r="AN726"/>
      <c r="AO726"/>
      <c r="AP726"/>
      <c r="AQ726"/>
      <c r="AR726"/>
      <c r="AS726"/>
      <c r="AT726" s="14"/>
      <c r="AU726"/>
      <c r="AV726"/>
      <c r="AW726"/>
      <c r="AX726" s="10"/>
      <c r="AY726" s="20"/>
      <c r="AZ726" s="16"/>
      <c r="BA726"/>
      <c r="BB726"/>
      <c r="BC726" s="16"/>
      <c r="BD726"/>
      <c r="BE726"/>
      <c r="BF726"/>
      <c r="BG726"/>
      <c r="BH726"/>
      <c r="BI726"/>
      <c r="BJ726"/>
      <c r="BK726"/>
      <c r="BL726"/>
      <c r="BM726"/>
      <c r="BN726" s="19"/>
      <c r="BO726"/>
      <c r="BP726"/>
      <c r="BQ726"/>
      <c r="BR726"/>
      <c r="BS726"/>
      <c r="BT726"/>
      <c r="BU726"/>
      <c r="BV726"/>
      <c r="BW726"/>
      <c r="BX726"/>
      <c r="BY726"/>
      <c r="BZ726"/>
      <c r="CA726"/>
      <c r="CB726"/>
      <c r="CC726"/>
      <c r="CD726"/>
      <c r="CE726"/>
      <c r="CF726"/>
      <c r="CG726"/>
      <c r="CH726"/>
      <c r="CI726"/>
      <c r="CJ726"/>
      <c r="CK726"/>
      <c r="CL726"/>
      <c r="CM726" s="20"/>
      <c r="CN726" s="20"/>
      <c r="CO726" s="20"/>
      <c r="CP726" s="20"/>
      <c r="CQ726" s="20"/>
      <c r="CR726" s="20"/>
      <c r="CS726" s="20"/>
      <c r="CT726" s="20"/>
      <c r="CU726" s="20"/>
      <c r="CV726" s="20"/>
      <c r="CW726" s="20"/>
      <c r="CX726" s="20"/>
      <c r="CY726" s="20"/>
    </row>
    <row r="727" spans="1:103" s="6" customFormat="1">
      <c r="A727"/>
      <c r="B727"/>
      <c r="C727"/>
      <c r="D727"/>
      <c r="E727"/>
      <c r="F727"/>
      <c r="G727"/>
      <c r="H727"/>
      <c r="I727"/>
      <c r="J727"/>
      <c r="N727" s="7"/>
      <c r="O727"/>
      <c r="P727" s="10"/>
      <c r="Q727" s="9"/>
      <c r="R727" s="10"/>
      <c r="S727" s="10"/>
      <c r="AA727" s="11"/>
      <c r="AD727"/>
      <c r="AE727"/>
      <c r="AF727"/>
      <c r="AG727"/>
      <c r="AH727" s="46"/>
      <c r="AI727"/>
      <c r="AJ727"/>
      <c r="AK727"/>
      <c r="AL727"/>
      <c r="AM727"/>
      <c r="AN727"/>
      <c r="AO727"/>
      <c r="AP727"/>
      <c r="AQ727"/>
      <c r="AR727"/>
      <c r="AS727"/>
      <c r="AT727" s="14"/>
      <c r="AU727"/>
      <c r="AV727"/>
      <c r="AW727"/>
      <c r="AX727" s="10"/>
      <c r="AY727" s="20"/>
      <c r="AZ727" s="16"/>
      <c r="BA727"/>
      <c r="BB727"/>
      <c r="BC727" s="16"/>
      <c r="BD727"/>
      <c r="BE727"/>
      <c r="BF727"/>
      <c r="BG727"/>
      <c r="BH727"/>
      <c r="BI727"/>
      <c r="BJ727"/>
      <c r="BK727"/>
      <c r="BL727"/>
      <c r="BM727"/>
      <c r="BN727" s="19"/>
      <c r="BO727"/>
      <c r="BP727"/>
      <c r="BQ727"/>
      <c r="BR727"/>
      <c r="BS727"/>
      <c r="BT727"/>
      <c r="BU727"/>
      <c r="BV727"/>
      <c r="BW727"/>
      <c r="BX727"/>
      <c r="BY727"/>
      <c r="BZ727"/>
      <c r="CA727"/>
      <c r="CB727"/>
      <c r="CC727"/>
      <c r="CD727"/>
      <c r="CE727"/>
      <c r="CF727"/>
      <c r="CG727"/>
      <c r="CH727"/>
      <c r="CI727"/>
      <c r="CJ727"/>
      <c r="CK727"/>
      <c r="CL727"/>
      <c r="CM727" s="20"/>
      <c r="CN727" s="20"/>
      <c r="CO727" s="20"/>
      <c r="CP727" s="20"/>
      <c r="CQ727" s="20"/>
      <c r="CR727" s="20"/>
      <c r="CS727" s="20"/>
      <c r="CT727" s="20"/>
      <c r="CU727" s="20"/>
      <c r="CV727" s="20"/>
      <c r="CW727" s="20"/>
      <c r="CX727" s="20"/>
      <c r="CY727" s="20"/>
    </row>
    <row r="728" spans="1:103" s="6" customFormat="1">
      <c r="A728"/>
      <c r="B728"/>
      <c r="C728"/>
      <c r="D728"/>
      <c r="E728"/>
      <c r="F728"/>
      <c r="G728"/>
      <c r="H728"/>
      <c r="I728"/>
      <c r="J728"/>
      <c r="N728" s="7"/>
      <c r="O728"/>
      <c r="P728" s="10"/>
      <c r="Q728" s="9"/>
      <c r="R728" s="10"/>
      <c r="S728" s="10"/>
      <c r="AA728" s="11"/>
      <c r="AD728"/>
      <c r="AE728"/>
      <c r="AF728"/>
      <c r="AG728"/>
      <c r="AH728" s="46"/>
      <c r="AI728"/>
      <c r="AJ728"/>
      <c r="AK728"/>
      <c r="AL728"/>
      <c r="AM728"/>
      <c r="AN728"/>
      <c r="AO728"/>
      <c r="AP728"/>
      <c r="AQ728"/>
      <c r="AR728"/>
      <c r="AS728"/>
      <c r="AT728" s="14"/>
      <c r="AU728"/>
      <c r="AV728"/>
      <c r="AW728"/>
      <c r="AX728" s="10"/>
      <c r="AY728" s="20"/>
      <c r="AZ728" s="16"/>
      <c r="BA728"/>
      <c r="BB728"/>
      <c r="BC728" s="16"/>
      <c r="BD728"/>
      <c r="BE728"/>
      <c r="BF728"/>
      <c r="BG728"/>
      <c r="BH728"/>
      <c r="BI728"/>
      <c r="BJ728"/>
      <c r="BK728"/>
      <c r="BL728"/>
      <c r="BM728"/>
      <c r="BN728" s="19"/>
      <c r="BO728"/>
      <c r="BP728"/>
      <c r="BQ728"/>
      <c r="BR728"/>
      <c r="BS728"/>
      <c r="BT728"/>
      <c r="BU728"/>
      <c r="BV728"/>
      <c r="BW728"/>
      <c r="BX728"/>
      <c r="BY728"/>
      <c r="BZ728"/>
      <c r="CA728"/>
      <c r="CB728"/>
      <c r="CC728"/>
      <c r="CD728"/>
      <c r="CE728"/>
      <c r="CF728"/>
      <c r="CG728"/>
      <c r="CH728"/>
      <c r="CI728"/>
      <c r="CJ728"/>
      <c r="CK728"/>
      <c r="CL728"/>
      <c r="CM728" s="20"/>
      <c r="CN728" s="20"/>
      <c r="CO728" s="20"/>
      <c r="CP728" s="20"/>
      <c r="CQ728" s="20"/>
      <c r="CR728" s="20"/>
      <c r="CS728" s="20"/>
      <c r="CT728" s="20"/>
      <c r="CU728" s="20"/>
      <c r="CV728" s="20"/>
      <c r="CW728" s="20"/>
      <c r="CX728" s="20"/>
      <c r="CY728" s="20"/>
    </row>
    <row r="729" spans="1:103" s="6" customFormat="1">
      <c r="A729"/>
      <c r="B729"/>
      <c r="C729"/>
      <c r="D729"/>
      <c r="E729"/>
      <c r="F729"/>
      <c r="G729"/>
      <c r="H729"/>
      <c r="I729"/>
      <c r="J729"/>
      <c r="N729" s="7"/>
      <c r="O729"/>
      <c r="P729" s="10"/>
      <c r="Q729" s="9"/>
      <c r="R729" s="10"/>
      <c r="S729" s="10"/>
      <c r="AA729" s="11"/>
      <c r="AD729"/>
      <c r="AE729"/>
      <c r="AF729"/>
      <c r="AG729"/>
      <c r="AH729" s="46"/>
      <c r="AI729"/>
      <c r="AJ729"/>
      <c r="AK729"/>
      <c r="AL729"/>
      <c r="AM729"/>
      <c r="AN729"/>
      <c r="AO729"/>
      <c r="AP729"/>
      <c r="AQ729"/>
      <c r="AR729"/>
      <c r="AS729"/>
      <c r="AT729" s="14"/>
      <c r="AU729"/>
      <c r="AV729"/>
      <c r="AW729"/>
      <c r="AX729" s="10"/>
      <c r="AY729" s="20"/>
      <c r="AZ729" s="16"/>
      <c r="BA729"/>
      <c r="BB729"/>
      <c r="BC729" s="16"/>
      <c r="BD729"/>
      <c r="BE729"/>
      <c r="BF729"/>
      <c r="BG729"/>
      <c r="BH729"/>
      <c r="BI729"/>
      <c r="BJ729"/>
      <c r="BK729"/>
      <c r="BL729"/>
      <c r="BM729"/>
      <c r="BN729" s="19"/>
      <c r="BO729"/>
      <c r="BP729"/>
      <c r="BQ729"/>
      <c r="BR729"/>
      <c r="BS729"/>
      <c r="BT729"/>
      <c r="BU729"/>
      <c r="BV729"/>
      <c r="BW729"/>
      <c r="BX729"/>
      <c r="BY729"/>
      <c r="BZ729"/>
      <c r="CA729"/>
      <c r="CB729"/>
      <c r="CC729"/>
      <c r="CD729"/>
      <c r="CE729"/>
      <c r="CF729"/>
      <c r="CG729"/>
      <c r="CH729"/>
      <c r="CI729"/>
      <c r="CJ729"/>
      <c r="CK729"/>
      <c r="CL729"/>
      <c r="CM729" s="20"/>
      <c r="CN729" s="20"/>
      <c r="CO729" s="20"/>
      <c r="CP729" s="20"/>
      <c r="CQ729" s="20"/>
      <c r="CR729" s="20"/>
      <c r="CS729" s="20"/>
      <c r="CT729" s="20"/>
      <c r="CU729" s="20"/>
      <c r="CV729" s="20"/>
      <c r="CW729" s="20"/>
      <c r="CX729" s="20"/>
      <c r="CY729" s="20"/>
    </row>
    <row r="730" spans="1:103" s="6" customFormat="1">
      <c r="A730"/>
      <c r="B730"/>
      <c r="C730"/>
      <c r="D730"/>
      <c r="E730"/>
      <c r="F730"/>
      <c r="G730"/>
      <c r="H730"/>
      <c r="I730"/>
      <c r="J730"/>
      <c r="N730" s="7"/>
      <c r="O730"/>
      <c r="P730" s="10"/>
      <c r="Q730" s="9"/>
      <c r="R730" s="10"/>
      <c r="S730" s="10"/>
      <c r="AA730" s="11"/>
      <c r="AD730"/>
      <c r="AE730"/>
      <c r="AF730"/>
      <c r="AG730"/>
      <c r="AH730" s="46"/>
      <c r="AI730"/>
      <c r="AJ730"/>
      <c r="AK730"/>
      <c r="AL730"/>
      <c r="AM730"/>
      <c r="AN730"/>
      <c r="AO730"/>
      <c r="AP730"/>
      <c r="AQ730"/>
      <c r="AR730"/>
      <c r="AS730"/>
      <c r="AT730" s="14"/>
      <c r="AU730"/>
      <c r="AV730"/>
      <c r="AW730"/>
      <c r="AX730" s="10"/>
      <c r="AY730" s="20"/>
      <c r="AZ730" s="16"/>
      <c r="BA730"/>
      <c r="BB730"/>
      <c r="BC730" s="16"/>
      <c r="BD730"/>
      <c r="BE730"/>
      <c r="BF730"/>
      <c r="BG730"/>
      <c r="BH730"/>
      <c r="BI730"/>
      <c r="BJ730"/>
      <c r="BK730"/>
      <c r="BL730"/>
      <c r="BM730"/>
      <c r="BN730" s="19"/>
      <c r="BO730"/>
      <c r="BP730"/>
      <c r="BQ730"/>
      <c r="BR730"/>
      <c r="BS730"/>
      <c r="BT730"/>
      <c r="BU730"/>
      <c r="BV730"/>
      <c r="BW730"/>
      <c r="BX730"/>
      <c r="BY730"/>
      <c r="BZ730"/>
      <c r="CA730"/>
      <c r="CB730"/>
      <c r="CC730"/>
      <c r="CD730"/>
      <c r="CE730"/>
      <c r="CF730"/>
      <c r="CG730"/>
      <c r="CH730"/>
      <c r="CI730"/>
      <c r="CJ730"/>
      <c r="CK730"/>
      <c r="CL730"/>
      <c r="CM730" s="20"/>
      <c r="CN730" s="20"/>
      <c r="CO730" s="20"/>
      <c r="CP730" s="20"/>
      <c r="CQ730" s="20"/>
      <c r="CR730" s="20"/>
      <c r="CS730" s="20"/>
      <c r="CT730" s="20"/>
      <c r="CU730" s="20"/>
      <c r="CV730" s="20"/>
      <c r="CW730" s="20"/>
      <c r="CX730" s="20"/>
      <c r="CY730" s="20"/>
    </row>
    <row r="731" spans="1:103" s="6" customFormat="1">
      <c r="A731"/>
      <c r="B731"/>
      <c r="C731"/>
      <c r="D731"/>
      <c r="E731"/>
      <c r="F731"/>
      <c r="G731"/>
      <c r="H731"/>
      <c r="I731"/>
      <c r="J731"/>
      <c r="N731" s="7"/>
      <c r="O731"/>
      <c r="P731" s="10"/>
      <c r="Q731" s="9"/>
      <c r="R731" s="10"/>
      <c r="S731" s="10"/>
      <c r="AA731" s="11"/>
      <c r="AD731"/>
      <c r="AE731"/>
      <c r="AF731"/>
      <c r="AG731"/>
      <c r="AH731" s="46"/>
      <c r="AI731"/>
      <c r="AJ731"/>
      <c r="AK731"/>
      <c r="AL731"/>
      <c r="AM731"/>
      <c r="AN731"/>
      <c r="AO731"/>
      <c r="AP731"/>
      <c r="AQ731"/>
      <c r="AR731"/>
      <c r="AS731"/>
      <c r="AT731" s="14"/>
      <c r="AU731"/>
      <c r="AV731"/>
      <c r="AW731"/>
      <c r="AX731" s="10"/>
      <c r="AY731" s="20"/>
      <c r="AZ731" s="16"/>
      <c r="BA731"/>
      <c r="BB731"/>
      <c r="BC731" s="16"/>
      <c r="BD731"/>
      <c r="BE731"/>
      <c r="BF731"/>
      <c r="BG731"/>
      <c r="BH731"/>
      <c r="BI731"/>
      <c r="BJ731"/>
      <c r="BK731"/>
      <c r="BL731"/>
      <c r="BM731"/>
      <c r="BN731" s="19"/>
      <c r="BO731"/>
      <c r="BP731"/>
      <c r="BQ731"/>
      <c r="BR731"/>
      <c r="BS731"/>
      <c r="BT731"/>
      <c r="BU731"/>
      <c r="BV731"/>
      <c r="BW731"/>
      <c r="BX731"/>
      <c r="BY731"/>
      <c r="BZ731"/>
      <c r="CA731"/>
      <c r="CB731"/>
      <c r="CC731"/>
      <c r="CD731"/>
      <c r="CE731"/>
      <c r="CF731"/>
      <c r="CG731"/>
      <c r="CH731"/>
      <c r="CI731"/>
      <c r="CJ731"/>
      <c r="CK731"/>
      <c r="CL731"/>
      <c r="CM731" s="20"/>
      <c r="CN731" s="20"/>
      <c r="CO731" s="20"/>
      <c r="CP731" s="20"/>
      <c r="CQ731" s="20"/>
      <c r="CR731" s="20"/>
      <c r="CS731" s="20"/>
      <c r="CT731" s="20"/>
      <c r="CU731" s="20"/>
      <c r="CV731" s="20"/>
      <c r="CW731" s="20"/>
      <c r="CX731" s="20"/>
      <c r="CY731" s="20"/>
    </row>
    <row r="732" spans="1:103" s="6" customFormat="1">
      <c r="A732"/>
      <c r="B732"/>
      <c r="C732"/>
      <c r="D732"/>
      <c r="E732"/>
      <c r="F732"/>
      <c r="G732"/>
      <c r="H732"/>
      <c r="I732"/>
      <c r="J732"/>
      <c r="N732" s="7"/>
      <c r="O732"/>
      <c r="P732" s="10"/>
      <c r="Q732" s="9"/>
      <c r="R732" s="10"/>
      <c r="S732" s="10"/>
      <c r="AA732" s="11"/>
      <c r="AD732"/>
      <c r="AE732"/>
      <c r="AF732"/>
      <c r="AG732"/>
      <c r="AH732" s="46"/>
      <c r="AI732"/>
      <c r="AJ732"/>
      <c r="AK732"/>
      <c r="AL732"/>
      <c r="AM732"/>
      <c r="AN732"/>
      <c r="AO732"/>
      <c r="AP732"/>
      <c r="AQ732"/>
      <c r="AR732"/>
      <c r="AS732"/>
      <c r="AT732" s="14"/>
      <c r="AU732"/>
      <c r="AV732"/>
      <c r="AW732"/>
      <c r="AX732" s="10"/>
      <c r="AY732" s="20"/>
      <c r="AZ732" s="16"/>
      <c r="BA732"/>
      <c r="BB732"/>
      <c r="BC732" s="16"/>
      <c r="BD732"/>
      <c r="BE732"/>
      <c r="BF732"/>
      <c r="BG732"/>
      <c r="BH732"/>
      <c r="BI732"/>
      <c r="BJ732"/>
      <c r="BK732"/>
      <c r="BL732"/>
      <c r="BM732"/>
      <c r="BN732" s="19"/>
      <c r="BO732"/>
      <c r="BP732"/>
      <c r="BQ732"/>
      <c r="BR732"/>
      <c r="BS732"/>
      <c r="BT732"/>
      <c r="BU732"/>
      <c r="BV732"/>
      <c r="BW732"/>
      <c r="BX732"/>
      <c r="BY732"/>
      <c r="BZ732"/>
      <c r="CA732"/>
      <c r="CB732"/>
      <c r="CC732"/>
      <c r="CD732"/>
      <c r="CE732"/>
      <c r="CF732"/>
      <c r="CG732"/>
      <c r="CH732"/>
      <c r="CI732"/>
      <c r="CJ732"/>
      <c r="CK732"/>
      <c r="CL732"/>
      <c r="CM732" s="20"/>
      <c r="CN732" s="20"/>
      <c r="CO732" s="20"/>
      <c r="CP732" s="20"/>
      <c r="CQ732" s="20"/>
      <c r="CR732" s="20"/>
      <c r="CS732" s="20"/>
      <c r="CT732" s="20"/>
      <c r="CU732" s="20"/>
      <c r="CV732" s="20"/>
      <c r="CW732" s="20"/>
      <c r="CX732" s="20"/>
      <c r="CY732" s="20"/>
    </row>
    <row r="733" spans="1:103" s="6" customFormat="1">
      <c r="A733"/>
      <c r="B733"/>
      <c r="C733"/>
      <c r="D733"/>
      <c r="E733"/>
      <c r="F733"/>
      <c r="G733"/>
      <c r="H733"/>
      <c r="I733"/>
      <c r="J733"/>
      <c r="N733" s="7"/>
      <c r="O733"/>
      <c r="P733" s="10"/>
      <c r="Q733" s="9"/>
      <c r="R733" s="10"/>
      <c r="S733" s="10"/>
      <c r="AA733" s="11"/>
      <c r="AD733"/>
      <c r="AE733"/>
      <c r="AF733"/>
      <c r="AG733"/>
      <c r="AH733" s="46"/>
      <c r="AI733"/>
      <c r="AJ733"/>
      <c r="AK733"/>
      <c r="AL733"/>
      <c r="AM733"/>
      <c r="AN733"/>
      <c r="AO733"/>
      <c r="AP733"/>
      <c r="AQ733"/>
      <c r="AR733"/>
      <c r="AS733"/>
      <c r="AT733" s="14"/>
      <c r="AU733"/>
      <c r="AV733"/>
      <c r="AW733"/>
      <c r="AX733" s="10"/>
      <c r="AY733" s="20"/>
      <c r="AZ733" s="16"/>
      <c r="BA733"/>
      <c r="BB733"/>
      <c r="BC733" s="16"/>
      <c r="BD733"/>
      <c r="BE733"/>
      <c r="BF733"/>
      <c r="BG733"/>
      <c r="BH733"/>
      <c r="BI733"/>
      <c r="BJ733"/>
      <c r="BK733"/>
      <c r="BL733"/>
      <c r="BM733"/>
      <c r="BN733" s="19"/>
      <c r="BO733"/>
      <c r="BP733"/>
      <c r="BQ733"/>
      <c r="BR733"/>
      <c r="BS733"/>
      <c r="BT733"/>
      <c r="BU733"/>
      <c r="BV733"/>
      <c r="BW733"/>
      <c r="BX733"/>
      <c r="BY733"/>
      <c r="BZ733"/>
      <c r="CA733"/>
      <c r="CB733"/>
      <c r="CC733"/>
      <c r="CD733"/>
      <c r="CE733"/>
      <c r="CF733"/>
      <c r="CG733"/>
      <c r="CH733"/>
      <c r="CI733"/>
      <c r="CJ733"/>
      <c r="CK733"/>
      <c r="CL733"/>
      <c r="CM733" s="20"/>
      <c r="CN733" s="20"/>
      <c r="CO733" s="20"/>
      <c r="CP733" s="20"/>
      <c r="CQ733" s="20"/>
      <c r="CR733" s="20"/>
      <c r="CS733" s="20"/>
      <c r="CT733" s="20"/>
      <c r="CU733" s="20"/>
      <c r="CV733" s="20"/>
      <c r="CW733" s="20"/>
      <c r="CX733" s="20"/>
      <c r="CY733" s="20"/>
    </row>
    <row r="734" spans="1:103" s="6" customFormat="1">
      <c r="A734"/>
      <c r="B734"/>
      <c r="C734"/>
      <c r="D734"/>
      <c r="E734"/>
      <c r="F734"/>
      <c r="G734"/>
      <c r="H734"/>
      <c r="I734"/>
      <c r="J734"/>
      <c r="N734" s="7"/>
      <c r="O734"/>
      <c r="P734" s="10"/>
      <c r="Q734" s="9"/>
      <c r="R734" s="10"/>
      <c r="S734" s="10"/>
      <c r="AA734" s="11"/>
      <c r="AD734"/>
      <c r="AE734"/>
      <c r="AF734"/>
      <c r="AG734"/>
      <c r="AH734" s="46"/>
      <c r="AI734"/>
      <c r="AJ734"/>
      <c r="AK734"/>
      <c r="AL734"/>
      <c r="AM734"/>
      <c r="AN734"/>
      <c r="AO734"/>
      <c r="AP734"/>
      <c r="AQ734"/>
      <c r="AR734"/>
      <c r="AS734"/>
      <c r="AT734" s="14"/>
      <c r="AU734"/>
      <c r="AV734"/>
      <c r="AW734"/>
      <c r="AX734" s="10"/>
      <c r="AY734" s="20"/>
      <c r="AZ734" s="16"/>
      <c r="BA734"/>
      <c r="BB734"/>
      <c r="BC734" s="16"/>
      <c r="BD734"/>
      <c r="BE734"/>
      <c r="BF734"/>
      <c r="BG734"/>
      <c r="BH734"/>
      <c r="BI734"/>
      <c r="BJ734"/>
      <c r="BK734"/>
      <c r="BL734"/>
      <c r="BM734"/>
      <c r="BN734" s="19"/>
      <c r="BO734"/>
      <c r="BP734"/>
      <c r="BQ734"/>
      <c r="BR734"/>
      <c r="BS734"/>
      <c r="BT734"/>
      <c r="BU734"/>
      <c r="BV734"/>
      <c r="BW734"/>
      <c r="BX734"/>
      <c r="BY734"/>
      <c r="BZ734"/>
      <c r="CA734"/>
      <c r="CB734"/>
      <c r="CC734"/>
      <c r="CD734"/>
      <c r="CE734"/>
      <c r="CF734"/>
      <c r="CG734"/>
      <c r="CH734"/>
      <c r="CI734"/>
      <c r="CJ734"/>
      <c r="CK734"/>
      <c r="CL734"/>
      <c r="CM734" s="20"/>
      <c r="CN734" s="20"/>
      <c r="CO734" s="20"/>
      <c r="CP734" s="20"/>
      <c r="CQ734" s="20"/>
      <c r="CR734" s="20"/>
      <c r="CS734" s="20"/>
      <c r="CT734" s="20"/>
      <c r="CU734" s="20"/>
      <c r="CV734" s="20"/>
      <c r="CW734" s="20"/>
      <c r="CX734" s="20"/>
      <c r="CY734" s="20"/>
    </row>
    <row r="735" spans="1:103" s="6" customFormat="1">
      <c r="A735"/>
      <c r="B735"/>
      <c r="C735"/>
      <c r="D735"/>
      <c r="E735"/>
      <c r="F735"/>
      <c r="G735"/>
      <c r="H735"/>
      <c r="I735"/>
      <c r="J735"/>
      <c r="N735" s="7"/>
      <c r="O735"/>
      <c r="P735" s="10"/>
      <c r="Q735" s="9"/>
      <c r="R735" s="10"/>
      <c r="S735" s="10"/>
      <c r="AA735" s="11"/>
      <c r="AD735"/>
      <c r="AE735"/>
      <c r="AF735"/>
      <c r="AG735"/>
      <c r="AH735" s="46"/>
      <c r="AI735"/>
      <c r="AJ735"/>
      <c r="AK735"/>
      <c r="AL735"/>
      <c r="AM735"/>
      <c r="AN735"/>
      <c r="AO735"/>
      <c r="AP735"/>
      <c r="AQ735"/>
      <c r="AR735"/>
      <c r="AS735"/>
      <c r="AT735" s="14"/>
      <c r="AU735"/>
      <c r="AV735"/>
      <c r="AW735"/>
      <c r="AX735" s="10"/>
      <c r="AY735" s="20"/>
      <c r="AZ735" s="16"/>
      <c r="BA735"/>
      <c r="BB735"/>
      <c r="BC735" s="16"/>
      <c r="BD735"/>
      <c r="BE735"/>
      <c r="BF735"/>
      <c r="BG735"/>
      <c r="BH735"/>
      <c r="BI735"/>
      <c r="BJ735"/>
      <c r="BK735"/>
      <c r="BL735"/>
      <c r="BM735"/>
      <c r="BN735" s="19"/>
      <c r="BO735"/>
      <c r="BP735"/>
      <c r="BQ735"/>
      <c r="BR735"/>
      <c r="BS735"/>
      <c r="BT735"/>
      <c r="BU735"/>
      <c r="BV735"/>
      <c r="BW735"/>
      <c r="BX735"/>
      <c r="BY735"/>
      <c r="BZ735"/>
      <c r="CA735"/>
      <c r="CB735"/>
      <c r="CC735"/>
      <c r="CD735"/>
      <c r="CE735"/>
      <c r="CF735"/>
      <c r="CG735"/>
      <c r="CH735"/>
      <c r="CI735"/>
      <c r="CJ735"/>
      <c r="CK735"/>
      <c r="CL735"/>
      <c r="CM735" s="20"/>
      <c r="CN735" s="20"/>
      <c r="CO735" s="20"/>
      <c r="CP735" s="20"/>
      <c r="CQ735" s="20"/>
      <c r="CR735" s="20"/>
      <c r="CS735" s="20"/>
      <c r="CT735" s="20"/>
      <c r="CU735" s="20"/>
      <c r="CV735" s="20"/>
      <c r="CW735" s="20"/>
      <c r="CX735" s="20"/>
      <c r="CY735" s="20"/>
    </row>
    <row r="736" spans="1:103" s="6" customFormat="1">
      <c r="A736"/>
      <c r="B736"/>
      <c r="C736"/>
      <c r="D736"/>
      <c r="E736"/>
      <c r="F736"/>
      <c r="G736"/>
      <c r="H736"/>
      <c r="I736"/>
      <c r="J736"/>
      <c r="N736" s="7"/>
      <c r="O736"/>
      <c r="P736" s="10"/>
      <c r="Q736" s="9"/>
      <c r="R736" s="10"/>
      <c r="S736" s="10"/>
      <c r="AA736" s="11"/>
      <c r="AD736"/>
      <c r="AE736"/>
      <c r="AF736"/>
      <c r="AG736"/>
      <c r="AH736" s="46"/>
      <c r="AI736"/>
      <c r="AJ736"/>
      <c r="AK736"/>
      <c r="AL736"/>
      <c r="AM736"/>
      <c r="AN736"/>
      <c r="AO736"/>
      <c r="AP736"/>
      <c r="AQ736"/>
      <c r="AR736"/>
      <c r="AS736"/>
      <c r="AT736" s="14"/>
      <c r="AU736"/>
      <c r="AV736"/>
      <c r="AW736"/>
      <c r="AX736" s="10"/>
      <c r="AY736" s="20"/>
      <c r="AZ736" s="16"/>
      <c r="BA736"/>
      <c r="BB736"/>
      <c r="BC736" s="16"/>
      <c r="BD736"/>
      <c r="BE736"/>
      <c r="BF736"/>
      <c r="BG736"/>
      <c r="BH736"/>
      <c r="BI736"/>
      <c r="BJ736"/>
      <c r="BK736"/>
      <c r="BL736"/>
      <c r="BM736"/>
      <c r="BN736" s="19"/>
      <c r="BO736"/>
      <c r="BP736"/>
      <c r="BQ736"/>
      <c r="BR736"/>
      <c r="BS736"/>
      <c r="BT736"/>
      <c r="BU736"/>
      <c r="BV736"/>
      <c r="BW736"/>
      <c r="BX736"/>
      <c r="BY736"/>
      <c r="BZ736"/>
      <c r="CA736"/>
      <c r="CB736"/>
      <c r="CC736"/>
      <c r="CD736"/>
      <c r="CE736"/>
      <c r="CF736"/>
      <c r="CG736"/>
      <c r="CH736"/>
      <c r="CI736"/>
      <c r="CJ736"/>
      <c r="CK736"/>
      <c r="CL736"/>
      <c r="CM736" s="20"/>
      <c r="CN736" s="20"/>
      <c r="CO736" s="20"/>
      <c r="CP736" s="20"/>
      <c r="CQ736" s="20"/>
      <c r="CR736" s="20"/>
      <c r="CS736" s="20"/>
      <c r="CT736" s="20"/>
      <c r="CU736" s="20"/>
      <c r="CV736" s="20"/>
      <c r="CW736" s="20"/>
      <c r="CX736" s="20"/>
      <c r="CY736" s="20"/>
    </row>
    <row r="737" spans="1:103" s="6" customFormat="1">
      <c r="A737"/>
      <c r="B737"/>
      <c r="C737"/>
      <c r="D737"/>
      <c r="E737"/>
      <c r="F737"/>
      <c r="G737"/>
      <c r="H737"/>
      <c r="I737"/>
      <c r="J737"/>
      <c r="N737" s="7"/>
      <c r="O737"/>
      <c r="P737" s="10"/>
      <c r="Q737" s="9"/>
      <c r="R737" s="10"/>
      <c r="S737" s="10"/>
      <c r="AA737" s="11"/>
      <c r="AD737"/>
      <c r="AE737"/>
      <c r="AF737"/>
      <c r="AG737"/>
      <c r="AH737" s="46"/>
      <c r="AI737"/>
      <c r="AJ737"/>
      <c r="AK737"/>
      <c r="AL737"/>
      <c r="AM737"/>
      <c r="AN737"/>
      <c r="AO737"/>
      <c r="AP737"/>
      <c r="AQ737"/>
      <c r="AR737"/>
      <c r="AS737"/>
      <c r="AT737" s="14"/>
      <c r="AU737"/>
      <c r="AV737"/>
      <c r="AW737"/>
      <c r="AX737" s="10"/>
      <c r="AY737" s="20"/>
      <c r="AZ737" s="16"/>
      <c r="BA737"/>
      <c r="BB737"/>
      <c r="BC737" s="16"/>
      <c r="BD737"/>
      <c r="BE737"/>
      <c r="BF737"/>
      <c r="BG737"/>
      <c r="BH737"/>
      <c r="BI737"/>
      <c r="BJ737"/>
      <c r="BK737"/>
      <c r="BL737"/>
      <c r="BM737"/>
      <c r="BN737" s="19"/>
      <c r="BO737"/>
      <c r="BP737"/>
      <c r="BQ737"/>
      <c r="BR737"/>
      <c r="BS737"/>
      <c r="BT737"/>
      <c r="BU737"/>
      <c r="BV737"/>
      <c r="BW737"/>
      <c r="BX737"/>
      <c r="BY737"/>
      <c r="BZ737"/>
      <c r="CA737"/>
      <c r="CB737"/>
      <c r="CC737"/>
      <c r="CD737"/>
      <c r="CE737"/>
      <c r="CF737"/>
      <c r="CG737"/>
      <c r="CH737"/>
      <c r="CI737"/>
      <c r="CJ737"/>
      <c r="CK737"/>
      <c r="CL737"/>
      <c r="CM737" s="20"/>
      <c r="CN737" s="20"/>
      <c r="CO737" s="20"/>
      <c r="CP737" s="20"/>
      <c r="CQ737" s="20"/>
      <c r="CR737" s="20"/>
      <c r="CS737" s="20"/>
      <c r="CT737" s="20"/>
      <c r="CU737" s="20"/>
      <c r="CV737" s="20"/>
      <c r="CW737" s="20"/>
      <c r="CX737" s="20"/>
      <c r="CY737" s="20"/>
    </row>
    <row r="738" spans="1:103" s="6" customFormat="1">
      <c r="A738"/>
      <c r="B738"/>
      <c r="C738"/>
      <c r="D738"/>
      <c r="E738"/>
      <c r="F738"/>
      <c r="G738"/>
      <c r="H738"/>
      <c r="I738"/>
      <c r="J738"/>
      <c r="N738" s="7"/>
      <c r="O738"/>
      <c r="P738" s="10"/>
      <c r="Q738" s="9"/>
      <c r="R738" s="10"/>
      <c r="S738" s="10"/>
      <c r="AA738" s="11"/>
      <c r="AD738"/>
      <c r="AE738"/>
      <c r="AF738"/>
      <c r="AG738"/>
      <c r="AH738" s="46"/>
      <c r="AI738"/>
      <c r="AJ738"/>
      <c r="AK738"/>
      <c r="AL738"/>
      <c r="AM738"/>
      <c r="AN738"/>
      <c r="AO738"/>
      <c r="AP738"/>
      <c r="AQ738"/>
      <c r="AR738"/>
      <c r="AS738"/>
      <c r="AT738" s="14"/>
      <c r="AU738"/>
      <c r="AV738"/>
      <c r="AW738"/>
      <c r="AX738" s="10"/>
      <c r="AY738" s="20"/>
      <c r="AZ738" s="16"/>
      <c r="BA738"/>
      <c r="BB738"/>
      <c r="BC738" s="16"/>
      <c r="BD738"/>
      <c r="BE738"/>
      <c r="BF738"/>
      <c r="BG738"/>
      <c r="BH738"/>
      <c r="BI738"/>
      <c r="BJ738"/>
      <c r="BK738"/>
      <c r="BL738"/>
      <c r="BM738"/>
      <c r="BN738" s="19"/>
      <c r="BO738"/>
      <c r="BP738"/>
      <c r="BQ738"/>
      <c r="BR738"/>
      <c r="BS738"/>
      <c r="BT738"/>
      <c r="BU738"/>
      <c r="BV738"/>
      <c r="BW738"/>
      <c r="BX738"/>
      <c r="BY738"/>
      <c r="BZ738"/>
      <c r="CA738"/>
      <c r="CB738"/>
      <c r="CC738"/>
      <c r="CD738"/>
      <c r="CE738"/>
      <c r="CF738"/>
      <c r="CG738"/>
      <c r="CH738"/>
      <c r="CI738"/>
      <c r="CJ738"/>
      <c r="CK738"/>
      <c r="CL738"/>
      <c r="CM738" s="20"/>
      <c r="CN738" s="20"/>
      <c r="CO738" s="20"/>
      <c r="CP738" s="20"/>
      <c r="CQ738" s="20"/>
      <c r="CR738" s="20"/>
      <c r="CS738" s="20"/>
      <c r="CT738" s="20"/>
      <c r="CU738" s="20"/>
      <c r="CV738" s="20"/>
      <c r="CW738" s="20"/>
      <c r="CX738" s="20"/>
      <c r="CY738" s="20"/>
    </row>
    <row r="739" spans="1:103" s="6" customFormat="1">
      <c r="A739"/>
      <c r="B739"/>
      <c r="C739"/>
      <c r="D739"/>
      <c r="E739"/>
      <c r="F739"/>
      <c r="G739"/>
      <c r="H739"/>
      <c r="I739"/>
      <c r="J739"/>
      <c r="N739" s="7"/>
      <c r="O739"/>
      <c r="P739" s="10"/>
      <c r="Q739" s="9"/>
      <c r="R739" s="10"/>
      <c r="S739" s="10"/>
      <c r="AA739" s="11"/>
      <c r="AD739"/>
      <c r="AE739"/>
      <c r="AF739"/>
      <c r="AG739"/>
      <c r="AH739" s="46"/>
      <c r="AI739"/>
      <c r="AJ739"/>
      <c r="AK739"/>
      <c r="AL739"/>
      <c r="AM739"/>
      <c r="AN739"/>
      <c r="AO739"/>
      <c r="AP739"/>
      <c r="AQ739"/>
      <c r="AR739"/>
      <c r="AS739"/>
      <c r="AT739" s="14"/>
      <c r="AU739"/>
      <c r="AV739"/>
      <c r="AW739"/>
      <c r="AX739" s="10"/>
      <c r="AY739" s="20"/>
      <c r="AZ739" s="16"/>
      <c r="BA739"/>
      <c r="BB739"/>
      <c r="BC739" s="16"/>
      <c r="BD739"/>
      <c r="BE739"/>
      <c r="BF739"/>
      <c r="BG739"/>
      <c r="BH739"/>
      <c r="BI739"/>
      <c r="BJ739"/>
      <c r="BK739"/>
      <c r="BL739"/>
      <c r="BM739"/>
      <c r="BN739" s="19"/>
      <c r="BO739"/>
      <c r="BP739"/>
      <c r="BQ739"/>
      <c r="BR739"/>
      <c r="BS739"/>
      <c r="BT739"/>
      <c r="BU739"/>
      <c r="BV739"/>
      <c r="BW739"/>
      <c r="BX739"/>
      <c r="BY739"/>
      <c r="BZ739"/>
      <c r="CA739"/>
      <c r="CB739"/>
      <c r="CC739"/>
      <c r="CD739"/>
      <c r="CE739"/>
      <c r="CF739"/>
      <c r="CG739"/>
      <c r="CH739"/>
      <c r="CI739"/>
      <c r="CJ739"/>
      <c r="CK739"/>
      <c r="CL739"/>
      <c r="CM739" s="20"/>
      <c r="CN739" s="20"/>
      <c r="CO739" s="20"/>
      <c r="CP739" s="20"/>
      <c r="CQ739" s="20"/>
      <c r="CR739" s="20"/>
      <c r="CS739" s="20"/>
      <c r="CT739" s="20"/>
      <c r="CU739" s="20"/>
      <c r="CV739" s="20"/>
      <c r="CW739" s="20"/>
      <c r="CX739" s="20"/>
      <c r="CY739" s="20"/>
    </row>
    <row r="740" spans="1:103" s="6" customFormat="1">
      <c r="A740"/>
      <c r="B740"/>
      <c r="C740"/>
      <c r="D740"/>
      <c r="E740"/>
      <c r="F740"/>
      <c r="G740"/>
      <c r="H740"/>
      <c r="I740"/>
      <c r="J740"/>
      <c r="N740" s="7"/>
      <c r="O740"/>
      <c r="P740" s="10"/>
      <c r="Q740" s="9"/>
      <c r="R740" s="10"/>
      <c r="S740" s="10"/>
      <c r="AA740" s="11"/>
      <c r="AD740"/>
      <c r="AE740"/>
      <c r="AF740"/>
      <c r="AG740"/>
      <c r="AH740" s="46"/>
      <c r="AI740"/>
      <c r="AJ740"/>
      <c r="AK740"/>
      <c r="AL740"/>
      <c r="AM740"/>
      <c r="AN740"/>
      <c r="AO740"/>
      <c r="AP740"/>
      <c r="AQ740"/>
      <c r="AR740"/>
      <c r="AS740"/>
      <c r="AT740" s="14"/>
      <c r="AU740"/>
      <c r="AV740"/>
      <c r="AW740"/>
      <c r="AX740" s="10"/>
      <c r="AY740" s="20"/>
      <c r="AZ740" s="16"/>
      <c r="BA740"/>
      <c r="BB740"/>
      <c r="BC740" s="16"/>
      <c r="BD740"/>
      <c r="BE740"/>
      <c r="BF740"/>
      <c r="BG740"/>
      <c r="BH740"/>
      <c r="BI740"/>
      <c r="BJ740"/>
      <c r="BK740"/>
      <c r="BL740"/>
      <c r="BM740"/>
      <c r="BN740" s="19"/>
      <c r="BO740"/>
      <c r="BP740"/>
      <c r="BQ740"/>
      <c r="BR740"/>
      <c r="BS740"/>
      <c r="BT740"/>
      <c r="BU740"/>
      <c r="BV740"/>
      <c r="BW740"/>
      <c r="BX740"/>
      <c r="BY740"/>
      <c r="BZ740"/>
      <c r="CA740"/>
      <c r="CB740"/>
      <c r="CC740"/>
      <c r="CD740"/>
      <c r="CE740"/>
      <c r="CF740"/>
      <c r="CG740"/>
      <c r="CH740"/>
      <c r="CI740"/>
      <c r="CJ740"/>
      <c r="CK740"/>
      <c r="CL740"/>
      <c r="CM740" s="20"/>
      <c r="CN740" s="20"/>
      <c r="CO740" s="20"/>
      <c r="CP740" s="20"/>
      <c r="CQ740" s="20"/>
      <c r="CR740" s="20"/>
      <c r="CS740" s="20"/>
      <c r="CT740" s="20"/>
      <c r="CU740" s="20"/>
      <c r="CV740" s="20"/>
      <c r="CW740" s="20"/>
      <c r="CX740" s="20"/>
      <c r="CY740" s="20"/>
    </row>
    <row r="741" spans="1:103" s="6" customFormat="1">
      <c r="A741"/>
      <c r="B741"/>
      <c r="C741"/>
      <c r="D741"/>
      <c r="E741"/>
      <c r="F741"/>
      <c r="G741"/>
      <c r="H741"/>
      <c r="I741"/>
      <c r="J741"/>
      <c r="N741" s="7"/>
      <c r="O741"/>
      <c r="P741" s="10"/>
      <c r="Q741" s="9"/>
      <c r="R741" s="10"/>
      <c r="S741" s="10"/>
      <c r="AA741" s="11"/>
      <c r="AD741"/>
      <c r="AE741"/>
      <c r="AF741"/>
      <c r="AG741"/>
      <c r="AH741" s="46"/>
      <c r="AI741"/>
      <c r="AJ741"/>
      <c r="AK741"/>
      <c r="AL741"/>
      <c r="AM741"/>
      <c r="AN741"/>
      <c r="AO741"/>
      <c r="AP741"/>
      <c r="AQ741"/>
      <c r="AR741"/>
      <c r="AS741"/>
      <c r="AT741" s="14"/>
      <c r="AU741"/>
      <c r="AV741"/>
      <c r="AW741"/>
      <c r="AX741" s="10"/>
      <c r="AY741" s="20"/>
      <c r="AZ741" s="16"/>
      <c r="BA741"/>
      <c r="BB741"/>
      <c r="BC741" s="16"/>
      <c r="BD741"/>
      <c r="BE741"/>
      <c r="BF741"/>
      <c r="BG741"/>
      <c r="BH741"/>
      <c r="BI741"/>
      <c r="BJ741"/>
      <c r="BK741"/>
      <c r="BL741"/>
      <c r="BM741"/>
      <c r="BN741" s="19"/>
      <c r="BO741"/>
      <c r="BP741"/>
      <c r="BQ741"/>
      <c r="BR741"/>
      <c r="BS741"/>
      <c r="BT741"/>
      <c r="BU741"/>
      <c r="BV741"/>
      <c r="BW741"/>
      <c r="BX741"/>
      <c r="BY741"/>
      <c r="BZ741"/>
      <c r="CA741"/>
      <c r="CB741"/>
      <c r="CC741"/>
      <c r="CD741"/>
      <c r="CE741"/>
      <c r="CF741"/>
      <c r="CG741"/>
      <c r="CH741"/>
      <c r="CI741"/>
      <c r="CJ741"/>
      <c r="CK741"/>
      <c r="CL741"/>
      <c r="CM741" s="20"/>
      <c r="CN741" s="20"/>
      <c r="CO741" s="20"/>
      <c r="CP741" s="20"/>
      <c r="CQ741" s="20"/>
      <c r="CR741" s="20"/>
      <c r="CS741" s="20"/>
      <c r="CT741" s="20"/>
      <c r="CU741" s="20"/>
      <c r="CV741" s="20"/>
      <c r="CW741" s="20"/>
      <c r="CX741" s="20"/>
      <c r="CY741" s="20"/>
    </row>
    <row r="742" spans="1:103" s="6" customFormat="1">
      <c r="A742"/>
      <c r="B742"/>
      <c r="C742"/>
      <c r="D742"/>
      <c r="E742"/>
      <c r="F742"/>
      <c r="G742"/>
      <c r="H742"/>
      <c r="I742"/>
      <c r="J742"/>
      <c r="N742" s="7"/>
      <c r="O742"/>
      <c r="P742" s="10"/>
      <c r="Q742" s="9"/>
      <c r="R742" s="10"/>
      <c r="S742" s="10"/>
      <c r="AA742" s="11"/>
      <c r="AD742"/>
      <c r="AE742"/>
      <c r="AF742"/>
      <c r="AG742"/>
      <c r="AH742" s="46"/>
      <c r="AI742"/>
      <c r="AJ742"/>
      <c r="AK742"/>
      <c r="AL742"/>
      <c r="AM742"/>
      <c r="AN742"/>
      <c r="AO742"/>
      <c r="AP742"/>
      <c r="AQ742"/>
      <c r="AR742"/>
      <c r="AS742"/>
      <c r="AT742" s="14"/>
      <c r="AU742"/>
      <c r="AV742"/>
      <c r="AW742"/>
      <c r="AX742" s="10"/>
      <c r="AY742" s="20"/>
      <c r="AZ742" s="16"/>
      <c r="BA742"/>
      <c r="BB742"/>
      <c r="BC742" s="16"/>
      <c r="BD742"/>
      <c r="BE742"/>
      <c r="BF742"/>
      <c r="BG742"/>
      <c r="BH742"/>
      <c r="BI742"/>
      <c r="BJ742"/>
      <c r="BK742"/>
      <c r="BL742"/>
      <c r="BM742"/>
      <c r="BN742" s="19"/>
      <c r="BO742"/>
      <c r="BP742"/>
      <c r="BQ742"/>
      <c r="BR742"/>
      <c r="BS742"/>
      <c r="BT742"/>
      <c r="BU742"/>
      <c r="BV742"/>
      <c r="BW742"/>
      <c r="BX742"/>
      <c r="BY742"/>
      <c r="BZ742"/>
      <c r="CA742"/>
      <c r="CB742"/>
      <c r="CC742"/>
      <c r="CD742"/>
      <c r="CE742"/>
      <c r="CF742"/>
      <c r="CG742"/>
      <c r="CH742"/>
      <c r="CI742"/>
      <c r="CJ742"/>
      <c r="CK742"/>
      <c r="CL742"/>
      <c r="CM742" s="20"/>
      <c r="CN742" s="20"/>
      <c r="CO742" s="20"/>
      <c r="CP742" s="20"/>
      <c r="CQ742" s="20"/>
      <c r="CR742" s="20"/>
      <c r="CS742" s="20"/>
      <c r="CT742" s="20"/>
      <c r="CU742" s="20"/>
      <c r="CV742" s="20"/>
      <c r="CW742" s="20"/>
      <c r="CX742" s="20"/>
      <c r="CY742" s="20"/>
    </row>
    <row r="743" spans="1:103" s="6" customFormat="1">
      <c r="A743"/>
      <c r="B743"/>
      <c r="C743"/>
      <c r="D743"/>
      <c r="E743"/>
      <c r="F743"/>
      <c r="G743"/>
      <c r="H743"/>
      <c r="I743"/>
      <c r="J743"/>
      <c r="N743" s="7"/>
      <c r="O743"/>
      <c r="P743" s="10"/>
      <c r="Q743" s="9"/>
      <c r="R743" s="10"/>
      <c r="S743" s="10"/>
      <c r="AA743" s="11"/>
      <c r="AD743"/>
      <c r="AE743"/>
      <c r="AF743"/>
      <c r="AG743"/>
      <c r="AH743" s="46"/>
      <c r="AI743"/>
      <c r="AJ743"/>
      <c r="AK743"/>
      <c r="AL743"/>
      <c r="AM743"/>
      <c r="AN743"/>
      <c r="AO743"/>
      <c r="AP743"/>
      <c r="AQ743"/>
      <c r="AR743"/>
      <c r="AS743"/>
      <c r="AT743" s="14"/>
      <c r="AU743"/>
      <c r="AV743"/>
      <c r="AW743"/>
      <c r="AX743" s="10"/>
      <c r="AY743" s="20"/>
      <c r="AZ743" s="16"/>
      <c r="BA743"/>
      <c r="BB743"/>
      <c r="BC743" s="16"/>
      <c r="BD743"/>
      <c r="BE743"/>
      <c r="BF743"/>
      <c r="BG743"/>
      <c r="BH743"/>
      <c r="BI743"/>
      <c r="BJ743"/>
      <c r="BK743"/>
      <c r="BL743"/>
      <c r="BM743"/>
      <c r="BN743" s="19"/>
      <c r="BO743"/>
      <c r="BP743"/>
      <c r="BQ743"/>
      <c r="BR743"/>
      <c r="BS743"/>
      <c r="BT743"/>
      <c r="BU743"/>
      <c r="BV743"/>
      <c r="BW743"/>
      <c r="BX743"/>
      <c r="BY743"/>
      <c r="BZ743"/>
      <c r="CA743"/>
      <c r="CB743"/>
      <c r="CC743"/>
      <c r="CD743"/>
      <c r="CE743"/>
      <c r="CF743"/>
      <c r="CG743"/>
      <c r="CH743"/>
      <c r="CI743"/>
      <c r="CJ743"/>
      <c r="CK743"/>
      <c r="CL743"/>
      <c r="CM743" s="20"/>
      <c r="CN743" s="20"/>
      <c r="CO743" s="20"/>
      <c r="CP743" s="20"/>
      <c r="CQ743" s="20"/>
      <c r="CR743" s="20"/>
      <c r="CS743" s="20"/>
      <c r="CT743" s="20"/>
      <c r="CU743" s="20"/>
      <c r="CV743" s="20"/>
      <c r="CW743" s="20"/>
      <c r="CX743" s="20"/>
      <c r="CY743" s="20"/>
    </row>
    <row r="744" spans="1:103" s="6" customFormat="1">
      <c r="A744"/>
      <c r="B744"/>
      <c r="C744"/>
      <c r="D744"/>
      <c r="E744"/>
      <c r="F744"/>
      <c r="G744"/>
      <c r="H744"/>
      <c r="I744"/>
      <c r="J744"/>
      <c r="N744" s="7"/>
      <c r="O744"/>
      <c r="P744" s="10"/>
      <c r="Q744" s="9"/>
      <c r="R744" s="10"/>
      <c r="S744" s="10"/>
      <c r="AA744" s="11"/>
      <c r="AD744"/>
      <c r="AE744"/>
      <c r="AF744"/>
      <c r="AG744"/>
      <c r="AH744" s="46"/>
      <c r="AI744"/>
      <c r="AJ744"/>
      <c r="AK744"/>
      <c r="AL744"/>
      <c r="AM744"/>
      <c r="AN744"/>
      <c r="AO744"/>
      <c r="AP744"/>
      <c r="AQ744"/>
      <c r="AR744"/>
      <c r="AS744"/>
      <c r="AT744" s="14"/>
      <c r="AU744"/>
      <c r="AV744"/>
      <c r="AW744"/>
      <c r="AX744" s="10"/>
      <c r="AY744" s="20"/>
      <c r="AZ744" s="16"/>
      <c r="BA744"/>
      <c r="BB744"/>
      <c r="BC744" s="16"/>
      <c r="BD744"/>
      <c r="BE744"/>
      <c r="BF744"/>
      <c r="BG744"/>
      <c r="BH744"/>
      <c r="BI744"/>
      <c r="BJ744"/>
      <c r="BK744"/>
      <c r="BL744"/>
      <c r="BM744"/>
      <c r="BN744" s="19"/>
      <c r="BO744"/>
      <c r="BP744"/>
      <c r="BQ744"/>
      <c r="BR744"/>
      <c r="BS744"/>
      <c r="BT744"/>
      <c r="BU744"/>
      <c r="BV744"/>
      <c r="BW744"/>
      <c r="BX744"/>
      <c r="BY744"/>
      <c r="BZ744"/>
      <c r="CA744"/>
      <c r="CB744"/>
      <c r="CC744"/>
      <c r="CD744"/>
      <c r="CE744"/>
      <c r="CF744"/>
      <c r="CG744"/>
      <c r="CH744"/>
      <c r="CI744"/>
      <c r="CJ744"/>
      <c r="CK744"/>
      <c r="CL744"/>
      <c r="CM744" s="20"/>
      <c r="CN744" s="20"/>
      <c r="CO744" s="20"/>
      <c r="CP744" s="20"/>
      <c r="CQ744" s="20"/>
      <c r="CR744" s="20"/>
      <c r="CS744" s="20"/>
      <c r="CT744" s="20"/>
      <c r="CU744" s="20"/>
      <c r="CV744" s="20"/>
      <c r="CW744" s="20"/>
      <c r="CX744" s="20"/>
      <c r="CY744" s="20"/>
    </row>
    <row r="745" spans="1:103" s="6" customFormat="1">
      <c r="A745"/>
      <c r="B745"/>
      <c r="C745"/>
      <c r="D745"/>
      <c r="E745"/>
      <c r="F745"/>
      <c r="G745"/>
      <c r="H745"/>
      <c r="I745"/>
      <c r="J745"/>
      <c r="N745" s="7"/>
      <c r="O745"/>
      <c r="P745" s="10"/>
      <c r="Q745" s="9"/>
      <c r="R745" s="10"/>
      <c r="S745" s="10"/>
      <c r="AA745" s="11"/>
      <c r="AD745"/>
      <c r="AE745"/>
      <c r="AF745"/>
      <c r="AG745"/>
      <c r="AH745" s="46"/>
      <c r="AI745"/>
      <c r="AJ745"/>
      <c r="AK745"/>
      <c r="AL745"/>
      <c r="AM745"/>
      <c r="AN745"/>
      <c r="AO745"/>
      <c r="AP745"/>
      <c r="AQ745"/>
      <c r="AR745"/>
      <c r="AS745"/>
      <c r="AT745" s="14"/>
      <c r="AU745"/>
      <c r="AV745"/>
      <c r="AW745"/>
      <c r="AX745" s="10"/>
      <c r="AY745" s="20"/>
      <c r="AZ745" s="16"/>
      <c r="BA745"/>
      <c r="BB745"/>
      <c r="BC745" s="16"/>
      <c r="BD745"/>
      <c r="BE745"/>
      <c r="BF745"/>
      <c r="BG745"/>
      <c r="BH745"/>
      <c r="BI745"/>
      <c r="BJ745"/>
      <c r="BK745"/>
      <c r="BL745"/>
      <c r="BM745"/>
      <c r="BN745" s="19"/>
      <c r="BO745"/>
      <c r="BP745"/>
      <c r="BQ745"/>
      <c r="BR745"/>
      <c r="BS745"/>
      <c r="BT745"/>
      <c r="BU745"/>
      <c r="BV745"/>
      <c r="BW745"/>
      <c r="BX745"/>
      <c r="BY745"/>
      <c r="BZ745"/>
      <c r="CA745"/>
      <c r="CB745"/>
      <c r="CC745"/>
      <c r="CD745"/>
      <c r="CE745"/>
      <c r="CF745"/>
      <c r="CG745"/>
      <c r="CH745"/>
      <c r="CI745"/>
      <c r="CJ745"/>
      <c r="CK745"/>
      <c r="CL745"/>
      <c r="CM745" s="20"/>
      <c r="CN745" s="20"/>
      <c r="CO745" s="20"/>
      <c r="CP745" s="20"/>
      <c r="CQ745" s="20"/>
      <c r="CR745" s="20"/>
      <c r="CS745" s="20"/>
      <c r="CT745" s="20"/>
      <c r="CU745" s="20"/>
      <c r="CV745" s="20"/>
      <c r="CW745" s="20"/>
      <c r="CX745" s="20"/>
      <c r="CY745" s="20"/>
    </row>
    <row r="746" spans="1:103" s="6" customFormat="1">
      <c r="A746"/>
      <c r="B746"/>
      <c r="C746"/>
      <c r="D746"/>
      <c r="E746"/>
      <c r="F746"/>
      <c r="G746"/>
      <c r="H746"/>
      <c r="I746"/>
      <c r="J746"/>
      <c r="N746" s="7"/>
      <c r="O746"/>
      <c r="P746" s="10"/>
      <c r="Q746" s="9"/>
      <c r="R746" s="10"/>
      <c r="S746" s="10"/>
      <c r="AA746" s="11"/>
      <c r="AD746"/>
      <c r="AE746"/>
      <c r="AF746"/>
      <c r="AG746"/>
      <c r="AH746" s="46"/>
      <c r="AI746"/>
      <c r="AJ746"/>
      <c r="AK746"/>
      <c r="AL746"/>
      <c r="AM746"/>
      <c r="AN746"/>
      <c r="AO746"/>
      <c r="AP746"/>
      <c r="AQ746"/>
      <c r="AR746"/>
      <c r="AS746"/>
      <c r="AT746" s="14"/>
      <c r="AU746"/>
      <c r="AV746"/>
      <c r="AW746"/>
      <c r="AX746" s="10"/>
      <c r="AY746" s="20"/>
      <c r="AZ746" s="16"/>
      <c r="BA746"/>
      <c r="BB746"/>
      <c r="BC746" s="16"/>
      <c r="BD746"/>
      <c r="BE746"/>
      <c r="BF746"/>
      <c r="BG746"/>
      <c r="BH746"/>
      <c r="BI746"/>
      <c r="BJ746"/>
      <c r="BK746"/>
      <c r="BL746"/>
      <c r="BM746"/>
      <c r="BN746" s="19"/>
      <c r="BO746"/>
      <c r="BP746"/>
      <c r="BQ746"/>
      <c r="BR746"/>
      <c r="BS746"/>
      <c r="BT746"/>
      <c r="BU746"/>
      <c r="BV746"/>
      <c r="BW746"/>
      <c r="BX746"/>
      <c r="BY746"/>
      <c r="BZ746"/>
      <c r="CA746"/>
      <c r="CB746"/>
      <c r="CC746"/>
      <c r="CD746"/>
      <c r="CE746"/>
      <c r="CF746"/>
      <c r="CG746"/>
      <c r="CH746"/>
      <c r="CI746"/>
      <c r="CJ746"/>
      <c r="CK746"/>
      <c r="CL746"/>
      <c r="CM746" s="20"/>
      <c r="CN746" s="20"/>
      <c r="CO746" s="20"/>
      <c r="CP746" s="20"/>
      <c r="CQ746" s="20"/>
      <c r="CR746" s="20"/>
      <c r="CS746" s="20"/>
      <c r="CT746" s="20"/>
      <c r="CU746" s="20"/>
      <c r="CV746" s="20"/>
      <c r="CW746" s="20"/>
      <c r="CX746" s="20"/>
      <c r="CY746" s="20"/>
    </row>
    <row r="747" spans="1:103" s="6" customFormat="1">
      <c r="A747"/>
      <c r="B747"/>
      <c r="C747"/>
      <c r="D747"/>
      <c r="E747"/>
      <c r="F747"/>
      <c r="G747"/>
      <c r="H747"/>
      <c r="I747"/>
      <c r="J747"/>
      <c r="N747" s="7"/>
      <c r="O747"/>
      <c r="P747" s="10"/>
      <c r="Q747" s="9"/>
      <c r="R747" s="10"/>
      <c r="S747" s="10"/>
      <c r="AA747" s="11"/>
      <c r="AD747"/>
      <c r="AE747"/>
      <c r="AF747"/>
      <c r="AG747"/>
      <c r="AH747" s="46"/>
      <c r="AI747"/>
      <c r="AJ747"/>
      <c r="AK747"/>
      <c r="AL747"/>
      <c r="AM747"/>
      <c r="AN747"/>
      <c r="AO747"/>
      <c r="AP747"/>
      <c r="AQ747"/>
      <c r="AR747"/>
      <c r="AS747"/>
      <c r="AT747" s="14"/>
      <c r="AU747"/>
      <c r="AV747"/>
      <c r="AW747"/>
      <c r="AX747" s="10"/>
      <c r="AY747" s="20"/>
      <c r="AZ747" s="16"/>
      <c r="BA747"/>
      <c r="BB747"/>
      <c r="BC747" s="16"/>
      <c r="BD747"/>
      <c r="BE747"/>
      <c r="BF747"/>
      <c r="BG747"/>
      <c r="BH747"/>
      <c r="BI747"/>
      <c r="BJ747"/>
      <c r="BK747"/>
      <c r="BL747"/>
      <c r="BM747"/>
      <c r="BN747" s="19"/>
      <c r="BO747"/>
      <c r="BP747"/>
      <c r="BQ747"/>
      <c r="BR747"/>
      <c r="BS747"/>
      <c r="BT747"/>
      <c r="BU747"/>
      <c r="BV747"/>
      <c r="BW747"/>
      <c r="BX747"/>
      <c r="BY747"/>
      <c r="BZ747"/>
      <c r="CA747"/>
      <c r="CB747"/>
      <c r="CC747"/>
      <c r="CD747"/>
      <c r="CE747"/>
      <c r="CF747"/>
      <c r="CG747"/>
      <c r="CH747"/>
      <c r="CI747"/>
      <c r="CJ747"/>
      <c r="CK747"/>
      <c r="CL747"/>
      <c r="CM747" s="20"/>
      <c r="CN747" s="20"/>
      <c r="CO747" s="20"/>
      <c r="CP747" s="20"/>
      <c r="CQ747" s="20"/>
      <c r="CR747" s="20"/>
      <c r="CS747" s="20"/>
      <c r="CT747" s="20"/>
      <c r="CU747" s="20"/>
      <c r="CV747" s="20"/>
      <c r="CW747" s="20"/>
      <c r="CX747" s="20"/>
      <c r="CY747" s="20"/>
    </row>
    <row r="748" spans="1:103" s="6" customFormat="1">
      <c r="A748"/>
      <c r="B748"/>
      <c r="C748"/>
      <c r="D748"/>
      <c r="E748"/>
      <c r="F748"/>
      <c r="G748"/>
      <c r="H748"/>
      <c r="I748"/>
      <c r="J748"/>
      <c r="N748" s="7"/>
      <c r="O748"/>
      <c r="P748" s="10"/>
      <c r="Q748" s="9"/>
      <c r="R748" s="10"/>
      <c r="S748" s="10"/>
      <c r="AA748" s="11"/>
      <c r="AD748"/>
      <c r="AE748"/>
      <c r="AF748"/>
      <c r="AG748"/>
      <c r="AH748" s="46"/>
      <c r="AI748"/>
      <c r="AJ748"/>
      <c r="AK748"/>
      <c r="AL748"/>
      <c r="AM748"/>
      <c r="AN748"/>
      <c r="AO748"/>
      <c r="AP748"/>
      <c r="AQ748"/>
      <c r="AR748"/>
      <c r="AS748"/>
      <c r="AT748" s="14"/>
      <c r="AU748"/>
      <c r="AV748"/>
      <c r="AW748"/>
      <c r="AX748" s="10"/>
      <c r="AY748" s="20"/>
      <c r="AZ748" s="16"/>
      <c r="BA748"/>
      <c r="BB748"/>
      <c r="BC748" s="16"/>
      <c r="BD748"/>
      <c r="BE748"/>
      <c r="BF748"/>
      <c r="BG748"/>
      <c r="BH748"/>
      <c r="BI748"/>
      <c r="BJ748"/>
      <c r="BK748"/>
      <c r="BL748"/>
      <c r="BM748"/>
      <c r="BN748" s="19"/>
      <c r="BO748"/>
      <c r="BP748"/>
      <c r="BQ748"/>
      <c r="BR748"/>
      <c r="BS748"/>
      <c r="BT748"/>
      <c r="BU748"/>
      <c r="BV748"/>
      <c r="BW748"/>
      <c r="BX748"/>
      <c r="BY748"/>
      <c r="BZ748"/>
      <c r="CA748"/>
      <c r="CB748"/>
      <c r="CC748"/>
      <c r="CD748"/>
      <c r="CE748"/>
      <c r="CF748"/>
      <c r="CG748"/>
      <c r="CH748"/>
      <c r="CI748"/>
      <c r="CJ748"/>
      <c r="CK748"/>
      <c r="CL748"/>
      <c r="CM748" s="20"/>
      <c r="CN748" s="20"/>
      <c r="CO748" s="20"/>
      <c r="CP748" s="20"/>
      <c r="CQ748" s="20"/>
      <c r="CR748" s="20"/>
      <c r="CS748" s="20"/>
      <c r="CT748" s="20"/>
      <c r="CU748" s="20"/>
      <c r="CV748" s="20"/>
      <c r="CW748" s="20"/>
      <c r="CX748" s="20"/>
      <c r="CY748" s="20"/>
    </row>
    <row r="749" spans="1:103" s="6" customFormat="1">
      <c r="A749"/>
      <c r="B749"/>
      <c r="C749"/>
      <c r="D749"/>
      <c r="E749"/>
      <c r="F749"/>
      <c r="G749"/>
      <c r="H749"/>
      <c r="I749"/>
      <c r="J749"/>
      <c r="N749" s="7"/>
      <c r="O749"/>
      <c r="P749" s="10"/>
      <c r="Q749" s="9"/>
      <c r="R749" s="10"/>
      <c r="S749" s="10"/>
      <c r="AA749" s="11"/>
      <c r="AD749"/>
      <c r="AE749"/>
      <c r="AF749"/>
      <c r="AG749"/>
      <c r="AH749" s="46"/>
      <c r="AI749"/>
      <c r="AJ749"/>
      <c r="AK749"/>
      <c r="AL749"/>
      <c r="AM749"/>
      <c r="AN749"/>
      <c r="AO749"/>
      <c r="AP749"/>
      <c r="AQ749"/>
      <c r="AR749"/>
      <c r="AS749"/>
      <c r="AT749" s="14"/>
      <c r="AU749"/>
      <c r="AV749"/>
      <c r="AW749"/>
      <c r="AX749" s="10"/>
      <c r="AY749" s="20"/>
      <c r="AZ749" s="16"/>
      <c r="BA749"/>
      <c r="BB749"/>
      <c r="BC749" s="16"/>
      <c r="BD749"/>
      <c r="BE749"/>
      <c r="BF749"/>
      <c r="BG749"/>
      <c r="BH749"/>
      <c r="BI749"/>
      <c r="BJ749"/>
      <c r="BK749"/>
      <c r="BL749"/>
      <c r="BM749"/>
      <c r="BN749" s="19"/>
      <c r="BO749"/>
      <c r="BP749"/>
      <c r="BQ749"/>
      <c r="BR749"/>
      <c r="BS749"/>
      <c r="BT749"/>
      <c r="BU749"/>
      <c r="BV749"/>
      <c r="BW749"/>
      <c r="BX749"/>
      <c r="BY749"/>
      <c r="BZ749"/>
      <c r="CA749"/>
      <c r="CB749"/>
      <c r="CC749"/>
      <c r="CD749"/>
      <c r="CE749"/>
      <c r="CF749"/>
      <c r="CG749"/>
      <c r="CH749"/>
      <c r="CI749"/>
      <c r="CJ749"/>
      <c r="CK749"/>
      <c r="CL749"/>
      <c r="CM749" s="20"/>
      <c r="CN749" s="20"/>
      <c r="CO749" s="20"/>
      <c r="CP749" s="20"/>
      <c r="CQ749" s="20"/>
      <c r="CR749" s="20"/>
      <c r="CS749" s="20"/>
      <c r="CT749" s="20"/>
      <c r="CU749" s="20"/>
      <c r="CV749" s="20"/>
      <c r="CW749" s="20"/>
      <c r="CX749" s="20"/>
      <c r="CY749" s="20"/>
    </row>
    <row r="750" spans="1:103" s="6" customFormat="1">
      <c r="A750"/>
      <c r="B750"/>
      <c r="C750"/>
      <c r="D750"/>
      <c r="E750"/>
      <c r="F750"/>
      <c r="G750"/>
      <c r="H750"/>
      <c r="I750"/>
      <c r="J750"/>
      <c r="N750" s="7"/>
      <c r="O750"/>
      <c r="P750" s="10"/>
      <c r="Q750" s="9"/>
      <c r="R750" s="10"/>
      <c r="S750" s="10"/>
      <c r="AA750" s="11"/>
      <c r="AD750"/>
      <c r="AE750"/>
      <c r="AF750"/>
      <c r="AG750"/>
      <c r="AH750" s="46"/>
      <c r="AI750"/>
      <c r="AJ750"/>
      <c r="AK750"/>
      <c r="AL750"/>
      <c r="AM750"/>
      <c r="AN750"/>
      <c r="AO750"/>
      <c r="AP750"/>
      <c r="AQ750"/>
      <c r="AR750"/>
      <c r="AS750"/>
      <c r="AT750" s="14"/>
      <c r="AU750"/>
      <c r="AV750"/>
      <c r="AW750"/>
      <c r="AX750" s="10"/>
      <c r="AY750" s="20"/>
      <c r="AZ750" s="16"/>
      <c r="BA750"/>
      <c r="BB750"/>
      <c r="BC750" s="16"/>
      <c r="BD750"/>
      <c r="BE750"/>
      <c r="BF750"/>
      <c r="BG750"/>
      <c r="BH750"/>
      <c r="BI750"/>
      <c r="BJ750"/>
      <c r="BK750"/>
      <c r="BL750"/>
      <c r="BM750"/>
      <c r="BN750" s="19"/>
      <c r="BO750"/>
      <c r="BP750"/>
      <c r="BQ750"/>
      <c r="BR750"/>
      <c r="BS750"/>
      <c r="BT750"/>
      <c r="BU750"/>
      <c r="BV750"/>
      <c r="BW750"/>
      <c r="BX750"/>
      <c r="BY750"/>
      <c r="BZ750"/>
      <c r="CA750"/>
      <c r="CB750"/>
      <c r="CC750"/>
      <c r="CD750"/>
      <c r="CE750"/>
      <c r="CF750"/>
      <c r="CG750"/>
      <c r="CH750"/>
      <c r="CI750"/>
      <c r="CJ750"/>
      <c r="CK750"/>
      <c r="CL750"/>
      <c r="CM750" s="20"/>
      <c r="CN750" s="20"/>
      <c r="CO750" s="20"/>
      <c r="CP750" s="20"/>
      <c r="CQ750" s="20"/>
      <c r="CR750" s="20"/>
      <c r="CS750" s="20"/>
      <c r="CT750" s="20"/>
      <c r="CU750" s="20"/>
      <c r="CV750" s="20"/>
      <c r="CW750" s="20"/>
      <c r="CX750" s="20"/>
      <c r="CY750" s="20"/>
    </row>
    <row r="751" spans="1:103" s="6" customFormat="1">
      <c r="A751"/>
      <c r="B751"/>
      <c r="C751"/>
      <c r="D751"/>
      <c r="E751"/>
      <c r="F751"/>
      <c r="G751"/>
      <c r="H751"/>
      <c r="I751"/>
      <c r="J751"/>
      <c r="N751" s="7"/>
      <c r="O751"/>
      <c r="P751" s="10"/>
      <c r="Q751" s="9"/>
      <c r="R751" s="10"/>
      <c r="S751" s="10"/>
      <c r="AA751" s="11"/>
      <c r="AD751"/>
      <c r="AE751"/>
      <c r="AF751"/>
      <c r="AG751"/>
      <c r="AH751" s="46"/>
      <c r="AI751"/>
      <c r="AJ751"/>
      <c r="AK751"/>
      <c r="AL751"/>
      <c r="AM751"/>
      <c r="AN751"/>
      <c r="AO751"/>
      <c r="AP751"/>
      <c r="AQ751"/>
      <c r="AR751"/>
      <c r="AS751"/>
      <c r="AT751" s="14"/>
      <c r="AU751"/>
      <c r="AV751"/>
      <c r="AW751"/>
      <c r="AX751" s="10"/>
      <c r="AY751" s="20"/>
      <c r="AZ751" s="16"/>
      <c r="BA751"/>
      <c r="BB751"/>
      <c r="BC751" s="16"/>
      <c r="BD751"/>
      <c r="BE751"/>
      <c r="BF751"/>
      <c r="BG751"/>
      <c r="BH751"/>
      <c r="BI751"/>
      <c r="BJ751"/>
      <c r="BK751"/>
      <c r="BL751"/>
      <c r="BM751"/>
      <c r="BN751" s="19"/>
      <c r="BO751"/>
      <c r="BP751"/>
      <c r="BQ751"/>
      <c r="BR751"/>
      <c r="BS751"/>
      <c r="BT751"/>
      <c r="BU751"/>
      <c r="BV751"/>
      <c r="BW751"/>
      <c r="BX751"/>
      <c r="BY751"/>
      <c r="BZ751"/>
      <c r="CA751"/>
      <c r="CB751"/>
      <c r="CC751"/>
      <c r="CD751"/>
      <c r="CE751"/>
      <c r="CF751"/>
      <c r="CG751"/>
      <c r="CH751"/>
      <c r="CI751"/>
      <c r="CJ751"/>
      <c r="CK751"/>
      <c r="CL751"/>
      <c r="CM751" s="20"/>
      <c r="CN751" s="20"/>
      <c r="CO751" s="20"/>
      <c r="CP751" s="20"/>
      <c r="CQ751" s="20"/>
      <c r="CR751" s="20"/>
      <c r="CS751" s="20"/>
      <c r="CT751" s="20"/>
      <c r="CU751" s="20"/>
      <c r="CV751" s="20"/>
      <c r="CW751" s="20"/>
      <c r="CX751" s="20"/>
      <c r="CY751" s="20"/>
    </row>
    <row r="752" spans="1:103" s="6" customFormat="1">
      <c r="A752"/>
      <c r="B752"/>
      <c r="C752"/>
      <c r="D752"/>
      <c r="E752"/>
      <c r="F752"/>
      <c r="G752"/>
      <c r="H752"/>
      <c r="I752"/>
      <c r="J752"/>
      <c r="N752" s="7"/>
      <c r="O752"/>
      <c r="P752" s="10"/>
      <c r="Q752" s="9"/>
      <c r="R752" s="10"/>
      <c r="S752" s="10"/>
      <c r="AA752" s="11"/>
      <c r="AD752"/>
      <c r="AE752"/>
      <c r="AF752"/>
      <c r="AG752"/>
      <c r="AH752" s="46"/>
      <c r="AI752"/>
      <c r="AJ752"/>
      <c r="AK752"/>
      <c r="AL752"/>
      <c r="AM752"/>
      <c r="AN752"/>
      <c r="AO752"/>
      <c r="AP752"/>
      <c r="AQ752"/>
      <c r="AR752"/>
      <c r="AS752"/>
      <c r="AT752" s="14"/>
      <c r="AU752"/>
      <c r="AV752"/>
      <c r="AW752"/>
      <c r="AX752" s="10"/>
      <c r="AY752" s="20"/>
      <c r="AZ752" s="16"/>
      <c r="BA752"/>
      <c r="BB752"/>
      <c r="BC752" s="16"/>
      <c r="BD752"/>
      <c r="BE752"/>
      <c r="BF752"/>
      <c r="BG752"/>
      <c r="BH752"/>
      <c r="BI752"/>
      <c r="BJ752"/>
      <c r="BK752"/>
      <c r="BL752"/>
      <c r="BM752"/>
      <c r="BN752" s="19"/>
      <c r="BO752"/>
      <c r="BP752"/>
      <c r="BQ752"/>
      <c r="BR752"/>
      <c r="BS752"/>
      <c r="BT752"/>
      <c r="BU752"/>
      <c r="BV752"/>
      <c r="BW752"/>
      <c r="BX752"/>
      <c r="BY752"/>
      <c r="BZ752"/>
      <c r="CA752"/>
      <c r="CB752"/>
      <c r="CC752"/>
      <c r="CD752"/>
      <c r="CE752"/>
      <c r="CF752"/>
      <c r="CG752"/>
      <c r="CH752"/>
      <c r="CI752"/>
      <c r="CJ752"/>
      <c r="CK752"/>
      <c r="CL752"/>
      <c r="CM752" s="20"/>
      <c r="CN752" s="20"/>
      <c r="CO752" s="20"/>
      <c r="CP752" s="20"/>
      <c r="CQ752" s="20"/>
      <c r="CR752" s="20"/>
      <c r="CS752" s="20"/>
      <c r="CT752" s="20"/>
      <c r="CU752" s="20"/>
      <c r="CV752" s="20"/>
      <c r="CW752" s="20"/>
      <c r="CX752" s="20"/>
      <c r="CY752" s="20"/>
    </row>
    <row r="753" spans="1:103" s="6" customFormat="1">
      <c r="A753"/>
      <c r="B753"/>
      <c r="C753"/>
      <c r="D753"/>
      <c r="E753"/>
      <c r="F753"/>
      <c r="G753"/>
      <c r="H753"/>
      <c r="I753"/>
      <c r="J753"/>
      <c r="N753" s="7"/>
      <c r="O753"/>
      <c r="P753" s="10"/>
      <c r="Q753" s="9"/>
      <c r="R753" s="10"/>
      <c r="S753" s="10"/>
      <c r="AA753" s="11"/>
      <c r="AD753"/>
      <c r="AE753"/>
      <c r="AF753"/>
      <c r="AG753"/>
      <c r="AH753" s="46"/>
      <c r="AI753"/>
      <c r="AJ753"/>
      <c r="AK753"/>
      <c r="AL753"/>
      <c r="AM753"/>
      <c r="AN753"/>
      <c r="AO753"/>
      <c r="AP753"/>
      <c r="AQ753"/>
      <c r="AR753"/>
      <c r="AS753"/>
      <c r="AT753" s="14"/>
      <c r="AU753"/>
      <c r="AV753"/>
      <c r="AW753"/>
      <c r="AX753" s="10"/>
      <c r="AY753" s="20"/>
      <c r="AZ753" s="16"/>
      <c r="BA753"/>
      <c r="BB753"/>
      <c r="BC753" s="16"/>
      <c r="BD753"/>
      <c r="BE753"/>
      <c r="BF753"/>
      <c r="BG753"/>
      <c r="BH753"/>
      <c r="BI753"/>
      <c r="BJ753"/>
      <c r="BK753"/>
      <c r="BL753"/>
      <c r="BM753"/>
      <c r="BN753" s="19"/>
      <c r="BO753"/>
      <c r="BP753"/>
      <c r="BQ753"/>
      <c r="BR753"/>
      <c r="BS753"/>
      <c r="BT753"/>
      <c r="BU753"/>
      <c r="BV753"/>
      <c r="BW753"/>
      <c r="BX753"/>
      <c r="BY753"/>
      <c r="BZ753"/>
      <c r="CA753"/>
      <c r="CB753"/>
      <c r="CC753"/>
      <c r="CD753"/>
      <c r="CE753"/>
      <c r="CF753"/>
      <c r="CG753"/>
      <c r="CH753"/>
      <c r="CI753"/>
      <c r="CJ753"/>
      <c r="CK753"/>
      <c r="CL753"/>
      <c r="CM753" s="20"/>
      <c r="CN753" s="20"/>
      <c r="CO753" s="20"/>
      <c r="CP753" s="20"/>
      <c r="CQ753" s="20"/>
      <c r="CR753" s="20"/>
      <c r="CS753" s="20"/>
      <c r="CT753" s="20"/>
      <c r="CU753" s="20"/>
      <c r="CV753" s="20"/>
      <c r="CW753" s="20"/>
      <c r="CX753" s="20"/>
      <c r="CY753" s="20"/>
    </row>
    <row r="754" spans="1:103" s="6" customFormat="1">
      <c r="A754"/>
      <c r="B754"/>
      <c r="C754"/>
      <c r="D754"/>
      <c r="E754"/>
      <c r="F754"/>
      <c r="G754"/>
      <c r="H754"/>
      <c r="I754"/>
      <c r="J754"/>
      <c r="N754" s="7"/>
      <c r="O754"/>
      <c r="P754" s="10"/>
      <c r="Q754" s="9"/>
      <c r="R754" s="10"/>
      <c r="S754" s="10"/>
      <c r="AA754" s="11"/>
      <c r="AD754"/>
      <c r="AE754"/>
      <c r="AF754"/>
      <c r="AG754"/>
      <c r="AH754" s="46"/>
      <c r="AI754"/>
      <c r="AJ754"/>
      <c r="AK754"/>
      <c r="AL754"/>
      <c r="AM754"/>
      <c r="AN754"/>
      <c r="AO754"/>
      <c r="AP754"/>
      <c r="AQ754"/>
      <c r="AR754"/>
      <c r="AS754"/>
      <c r="AT754" s="14"/>
      <c r="AU754"/>
      <c r="AV754"/>
      <c r="AW754"/>
      <c r="AX754" s="10"/>
      <c r="AY754" s="20"/>
      <c r="AZ754" s="16"/>
      <c r="BA754"/>
      <c r="BB754"/>
      <c r="BC754" s="16"/>
      <c r="BD754"/>
      <c r="BE754"/>
      <c r="BF754"/>
      <c r="BG754"/>
      <c r="BH754"/>
      <c r="BI754"/>
      <c r="BJ754"/>
      <c r="BK754"/>
      <c r="BL754"/>
      <c r="BM754"/>
      <c r="BN754" s="19"/>
      <c r="BO754"/>
      <c r="BP754"/>
      <c r="BQ754"/>
      <c r="BR754"/>
      <c r="BS754"/>
      <c r="BT754"/>
      <c r="BU754"/>
      <c r="BV754"/>
      <c r="BW754"/>
      <c r="BX754"/>
      <c r="BY754"/>
      <c r="BZ754"/>
      <c r="CA754"/>
      <c r="CB754"/>
      <c r="CC754"/>
      <c r="CD754"/>
      <c r="CE754"/>
      <c r="CF754"/>
      <c r="CG754"/>
      <c r="CH754"/>
      <c r="CI754"/>
      <c r="CJ754"/>
      <c r="CK754"/>
      <c r="CL754"/>
      <c r="CM754" s="20"/>
      <c r="CN754" s="20"/>
      <c r="CO754" s="20"/>
      <c r="CP754" s="20"/>
      <c r="CQ754" s="20"/>
      <c r="CR754" s="20"/>
      <c r="CS754" s="20"/>
      <c r="CT754" s="20"/>
      <c r="CU754" s="20"/>
      <c r="CV754" s="20"/>
      <c r="CW754" s="20"/>
      <c r="CX754" s="20"/>
      <c r="CY754" s="20"/>
    </row>
    <row r="755" spans="1:103" s="6" customFormat="1">
      <c r="A755"/>
      <c r="B755"/>
      <c r="C755"/>
      <c r="D755"/>
      <c r="E755"/>
      <c r="F755"/>
      <c r="G755"/>
      <c r="H755"/>
      <c r="I755"/>
      <c r="J755"/>
      <c r="N755" s="7"/>
      <c r="O755"/>
      <c r="P755" s="10"/>
      <c r="Q755" s="9"/>
      <c r="R755" s="10"/>
      <c r="S755" s="10"/>
      <c r="AA755" s="11"/>
      <c r="AD755"/>
      <c r="AE755"/>
      <c r="AF755"/>
      <c r="AG755"/>
      <c r="AH755" s="46"/>
      <c r="AI755"/>
      <c r="AJ755"/>
      <c r="AK755"/>
      <c r="AL755"/>
      <c r="AM755"/>
      <c r="AN755"/>
      <c r="AO755"/>
      <c r="AP755"/>
      <c r="AQ755"/>
      <c r="AR755"/>
      <c r="AS755"/>
      <c r="AT755" s="14"/>
      <c r="AU755"/>
      <c r="AV755"/>
      <c r="AW755"/>
      <c r="AX755" s="10"/>
      <c r="AY755" s="20"/>
      <c r="AZ755" s="16"/>
      <c r="BA755"/>
      <c r="BB755"/>
      <c r="BC755" s="16"/>
      <c r="BD755"/>
      <c r="BE755"/>
      <c r="BF755"/>
      <c r="BG755"/>
      <c r="BH755"/>
      <c r="BI755"/>
      <c r="BJ755"/>
      <c r="BK755"/>
      <c r="BL755"/>
      <c r="BM755"/>
      <c r="BN755" s="19"/>
      <c r="BO755"/>
      <c r="BP755"/>
      <c r="BQ755"/>
      <c r="BR755"/>
      <c r="BS755"/>
      <c r="BT755"/>
      <c r="BU755"/>
      <c r="BV755"/>
      <c r="BW755"/>
      <c r="BX755"/>
      <c r="BY755"/>
      <c r="BZ755"/>
      <c r="CA755"/>
      <c r="CB755"/>
      <c r="CC755"/>
      <c r="CD755"/>
      <c r="CE755"/>
      <c r="CF755"/>
      <c r="CG755"/>
      <c r="CH755"/>
      <c r="CI755"/>
      <c r="CJ755"/>
      <c r="CK755"/>
      <c r="CL755"/>
      <c r="CM755" s="20"/>
      <c r="CN755" s="20"/>
      <c r="CO755" s="20"/>
      <c r="CP755" s="20"/>
      <c r="CQ755" s="20"/>
      <c r="CR755" s="20"/>
      <c r="CS755" s="20"/>
      <c r="CT755" s="20"/>
      <c r="CU755" s="20"/>
      <c r="CV755" s="20"/>
      <c r="CW755" s="20"/>
      <c r="CX755" s="20"/>
      <c r="CY755" s="20"/>
    </row>
    <row r="756" spans="1:103" s="6" customFormat="1">
      <c r="A756"/>
      <c r="B756"/>
      <c r="C756"/>
      <c r="D756"/>
      <c r="E756"/>
      <c r="F756"/>
      <c r="G756"/>
      <c r="H756"/>
      <c r="I756"/>
      <c r="J756"/>
      <c r="N756" s="7"/>
      <c r="O756"/>
      <c r="P756" s="10"/>
      <c r="Q756" s="9"/>
      <c r="R756" s="10"/>
      <c r="S756" s="10"/>
      <c r="AA756" s="11"/>
      <c r="AD756"/>
      <c r="AE756"/>
      <c r="AF756"/>
      <c r="AG756"/>
      <c r="AH756" s="46"/>
      <c r="AI756"/>
      <c r="AJ756"/>
      <c r="AK756"/>
      <c r="AL756"/>
      <c r="AM756"/>
      <c r="AN756"/>
      <c r="AO756"/>
      <c r="AP756"/>
      <c r="AQ756"/>
      <c r="AR756"/>
      <c r="AS756"/>
      <c r="AT756" s="14"/>
      <c r="AU756"/>
      <c r="AV756"/>
      <c r="AW756"/>
      <c r="AX756" s="10"/>
      <c r="AY756" s="20"/>
      <c r="AZ756" s="16"/>
      <c r="BA756"/>
      <c r="BB756"/>
      <c r="BC756" s="16"/>
      <c r="BD756"/>
      <c r="BE756"/>
      <c r="BF756"/>
      <c r="BG756"/>
      <c r="BH756"/>
      <c r="BI756"/>
      <c r="BJ756"/>
      <c r="BK756"/>
      <c r="BL756"/>
      <c r="BM756"/>
      <c r="BN756" s="19"/>
      <c r="BO756"/>
      <c r="BP756"/>
      <c r="BQ756"/>
      <c r="BR756"/>
      <c r="BS756"/>
      <c r="BT756"/>
      <c r="BU756"/>
      <c r="BV756"/>
      <c r="BW756"/>
      <c r="BX756"/>
      <c r="BY756"/>
      <c r="BZ756"/>
      <c r="CA756"/>
      <c r="CB756"/>
      <c r="CC756"/>
      <c r="CD756"/>
      <c r="CE756"/>
      <c r="CF756"/>
      <c r="CG756"/>
      <c r="CH756"/>
      <c r="CI756"/>
      <c r="CJ756"/>
      <c r="CK756"/>
      <c r="CL756"/>
      <c r="CM756" s="20"/>
      <c r="CN756" s="20"/>
      <c r="CO756" s="20"/>
      <c r="CP756" s="20"/>
      <c r="CQ756" s="20"/>
      <c r="CR756" s="20"/>
      <c r="CS756" s="20"/>
      <c r="CT756" s="20"/>
      <c r="CU756" s="20"/>
      <c r="CV756" s="20"/>
      <c r="CW756" s="20"/>
      <c r="CX756" s="20"/>
      <c r="CY756" s="20"/>
    </row>
    <row r="757" spans="1:103" s="6" customFormat="1">
      <c r="A757"/>
      <c r="B757"/>
      <c r="C757"/>
      <c r="D757"/>
      <c r="E757"/>
      <c r="F757"/>
      <c r="G757"/>
      <c r="H757"/>
      <c r="I757"/>
      <c r="J757"/>
      <c r="N757" s="7"/>
      <c r="O757"/>
      <c r="P757" s="10"/>
      <c r="Q757" s="9"/>
      <c r="R757" s="10"/>
      <c r="S757" s="10"/>
      <c r="AA757" s="11"/>
      <c r="AD757"/>
      <c r="AE757"/>
      <c r="AF757"/>
      <c r="AG757"/>
      <c r="AH757" s="46"/>
      <c r="AI757"/>
      <c r="AJ757"/>
      <c r="AK757"/>
      <c r="AL757"/>
      <c r="AM757"/>
      <c r="AN757"/>
      <c r="AO757"/>
      <c r="AP757"/>
      <c r="AQ757"/>
      <c r="AR757"/>
      <c r="AS757"/>
      <c r="AT757" s="14"/>
      <c r="AU757"/>
      <c r="AV757"/>
      <c r="AW757"/>
      <c r="AX757" s="10"/>
      <c r="AY757" s="20"/>
      <c r="AZ757" s="16"/>
      <c r="BA757"/>
      <c r="BB757"/>
      <c r="BC757" s="16"/>
      <c r="BD757"/>
      <c r="BE757"/>
      <c r="BF757"/>
      <c r="BG757"/>
      <c r="BH757"/>
      <c r="BI757"/>
      <c r="BJ757"/>
      <c r="BK757"/>
      <c r="BL757"/>
      <c r="BM757"/>
      <c r="BN757" s="19"/>
      <c r="BO757"/>
      <c r="BP757"/>
      <c r="BQ757"/>
      <c r="BR757"/>
      <c r="BS757"/>
      <c r="BT757"/>
      <c r="BU757"/>
      <c r="BV757"/>
      <c r="BW757"/>
      <c r="BX757"/>
      <c r="BY757"/>
      <c r="BZ757"/>
      <c r="CA757"/>
      <c r="CB757"/>
      <c r="CC757"/>
      <c r="CD757"/>
      <c r="CE757"/>
      <c r="CF757"/>
      <c r="CG757"/>
      <c r="CH757"/>
      <c r="CI757"/>
      <c r="CJ757"/>
      <c r="CK757"/>
      <c r="CL757"/>
      <c r="CM757" s="20"/>
      <c r="CN757" s="20"/>
      <c r="CO757" s="20"/>
      <c r="CP757" s="20"/>
      <c r="CQ757" s="20"/>
      <c r="CR757" s="20"/>
      <c r="CS757" s="20"/>
      <c r="CT757" s="20"/>
      <c r="CU757" s="20"/>
      <c r="CV757" s="20"/>
      <c r="CW757" s="20"/>
      <c r="CX757" s="20"/>
      <c r="CY757" s="20"/>
    </row>
    <row r="758" spans="1:103" s="6" customFormat="1">
      <c r="A758"/>
      <c r="B758"/>
      <c r="C758"/>
      <c r="D758"/>
      <c r="E758"/>
      <c r="F758"/>
      <c r="G758"/>
      <c r="H758"/>
      <c r="I758"/>
      <c r="J758"/>
      <c r="N758" s="7"/>
      <c r="O758"/>
      <c r="P758" s="10"/>
      <c r="Q758" s="9"/>
      <c r="R758" s="10"/>
      <c r="S758" s="10"/>
      <c r="AA758" s="11"/>
      <c r="AD758"/>
      <c r="AE758"/>
      <c r="AF758"/>
      <c r="AG758"/>
      <c r="AH758" s="46"/>
      <c r="AI758"/>
      <c r="AJ758"/>
      <c r="AK758"/>
      <c r="AL758"/>
      <c r="AM758"/>
      <c r="AN758"/>
      <c r="AO758"/>
      <c r="AP758"/>
      <c r="AQ758"/>
      <c r="AR758"/>
      <c r="AS758"/>
      <c r="AT758" s="14"/>
      <c r="AU758"/>
      <c r="AV758"/>
      <c r="AW758"/>
      <c r="AX758" s="10"/>
      <c r="AY758" s="20"/>
      <c r="AZ758" s="16"/>
      <c r="BA758"/>
      <c r="BB758"/>
      <c r="BC758" s="16"/>
      <c r="BD758"/>
      <c r="BE758"/>
      <c r="BF758"/>
      <c r="BG758"/>
      <c r="BH758"/>
      <c r="BI758"/>
      <c r="BJ758"/>
      <c r="BK758"/>
      <c r="BL758"/>
      <c r="BM758"/>
      <c r="BN758" s="19"/>
      <c r="BO758"/>
      <c r="BP758"/>
      <c r="BQ758"/>
      <c r="BR758"/>
      <c r="BS758"/>
      <c r="BT758"/>
      <c r="BU758"/>
      <c r="BV758"/>
      <c r="BW758"/>
      <c r="BX758"/>
      <c r="BY758"/>
      <c r="BZ758"/>
      <c r="CA758"/>
      <c r="CB758"/>
      <c r="CC758"/>
      <c r="CD758"/>
      <c r="CE758"/>
      <c r="CF758"/>
      <c r="CG758"/>
      <c r="CH758"/>
      <c r="CI758"/>
      <c r="CJ758"/>
      <c r="CK758"/>
      <c r="CL758"/>
      <c r="CM758" s="20"/>
      <c r="CN758" s="20"/>
      <c r="CO758" s="20"/>
      <c r="CP758" s="20"/>
      <c r="CQ758" s="20"/>
      <c r="CR758" s="20"/>
      <c r="CS758" s="20"/>
      <c r="CT758" s="20"/>
      <c r="CU758" s="20"/>
      <c r="CV758" s="20"/>
      <c r="CW758" s="20"/>
      <c r="CX758" s="20"/>
      <c r="CY758" s="20"/>
    </row>
    <row r="759" spans="1:103" s="6" customFormat="1">
      <c r="A759"/>
      <c r="B759"/>
      <c r="C759"/>
      <c r="D759"/>
      <c r="E759"/>
      <c r="F759"/>
      <c r="G759"/>
      <c r="H759"/>
      <c r="I759"/>
      <c r="J759"/>
      <c r="N759" s="7"/>
      <c r="O759"/>
      <c r="P759" s="10"/>
      <c r="Q759" s="9"/>
      <c r="R759" s="10"/>
      <c r="S759" s="10"/>
      <c r="AA759" s="11"/>
      <c r="AD759"/>
      <c r="AE759"/>
      <c r="AF759"/>
      <c r="AG759"/>
      <c r="AH759" s="46"/>
      <c r="AI759"/>
      <c r="AJ759"/>
      <c r="AK759"/>
      <c r="AL759"/>
      <c r="AM759"/>
      <c r="AN759"/>
      <c r="AO759"/>
      <c r="AP759"/>
      <c r="AQ759"/>
      <c r="AR759"/>
      <c r="AS759"/>
      <c r="AT759" s="14"/>
      <c r="AU759"/>
      <c r="AV759"/>
      <c r="AW759"/>
      <c r="AX759" s="10"/>
      <c r="AY759" s="20"/>
      <c r="AZ759" s="16"/>
      <c r="BA759"/>
      <c r="BB759"/>
      <c r="BC759" s="16"/>
      <c r="BD759"/>
      <c r="BE759"/>
      <c r="BF759"/>
      <c r="BG759"/>
      <c r="BH759"/>
      <c r="BI759"/>
      <c r="BJ759"/>
      <c r="BK759"/>
      <c r="BL759"/>
      <c r="BM759"/>
      <c r="BN759" s="19"/>
      <c r="BO759"/>
      <c r="BP759"/>
      <c r="BQ759"/>
      <c r="BR759"/>
      <c r="BS759"/>
      <c r="BT759"/>
      <c r="BU759"/>
      <c r="BV759"/>
      <c r="BW759"/>
      <c r="BX759"/>
      <c r="BY759"/>
      <c r="BZ759"/>
      <c r="CA759"/>
      <c r="CB759"/>
      <c r="CC759"/>
      <c r="CD759"/>
      <c r="CE759"/>
      <c r="CF759"/>
      <c r="CG759"/>
      <c r="CH759"/>
      <c r="CI759"/>
      <c r="CJ759"/>
      <c r="CK759"/>
      <c r="CL759"/>
      <c r="CM759" s="20"/>
      <c r="CN759" s="20"/>
      <c r="CO759" s="20"/>
      <c r="CP759" s="20"/>
      <c r="CQ759" s="20"/>
      <c r="CR759" s="20"/>
      <c r="CS759" s="20"/>
      <c r="CT759" s="20"/>
      <c r="CU759" s="20"/>
      <c r="CV759" s="20"/>
      <c r="CW759" s="20"/>
      <c r="CX759" s="20"/>
      <c r="CY759" s="20"/>
    </row>
    <row r="760" spans="1:103" s="6" customFormat="1">
      <c r="A760"/>
      <c r="B760"/>
      <c r="C760"/>
      <c r="D760"/>
      <c r="E760"/>
      <c r="F760"/>
      <c r="G760"/>
      <c r="H760"/>
      <c r="I760"/>
      <c r="J760"/>
      <c r="N760" s="7"/>
      <c r="O760"/>
      <c r="P760" s="10"/>
      <c r="Q760" s="9"/>
      <c r="R760" s="10"/>
      <c r="S760" s="10"/>
      <c r="AA760" s="11"/>
      <c r="AD760"/>
      <c r="AE760"/>
      <c r="AF760"/>
      <c r="AG760"/>
      <c r="AH760" s="46"/>
      <c r="AI760"/>
      <c r="AJ760"/>
      <c r="AK760"/>
      <c r="AL760"/>
      <c r="AM760"/>
      <c r="AN760"/>
      <c r="AO760"/>
      <c r="AP760"/>
      <c r="AQ760"/>
      <c r="AR760"/>
      <c r="AS760"/>
      <c r="AT760" s="14"/>
      <c r="AU760"/>
      <c r="AV760"/>
      <c r="AW760"/>
      <c r="AX760" s="10"/>
      <c r="AY760" s="20"/>
      <c r="AZ760" s="16"/>
      <c r="BA760"/>
      <c r="BB760"/>
      <c r="BC760" s="16"/>
      <c r="BD760"/>
      <c r="BE760"/>
      <c r="BF760"/>
      <c r="BG760"/>
      <c r="BH760"/>
      <c r="BI760"/>
      <c r="BJ760"/>
      <c r="BK760"/>
      <c r="BL760"/>
      <c r="BM760"/>
      <c r="BN760" s="19"/>
      <c r="BO760"/>
      <c r="BP760"/>
      <c r="BQ760"/>
      <c r="BR760"/>
      <c r="BS760"/>
      <c r="BT760"/>
      <c r="BU760"/>
      <c r="BV760"/>
      <c r="BW760"/>
      <c r="BX760"/>
      <c r="BY760"/>
      <c r="BZ760"/>
      <c r="CA760"/>
      <c r="CB760"/>
      <c r="CC760"/>
      <c r="CD760"/>
      <c r="CE760"/>
      <c r="CF760"/>
      <c r="CG760"/>
      <c r="CH760"/>
      <c r="CI760"/>
      <c r="CJ760"/>
      <c r="CK760"/>
      <c r="CL760"/>
      <c r="CM760" s="20"/>
      <c r="CN760" s="20"/>
      <c r="CO760" s="20"/>
      <c r="CP760" s="20"/>
      <c r="CQ760" s="20"/>
      <c r="CR760" s="20"/>
      <c r="CS760" s="20"/>
      <c r="CT760" s="20"/>
      <c r="CU760" s="20"/>
      <c r="CV760" s="20"/>
      <c r="CW760" s="20"/>
      <c r="CX760" s="20"/>
      <c r="CY760" s="20"/>
    </row>
    <row r="761" spans="1:103" s="6" customFormat="1">
      <c r="A761"/>
      <c r="B761"/>
      <c r="C761"/>
      <c r="D761"/>
      <c r="E761"/>
      <c r="F761"/>
      <c r="G761"/>
      <c r="H761"/>
      <c r="I761"/>
      <c r="J761"/>
      <c r="N761" s="7"/>
      <c r="O761"/>
      <c r="P761" s="10"/>
      <c r="Q761" s="9"/>
      <c r="R761" s="10"/>
      <c r="S761" s="10"/>
      <c r="AA761" s="11"/>
      <c r="AD761"/>
      <c r="AE761"/>
      <c r="AF761"/>
      <c r="AG761"/>
      <c r="AH761" s="46"/>
      <c r="AI761"/>
      <c r="AJ761"/>
      <c r="AK761"/>
      <c r="AL761"/>
      <c r="AM761"/>
      <c r="AN761"/>
      <c r="AO761"/>
      <c r="AP761"/>
      <c r="AQ761"/>
      <c r="AR761"/>
      <c r="AS761"/>
      <c r="AT761" s="14"/>
      <c r="AU761"/>
      <c r="AV761"/>
      <c r="AW761"/>
      <c r="AX761" s="10"/>
      <c r="AY761" s="20"/>
      <c r="AZ761" s="16"/>
      <c r="BA761"/>
      <c r="BB761"/>
      <c r="BC761" s="16"/>
      <c r="BD761"/>
      <c r="BE761"/>
      <c r="BF761"/>
      <c r="BG761"/>
      <c r="BH761"/>
      <c r="BI761"/>
      <c r="BJ761"/>
      <c r="BK761"/>
      <c r="BL761"/>
      <c r="BM761"/>
      <c r="BN761" s="19"/>
      <c r="BO761"/>
      <c r="BP761"/>
      <c r="BQ761"/>
      <c r="BR761"/>
      <c r="BS761"/>
      <c r="BT761"/>
      <c r="BU761"/>
      <c r="BV761"/>
      <c r="BW761"/>
      <c r="BX761"/>
      <c r="BY761"/>
      <c r="BZ761"/>
      <c r="CA761"/>
      <c r="CB761"/>
      <c r="CC761"/>
      <c r="CD761"/>
      <c r="CE761"/>
      <c r="CF761"/>
      <c r="CG761"/>
      <c r="CH761"/>
      <c r="CI761"/>
      <c r="CJ761"/>
      <c r="CK761"/>
      <c r="CL761"/>
      <c r="CM761" s="20"/>
      <c r="CN761" s="20"/>
      <c r="CO761" s="20"/>
      <c r="CP761" s="20"/>
      <c r="CQ761" s="20"/>
      <c r="CR761" s="20"/>
      <c r="CS761" s="20"/>
      <c r="CT761" s="20"/>
      <c r="CU761" s="20"/>
      <c r="CV761" s="20"/>
      <c r="CW761" s="20"/>
      <c r="CX761" s="20"/>
      <c r="CY761" s="20"/>
    </row>
    <row r="762" spans="1:103" s="6" customFormat="1">
      <c r="A762"/>
      <c r="B762"/>
      <c r="C762"/>
      <c r="D762"/>
      <c r="E762"/>
      <c r="F762"/>
      <c r="G762"/>
      <c r="H762"/>
      <c r="I762"/>
      <c r="J762"/>
      <c r="N762" s="7"/>
      <c r="O762"/>
      <c r="P762" s="10"/>
      <c r="Q762" s="9"/>
      <c r="R762" s="10"/>
      <c r="S762" s="10"/>
      <c r="AA762" s="11"/>
      <c r="AD762"/>
      <c r="AE762"/>
      <c r="AF762"/>
      <c r="AG762"/>
      <c r="AH762" s="46"/>
      <c r="AI762"/>
      <c r="AJ762"/>
      <c r="AK762"/>
      <c r="AL762"/>
      <c r="AM762"/>
      <c r="AN762"/>
      <c r="AO762"/>
      <c r="AP762"/>
      <c r="AQ762"/>
      <c r="AR762"/>
      <c r="AS762"/>
      <c r="AT762" s="14"/>
      <c r="AU762"/>
      <c r="AV762"/>
      <c r="AW762"/>
      <c r="AX762" s="10"/>
      <c r="AY762" s="20"/>
      <c r="AZ762" s="16"/>
      <c r="BA762"/>
      <c r="BB762"/>
      <c r="BC762" s="16"/>
      <c r="BD762"/>
      <c r="BE762"/>
      <c r="BF762"/>
      <c r="BG762"/>
      <c r="BH762"/>
      <c r="BI762"/>
      <c r="BJ762"/>
      <c r="BK762"/>
      <c r="BL762"/>
      <c r="BM762"/>
      <c r="BN762" s="19"/>
      <c r="BO762"/>
      <c r="BP762"/>
      <c r="BQ762"/>
      <c r="BR762"/>
      <c r="BS762"/>
      <c r="BT762"/>
      <c r="BU762"/>
      <c r="BV762"/>
      <c r="BW762"/>
      <c r="BX762"/>
      <c r="BY762"/>
      <c r="BZ762"/>
      <c r="CA762"/>
      <c r="CB762"/>
      <c r="CC762"/>
      <c r="CD762"/>
      <c r="CE762"/>
      <c r="CF762"/>
      <c r="CG762"/>
      <c r="CH762"/>
      <c r="CI762"/>
      <c r="CJ762"/>
      <c r="CK762"/>
      <c r="CL762"/>
      <c r="CM762" s="20"/>
      <c r="CN762" s="20"/>
      <c r="CO762" s="20"/>
      <c r="CP762" s="20"/>
      <c r="CQ762" s="20"/>
      <c r="CR762" s="20"/>
      <c r="CS762" s="20"/>
      <c r="CT762" s="20"/>
      <c r="CU762" s="20"/>
      <c r="CV762" s="20"/>
      <c r="CW762" s="20"/>
      <c r="CX762" s="20"/>
      <c r="CY762" s="20"/>
    </row>
    <row r="763" spans="1:103" s="6" customFormat="1">
      <c r="A763"/>
      <c r="B763"/>
      <c r="C763"/>
      <c r="D763"/>
      <c r="E763"/>
      <c r="F763"/>
      <c r="G763"/>
      <c r="H763"/>
      <c r="I763"/>
      <c r="J763"/>
      <c r="N763" s="7"/>
      <c r="O763"/>
      <c r="P763" s="10"/>
      <c r="Q763" s="9"/>
      <c r="R763" s="10"/>
      <c r="S763" s="10"/>
      <c r="AA763" s="11"/>
      <c r="AD763"/>
      <c r="AE763"/>
      <c r="AF763"/>
      <c r="AG763"/>
      <c r="AH763" s="46"/>
      <c r="AI763"/>
      <c r="AJ763"/>
      <c r="AK763"/>
      <c r="AL763"/>
      <c r="AM763"/>
      <c r="AN763"/>
      <c r="AO763"/>
      <c r="AP763"/>
      <c r="AQ763"/>
      <c r="AR763"/>
      <c r="AS763"/>
      <c r="AT763" s="14"/>
      <c r="AU763"/>
      <c r="AV763"/>
      <c r="AW763"/>
      <c r="AX763" s="10"/>
      <c r="AY763" s="20"/>
      <c r="AZ763" s="16"/>
      <c r="BA763"/>
      <c r="BB763"/>
      <c r="BC763" s="16"/>
      <c r="BD763"/>
      <c r="BE763"/>
      <c r="BF763"/>
      <c r="BG763"/>
      <c r="BH763"/>
      <c r="BI763"/>
      <c r="BJ763"/>
      <c r="BK763"/>
      <c r="BL763"/>
      <c r="BM763"/>
      <c r="BN763" s="19"/>
      <c r="BO763"/>
      <c r="BP763"/>
      <c r="BQ763"/>
      <c r="BR763"/>
      <c r="BS763"/>
      <c r="BT763"/>
      <c r="BU763"/>
      <c r="BV763"/>
      <c r="BW763"/>
      <c r="BX763"/>
      <c r="BY763"/>
      <c r="BZ763"/>
      <c r="CA763"/>
      <c r="CB763"/>
      <c r="CC763"/>
      <c r="CD763"/>
      <c r="CE763"/>
      <c r="CF763"/>
      <c r="CG763"/>
      <c r="CH763"/>
      <c r="CI763"/>
      <c r="CJ763"/>
      <c r="CK763"/>
      <c r="CL763"/>
      <c r="CM763" s="20"/>
      <c r="CN763" s="20"/>
      <c r="CO763" s="20"/>
      <c r="CP763" s="20"/>
      <c r="CQ763" s="20"/>
      <c r="CR763" s="20"/>
      <c r="CS763" s="20"/>
      <c r="CT763" s="20"/>
      <c r="CU763" s="20"/>
      <c r="CV763" s="20"/>
      <c r="CW763" s="20"/>
      <c r="CX763" s="20"/>
      <c r="CY763" s="20"/>
    </row>
    <row r="764" spans="1:103" s="6" customFormat="1">
      <c r="A764"/>
      <c r="B764"/>
      <c r="C764"/>
      <c r="D764"/>
      <c r="E764"/>
      <c r="F764"/>
      <c r="G764"/>
      <c r="H764"/>
      <c r="I764"/>
      <c r="J764"/>
      <c r="N764" s="7"/>
      <c r="O764"/>
      <c r="P764" s="10"/>
      <c r="Q764" s="9"/>
      <c r="R764" s="10"/>
      <c r="S764" s="10"/>
      <c r="AA764" s="11"/>
      <c r="AD764"/>
      <c r="AE764"/>
      <c r="AF764"/>
      <c r="AG764"/>
      <c r="AH764" s="46"/>
      <c r="AI764"/>
      <c r="AJ764"/>
      <c r="AK764"/>
      <c r="AL764"/>
      <c r="AM764"/>
      <c r="AN764"/>
      <c r="AO764"/>
      <c r="AP764"/>
      <c r="AQ764"/>
      <c r="AR764"/>
      <c r="AS764"/>
      <c r="AT764" s="14"/>
      <c r="AU764"/>
      <c r="AV764"/>
      <c r="AW764"/>
      <c r="AX764" s="10"/>
      <c r="AY764" s="20"/>
      <c r="AZ764" s="16"/>
      <c r="BA764"/>
      <c r="BB764"/>
      <c r="BC764" s="16"/>
      <c r="BD764"/>
      <c r="BE764"/>
      <c r="BF764"/>
      <c r="BG764"/>
      <c r="BH764"/>
      <c r="BI764"/>
      <c r="BJ764"/>
      <c r="BK764"/>
      <c r="BL764"/>
      <c r="BM764"/>
      <c r="BN764" s="19"/>
      <c r="BO764"/>
      <c r="BP764"/>
      <c r="BQ764"/>
      <c r="BR764"/>
      <c r="BS764"/>
      <c r="BT764"/>
      <c r="BU764"/>
      <c r="BV764"/>
      <c r="BW764"/>
      <c r="BX764"/>
      <c r="BY764"/>
      <c r="BZ764"/>
      <c r="CA764"/>
      <c r="CB764"/>
      <c r="CC764"/>
      <c r="CD764"/>
      <c r="CE764"/>
      <c r="CF764"/>
      <c r="CG764"/>
      <c r="CH764"/>
      <c r="CI764"/>
      <c r="CJ764"/>
      <c r="CK764"/>
      <c r="CL764"/>
      <c r="CM764" s="20"/>
      <c r="CN764" s="20"/>
      <c r="CO764" s="20"/>
      <c r="CP764" s="20"/>
      <c r="CQ764" s="20"/>
      <c r="CR764" s="20"/>
      <c r="CS764" s="20"/>
      <c r="CT764" s="20"/>
      <c r="CU764" s="20"/>
      <c r="CV764" s="20"/>
      <c r="CW764" s="20"/>
      <c r="CX764" s="20"/>
      <c r="CY764" s="20"/>
    </row>
    <row r="765" spans="1:103" s="6" customFormat="1">
      <c r="A765"/>
      <c r="B765"/>
      <c r="C765"/>
      <c r="D765"/>
      <c r="E765"/>
      <c r="F765"/>
      <c r="G765"/>
      <c r="H765"/>
      <c r="I765"/>
      <c r="J765"/>
      <c r="N765" s="7"/>
      <c r="O765"/>
      <c r="P765" s="10"/>
      <c r="Q765" s="9"/>
      <c r="R765" s="10"/>
      <c r="S765" s="10"/>
      <c r="AA765" s="11"/>
      <c r="AD765"/>
      <c r="AE765"/>
      <c r="AF765"/>
      <c r="AG765"/>
      <c r="AH765" s="46"/>
      <c r="AI765"/>
      <c r="AJ765"/>
      <c r="AK765"/>
      <c r="AL765"/>
      <c r="AM765"/>
      <c r="AN765"/>
      <c r="AO765"/>
      <c r="AP765"/>
      <c r="AQ765"/>
      <c r="AR765"/>
      <c r="AS765"/>
      <c r="AT765" s="14"/>
      <c r="AU765"/>
      <c r="AV765"/>
      <c r="AW765"/>
      <c r="AX765" s="10"/>
      <c r="AY765" s="20"/>
      <c r="AZ765" s="16"/>
      <c r="BA765"/>
      <c r="BB765"/>
      <c r="BC765" s="16"/>
      <c r="BD765"/>
      <c r="BE765"/>
      <c r="BF765"/>
      <c r="BG765"/>
      <c r="BH765"/>
      <c r="BI765"/>
      <c r="BJ765"/>
      <c r="BK765"/>
      <c r="BL765"/>
      <c r="BM765"/>
      <c r="BN765" s="19"/>
      <c r="BO765"/>
      <c r="BP765"/>
      <c r="BQ765"/>
      <c r="BR765"/>
      <c r="BS765"/>
      <c r="BT765"/>
      <c r="BU765"/>
      <c r="BV765"/>
      <c r="BW765"/>
      <c r="BX765"/>
      <c r="BY765"/>
      <c r="BZ765"/>
      <c r="CA765"/>
      <c r="CB765"/>
      <c r="CC765"/>
      <c r="CD765"/>
      <c r="CE765"/>
      <c r="CF765"/>
      <c r="CG765"/>
      <c r="CH765"/>
      <c r="CI765"/>
      <c r="CJ765"/>
      <c r="CK765"/>
      <c r="CL765"/>
      <c r="CM765" s="20"/>
      <c r="CN765" s="20"/>
      <c r="CO765" s="20"/>
      <c r="CP765" s="20"/>
      <c r="CQ765" s="20"/>
      <c r="CR765" s="20"/>
      <c r="CS765" s="20"/>
      <c r="CT765" s="20"/>
      <c r="CU765" s="20"/>
      <c r="CV765" s="20"/>
      <c r="CW765" s="20"/>
      <c r="CX765" s="20"/>
      <c r="CY765" s="20"/>
    </row>
    <row r="766" spans="1:103" s="6" customFormat="1">
      <c r="A766"/>
      <c r="B766"/>
      <c r="C766"/>
      <c r="D766"/>
      <c r="E766"/>
      <c r="F766"/>
      <c r="G766"/>
      <c r="H766"/>
      <c r="I766"/>
      <c r="J766"/>
      <c r="N766" s="7"/>
      <c r="O766"/>
      <c r="P766" s="10"/>
      <c r="Q766" s="9"/>
      <c r="R766" s="10"/>
      <c r="S766" s="10"/>
      <c r="AA766" s="11"/>
      <c r="AD766"/>
      <c r="AE766"/>
      <c r="AF766"/>
      <c r="AG766"/>
      <c r="AH766" s="46"/>
      <c r="AI766"/>
      <c r="AJ766"/>
      <c r="AK766"/>
      <c r="AL766"/>
      <c r="AM766"/>
      <c r="AN766"/>
      <c r="AO766"/>
      <c r="AP766"/>
      <c r="AQ766"/>
      <c r="AR766"/>
      <c r="AS766"/>
      <c r="AT766" s="14"/>
      <c r="AU766"/>
      <c r="AV766"/>
      <c r="AW766"/>
      <c r="AX766" s="10"/>
      <c r="AY766" s="20"/>
      <c r="AZ766" s="16"/>
      <c r="BA766"/>
      <c r="BB766"/>
      <c r="BC766" s="16"/>
      <c r="BD766"/>
      <c r="BE766"/>
      <c r="BF766"/>
      <c r="BG766"/>
      <c r="BH766"/>
      <c r="BI766"/>
      <c r="BJ766"/>
      <c r="BK766"/>
      <c r="BL766"/>
      <c r="BM766"/>
      <c r="BN766" s="19"/>
      <c r="BO766"/>
      <c r="BP766"/>
      <c r="BQ766"/>
      <c r="BR766"/>
      <c r="BS766"/>
      <c r="BT766"/>
      <c r="BU766"/>
      <c r="BV766"/>
      <c r="BW766"/>
      <c r="BX766"/>
      <c r="BY766"/>
      <c r="BZ766"/>
      <c r="CA766"/>
      <c r="CB766"/>
      <c r="CC766"/>
      <c r="CD766"/>
      <c r="CE766"/>
      <c r="CF766"/>
      <c r="CG766"/>
      <c r="CH766"/>
      <c r="CI766"/>
      <c r="CJ766"/>
      <c r="CK766"/>
      <c r="CL766"/>
      <c r="CM766" s="20"/>
      <c r="CN766" s="20"/>
      <c r="CO766" s="20"/>
      <c r="CP766" s="20"/>
      <c r="CQ766" s="20"/>
      <c r="CR766" s="20"/>
      <c r="CS766" s="20"/>
      <c r="CT766" s="20"/>
      <c r="CU766" s="20"/>
      <c r="CV766" s="20"/>
      <c r="CW766" s="20"/>
      <c r="CX766" s="20"/>
      <c r="CY766" s="20"/>
    </row>
    <row r="767" spans="1:103" s="6" customFormat="1">
      <c r="A767"/>
      <c r="B767"/>
      <c r="C767"/>
      <c r="D767"/>
      <c r="E767"/>
      <c r="F767"/>
      <c r="G767"/>
      <c r="H767"/>
      <c r="I767"/>
      <c r="J767"/>
      <c r="N767" s="7"/>
      <c r="O767"/>
      <c r="P767" s="10"/>
      <c r="Q767" s="9"/>
      <c r="R767" s="10"/>
      <c r="S767" s="10"/>
      <c r="AA767" s="11"/>
      <c r="AD767"/>
      <c r="AE767"/>
      <c r="AF767"/>
      <c r="AG767"/>
      <c r="AH767" s="46"/>
      <c r="AI767"/>
      <c r="AJ767"/>
      <c r="AK767"/>
      <c r="AL767"/>
      <c r="AM767"/>
      <c r="AN767"/>
      <c r="AO767"/>
      <c r="AP767"/>
      <c r="AQ767"/>
      <c r="AR767"/>
      <c r="AS767"/>
      <c r="AT767" s="14"/>
      <c r="AU767"/>
      <c r="AV767"/>
      <c r="AW767"/>
      <c r="AX767" s="10"/>
      <c r="AY767" s="20"/>
      <c r="AZ767" s="16"/>
      <c r="BA767"/>
      <c r="BB767"/>
      <c r="BC767" s="16"/>
      <c r="BD767"/>
      <c r="BE767"/>
      <c r="BF767"/>
      <c r="BG767"/>
      <c r="BH767"/>
      <c r="BI767"/>
      <c r="BJ767"/>
      <c r="BK767"/>
      <c r="BL767"/>
      <c r="BM767"/>
      <c r="BN767" s="19"/>
      <c r="BO767"/>
      <c r="BP767"/>
      <c r="BQ767"/>
      <c r="BR767"/>
      <c r="BS767"/>
      <c r="BT767"/>
      <c r="BU767"/>
      <c r="BV767"/>
      <c r="BW767"/>
      <c r="BX767"/>
      <c r="BY767"/>
      <c r="BZ767"/>
      <c r="CA767"/>
      <c r="CB767"/>
      <c r="CC767"/>
      <c r="CD767"/>
      <c r="CE767"/>
      <c r="CF767"/>
      <c r="CG767"/>
      <c r="CH767"/>
      <c r="CI767"/>
      <c r="CJ767"/>
      <c r="CK767"/>
      <c r="CL767"/>
      <c r="CM767" s="20"/>
      <c r="CN767" s="20"/>
      <c r="CO767" s="20"/>
      <c r="CP767" s="20"/>
      <c r="CQ767" s="20"/>
      <c r="CR767" s="20"/>
      <c r="CS767" s="20"/>
      <c r="CT767" s="20"/>
      <c r="CU767" s="20"/>
      <c r="CV767" s="20"/>
      <c r="CW767" s="20"/>
      <c r="CX767" s="20"/>
      <c r="CY767" s="20"/>
    </row>
    <row r="768" spans="1:103" s="6" customFormat="1">
      <c r="A768"/>
      <c r="B768"/>
      <c r="C768"/>
      <c r="D768"/>
      <c r="E768"/>
      <c r="F768"/>
      <c r="G768"/>
      <c r="H768"/>
      <c r="I768"/>
      <c r="J768"/>
      <c r="N768" s="7"/>
      <c r="O768"/>
      <c r="P768" s="10"/>
      <c r="Q768" s="9"/>
      <c r="R768" s="10"/>
      <c r="S768" s="10"/>
      <c r="AA768" s="11"/>
      <c r="AD768"/>
      <c r="AE768"/>
      <c r="AF768"/>
      <c r="AG768"/>
      <c r="AH768" s="46"/>
      <c r="AI768"/>
      <c r="AJ768"/>
      <c r="AK768"/>
      <c r="AL768"/>
      <c r="AM768"/>
      <c r="AN768"/>
      <c r="AO768"/>
      <c r="AP768"/>
      <c r="AQ768"/>
      <c r="AR768"/>
      <c r="AS768"/>
      <c r="AT768" s="14"/>
      <c r="AU768"/>
      <c r="AV768"/>
      <c r="AW768"/>
      <c r="AX768" s="10"/>
      <c r="AY768" s="20"/>
      <c r="AZ768" s="16"/>
      <c r="BA768"/>
      <c r="BB768"/>
      <c r="BC768" s="16"/>
      <c r="BD768"/>
      <c r="BE768"/>
      <c r="BF768"/>
      <c r="BG768"/>
      <c r="BH768"/>
      <c r="BI768"/>
      <c r="BJ768"/>
      <c r="BK768"/>
      <c r="BL768"/>
      <c r="BM768"/>
      <c r="BN768" s="19"/>
      <c r="BO768"/>
      <c r="BP768"/>
      <c r="BQ768"/>
      <c r="BR768"/>
      <c r="BS768"/>
      <c r="BT768"/>
      <c r="BU768"/>
      <c r="BV768"/>
      <c r="BW768"/>
      <c r="BX768"/>
      <c r="BY768"/>
      <c r="BZ768"/>
      <c r="CA768"/>
      <c r="CB768"/>
      <c r="CC768"/>
      <c r="CD768"/>
      <c r="CE768"/>
      <c r="CF768"/>
      <c r="CG768"/>
      <c r="CH768"/>
      <c r="CI768"/>
      <c r="CJ768"/>
      <c r="CK768"/>
      <c r="CL768"/>
      <c r="CM768" s="20"/>
      <c r="CN768" s="20"/>
      <c r="CO768" s="20"/>
      <c r="CP768" s="20"/>
      <c r="CQ768" s="20"/>
      <c r="CR768" s="20"/>
      <c r="CS768" s="20"/>
      <c r="CT768" s="20"/>
      <c r="CU768" s="20"/>
      <c r="CV768" s="20"/>
      <c r="CW768" s="20"/>
      <c r="CX768" s="20"/>
      <c r="CY768" s="20"/>
    </row>
    <row r="769" spans="1:103" s="6" customFormat="1">
      <c r="A769"/>
      <c r="B769"/>
      <c r="C769"/>
      <c r="D769"/>
      <c r="E769"/>
      <c r="F769"/>
      <c r="G769"/>
      <c r="H769"/>
      <c r="I769"/>
      <c r="J769"/>
      <c r="N769" s="7"/>
      <c r="O769"/>
      <c r="P769" s="10"/>
      <c r="Q769" s="9"/>
      <c r="R769" s="10"/>
      <c r="S769" s="10"/>
      <c r="AA769" s="11"/>
      <c r="AD769"/>
      <c r="AE769"/>
      <c r="AF769"/>
      <c r="AG769"/>
      <c r="AH769" s="46"/>
      <c r="AI769"/>
      <c r="AJ769"/>
      <c r="AK769"/>
      <c r="AL769"/>
      <c r="AM769"/>
      <c r="AN769"/>
      <c r="AO769"/>
      <c r="AP769"/>
      <c r="AQ769"/>
      <c r="AR769"/>
      <c r="AS769"/>
      <c r="AT769" s="14"/>
      <c r="AU769"/>
      <c r="AV769"/>
      <c r="AW769"/>
      <c r="AX769" s="10"/>
      <c r="AY769" s="20"/>
      <c r="AZ769" s="16"/>
      <c r="BA769"/>
      <c r="BB769"/>
      <c r="BC769" s="16"/>
      <c r="BD769"/>
      <c r="BE769"/>
      <c r="BF769"/>
      <c r="BG769"/>
      <c r="BH769"/>
      <c r="BI769"/>
      <c r="BJ769"/>
      <c r="BK769"/>
      <c r="BL769"/>
      <c r="BM769"/>
      <c r="BN769" s="19"/>
      <c r="BO769"/>
      <c r="BP769"/>
      <c r="BQ769"/>
      <c r="BR769"/>
      <c r="BS769"/>
      <c r="BT769"/>
      <c r="BU769"/>
      <c r="BV769"/>
      <c r="BW769"/>
      <c r="BX769"/>
      <c r="BY769"/>
      <c r="BZ769"/>
      <c r="CA769"/>
      <c r="CB769"/>
      <c r="CC769"/>
      <c r="CD769"/>
      <c r="CE769"/>
      <c r="CF769"/>
      <c r="CG769"/>
      <c r="CH769"/>
      <c r="CI769"/>
      <c r="CJ769"/>
      <c r="CK769"/>
      <c r="CL769"/>
      <c r="CM769" s="20"/>
      <c r="CN769" s="20"/>
      <c r="CO769" s="20"/>
      <c r="CP769" s="20"/>
      <c r="CQ769" s="20"/>
      <c r="CR769" s="20"/>
      <c r="CS769" s="20"/>
      <c r="CT769" s="20"/>
      <c r="CU769" s="20"/>
      <c r="CV769" s="20"/>
      <c r="CW769" s="20"/>
      <c r="CX769" s="20"/>
      <c r="CY769" s="20"/>
    </row>
    <row r="770" spans="1:103" s="6" customFormat="1">
      <c r="A770"/>
      <c r="B770"/>
      <c r="C770"/>
      <c r="D770"/>
      <c r="E770"/>
      <c r="F770"/>
      <c r="G770"/>
      <c r="H770"/>
      <c r="I770"/>
      <c r="J770"/>
      <c r="N770" s="7"/>
      <c r="O770"/>
      <c r="P770" s="10"/>
      <c r="Q770" s="9"/>
      <c r="R770" s="10"/>
      <c r="S770" s="10"/>
      <c r="AA770" s="11"/>
      <c r="AD770"/>
      <c r="AE770"/>
      <c r="AF770"/>
      <c r="AG770"/>
      <c r="AH770" s="46"/>
      <c r="AI770"/>
      <c r="AJ770"/>
      <c r="AK770"/>
      <c r="AL770"/>
      <c r="AM770"/>
      <c r="AN770"/>
      <c r="AO770"/>
      <c r="AP770"/>
      <c r="AQ770"/>
      <c r="AR770"/>
      <c r="AS770"/>
      <c r="AT770" s="14"/>
      <c r="AU770"/>
      <c r="AV770"/>
      <c r="AW770"/>
      <c r="AX770" s="10"/>
      <c r="AY770" s="20"/>
      <c r="AZ770" s="16"/>
      <c r="BA770"/>
      <c r="BB770"/>
      <c r="BC770" s="16"/>
      <c r="BD770"/>
      <c r="BE770"/>
      <c r="BF770"/>
      <c r="BG770"/>
      <c r="BH770"/>
      <c r="BI770"/>
      <c r="BJ770"/>
      <c r="BK770"/>
      <c r="BL770"/>
      <c r="BM770"/>
      <c r="BN770" s="19"/>
      <c r="BO770"/>
      <c r="BP770"/>
      <c r="BQ770"/>
      <c r="BR770"/>
      <c r="BS770"/>
      <c r="BT770"/>
      <c r="BU770"/>
      <c r="BV770"/>
      <c r="BW770"/>
      <c r="BX770"/>
      <c r="BY770"/>
      <c r="BZ770"/>
      <c r="CA770"/>
      <c r="CB770"/>
      <c r="CC770"/>
      <c r="CD770"/>
      <c r="CE770"/>
      <c r="CF770"/>
      <c r="CG770"/>
      <c r="CH770"/>
      <c r="CI770"/>
      <c r="CJ770"/>
      <c r="CK770"/>
      <c r="CL770"/>
      <c r="CM770" s="20"/>
      <c r="CN770" s="20"/>
      <c r="CO770" s="20"/>
      <c r="CP770" s="20"/>
      <c r="CQ770" s="20"/>
      <c r="CR770" s="20"/>
      <c r="CS770" s="20"/>
      <c r="CT770" s="20"/>
      <c r="CU770" s="20"/>
      <c r="CV770" s="20"/>
      <c r="CW770" s="20"/>
      <c r="CX770" s="20"/>
      <c r="CY770" s="20"/>
    </row>
    <row r="771" spans="1:103" s="6" customFormat="1">
      <c r="A771"/>
      <c r="B771"/>
      <c r="C771"/>
      <c r="D771"/>
      <c r="E771"/>
      <c r="F771"/>
      <c r="G771"/>
      <c r="H771"/>
      <c r="I771"/>
      <c r="J771"/>
      <c r="N771" s="7"/>
      <c r="O771"/>
      <c r="P771" s="10"/>
      <c r="Q771" s="9"/>
      <c r="R771" s="10"/>
      <c r="S771" s="10"/>
      <c r="AA771" s="11"/>
      <c r="AD771"/>
      <c r="AE771"/>
      <c r="AF771"/>
      <c r="AG771"/>
      <c r="AH771" s="46"/>
      <c r="AI771"/>
      <c r="AJ771"/>
      <c r="AK771"/>
      <c r="AL771"/>
      <c r="AM771"/>
      <c r="AN771"/>
      <c r="AO771"/>
      <c r="AP771"/>
      <c r="AQ771"/>
      <c r="AR771"/>
      <c r="AS771"/>
      <c r="AT771" s="14"/>
      <c r="AU771"/>
      <c r="AV771"/>
      <c r="AW771"/>
      <c r="AX771" s="10"/>
      <c r="AY771" s="20"/>
      <c r="AZ771" s="16"/>
      <c r="BA771"/>
      <c r="BB771"/>
      <c r="BC771" s="16"/>
      <c r="BD771"/>
      <c r="BE771"/>
      <c r="BF771"/>
      <c r="BG771"/>
      <c r="BH771"/>
      <c r="BI771"/>
      <c r="BJ771"/>
      <c r="BK771"/>
      <c r="BL771"/>
      <c r="BM771"/>
      <c r="BN771" s="19"/>
      <c r="BO771"/>
      <c r="BP771"/>
      <c r="BQ771"/>
      <c r="BR771"/>
      <c r="BS771"/>
      <c r="BT771"/>
      <c r="BU771"/>
      <c r="BV771"/>
      <c r="BW771"/>
      <c r="BX771"/>
      <c r="BY771"/>
      <c r="BZ771"/>
      <c r="CA771"/>
      <c r="CB771"/>
      <c r="CC771"/>
      <c r="CD771"/>
      <c r="CE771"/>
      <c r="CF771"/>
      <c r="CG771"/>
      <c r="CH771"/>
      <c r="CI771"/>
      <c r="CJ771"/>
      <c r="CK771"/>
      <c r="CL771"/>
      <c r="CM771" s="20"/>
      <c r="CN771" s="20"/>
      <c r="CO771" s="20"/>
      <c r="CP771" s="20"/>
      <c r="CQ771" s="20"/>
      <c r="CR771" s="20"/>
      <c r="CS771" s="20"/>
      <c r="CT771" s="20"/>
      <c r="CU771" s="20"/>
      <c r="CV771" s="20"/>
      <c r="CW771" s="20"/>
      <c r="CX771" s="20"/>
      <c r="CY771" s="20"/>
    </row>
    <row r="772" spans="1:103" s="6" customFormat="1">
      <c r="A772"/>
      <c r="B772"/>
      <c r="C772"/>
      <c r="D772"/>
      <c r="E772"/>
      <c r="F772"/>
      <c r="G772"/>
      <c r="H772"/>
      <c r="I772"/>
      <c r="J772"/>
      <c r="N772" s="7"/>
      <c r="O772"/>
      <c r="P772" s="10"/>
      <c r="Q772" s="9"/>
      <c r="R772" s="10"/>
      <c r="S772" s="10"/>
      <c r="AA772" s="11"/>
      <c r="AD772"/>
      <c r="AE772"/>
      <c r="AF772"/>
      <c r="AG772"/>
      <c r="AH772" s="46"/>
      <c r="AI772"/>
      <c r="AJ772"/>
      <c r="AK772"/>
      <c r="AL772"/>
      <c r="AM772"/>
      <c r="AN772"/>
      <c r="AO772"/>
      <c r="AP772"/>
      <c r="AQ772"/>
      <c r="AR772"/>
      <c r="AS772"/>
      <c r="AT772" s="14"/>
      <c r="AU772"/>
      <c r="AV772"/>
      <c r="AW772"/>
      <c r="AX772" s="10"/>
      <c r="AY772" s="20"/>
      <c r="AZ772" s="16"/>
      <c r="BA772"/>
      <c r="BB772"/>
      <c r="BC772" s="16"/>
      <c r="BD772"/>
      <c r="BE772"/>
      <c r="BF772"/>
      <c r="BG772"/>
      <c r="BH772"/>
      <c r="BI772"/>
      <c r="BJ772"/>
      <c r="BK772"/>
      <c r="BL772"/>
      <c r="BM772"/>
      <c r="BN772" s="19"/>
      <c r="BO772"/>
      <c r="BP772"/>
      <c r="BQ772"/>
      <c r="BR772"/>
      <c r="BS772"/>
      <c r="BT772"/>
      <c r="BU772"/>
      <c r="BV772"/>
      <c r="BW772"/>
      <c r="BX772"/>
      <c r="BY772"/>
      <c r="BZ772"/>
      <c r="CA772"/>
      <c r="CB772"/>
      <c r="CC772"/>
      <c r="CD772"/>
      <c r="CE772"/>
      <c r="CF772"/>
      <c r="CG772"/>
      <c r="CH772"/>
      <c r="CI772"/>
      <c r="CJ772"/>
      <c r="CK772"/>
      <c r="CL772"/>
      <c r="CM772" s="20"/>
      <c r="CN772" s="20"/>
      <c r="CO772" s="20"/>
      <c r="CP772" s="20"/>
      <c r="CQ772" s="20"/>
      <c r="CR772" s="20"/>
      <c r="CS772" s="20"/>
      <c r="CT772" s="20"/>
      <c r="CU772" s="20"/>
      <c r="CV772" s="20"/>
      <c r="CW772" s="20"/>
      <c r="CX772" s="20"/>
      <c r="CY772" s="20"/>
    </row>
    <row r="773" spans="1:103" s="6" customFormat="1">
      <c r="A773"/>
      <c r="B773"/>
      <c r="C773"/>
      <c r="D773"/>
      <c r="E773"/>
      <c r="F773"/>
      <c r="G773"/>
      <c r="H773"/>
      <c r="I773"/>
      <c r="J773"/>
      <c r="N773" s="7"/>
      <c r="O773"/>
      <c r="P773" s="10"/>
      <c r="Q773" s="9"/>
      <c r="R773" s="10"/>
      <c r="S773" s="10"/>
      <c r="AA773" s="11"/>
      <c r="AD773"/>
      <c r="AE773"/>
      <c r="AF773"/>
      <c r="AG773"/>
      <c r="AH773" s="46"/>
      <c r="AI773"/>
      <c r="AJ773"/>
      <c r="AK773"/>
      <c r="AL773"/>
      <c r="AM773"/>
      <c r="AN773"/>
      <c r="AO773"/>
      <c r="AP773"/>
      <c r="AQ773"/>
      <c r="AR773"/>
      <c r="AS773"/>
      <c r="AT773" s="14"/>
      <c r="AU773"/>
      <c r="AV773"/>
      <c r="AW773"/>
      <c r="AX773" s="10"/>
      <c r="AY773" s="20"/>
      <c r="AZ773" s="16"/>
      <c r="BA773"/>
      <c r="BB773"/>
      <c r="BC773" s="16"/>
      <c r="BD773"/>
      <c r="BE773"/>
      <c r="BF773"/>
      <c r="BG773"/>
      <c r="BH773"/>
      <c r="BI773"/>
      <c r="BJ773"/>
      <c r="BK773"/>
      <c r="BL773"/>
      <c r="BM773"/>
      <c r="BN773" s="19"/>
      <c r="BO773"/>
      <c r="BP773"/>
      <c r="BQ773"/>
      <c r="BR773"/>
      <c r="BS773"/>
      <c r="BT773"/>
      <c r="BU773"/>
      <c r="BV773"/>
      <c r="BW773"/>
      <c r="BX773"/>
      <c r="BY773"/>
      <c r="BZ773"/>
      <c r="CA773"/>
      <c r="CB773"/>
      <c r="CC773"/>
      <c r="CD773"/>
      <c r="CE773"/>
      <c r="CF773"/>
      <c r="CG773"/>
      <c r="CH773"/>
      <c r="CI773"/>
      <c r="CJ773"/>
      <c r="CK773"/>
      <c r="CL773"/>
      <c r="CM773" s="20"/>
      <c r="CN773" s="20"/>
      <c r="CO773" s="20"/>
      <c r="CP773" s="20"/>
      <c r="CQ773" s="20"/>
      <c r="CR773" s="20"/>
      <c r="CS773" s="20"/>
      <c r="CT773" s="20"/>
      <c r="CU773" s="20"/>
      <c r="CV773" s="20"/>
      <c r="CW773" s="20"/>
      <c r="CX773" s="20"/>
      <c r="CY773" s="20"/>
    </row>
    <row r="774" spans="1:103" s="6" customFormat="1">
      <c r="A774"/>
      <c r="B774"/>
      <c r="C774"/>
      <c r="D774"/>
      <c r="E774"/>
      <c r="F774"/>
      <c r="G774"/>
      <c r="H774"/>
      <c r="I774"/>
      <c r="J774"/>
      <c r="N774" s="7"/>
      <c r="O774"/>
      <c r="P774" s="10"/>
      <c r="Q774" s="9"/>
      <c r="R774" s="10"/>
      <c r="S774" s="10"/>
      <c r="AA774" s="11"/>
      <c r="AD774"/>
      <c r="AE774"/>
      <c r="AF774"/>
      <c r="AG774"/>
      <c r="AH774" s="46"/>
      <c r="AI774"/>
      <c r="AJ774"/>
      <c r="AK774"/>
      <c r="AL774"/>
      <c r="AM774"/>
      <c r="AN774"/>
      <c r="AO774"/>
      <c r="AP774"/>
      <c r="AQ774"/>
      <c r="AR774"/>
      <c r="AS774"/>
      <c r="AT774" s="14"/>
      <c r="AU774"/>
      <c r="AV774"/>
      <c r="AW774"/>
      <c r="AX774" s="10"/>
      <c r="AY774" s="20"/>
      <c r="AZ774" s="16"/>
      <c r="BA774"/>
      <c r="BB774"/>
      <c r="BC774" s="16"/>
      <c r="BD774"/>
      <c r="BE774"/>
      <c r="BF774"/>
      <c r="BG774"/>
      <c r="BH774"/>
      <c r="BI774"/>
      <c r="BJ774"/>
      <c r="BK774"/>
      <c r="BL774"/>
      <c r="BM774"/>
      <c r="BN774" s="19"/>
      <c r="BO774"/>
      <c r="BP774"/>
      <c r="BQ774"/>
      <c r="BR774"/>
      <c r="BS774"/>
      <c r="BT774"/>
      <c r="BU774"/>
      <c r="BV774"/>
      <c r="BW774"/>
      <c r="BX774"/>
      <c r="BY774"/>
      <c r="BZ774"/>
      <c r="CA774"/>
      <c r="CB774"/>
      <c r="CC774"/>
      <c r="CD774"/>
      <c r="CE774"/>
      <c r="CF774"/>
      <c r="CG774"/>
      <c r="CH774"/>
      <c r="CI774"/>
      <c r="CJ774"/>
      <c r="CK774"/>
      <c r="CL774"/>
      <c r="CM774" s="20"/>
      <c r="CN774" s="20"/>
      <c r="CO774" s="20"/>
      <c r="CP774" s="20"/>
      <c r="CQ774" s="20"/>
      <c r="CR774" s="20"/>
      <c r="CS774" s="20"/>
      <c r="CT774" s="20"/>
      <c r="CU774" s="20"/>
      <c r="CV774" s="20"/>
      <c r="CW774" s="20"/>
      <c r="CX774" s="20"/>
      <c r="CY774" s="20"/>
    </row>
    <row r="775" spans="1:103" s="6" customFormat="1">
      <c r="A775"/>
      <c r="B775"/>
      <c r="C775"/>
      <c r="D775"/>
      <c r="E775"/>
      <c r="F775"/>
      <c r="G775"/>
      <c r="H775"/>
      <c r="I775"/>
      <c r="J775"/>
      <c r="N775" s="7"/>
      <c r="O775"/>
      <c r="P775" s="10"/>
      <c r="Q775" s="9"/>
      <c r="R775" s="10"/>
      <c r="S775" s="10"/>
      <c r="AA775" s="11"/>
      <c r="AD775"/>
      <c r="AE775"/>
      <c r="AF775"/>
      <c r="AG775"/>
      <c r="AH775" s="46"/>
      <c r="AI775"/>
      <c r="AJ775"/>
      <c r="AK775"/>
      <c r="AL775"/>
      <c r="AM775"/>
      <c r="AN775"/>
      <c r="AO775"/>
      <c r="AP775"/>
      <c r="AQ775"/>
      <c r="AR775"/>
      <c r="AS775"/>
      <c r="AT775" s="14"/>
      <c r="AU775"/>
      <c r="AV775"/>
      <c r="AW775"/>
      <c r="AX775" s="10"/>
      <c r="AY775" s="20"/>
      <c r="AZ775" s="16"/>
      <c r="BA775"/>
      <c r="BB775"/>
      <c r="BC775" s="16"/>
      <c r="BD775"/>
      <c r="BE775"/>
      <c r="BF775"/>
      <c r="BG775"/>
      <c r="BH775"/>
      <c r="BI775"/>
      <c r="BJ775"/>
      <c r="BK775"/>
      <c r="BL775"/>
      <c r="BM775"/>
      <c r="BN775" s="19"/>
      <c r="BO775"/>
      <c r="BP775"/>
      <c r="BQ775"/>
      <c r="BR775"/>
      <c r="BS775"/>
      <c r="BT775"/>
      <c r="BU775"/>
      <c r="BV775"/>
      <c r="BW775"/>
      <c r="BX775"/>
      <c r="BY775"/>
      <c r="BZ775"/>
      <c r="CA775"/>
      <c r="CB775"/>
      <c r="CC775"/>
      <c r="CD775"/>
      <c r="CE775"/>
      <c r="CF775"/>
      <c r="CG775"/>
      <c r="CH775"/>
      <c r="CI775"/>
      <c r="CJ775"/>
      <c r="CK775"/>
      <c r="CL775"/>
      <c r="CM775" s="20"/>
      <c r="CN775" s="20"/>
      <c r="CO775" s="20"/>
      <c r="CP775" s="20"/>
      <c r="CQ775" s="20"/>
      <c r="CR775" s="20"/>
      <c r="CS775" s="20"/>
      <c r="CT775" s="20"/>
      <c r="CU775" s="20"/>
      <c r="CV775" s="20"/>
      <c r="CW775" s="20"/>
      <c r="CX775" s="20"/>
      <c r="CY775" s="20"/>
    </row>
    <row r="776" spans="1:103" s="6" customFormat="1">
      <c r="A776"/>
      <c r="B776"/>
      <c r="C776"/>
      <c r="D776"/>
      <c r="E776"/>
      <c r="F776"/>
      <c r="G776"/>
      <c r="H776"/>
      <c r="I776"/>
      <c r="J776"/>
      <c r="N776" s="7"/>
      <c r="O776"/>
      <c r="P776" s="10"/>
      <c r="Q776" s="9"/>
      <c r="R776" s="10"/>
      <c r="S776" s="10"/>
      <c r="AA776" s="11"/>
      <c r="AD776"/>
      <c r="AE776"/>
      <c r="AF776"/>
      <c r="AG776"/>
      <c r="AH776" s="46"/>
      <c r="AI776"/>
      <c r="AJ776"/>
      <c r="AK776"/>
      <c r="AL776"/>
      <c r="AM776"/>
      <c r="AN776"/>
      <c r="AO776"/>
      <c r="AP776"/>
      <c r="AQ776"/>
      <c r="AR776"/>
      <c r="AS776"/>
      <c r="AT776" s="14"/>
      <c r="AU776"/>
      <c r="AV776"/>
      <c r="AW776"/>
      <c r="AX776" s="10"/>
      <c r="AY776" s="20"/>
      <c r="AZ776" s="16"/>
      <c r="BA776"/>
      <c r="BB776"/>
      <c r="BC776" s="16"/>
      <c r="BD776"/>
      <c r="BE776"/>
      <c r="BF776"/>
      <c r="BG776"/>
      <c r="BH776"/>
      <c r="BI776"/>
      <c r="BJ776"/>
      <c r="BK776"/>
      <c r="BL776"/>
      <c r="BM776"/>
      <c r="BN776" s="19"/>
      <c r="BO776"/>
      <c r="BP776"/>
      <c r="BQ776"/>
      <c r="BR776"/>
      <c r="BS776"/>
      <c r="BT776"/>
      <c r="BU776"/>
      <c r="BV776"/>
      <c r="BW776"/>
      <c r="BX776"/>
      <c r="BY776"/>
      <c r="BZ776"/>
      <c r="CA776"/>
      <c r="CB776"/>
      <c r="CC776"/>
      <c r="CD776"/>
      <c r="CE776"/>
      <c r="CF776"/>
      <c r="CG776"/>
      <c r="CH776"/>
      <c r="CI776"/>
      <c r="CJ776"/>
      <c r="CK776"/>
      <c r="CL776"/>
      <c r="CM776" s="20"/>
      <c r="CN776" s="20"/>
      <c r="CO776" s="20"/>
      <c r="CP776" s="20"/>
      <c r="CQ776" s="20"/>
      <c r="CR776" s="20"/>
      <c r="CS776" s="20"/>
      <c r="CT776" s="20"/>
      <c r="CU776" s="20"/>
      <c r="CV776" s="20"/>
      <c r="CW776" s="20"/>
      <c r="CX776" s="20"/>
      <c r="CY776" s="20"/>
    </row>
    <row r="777" spans="1:103" s="6" customFormat="1">
      <c r="A777"/>
      <c r="B777"/>
      <c r="C777"/>
      <c r="D777"/>
      <c r="E777"/>
      <c r="F777"/>
      <c r="G777"/>
      <c r="H777"/>
      <c r="I777"/>
      <c r="J777"/>
      <c r="N777" s="7"/>
      <c r="O777"/>
      <c r="P777" s="10"/>
      <c r="Q777" s="9"/>
      <c r="R777" s="10"/>
      <c r="S777" s="10"/>
      <c r="AA777" s="11"/>
      <c r="AD777"/>
      <c r="AE777"/>
      <c r="AF777"/>
      <c r="AG777"/>
      <c r="AH777" s="46"/>
      <c r="AI777"/>
      <c r="AJ777"/>
      <c r="AK777"/>
      <c r="AL777"/>
      <c r="AM777"/>
      <c r="AN777"/>
      <c r="AO777"/>
      <c r="AP777"/>
      <c r="AQ777"/>
      <c r="AR777"/>
      <c r="AS777"/>
      <c r="AT777" s="14"/>
      <c r="AU777"/>
      <c r="AV777"/>
      <c r="AW777"/>
      <c r="AX777" s="10"/>
      <c r="AY777" s="20"/>
      <c r="AZ777" s="16"/>
      <c r="BA777"/>
      <c r="BB777"/>
      <c r="BC777" s="16"/>
      <c r="BD777"/>
      <c r="BE777"/>
      <c r="BF777"/>
      <c r="BG777"/>
      <c r="BH777"/>
      <c r="BI777"/>
      <c r="BJ777"/>
      <c r="BK777"/>
      <c r="BL777"/>
      <c r="BM777"/>
      <c r="BN777" s="19"/>
      <c r="BO777"/>
      <c r="BP777"/>
      <c r="BQ777"/>
      <c r="BR777"/>
      <c r="BS777"/>
      <c r="BT777"/>
      <c r="BU777"/>
      <c r="BV777"/>
      <c r="BW777"/>
      <c r="BX777"/>
      <c r="BY777"/>
      <c r="BZ777"/>
      <c r="CA777"/>
      <c r="CB777"/>
      <c r="CC777"/>
      <c r="CD777"/>
      <c r="CE777"/>
      <c r="CF777"/>
      <c r="CG777"/>
      <c r="CH777"/>
      <c r="CI777"/>
      <c r="CJ777"/>
      <c r="CK777"/>
      <c r="CL777"/>
      <c r="CM777" s="20"/>
      <c r="CN777" s="20"/>
      <c r="CO777" s="20"/>
      <c r="CP777" s="20"/>
      <c r="CQ777" s="20"/>
      <c r="CR777" s="20"/>
      <c r="CS777" s="20"/>
      <c r="CT777" s="20"/>
      <c r="CU777" s="20"/>
      <c r="CV777" s="20"/>
      <c r="CW777" s="20"/>
      <c r="CX777" s="20"/>
      <c r="CY777" s="20"/>
    </row>
    <row r="778" spans="1:103" s="6" customFormat="1">
      <c r="A778"/>
      <c r="B778"/>
      <c r="C778"/>
      <c r="D778"/>
      <c r="E778"/>
      <c r="F778"/>
      <c r="G778"/>
      <c r="H778"/>
      <c r="I778"/>
      <c r="J778"/>
      <c r="N778" s="7"/>
      <c r="O778"/>
      <c r="P778" s="10"/>
      <c r="Q778" s="9"/>
      <c r="R778" s="10"/>
      <c r="S778" s="10"/>
      <c r="AA778" s="11"/>
      <c r="AD778"/>
      <c r="AE778"/>
      <c r="AF778"/>
      <c r="AG778"/>
      <c r="AH778" s="46"/>
      <c r="AI778"/>
      <c r="AJ778"/>
      <c r="AK778"/>
      <c r="AL778"/>
      <c r="AM778"/>
      <c r="AN778"/>
      <c r="AO778"/>
      <c r="AP778"/>
      <c r="AQ778"/>
      <c r="AR778"/>
      <c r="AS778"/>
      <c r="AT778" s="14"/>
      <c r="AU778"/>
      <c r="AV778"/>
      <c r="AW778"/>
      <c r="AX778" s="10"/>
      <c r="AY778" s="20"/>
      <c r="AZ778" s="16"/>
      <c r="BA778"/>
      <c r="BB778"/>
      <c r="BC778" s="16"/>
      <c r="BD778"/>
      <c r="BE778"/>
      <c r="BF778"/>
      <c r="BG778"/>
      <c r="BH778"/>
      <c r="BI778"/>
      <c r="BJ778"/>
      <c r="BK778"/>
      <c r="BL778"/>
      <c r="BM778"/>
      <c r="BN778" s="19"/>
      <c r="BO778"/>
      <c r="BP778"/>
      <c r="BQ778"/>
      <c r="BR778"/>
      <c r="BS778"/>
      <c r="BT778"/>
      <c r="BU778"/>
      <c r="BV778"/>
      <c r="BW778"/>
      <c r="BX778"/>
      <c r="BY778"/>
      <c r="BZ778"/>
      <c r="CA778"/>
      <c r="CB778"/>
      <c r="CC778"/>
      <c r="CD778"/>
      <c r="CE778"/>
      <c r="CF778"/>
      <c r="CG778"/>
      <c r="CH778"/>
      <c r="CI778"/>
      <c r="CJ778"/>
      <c r="CK778"/>
      <c r="CL778"/>
      <c r="CM778" s="20"/>
      <c r="CN778" s="20"/>
      <c r="CO778" s="20"/>
      <c r="CP778" s="20"/>
      <c r="CQ778" s="20"/>
      <c r="CR778" s="20"/>
      <c r="CS778" s="20"/>
      <c r="CT778" s="20"/>
      <c r="CU778" s="20"/>
      <c r="CV778" s="20"/>
      <c r="CW778" s="20"/>
      <c r="CX778" s="20"/>
      <c r="CY778" s="20"/>
    </row>
    <row r="779" spans="1:103" s="6" customFormat="1">
      <c r="A779"/>
      <c r="B779"/>
      <c r="C779"/>
      <c r="D779"/>
      <c r="E779"/>
      <c r="F779"/>
      <c r="G779"/>
      <c r="H779"/>
      <c r="I779"/>
      <c r="J779"/>
      <c r="N779" s="7"/>
      <c r="O779"/>
      <c r="P779" s="10"/>
      <c r="Q779" s="9"/>
      <c r="R779" s="10"/>
      <c r="S779" s="10"/>
      <c r="AA779" s="11"/>
      <c r="AD779"/>
      <c r="AE779"/>
      <c r="AF779"/>
      <c r="AG779"/>
      <c r="AH779" s="46"/>
      <c r="AI779"/>
      <c r="AJ779"/>
      <c r="AK779"/>
      <c r="AL779"/>
      <c r="AM779"/>
      <c r="AN779"/>
      <c r="AO779"/>
      <c r="AP779"/>
      <c r="AQ779"/>
      <c r="AR779"/>
      <c r="AS779"/>
      <c r="AT779" s="14"/>
      <c r="AU779"/>
      <c r="AV779"/>
      <c r="AW779"/>
      <c r="AX779" s="10"/>
      <c r="AY779" s="20"/>
      <c r="AZ779" s="16"/>
      <c r="BA779"/>
      <c r="BB779"/>
      <c r="BC779" s="16"/>
      <c r="BD779"/>
      <c r="BE779"/>
      <c r="BF779"/>
      <c r="BG779"/>
      <c r="BH779"/>
      <c r="BI779"/>
      <c r="BJ779"/>
      <c r="BK779"/>
      <c r="BL779"/>
      <c r="BM779"/>
      <c r="BN779" s="19"/>
      <c r="BO779"/>
      <c r="BP779"/>
      <c r="BQ779"/>
      <c r="BR779"/>
      <c r="BS779"/>
      <c r="BT779"/>
      <c r="BU779"/>
      <c r="BV779"/>
      <c r="BW779"/>
      <c r="BX779"/>
      <c r="BY779"/>
      <c r="BZ779"/>
      <c r="CA779"/>
      <c r="CB779"/>
      <c r="CC779"/>
      <c r="CD779"/>
      <c r="CE779"/>
      <c r="CF779"/>
      <c r="CG779"/>
      <c r="CH779"/>
      <c r="CI779"/>
      <c r="CJ779"/>
      <c r="CK779"/>
      <c r="CL779"/>
      <c r="CM779" s="20"/>
      <c r="CN779" s="20"/>
      <c r="CO779" s="20"/>
      <c r="CP779" s="20"/>
      <c r="CQ779" s="20"/>
      <c r="CR779" s="20"/>
      <c r="CS779" s="20"/>
      <c r="CT779" s="20"/>
      <c r="CU779" s="20"/>
      <c r="CV779" s="20"/>
      <c r="CW779" s="20"/>
      <c r="CX779" s="20"/>
      <c r="CY779" s="20"/>
    </row>
    <row r="780" spans="1:103" s="6" customFormat="1">
      <c r="A780"/>
      <c r="B780"/>
      <c r="C780"/>
      <c r="D780"/>
      <c r="E780"/>
      <c r="F780"/>
      <c r="G780"/>
      <c r="H780"/>
      <c r="I780"/>
      <c r="J780"/>
      <c r="N780" s="7"/>
      <c r="O780"/>
      <c r="P780" s="10"/>
      <c r="Q780" s="9"/>
      <c r="R780" s="10"/>
      <c r="S780" s="10"/>
      <c r="AA780" s="11"/>
      <c r="AD780"/>
      <c r="AE780"/>
      <c r="AF780"/>
      <c r="AG780"/>
      <c r="AH780" s="46"/>
      <c r="AI780"/>
      <c r="AJ780"/>
      <c r="AK780"/>
      <c r="AL780"/>
      <c r="AM780"/>
      <c r="AN780"/>
      <c r="AO780"/>
      <c r="AP780"/>
      <c r="AQ780"/>
      <c r="AR780"/>
      <c r="AS780"/>
      <c r="AT780" s="14"/>
      <c r="AU780"/>
      <c r="AV780"/>
      <c r="AW780"/>
      <c r="AX780" s="10"/>
      <c r="AY780" s="20"/>
      <c r="AZ780" s="16"/>
      <c r="BA780"/>
      <c r="BB780"/>
      <c r="BC780" s="16"/>
      <c r="BD780"/>
      <c r="BE780"/>
      <c r="BF780"/>
      <c r="BG780"/>
      <c r="BH780"/>
      <c r="BI780"/>
      <c r="BJ780"/>
      <c r="BK780"/>
      <c r="BL780"/>
      <c r="BM780"/>
      <c r="BN780" s="19"/>
      <c r="BO780"/>
      <c r="BP780"/>
      <c r="BQ780"/>
      <c r="BR780"/>
      <c r="BS780"/>
      <c r="BT780"/>
      <c r="BU780"/>
      <c r="BV780"/>
      <c r="BW780"/>
      <c r="BX780"/>
      <c r="BY780"/>
      <c r="BZ780"/>
      <c r="CA780"/>
      <c r="CB780"/>
      <c r="CC780"/>
      <c r="CD780"/>
      <c r="CE780"/>
      <c r="CF780"/>
      <c r="CG780"/>
      <c r="CH780"/>
      <c r="CI780"/>
      <c r="CJ780"/>
      <c r="CK780"/>
      <c r="CL780"/>
      <c r="CM780" s="20"/>
      <c r="CN780" s="20"/>
      <c r="CO780" s="20"/>
      <c r="CP780" s="20"/>
      <c r="CQ780" s="20"/>
      <c r="CR780" s="20"/>
      <c r="CS780" s="20"/>
      <c r="CT780" s="20"/>
      <c r="CU780" s="20"/>
      <c r="CV780" s="20"/>
      <c r="CW780" s="20"/>
      <c r="CX780" s="20"/>
      <c r="CY780" s="20"/>
    </row>
    <row r="781" spans="1:103" s="6" customFormat="1">
      <c r="A781"/>
      <c r="B781"/>
      <c r="C781"/>
      <c r="D781"/>
      <c r="E781"/>
      <c r="F781"/>
      <c r="G781"/>
      <c r="H781"/>
      <c r="I781"/>
      <c r="J781"/>
      <c r="N781" s="7"/>
      <c r="O781"/>
      <c r="P781" s="10"/>
      <c r="Q781" s="9"/>
      <c r="R781" s="10"/>
      <c r="S781" s="10"/>
      <c r="AA781" s="11"/>
      <c r="AD781"/>
      <c r="AE781"/>
      <c r="AF781"/>
      <c r="AG781"/>
      <c r="AH781" s="46"/>
      <c r="AI781"/>
      <c r="AJ781"/>
      <c r="AK781"/>
      <c r="AL781"/>
      <c r="AM781"/>
      <c r="AN781"/>
      <c r="AO781"/>
      <c r="AP781"/>
      <c r="AQ781"/>
      <c r="AR781"/>
      <c r="AS781"/>
      <c r="AT781" s="14"/>
      <c r="AU781"/>
      <c r="AV781"/>
      <c r="AW781"/>
      <c r="AX781" s="10"/>
      <c r="AY781" s="20"/>
      <c r="AZ781" s="16"/>
      <c r="BA781"/>
      <c r="BB781"/>
      <c r="BC781" s="16"/>
      <c r="BD781"/>
      <c r="BE781"/>
      <c r="BF781"/>
      <c r="BG781"/>
      <c r="BH781"/>
      <c r="BI781"/>
      <c r="BJ781"/>
      <c r="BK781"/>
      <c r="BL781"/>
      <c r="BM781"/>
      <c r="BN781" s="19"/>
      <c r="BO781"/>
      <c r="BP781"/>
      <c r="BQ781"/>
      <c r="BR781"/>
      <c r="BS781"/>
      <c r="BT781"/>
      <c r="BU781"/>
      <c r="BV781"/>
      <c r="BW781"/>
      <c r="BX781"/>
      <c r="BY781"/>
      <c r="BZ781"/>
      <c r="CA781"/>
      <c r="CB781"/>
      <c r="CC781"/>
      <c r="CD781"/>
      <c r="CE781"/>
      <c r="CF781"/>
      <c r="CG781"/>
      <c r="CH781"/>
      <c r="CI781"/>
      <c r="CJ781"/>
      <c r="CK781"/>
      <c r="CL781"/>
      <c r="CM781" s="20"/>
      <c r="CN781" s="20"/>
      <c r="CO781" s="20"/>
      <c r="CP781" s="20"/>
      <c r="CQ781" s="20"/>
      <c r="CR781" s="20"/>
      <c r="CS781" s="20"/>
      <c r="CT781" s="20"/>
      <c r="CU781" s="20"/>
      <c r="CV781" s="20"/>
      <c r="CW781" s="20"/>
      <c r="CX781" s="20"/>
      <c r="CY781" s="20"/>
    </row>
    <row r="782" spans="1:103" s="6" customFormat="1">
      <c r="A782"/>
      <c r="B782"/>
      <c r="C782"/>
      <c r="D782"/>
      <c r="E782"/>
      <c r="F782"/>
      <c r="G782"/>
      <c r="H782"/>
      <c r="I782"/>
      <c r="J782"/>
      <c r="N782" s="7"/>
      <c r="O782"/>
      <c r="P782" s="10"/>
      <c r="Q782" s="9"/>
      <c r="R782" s="10"/>
      <c r="S782" s="10"/>
      <c r="AA782" s="11"/>
      <c r="AD782"/>
      <c r="AE782"/>
      <c r="AF782"/>
      <c r="AG782"/>
      <c r="AH782" s="46"/>
      <c r="AI782"/>
      <c r="AJ782"/>
      <c r="AK782"/>
      <c r="AL782"/>
      <c r="AM782"/>
      <c r="AN782"/>
      <c r="AO782"/>
      <c r="AP782"/>
      <c r="AQ782"/>
      <c r="AR782"/>
      <c r="AS782"/>
      <c r="AT782" s="14"/>
      <c r="AU782"/>
      <c r="AV782"/>
      <c r="AW782"/>
      <c r="AX782" s="10"/>
      <c r="AY782" s="20"/>
      <c r="AZ782" s="16"/>
      <c r="BA782"/>
      <c r="BB782"/>
      <c r="BC782" s="16"/>
      <c r="BD782"/>
      <c r="BE782"/>
      <c r="BF782"/>
      <c r="BG782"/>
      <c r="BH782"/>
      <c r="BI782"/>
      <c r="BJ782"/>
      <c r="BK782"/>
      <c r="BL782"/>
      <c r="BM782"/>
      <c r="BN782" s="19"/>
      <c r="BO782"/>
      <c r="BP782"/>
      <c r="BQ782"/>
      <c r="BR782"/>
      <c r="BS782"/>
      <c r="BT782"/>
      <c r="BU782"/>
      <c r="BV782"/>
      <c r="BW782"/>
      <c r="BX782"/>
      <c r="BY782"/>
      <c r="BZ782"/>
      <c r="CA782"/>
      <c r="CB782"/>
      <c r="CC782"/>
      <c r="CD782"/>
      <c r="CE782"/>
      <c r="CF782"/>
      <c r="CG782"/>
      <c r="CH782"/>
      <c r="CI782"/>
      <c r="CJ782"/>
      <c r="CK782"/>
      <c r="CL782"/>
      <c r="CM782" s="20"/>
      <c r="CN782" s="20"/>
      <c r="CO782" s="20"/>
      <c r="CP782" s="20"/>
      <c r="CQ782" s="20"/>
      <c r="CR782" s="20"/>
      <c r="CS782" s="20"/>
      <c r="CT782" s="20"/>
      <c r="CU782" s="20"/>
      <c r="CV782" s="20"/>
      <c r="CW782" s="20"/>
      <c r="CX782" s="20"/>
      <c r="CY782" s="20"/>
    </row>
    <row r="783" spans="1:103" s="6" customFormat="1">
      <c r="A783"/>
      <c r="B783"/>
      <c r="C783"/>
      <c r="D783"/>
      <c r="E783"/>
      <c r="F783"/>
      <c r="G783"/>
      <c r="H783"/>
      <c r="I783"/>
      <c r="J783"/>
      <c r="N783" s="7"/>
      <c r="O783"/>
      <c r="P783" s="10"/>
      <c r="Q783" s="9"/>
      <c r="R783" s="10"/>
      <c r="S783" s="10"/>
      <c r="AA783" s="11"/>
      <c r="AD783"/>
      <c r="AE783"/>
      <c r="AF783"/>
      <c r="AG783"/>
      <c r="AH783" s="46"/>
      <c r="AI783"/>
      <c r="AJ783"/>
      <c r="AK783"/>
      <c r="AL783"/>
      <c r="AM783"/>
      <c r="AN783"/>
      <c r="AO783"/>
      <c r="AP783"/>
      <c r="AQ783"/>
      <c r="AR783"/>
      <c r="AS783"/>
      <c r="AT783" s="14"/>
      <c r="AU783"/>
      <c r="AV783"/>
      <c r="AW783"/>
      <c r="AX783" s="10"/>
      <c r="AY783" s="20"/>
      <c r="AZ783" s="16"/>
      <c r="BA783"/>
      <c r="BB783"/>
      <c r="BC783" s="16"/>
      <c r="BD783"/>
      <c r="BE783"/>
      <c r="BF783"/>
      <c r="BG783"/>
      <c r="BH783"/>
      <c r="BI783"/>
      <c r="BJ783"/>
      <c r="BK783"/>
      <c r="BL783"/>
      <c r="BM783"/>
      <c r="BN783" s="19"/>
      <c r="BO783"/>
      <c r="BP783"/>
      <c r="BQ783"/>
      <c r="BR783"/>
      <c r="BS783"/>
      <c r="BT783"/>
      <c r="BU783"/>
      <c r="BV783"/>
      <c r="BW783"/>
      <c r="BX783"/>
      <c r="BY783"/>
      <c r="BZ783"/>
      <c r="CA783"/>
      <c r="CB783"/>
      <c r="CC783"/>
      <c r="CD783"/>
      <c r="CE783"/>
      <c r="CF783"/>
      <c r="CG783"/>
      <c r="CH783"/>
      <c r="CI783"/>
      <c r="CJ783"/>
      <c r="CK783"/>
      <c r="CL783"/>
      <c r="CM783" s="20"/>
      <c r="CN783" s="20"/>
      <c r="CO783" s="20"/>
      <c r="CP783" s="20"/>
      <c r="CQ783" s="20"/>
      <c r="CR783" s="20"/>
      <c r="CS783" s="20"/>
      <c r="CT783" s="20"/>
      <c r="CU783" s="20"/>
      <c r="CV783" s="20"/>
      <c r="CW783" s="20"/>
      <c r="CX783" s="20"/>
      <c r="CY783" s="20"/>
    </row>
    <row r="784" spans="1:103" s="6" customFormat="1">
      <c r="A784"/>
      <c r="B784"/>
      <c r="C784"/>
      <c r="D784"/>
      <c r="E784"/>
      <c r="F784"/>
      <c r="G784"/>
      <c r="H784"/>
      <c r="I784"/>
      <c r="J784"/>
      <c r="N784" s="7"/>
      <c r="O784"/>
      <c r="P784" s="10"/>
      <c r="Q784" s="9"/>
      <c r="R784" s="10"/>
      <c r="S784" s="10"/>
      <c r="AA784" s="11"/>
      <c r="AD784"/>
      <c r="AE784"/>
      <c r="AF784"/>
      <c r="AG784"/>
      <c r="AH784" s="46"/>
      <c r="AI784"/>
      <c r="AJ784"/>
      <c r="AK784"/>
      <c r="AL784"/>
      <c r="AM784"/>
      <c r="AN784"/>
      <c r="AO784"/>
      <c r="AP784"/>
      <c r="AQ784"/>
      <c r="AR784"/>
      <c r="AS784"/>
      <c r="AT784" s="14"/>
      <c r="AU784"/>
      <c r="AV784"/>
      <c r="AW784"/>
      <c r="AX784" s="10"/>
      <c r="AY784" s="20"/>
      <c r="AZ784" s="16"/>
      <c r="BA784"/>
      <c r="BB784"/>
      <c r="BC784" s="16"/>
      <c r="BD784"/>
      <c r="BE784"/>
      <c r="BF784"/>
      <c r="BG784"/>
      <c r="BH784"/>
      <c r="BI784"/>
      <c r="BJ784"/>
      <c r="BK784"/>
      <c r="BL784"/>
      <c r="BM784"/>
      <c r="BN784" s="19"/>
      <c r="BO784"/>
      <c r="BP784"/>
      <c r="BQ784"/>
      <c r="BR784"/>
      <c r="BS784"/>
      <c r="BT784"/>
      <c r="BU784"/>
      <c r="BV784"/>
      <c r="BW784"/>
      <c r="BX784"/>
      <c r="BY784"/>
      <c r="BZ784"/>
      <c r="CA784"/>
      <c r="CB784"/>
      <c r="CC784"/>
      <c r="CD784"/>
      <c r="CE784"/>
      <c r="CF784"/>
      <c r="CG784"/>
      <c r="CH784"/>
      <c r="CI784"/>
      <c r="CJ784"/>
      <c r="CK784"/>
      <c r="CL784"/>
      <c r="CM784" s="20"/>
      <c r="CN784" s="20"/>
      <c r="CO784" s="20"/>
      <c r="CP784" s="20"/>
      <c r="CQ784" s="20"/>
      <c r="CR784" s="20"/>
      <c r="CS784" s="20"/>
      <c r="CT784" s="20"/>
      <c r="CU784" s="20"/>
      <c r="CV784" s="20"/>
      <c r="CW784" s="20"/>
      <c r="CX784" s="20"/>
      <c r="CY784" s="20"/>
    </row>
    <row r="785" spans="1:103" s="6" customFormat="1">
      <c r="A785"/>
      <c r="B785"/>
      <c r="C785"/>
      <c r="D785"/>
      <c r="E785"/>
      <c r="F785"/>
      <c r="G785"/>
      <c r="H785"/>
      <c r="I785"/>
      <c r="J785"/>
      <c r="N785" s="7"/>
      <c r="O785"/>
      <c r="P785" s="10"/>
      <c r="Q785" s="9"/>
      <c r="R785" s="10"/>
      <c r="S785" s="10"/>
      <c r="AA785" s="11"/>
      <c r="AD785"/>
      <c r="AE785"/>
      <c r="AF785"/>
      <c r="AG785"/>
      <c r="AH785" s="46"/>
      <c r="AI785"/>
      <c r="AJ785"/>
      <c r="AK785"/>
      <c r="AL785"/>
      <c r="AM785"/>
      <c r="AN785"/>
      <c r="AO785"/>
      <c r="AP785"/>
      <c r="AQ785"/>
      <c r="AR785"/>
      <c r="AS785"/>
      <c r="AT785" s="14"/>
      <c r="AU785"/>
      <c r="AV785"/>
      <c r="AW785"/>
      <c r="AX785" s="10"/>
      <c r="AY785" s="20"/>
      <c r="AZ785" s="16"/>
      <c r="BA785"/>
      <c r="BB785"/>
      <c r="BC785" s="16"/>
      <c r="BD785"/>
      <c r="BE785"/>
      <c r="BF785"/>
      <c r="BG785"/>
      <c r="BH785"/>
      <c r="BI785"/>
      <c r="BJ785"/>
      <c r="BK785"/>
      <c r="BL785"/>
      <c r="BM785"/>
      <c r="BN785" s="19"/>
      <c r="BO785"/>
      <c r="BP785"/>
      <c r="BQ785"/>
      <c r="BR785"/>
      <c r="BS785"/>
      <c r="BT785"/>
      <c r="BU785"/>
      <c r="BV785"/>
      <c r="BW785"/>
      <c r="BX785"/>
      <c r="BY785"/>
      <c r="BZ785"/>
      <c r="CA785"/>
      <c r="CB785"/>
      <c r="CC785"/>
      <c r="CD785"/>
      <c r="CE785"/>
      <c r="CF785"/>
      <c r="CG785"/>
      <c r="CH785"/>
      <c r="CI785"/>
      <c r="CJ785"/>
      <c r="CK785"/>
      <c r="CL785"/>
      <c r="CM785" s="20"/>
      <c r="CN785" s="20"/>
      <c r="CO785" s="20"/>
      <c r="CP785" s="20"/>
      <c r="CQ785" s="20"/>
      <c r="CR785" s="20"/>
      <c r="CS785" s="20"/>
      <c r="CT785" s="20"/>
      <c r="CU785" s="20"/>
      <c r="CV785" s="20"/>
      <c r="CW785" s="20"/>
      <c r="CX785" s="20"/>
      <c r="CY785" s="20"/>
    </row>
    <row r="786" spans="1:103" s="6" customFormat="1">
      <c r="A786"/>
      <c r="B786"/>
      <c r="C786"/>
      <c r="D786"/>
      <c r="E786"/>
      <c r="F786"/>
      <c r="G786"/>
      <c r="H786"/>
      <c r="I786"/>
      <c r="J786"/>
      <c r="N786" s="7"/>
      <c r="O786"/>
      <c r="P786" s="10"/>
      <c r="Q786" s="9"/>
      <c r="R786" s="10"/>
      <c r="S786" s="10"/>
      <c r="AA786" s="11"/>
      <c r="AD786"/>
      <c r="AE786"/>
      <c r="AF786"/>
      <c r="AG786"/>
      <c r="AH786" s="46"/>
      <c r="AI786"/>
      <c r="AJ786"/>
      <c r="AK786"/>
      <c r="AL786"/>
      <c r="AM786"/>
      <c r="AN786"/>
      <c r="AO786"/>
      <c r="AP786"/>
      <c r="AQ786"/>
      <c r="AR786"/>
      <c r="AS786"/>
      <c r="AT786" s="14"/>
      <c r="AU786"/>
      <c r="AV786"/>
      <c r="AW786"/>
      <c r="AX786" s="10"/>
      <c r="AY786" s="20"/>
      <c r="AZ786" s="16"/>
      <c r="BA786"/>
      <c r="BB786"/>
      <c r="BC786" s="16"/>
      <c r="BD786"/>
      <c r="BE786"/>
      <c r="BF786"/>
      <c r="BG786"/>
      <c r="BH786"/>
      <c r="BI786"/>
      <c r="BJ786"/>
      <c r="BK786"/>
      <c r="BL786"/>
      <c r="BM786"/>
      <c r="BN786" s="19"/>
      <c r="BO786"/>
      <c r="BP786"/>
      <c r="BQ786"/>
      <c r="BR786"/>
      <c r="BS786"/>
      <c r="BT786"/>
      <c r="BU786"/>
      <c r="BV786"/>
      <c r="BW786"/>
      <c r="BX786"/>
      <c r="BY786"/>
      <c r="BZ786"/>
      <c r="CA786"/>
      <c r="CB786"/>
      <c r="CC786"/>
      <c r="CD786"/>
      <c r="CE786"/>
      <c r="CF786"/>
      <c r="CG786"/>
      <c r="CH786"/>
      <c r="CI786"/>
      <c r="CJ786"/>
      <c r="CK786"/>
      <c r="CL786"/>
      <c r="CM786" s="20"/>
      <c r="CN786" s="20"/>
      <c r="CO786" s="20"/>
      <c r="CP786" s="20"/>
      <c r="CQ786" s="20"/>
      <c r="CR786" s="20"/>
      <c r="CS786" s="20"/>
      <c r="CT786" s="20"/>
      <c r="CU786" s="20"/>
      <c r="CV786" s="20"/>
      <c r="CW786" s="20"/>
      <c r="CX786" s="20"/>
      <c r="CY786" s="20"/>
    </row>
    <row r="787" spans="1:103" s="6" customFormat="1">
      <c r="A787"/>
      <c r="B787"/>
      <c r="C787"/>
      <c r="D787"/>
      <c r="E787"/>
      <c r="F787"/>
      <c r="G787"/>
      <c r="H787"/>
      <c r="I787"/>
      <c r="J787"/>
      <c r="N787" s="7"/>
      <c r="O787"/>
      <c r="P787" s="10"/>
      <c r="Q787" s="9"/>
      <c r="R787" s="10"/>
      <c r="S787" s="10"/>
      <c r="AA787" s="11"/>
      <c r="AD787"/>
      <c r="AE787"/>
      <c r="AF787"/>
      <c r="AG787"/>
      <c r="AH787" s="46"/>
      <c r="AI787"/>
      <c r="AJ787"/>
      <c r="AK787"/>
      <c r="AL787"/>
      <c r="AM787"/>
      <c r="AN787"/>
      <c r="AO787"/>
      <c r="AP787"/>
      <c r="AQ787"/>
      <c r="AR787"/>
      <c r="AS787"/>
      <c r="AT787" s="14"/>
      <c r="AU787"/>
      <c r="AV787"/>
      <c r="AW787"/>
      <c r="AX787" s="10"/>
      <c r="AY787" s="20"/>
      <c r="AZ787" s="16"/>
      <c r="BA787"/>
      <c r="BB787"/>
      <c r="BC787" s="16"/>
      <c r="BD787"/>
      <c r="BE787"/>
      <c r="BF787"/>
      <c r="BG787"/>
      <c r="BH787"/>
      <c r="BI787"/>
      <c r="BJ787"/>
      <c r="BK787"/>
      <c r="BL787"/>
      <c r="BM787"/>
      <c r="BN787" s="19"/>
      <c r="BO787"/>
      <c r="BP787"/>
      <c r="BQ787"/>
      <c r="BR787"/>
      <c r="BS787"/>
      <c r="BT787"/>
      <c r="BU787"/>
      <c r="BV787"/>
      <c r="BW787"/>
      <c r="BX787"/>
      <c r="BY787"/>
      <c r="BZ787"/>
      <c r="CA787"/>
      <c r="CB787"/>
      <c r="CC787"/>
      <c r="CD787"/>
      <c r="CE787"/>
      <c r="CF787"/>
      <c r="CG787"/>
      <c r="CH787"/>
      <c r="CI787"/>
      <c r="CJ787"/>
      <c r="CK787"/>
      <c r="CL787"/>
      <c r="CM787" s="20"/>
      <c r="CN787" s="20"/>
      <c r="CO787" s="20"/>
      <c r="CP787" s="20"/>
      <c r="CQ787" s="20"/>
      <c r="CR787" s="20"/>
      <c r="CS787" s="20"/>
      <c r="CT787" s="20"/>
      <c r="CU787" s="20"/>
      <c r="CV787" s="20"/>
      <c r="CW787" s="20"/>
      <c r="CX787" s="20"/>
      <c r="CY787" s="20"/>
    </row>
    <row r="788" spans="1:103" s="6" customFormat="1">
      <c r="A788"/>
      <c r="B788"/>
      <c r="C788"/>
      <c r="D788"/>
      <c r="E788"/>
      <c r="F788"/>
      <c r="G788"/>
      <c r="H788"/>
      <c r="I788"/>
      <c r="J788"/>
      <c r="N788" s="7"/>
      <c r="O788"/>
      <c r="P788" s="10"/>
      <c r="Q788" s="9"/>
      <c r="R788" s="10"/>
      <c r="S788" s="10"/>
      <c r="AA788" s="11"/>
      <c r="AD788"/>
      <c r="AE788"/>
      <c r="AF788"/>
      <c r="AG788"/>
      <c r="AH788" s="46"/>
      <c r="AI788"/>
      <c r="AJ788"/>
      <c r="AK788"/>
      <c r="AL788"/>
      <c r="AM788"/>
      <c r="AN788"/>
      <c r="AO788"/>
      <c r="AP788"/>
      <c r="AQ788"/>
      <c r="AR788"/>
      <c r="AS788"/>
      <c r="AT788" s="14"/>
      <c r="AU788"/>
      <c r="AV788"/>
      <c r="AW788"/>
      <c r="AX788" s="10"/>
      <c r="AY788" s="20"/>
      <c r="AZ788" s="16"/>
      <c r="BA788"/>
      <c r="BB788"/>
      <c r="BC788" s="16"/>
      <c r="BD788"/>
      <c r="BE788"/>
      <c r="BF788"/>
      <c r="BG788"/>
      <c r="BH788"/>
      <c r="BI788"/>
      <c r="BJ788"/>
      <c r="BK788"/>
      <c r="BL788"/>
      <c r="BM788"/>
      <c r="BN788" s="19"/>
      <c r="BO788"/>
      <c r="BP788"/>
      <c r="BQ788"/>
      <c r="BR788"/>
      <c r="BS788"/>
      <c r="BT788"/>
      <c r="BU788"/>
      <c r="BV788"/>
      <c r="BW788"/>
      <c r="BX788"/>
      <c r="BY788"/>
      <c r="BZ788"/>
      <c r="CA788"/>
      <c r="CB788"/>
      <c r="CC788"/>
      <c r="CD788"/>
      <c r="CE788"/>
      <c r="CF788"/>
      <c r="CG788"/>
      <c r="CH788"/>
      <c r="CI788"/>
      <c r="CJ788"/>
      <c r="CK788"/>
      <c r="CL788"/>
      <c r="CM788" s="20"/>
      <c r="CN788" s="20"/>
      <c r="CO788" s="20"/>
      <c r="CP788" s="20"/>
      <c r="CQ788" s="20"/>
      <c r="CR788" s="20"/>
      <c r="CS788" s="20"/>
      <c r="CT788" s="20"/>
      <c r="CU788" s="20"/>
      <c r="CV788" s="20"/>
      <c r="CW788" s="20"/>
      <c r="CX788" s="20"/>
      <c r="CY788" s="20"/>
    </row>
    <row r="789" spans="1:103" s="6" customFormat="1">
      <c r="A789"/>
      <c r="B789"/>
      <c r="C789"/>
      <c r="D789"/>
      <c r="E789"/>
      <c r="F789"/>
      <c r="G789"/>
      <c r="H789"/>
      <c r="I789"/>
      <c r="J789"/>
      <c r="N789" s="7"/>
      <c r="O789"/>
      <c r="P789" s="10"/>
      <c r="Q789" s="9"/>
      <c r="R789" s="10"/>
      <c r="S789" s="10"/>
      <c r="AA789" s="11"/>
      <c r="AD789"/>
      <c r="AE789"/>
      <c r="AF789"/>
      <c r="AG789"/>
      <c r="AH789" s="46"/>
      <c r="AI789"/>
      <c r="AJ789"/>
      <c r="AK789"/>
      <c r="AL789"/>
      <c r="AM789"/>
      <c r="AN789"/>
      <c r="AO789"/>
      <c r="AP789"/>
      <c r="AQ789"/>
      <c r="AR789"/>
      <c r="AS789"/>
      <c r="AT789" s="14"/>
      <c r="AU789"/>
      <c r="AV789"/>
      <c r="AW789"/>
      <c r="AX789" s="10"/>
      <c r="AY789" s="20"/>
      <c r="AZ789" s="16"/>
      <c r="BA789"/>
      <c r="BB789"/>
      <c r="BC789" s="16"/>
      <c r="BD789"/>
      <c r="BE789"/>
      <c r="BF789"/>
      <c r="BG789"/>
      <c r="BH789"/>
      <c r="BI789"/>
      <c r="BJ789"/>
      <c r="BK789"/>
      <c r="BL789"/>
      <c r="BM789"/>
      <c r="BN789" s="19"/>
      <c r="BO789"/>
      <c r="BP789"/>
      <c r="BQ789"/>
      <c r="BR789"/>
      <c r="BS789"/>
      <c r="BT789"/>
      <c r="BU789"/>
      <c r="BV789"/>
      <c r="BW789"/>
      <c r="BX789"/>
      <c r="BY789"/>
      <c r="BZ789"/>
      <c r="CA789"/>
      <c r="CB789"/>
      <c r="CC789"/>
      <c r="CD789"/>
      <c r="CE789"/>
      <c r="CF789"/>
      <c r="CG789"/>
      <c r="CH789"/>
      <c r="CI789"/>
      <c r="CJ789"/>
      <c r="CK789"/>
      <c r="CL789"/>
      <c r="CM789" s="20"/>
      <c r="CN789" s="20"/>
      <c r="CO789" s="20"/>
      <c r="CP789" s="20"/>
      <c r="CQ789" s="20"/>
      <c r="CR789" s="20"/>
      <c r="CS789" s="20"/>
      <c r="CT789" s="20"/>
      <c r="CU789" s="20"/>
      <c r="CV789" s="20"/>
      <c r="CW789" s="20"/>
      <c r="CX789" s="20"/>
      <c r="CY789" s="20"/>
    </row>
    <row r="790" spans="1:103" s="6" customFormat="1">
      <c r="A790"/>
      <c r="B790"/>
      <c r="C790"/>
      <c r="D790"/>
      <c r="E790"/>
      <c r="F790"/>
      <c r="G790"/>
      <c r="H790"/>
      <c r="I790"/>
      <c r="J790"/>
      <c r="N790" s="7"/>
      <c r="O790"/>
      <c r="P790" s="10"/>
      <c r="Q790" s="9"/>
      <c r="R790" s="10"/>
      <c r="S790" s="10"/>
      <c r="AA790" s="11"/>
      <c r="AD790"/>
      <c r="AE790"/>
      <c r="AF790"/>
      <c r="AG790"/>
      <c r="AH790" s="46"/>
      <c r="AI790"/>
      <c r="AJ790"/>
      <c r="AK790"/>
      <c r="AL790"/>
      <c r="AM790"/>
      <c r="AN790"/>
      <c r="AO790"/>
      <c r="AP790"/>
      <c r="AQ790"/>
      <c r="AR790"/>
      <c r="AS790"/>
      <c r="AT790" s="14"/>
      <c r="AU790"/>
      <c r="AV790"/>
      <c r="AW790"/>
      <c r="AX790" s="10"/>
      <c r="AY790" s="20"/>
      <c r="AZ790" s="16"/>
      <c r="BA790"/>
      <c r="BB790"/>
      <c r="BC790" s="16"/>
      <c r="BD790"/>
      <c r="BE790"/>
      <c r="BF790"/>
      <c r="BG790"/>
      <c r="BH790"/>
      <c r="BI790"/>
      <c r="BJ790"/>
      <c r="BK790"/>
      <c r="BL790"/>
      <c r="BM790"/>
      <c r="BN790" s="19"/>
      <c r="BO790"/>
      <c r="BP790"/>
      <c r="BQ790"/>
      <c r="BR790"/>
      <c r="BS790"/>
      <c r="BT790"/>
      <c r="BU790"/>
      <c r="BV790"/>
      <c r="BW790"/>
      <c r="BX790"/>
      <c r="BY790"/>
      <c r="BZ790"/>
      <c r="CA790"/>
      <c r="CB790"/>
      <c r="CC790"/>
      <c r="CD790"/>
      <c r="CE790"/>
      <c r="CF790"/>
      <c r="CG790"/>
      <c r="CH790"/>
      <c r="CI790"/>
      <c r="CJ790"/>
      <c r="CK790"/>
      <c r="CL790"/>
      <c r="CM790" s="20"/>
      <c r="CN790" s="20"/>
      <c r="CO790" s="20"/>
      <c r="CP790" s="20"/>
      <c r="CQ790" s="20"/>
      <c r="CR790" s="20"/>
      <c r="CS790" s="20"/>
      <c r="CT790" s="20"/>
      <c r="CU790" s="20"/>
      <c r="CV790" s="20"/>
      <c r="CW790" s="20"/>
      <c r="CX790" s="20"/>
      <c r="CY790" s="20"/>
    </row>
    <row r="791" spans="1:103" s="6" customFormat="1">
      <c r="A791"/>
      <c r="B791"/>
      <c r="C791"/>
      <c r="D791"/>
      <c r="E791"/>
      <c r="F791"/>
      <c r="G791"/>
      <c r="H791"/>
      <c r="I791"/>
      <c r="J791"/>
      <c r="N791" s="7"/>
      <c r="O791"/>
      <c r="P791" s="10"/>
      <c r="Q791" s="9"/>
      <c r="R791" s="10"/>
      <c r="S791" s="10"/>
      <c r="AA791" s="11"/>
      <c r="AD791"/>
      <c r="AE791"/>
      <c r="AF791"/>
      <c r="AG791"/>
      <c r="AH791" s="46"/>
      <c r="AI791"/>
      <c r="AJ791"/>
      <c r="AK791"/>
      <c r="AL791"/>
      <c r="AM791"/>
      <c r="AN791"/>
      <c r="AO791"/>
      <c r="AP791"/>
      <c r="AQ791"/>
      <c r="AR791"/>
      <c r="AS791"/>
      <c r="AT791" s="14"/>
      <c r="AU791"/>
      <c r="AV791"/>
      <c r="AW791"/>
      <c r="AX791" s="10"/>
      <c r="AY791" s="20"/>
      <c r="AZ791" s="16"/>
      <c r="BA791"/>
      <c r="BB791"/>
      <c r="BC791" s="16"/>
      <c r="BD791"/>
      <c r="BE791"/>
      <c r="BF791"/>
      <c r="BG791"/>
      <c r="BH791"/>
      <c r="BI791"/>
      <c r="BJ791"/>
      <c r="BK791"/>
      <c r="BL791"/>
      <c r="BM791"/>
      <c r="BN791" s="19"/>
      <c r="BO791"/>
      <c r="BP791"/>
      <c r="BQ791"/>
      <c r="BR791"/>
      <c r="BS791"/>
      <c r="BT791"/>
      <c r="BU791"/>
      <c r="BV791"/>
      <c r="BW791"/>
      <c r="BX791"/>
      <c r="BY791"/>
      <c r="BZ791"/>
      <c r="CA791"/>
      <c r="CB791"/>
      <c r="CC791"/>
      <c r="CD791"/>
      <c r="CE791"/>
      <c r="CF791"/>
      <c r="CG791"/>
      <c r="CH791"/>
      <c r="CI791"/>
      <c r="CJ791"/>
      <c r="CK791"/>
      <c r="CL791"/>
      <c r="CM791" s="20"/>
      <c r="CN791" s="20"/>
      <c r="CO791" s="20"/>
      <c r="CP791" s="20"/>
      <c r="CQ791" s="20"/>
      <c r="CR791" s="20"/>
      <c r="CS791" s="20"/>
      <c r="CT791" s="20"/>
      <c r="CU791" s="20"/>
      <c r="CV791" s="20"/>
      <c r="CW791" s="20"/>
      <c r="CX791" s="20"/>
      <c r="CY791" s="20"/>
    </row>
    <row r="792" spans="1:103" s="6" customFormat="1">
      <c r="A792"/>
      <c r="B792"/>
      <c r="C792"/>
      <c r="D792"/>
      <c r="E792"/>
      <c r="F792"/>
      <c r="G792"/>
      <c r="H792"/>
      <c r="I792"/>
      <c r="J792"/>
      <c r="N792" s="7"/>
      <c r="O792"/>
      <c r="P792" s="10"/>
      <c r="Q792" s="9"/>
      <c r="R792" s="10"/>
      <c r="S792" s="10"/>
      <c r="AA792" s="11"/>
      <c r="AD792"/>
      <c r="AE792"/>
      <c r="AF792"/>
      <c r="AG792"/>
      <c r="AH792" s="46"/>
      <c r="AI792"/>
      <c r="AJ792"/>
      <c r="AK792"/>
      <c r="AL792"/>
      <c r="AM792"/>
      <c r="AN792"/>
      <c r="AO792"/>
      <c r="AP792"/>
      <c r="AQ792"/>
      <c r="AR792"/>
      <c r="AS792"/>
      <c r="AT792" s="14"/>
      <c r="AU792"/>
      <c r="AV792"/>
      <c r="AW792"/>
      <c r="AX792" s="10"/>
      <c r="AY792" s="20"/>
      <c r="AZ792" s="16"/>
      <c r="BA792"/>
      <c r="BB792"/>
      <c r="BC792" s="16"/>
      <c r="BD792"/>
      <c r="BE792"/>
      <c r="BF792"/>
      <c r="BG792"/>
      <c r="BH792"/>
      <c r="BI792"/>
      <c r="BJ792"/>
      <c r="BK792"/>
      <c r="BL792"/>
      <c r="BM792"/>
      <c r="BN792" s="19"/>
      <c r="BO792"/>
      <c r="BP792"/>
      <c r="BQ792"/>
      <c r="BR792"/>
      <c r="BS792"/>
      <c r="BT792"/>
      <c r="BU792"/>
      <c r="BV792"/>
      <c r="BW792"/>
      <c r="BX792"/>
      <c r="BY792"/>
      <c r="BZ792"/>
      <c r="CA792"/>
      <c r="CB792"/>
      <c r="CC792"/>
      <c r="CD792"/>
      <c r="CE792"/>
      <c r="CF792"/>
      <c r="CG792"/>
      <c r="CH792"/>
      <c r="CI792"/>
      <c r="CJ792"/>
      <c r="CK792"/>
      <c r="CL792"/>
      <c r="CM792" s="20"/>
      <c r="CN792" s="20"/>
      <c r="CO792" s="20"/>
      <c r="CP792" s="20"/>
      <c r="CQ792" s="20"/>
      <c r="CR792" s="20"/>
      <c r="CS792" s="20"/>
      <c r="CT792" s="20"/>
      <c r="CU792" s="20"/>
      <c r="CV792" s="20"/>
      <c r="CW792" s="20"/>
      <c r="CX792" s="20"/>
      <c r="CY792" s="20"/>
    </row>
    <row r="793" spans="1:103" s="6" customFormat="1">
      <c r="A793"/>
      <c r="B793"/>
      <c r="C793"/>
      <c r="D793"/>
      <c r="E793"/>
      <c r="F793"/>
      <c r="G793"/>
      <c r="H793"/>
      <c r="I793"/>
      <c r="J793"/>
      <c r="N793" s="7"/>
      <c r="O793"/>
      <c r="P793" s="10"/>
      <c r="Q793" s="9"/>
      <c r="R793" s="10"/>
      <c r="S793" s="10"/>
      <c r="AA793" s="11"/>
      <c r="AD793"/>
      <c r="AE793"/>
      <c r="AF793"/>
      <c r="AG793"/>
      <c r="AH793" s="46"/>
      <c r="AI793"/>
      <c r="AJ793"/>
      <c r="AK793"/>
      <c r="AL793"/>
      <c r="AM793"/>
      <c r="AN793"/>
      <c r="AO793"/>
      <c r="AP793"/>
      <c r="AQ793"/>
      <c r="AR793"/>
      <c r="AS793"/>
      <c r="AT793" s="14"/>
      <c r="AU793"/>
      <c r="AV793"/>
      <c r="AW793"/>
      <c r="AX793" s="10"/>
      <c r="AY793" s="20"/>
      <c r="AZ793" s="16"/>
      <c r="BA793"/>
      <c r="BB793"/>
      <c r="BC793" s="16"/>
      <c r="BD793"/>
      <c r="BE793"/>
      <c r="BF793"/>
      <c r="BG793"/>
      <c r="BH793"/>
      <c r="BI793"/>
      <c r="BJ793"/>
      <c r="BK793"/>
      <c r="BL793"/>
      <c r="BM793"/>
      <c r="BN793" s="19"/>
      <c r="BO793"/>
      <c r="BP793"/>
      <c r="BQ793"/>
      <c r="BR793"/>
      <c r="BS793"/>
      <c r="BT793"/>
      <c r="BU793"/>
      <c r="BV793"/>
      <c r="BW793"/>
      <c r="BX793"/>
      <c r="BY793"/>
      <c r="BZ793"/>
      <c r="CA793"/>
      <c r="CB793"/>
      <c r="CC793"/>
      <c r="CD793"/>
      <c r="CE793"/>
      <c r="CF793"/>
      <c r="CG793"/>
      <c r="CH793"/>
      <c r="CI793"/>
      <c r="CJ793"/>
      <c r="CK793"/>
      <c r="CL793"/>
      <c r="CM793" s="20"/>
      <c r="CN793" s="20"/>
      <c r="CO793" s="20"/>
      <c r="CP793" s="20"/>
      <c r="CQ793" s="20"/>
      <c r="CR793" s="20"/>
      <c r="CS793" s="20"/>
      <c r="CT793" s="20"/>
      <c r="CU793" s="20"/>
      <c r="CV793" s="20"/>
      <c r="CW793" s="20"/>
      <c r="CX793" s="20"/>
      <c r="CY793" s="20"/>
    </row>
    <row r="794" spans="1:103" s="6" customFormat="1">
      <c r="A794"/>
      <c r="B794"/>
      <c r="C794"/>
      <c r="D794"/>
      <c r="E794"/>
      <c r="F794"/>
      <c r="G794"/>
      <c r="H794"/>
      <c r="I794"/>
      <c r="J794"/>
      <c r="N794" s="7"/>
      <c r="O794"/>
      <c r="P794" s="10"/>
      <c r="Q794" s="9"/>
      <c r="R794" s="10"/>
      <c r="S794" s="10"/>
      <c r="AA794" s="11"/>
      <c r="AD794"/>
      <c r="AE794"/>
      <c r="AF794"/>
      <c r="AG794"/>
      <c r="AH794" s="46"/>
      <c r="AI794"/>
      <c r="AJ794"/>
      <c r="AK794"/>
      <c r="AL794"/>
      <c r="AM794"/>
      <c r="AN794"/>
      <c r="AO794"/>
      <c r="AP794"/>
      <c r="AQ794"/>
      <c r="AR794"/>
      <c r="AS794"/>
      <c r="AT794" s="14"/>
      <c r="AU794"/>
      <c r="AV794"/>
      <c r="AW794"/>
      <c r="AX794" s="10"/>
      <c r="AY794" s="20"/>
      <c r="AZ794" s="16"/>
      <c r="BA794"/>
      <c r="BB794"/>
      <c r="BC794" s="16"/>
      <c r="BD794"/>
      <c r="BE794"/>
      <c r="BF794"/>
      <c r="BG794"/>
      <c r="BH794"/>
      <c r="BI794"/>
      <c r="BJ794"/>
      <c r="BK794"/>
      <c r="BL794"/>
      <c r="BM794"/>
      <c r="BN794" s="19"/>
      <c r="BO794"/>
      <c r="BP794"/>
      <c r="BQ794"/>
      <c r="BR794"/>
      <c r="BS794"/>
      <c r="BT794"/>
      <c r="BU794"/>
      <c r="BV794"/>
      <c r="BW794"/>
      <c r="BX794"/>
      <c r="BY794"/>
      <c r="BZ794"/>
      <c r="CA794"/>
      <c r="CB794"/>
      <c r="CC794"/>
      <c r="CD794"/>
      <c r="CE794"/>
      <c r="CF794"/>
      <c r="CG794"/>
      <c r="CH794"/>
      <c r="CI794"/>
      <c r="CJ794"/>
      <c r="CK794"/>
      <c r="CL794"/>
      <c r="CM794" s="20"/>
      <c r="CN794" s="20"/>
      <c r="CO794" s="20"/>
      <c r="CP794" s="20"/>
      <c r="CQ794" s="20"/>
      <c r="CR794" s="20"/>
      <c r="CS794" s="20"/>
      <c r="CT794" s="20"/>
      <c r="CU794" s="20"/>
      <c r="CV794" s="20"/>
      <c r="CW794" s="20"/>
      <c r="CX794" s="20"/>
      <c r="CY794" s="20"/>
    </row>
    <row r="795" spans="1:103" s="6" customFormat="1">
      <c r="A795"/>
      <c r="B795"/>
      <c r="C795"/>
      <c r="D795"/>
      <c r="E795"/>
      <c r="F795"/>
      <c r="G795"/>
      <c r="H795"/>
      <c r="I795"/>
      <c r="J795"/>
      <c r="N795" s="7"/>
      <c r="O795"/>
      <c r="P795" s="10"/>
      <c r="Q795" s="9"/>
      <c r="R795" s="10"/>
      <c r="S795" s="10"/>
      <c r="AA795" s="11"/>
      <c r="AD795"/>
      <c r="AE795"/>
      <c r="AF795"/>
      <c r="AG795"/>
      <c r="AH795" s="46"/>
      <c r="AI795"/>
      <c r="AJ795"/>
      <c r="AK795"/>
      <c r="AL795"/>
      <c r="AM795"/>
      <c r="AN795"/>
      <c r="AO795"/>
      <c r="AP795"/>
      <c r="AQ795"/>
      <c r="AR795"/>
      <c r="AS795"/>
      <c r="AT795" s="14"/>
      <c r="AU795"/>
      <c r="AV795"/>
      <c r="AW795"/>
      <c r="AX795" s="10"/>
      <c r="AY795" s="20"/>
      <c r="AZ795" s="16"/>
      <c r="BA795"/>
      <c r="BB795"/>
      <c r="BC795" s="16"/>
      <c r="BD795"/>
      <c r="BE795"/>
      <c r="BF795"/>
      <c r="BG795"/>
      <c r="BH795"/>
      <c r="BI795"/>
      <c r="BJ795"/>
      <c r="BK795"/>
      <c r="BL795"/>
      <c r="BM795"/>
      <c r="BN795" s="19"/>
      <c r="BO795"/>
      <c r="BP795"/>
      <c r="BQ795"/>
      <c r="BR795"/>
      <c r="BS795"/>
      <c r="BT795"/>
      <c r="BU795"/>
      <c r="BV795"/>
      <c r="BW795"/>
      <c r="BX795"/>
      <c r="BY795"/>
      <c r="BZ795"/>
      <c r="CA795"/>
      <c r="CB795"/>
      <c r="CC795"/>
      <c r="CD795"/>
      <c r="CE795"/>
      <c r="CF795"/>
      <c r="CG795"/>
      <c r="CH795"/>
      <c r="CI795"/>
      <c r="CJ795"/>
      <c r="CK795"/>
      <c r="CL795"/>
      <c r="CM795" s="20"/>
      <c r="CN795" s="20"/>
      <c r="CO795" s="20"/>
      <c r="CP795" s="20"/>
      <c r="CQ795" s="20"/>
      <c r="CR795" s="20"/>
      <c r="CS795" s="20"/>
      <c r="CT795" s="20"/>
      <c r="CU795" s="20"/>
      <c r="CV795" s="20"/>
      <c r="CW795" s="20"/>
      <c r="CX795" s="20"/>
      <c r="CY795" s="20"/>
    </row>
    <row r="796" spans="1:103" s="6" customFormat="1">
      <c r="A796"/>
      <c r="B796"/>
      <c r="C796"/>
      <c r="D796"/>
      <c r="E796"/>
      <c r="F796"/>
      <c r="G796"/>
      <c r="H796"/>
      <c r="I796"/>
      <c r="J796"/>
      <c r="N796" s="7"/>
      <c r="O796"/>
      <c r="P796" s="10"/>
      <c r="Q796" s="9"/>
      <c r="R796" s="10"/>
      <c r="S796" s="10"/>
      <c r="AA796" s="11"/>
      <c r="AD796"/>
      <c r="AE796"/>
      <c r="AF796"/>
      <c r="AG796"/>
      <c r="AH796" s="46"/>
      <c r="AI796"/>
      <c r="AJ796"/>
      <c r="AK796"/>
      <c r="AL796"/>
      <c r="AM796"/>
      <c r="AN796"/>
      <c r="AO796"/>
      <c r="AP796"/>
      <c r="AQ796"/>
      <c r="AR796"/>
      <c r="AS796"/>
      <c r="AT796" s="14"/>
      <c r="AU796"/>
      <c r="AV796"/>
      <c r="AW796"/>
      <c r="AX796" s="10"/>
      <c r="AY796" s="20"/>
      <c r="AZ796" s="16"/>
      <c r="BA796"/>
      <c r="BB796"/>
      <c r="BC796" s="16"/>
      <c r="BD796"/>
      <c r="BE796"/>
      <c r="BF796"/>
      <c r="BG796"/>
      <c r="BH796"/>
      <c r="BI796"/>
      <c r="BJ796"/>
      <c r="BK796"/>
      <c r="BL796"/>
      <c r="BM796"/>
      <c r="BN796" s="19"/>
      <c r="BO796"/>
      <c r="BP796"/>
      <c r="BQ796"/>
      <c r="BR796"/>
      <c r="BS796"/>
      <c r="BT796"/>
      <c r="BU796"/>
      <c r="BV796"/>
      <c r="BW796"/>
      <c r="BX796"/>
      <c r="BY796"/>
      <c r="BZ796"/>
      <c r="CA796"/>
      <c r="CB796"/>
      <c r="CC796"/>
      <c r="CD796"/>
      <c r="CE796"/>
      <c r="CF796"/>
      <c r="CG796"/>
      <c r="CH796"/>
      <c r="CI796"/>
      <c r="CJ796"/>
      <c r="CK796"/>
      <c r="CL796"/>
      <c r="CM796" s="20"/>
      <c r="CN796" s="20"/>
      <c r="CO796" s="20"/>
      <c r="CP796" s="20"/>
      <c r="CQ796" s="20"/>
      <c r="CR796" s="20"/>
      <c r="CS796" s="20"/>
      <c r="CT796" s="20"/>
      <c r="CU796" s="20"/>
      <c r="CV796" s="20"/>
      <c r="CW796" s="20"/>
      <c r="CX796" s="20"/>
      <c r="CY796" s="20"/>
    </row>
    <row r="797" spans="1:103" s="6" customFormat="1">
      <c r="A797"/>
      <c r="B797"/>
      <c r="C797"/>
      <c r="D797"/>
      <c r="E797"/>
      <c r="F797"/>
      <c r="G797"/>
      <c r="H797"/>
      <c r="I797"/>
      <c r="J797"/>
      <c r="N797" s="7"/>
      <c r="O797"/>
      <c r="P797" s="10"/>
      <c r="Q797" s="9"/>
      <c r="R797" s="10"/>
      <c r="S797" s="10"/>
      <c r="AA797" s="11"/>
      <c r="AD797"/>
      <c r="AE797"/>
      <c r="AF797"/>
      <c r="AG797"/>
      <c r="AH797" s="46"/>
      <c r="AI797"/>
      <c r="AJ797"/>
      <c r="AK797"/>
      <c r="AL797"/>
      <c r="AM797"/>
      <c r="AN797"/>
      <c r="AO797"/>
      <c r="AP797"/>
      <c r="AQ797"/>
      <c r="AR797"/>
      <c r="AS797"/>
      <c r="AT797" s="14"/>
      <c r="AU797"/>
      <c r="AV797"/>
      <c r="AW797"/>
      <c r="AX797" s="10"/>
      <c r="AY797" s="20"/>
      <c r="AZ797" s="16"/>
      <c r="BA797"/>
      <c r="BB797"/>
      <c r="BC797" s="16"/>
      <c r="BD797"/>
      <c r="BE797"/>
      <c r="BF797"/>
      <c r="BG797"/>
      <c r="BH797"/>
      <c r="BI797"/>
      <c r="BJ797"/>
      <c r="BK797"/>
      <c r="BL797"/>
      <c r="BM797"/>
      <c r="BN797" s="19"/>
      <c r="BO797"/>
      <c r="BP797"/>
      <c r="BQ797"/>
      <c r="BR797"/>
      <c r="BS797"/>
      <c r="BT797"/>
      <c r="BU797"/>
      <c r="BV797"/>
      <c r="BW797"/>
      <c r="BX797"/>
      <c r="BY797"/>
      <c r="BZ797"/>
      <c r="CA797"/>
      <c r="CB797"/>
      <c r="CC797"/>
      <c r="CD797"/>
      <c r="CE797"/>
      <c r="CF797"/>
      <c r="CG797"/>
      <c r="CH797"/>
      <c r="CI797"/>
      <c r="CJ797"/>
      <c r="CK797"/>
      <c r="CL797"/>
      <c r="CM797" s="20"/>
      <c r="CN797" s="20"/>
      <c r="CO797" s="20"/>
      <c r="CP797" s="20"/>
      <c r="CQ797" s="20"/>
      <c r="CR797" s="20"/>
      <c r="CS797" s="20"/>
      <c r="CT797" s="20"/>
      <c r="CU797" s="20"/>
      <c r="CV797" s="20"/>
      <c r="CW797" s="20"/>
      <c r="CX797" s="20"/>
      <c r="CY797" s="20"/>
    </row>
    <row r="798" spans="1:103" s="6" customFormat="1">
      <c r="A798"/>
      <c r="B798"/>
      <c r="C798"/>
      <c r="D798"/>
      <c r="E798"/>
      <c r="F798"/>
      <c r="G798"/>
      <c r="H798"/>
      <c r="I798"/>
      <c r="J798"/>
      <c r="N798" s="7"/>
      <c r="O798"/>
      <c r="P798" s="10"/>
      <c r="Q798" s="9"/>
      <c r="R798" s="10"/>
      <c r="S798" s="10"/>
      <c r="AA798" s="11"/>
      <c r="AD798"/>
      <c r="AE798"/>
      <c r="AF798"/>
      <c r="AG798"/>
      <c r="AH798" s="46"/>
      <c r="AI798"/>
      <c r="AJ798"/>
      <c r="AK798"/>
      <c r="AL798"/>
      <c r="AM798"/>
      <c r="AN798"/>
      <c r="AO798"/>
      <c r="AP798"/>
      <c r="AQ798"/>
      <c r="AR798"/>
      <c r="AS798"/>
      <c r="AT798" s="14"/>
      <c r="AU798"/>
      <c r="AV798"/>
      <c r="AW798"/>
      <c r="AX798" s="10"/>
      <c r="AY798" s="20"/>
      <c r="AZ798" s="16"/>
      <c r="BA798"/>
      <c r="BB798"/>
      <c r="BC798" s="16"/>
      <c r="BD798"/>
      <c r="BE798"/>
      <c r="BF798"/>
      <c r="BG798"/>
      <c r="BH798"/>
      <c r="BI798"/>
      <c r="BJ798"/>
      <c r="BK798"/>
      <c r="BL798"/>
      <c r="BM798"/>
      <c r="BN798" s="19"/>
      <c r="BO798"/>
      <c r="BP798"/>
      <c r="BQ798"/>
      <c r="BR798"/>
      <c r="BS798"/>
      <c r="BT798"/>
      <c r="BU798"/>
      <c r="BV798"/>
      <c r="BW798"/>
      <c r="BX798"/>
      <c r="BY798"/>
      <c r="BZ798"/>
      <c r="CA798"/>
      <c r="CB798"/>
      <c r="CC798"/>
      <c r="CD798"/>
      <c r="CE798"/>
      <c r="CF798"/>
      <c r="CG798"/>
      <c r="CH798"/>
      <c r="CI798"/>
      <c r="CJ798"/>
      <c r="CK798"/>
      <c r="CL798"/>
      <c r="CM798" s="20"/>
      <c r="CN798" s="20"/>
      <c r="CO798" s="20"/>
      <c r="CP798" s="20"/>
      <c r="CQ798" s="20"/>
      <c r="CR798" s="20"/>
      <c r="CS798" s="20"/>
      <c r="CT798" s="20"/>
      <c r="CU798" s="20"/>
      <c r="CV798" s="20"/>
      <c r="CW798" s="20"/>
      <c r="CX798" s="20"/>
      <c r="CY798" s="20"/>
    </row>
    <row r="799" spans="1:103" s="6" customFormat="1">
      <c r="A799"/>
      <c r="B799"/>
      <c r="C799"/>
      <c r="D799"/>
      <c r="E799"/>
      <c r="F799"/>
      <c r="G799"/>
      <c r="H799"/>
      <c r="I799"/>
      <c r="J799"/>
      <c r="N799" s="7"/>
      <c r="O799"/>
      <c r="P799" s="10"/>
      <c r="Q799" s="9"/>
      <c r="R799" s="10"/>
      <c r="S799" s="10"/>
      <c r="AA799" s="11"/>
      <c r="AD799"/>
      <c r="AE799"/>
      <c r="AF799"/>
      <c r="AG799"/>
      <c r="AH799" s="46"/>
      <c r="AI799"/>
      <c r="AJ799"/>
      <c r="AK799"/>
      <c r="AL799"/>
      <c r="AM799"/>
      <c r="AN799"/>
      <c r="AO799"/>
      <c r="AP799"/>
      <c r="AQ799"/>
      <c r="AR799"/>
      <c r="AS799"/>
      <c r="AT799" s="14"/>
      <c r="AU799"/>
      <c r="AV799"/>
      <c r="AW799"/>
      <c r="AX799" s="10"/>
      <c r="AY799" s="20"/>
      <c r="AZ799" s="16"/>
      <c r="BA799"/>
      <c r="BB799"/>
      <c r="BC799" s="16"/>
      <c r="BD799"/>
      <c r="BE799"/>
      <c r="BF799"/>
      <c r="BG799"/>
      <c r="BH799"/>
      <c r="BI799"/>
      <c r="BJ799"/>
      <c r="BK799"/>
      <c r="BL799"/>
      <c r="BM799"/>
      <c r="BN799" s="19"/>
      <c r="BO799"/>
      <c r="BP799"/>
      <c r="BQ799"/>
      <c r="BR799"/>
      <c r="BS799"/>
      <c r="BT799"/>
      <c r="BU799"/>
      <c r="BV799"/>
      <c r="BW799"/>
      <c r="BX799"/>
      <c r="BY799"/>
      <c r="BZ799"/>
      <c r="CA799"/>
      <c r="CB799"/>
      <c r="CC799"/>
      <c r="CD799"/>
      <c r="CE799"/>
      <c r="CF799"/>
      <c r="CG799"/>
      <c r="CH799"/>
      <c r="CI799"/>
      <c r="CJ799"/>
      <c r="CK799"/>
      <c r="CL799"/>
      <c r="CM799" s="20"/>
      <c r="CN799" s="20"/>
      <c r="CO799" s="20"/>
      <c r="CP799" s="20"/>
      <c r="CQ799" s="20"/>
      <c r="CR799" s="20"/>
      <c r="CS799" s="20"/>
      <c r="CT799" s="20"/>
      <c r="CU799" s="20"/>
      <c r="CV799" s="20"/>
      <c r="CW799" s="20"/>
      <c r="CX799" s="20"/>
      <c r="CY799" s="20"/>
    </row>
    <row r="800" spans="1:103" s="6" customFormat="1">
      <c r="A800"/>
      <c r="B800"/>
      <c r="C800"/>
      <c r="D800"/>
      <c r="E800"/>
      <c r="F800"/>
      <c r="G800"/>
      <c r="H800"/>
      <c r="I800"/>
      <c r="J800"/>
      <c r="N800" s="7"/>
      <c r="O800"/>
      <c r="P800" s="10"/>
      <c r="Q800" s="9"/>
      <c r="R800" s="10"/>
      <c r="S800" s="10"/>
      <c r="AA800" s="11"/>
      <c r="AD800"/>
      <c r="AE800"/>
      <c r="AF800"/>
      <c r="AG800"/>
      <c r="AH800" s="46"/>
      <c r="AI800"/>
      <c r="AJ800"/>
      <c r="AK800"/>
      <c r="AL800"/>
      <c r="AM800"/>
      <c r="AN800"/>
      <c r="AO800"/>
      <c r="AP800"/>
      <c r="AQ800"/>
      <c r="AR800"/>
      <c r="AS800"/>
      <c r="AT800" s="14"/>
      <c r="AU800"/>
      <c r="AV800"/>
      <c r="AW800"/>
      <c r="AX800" s="10"/>
      <c r="AY800" s="20"/>
      <c r="AZ800" s="16"/>
      <c r="BA800"/>
      <c r="BB800"/>
      <c r="BC800" s="16"/>
      <c r="BD800"/>
      <c r="BE800"/>
      <c r="BF800"/>
      <c r="BG800"/>
      <c r="BH800"/>
      <c r="BI800"/>
      <c r="BJ800"/>
      <c r="BK800"/>
      <c r="BL800"/>
      <c r="BM800"/>
      <c r="BN800" s="19"/>
      <c r="BO800"/>
      <c r="BP800"/>
      <c r="BQ800"/>
      <c r="BR800"/>
      <c r="BS800"/>
      <c r="BT800"/>
      <c r="BU800"/>
      <c r="BV800"/>
      <c r="BW800"/>
      <c r="BX800"/>
      <c r="BY800"/>
      <c r="BZ800"/>
      <c r="CA800"/>
      <c r="CB800"/>
      <c r="CC800"/>
      <c r="CD800"/>
      <c r="CE800"/>
      <c r="CF800"/>
      <c r="CG800"/>
      <c r="CH800"/>
      <c r="CI800"/>
      <c r="CJ800"/>
      <c r="CK800"/>
      <c r="CL800"/>
      <c r="CM800" s="20"/>
      <c r="CN800" s="20"/>
      <c r="CO800" s="20"/>
      <c r="CP800" s="20"/>
      <c r="CQ800" s="20"/>
      <c r="CR800" s="20"/>
      <c r="CS800" s="20"/>
      <c r="CT800" s="20"/>
      <c r="CU800" s="20"/>
      <c r="CV800" s="20"/>
      <c r="CW800" s="20"/>
      <c r="CX800" s="20"/>
      <c r="CY800" s="20"/>
    </row>
    <row r="801" spans="1:103" s="6" customFormat="1">
      <c r="A801"/>
      <c r="B801"/>
      <c r="C801"/>
      <c r="D801"/>
      <c r="E801"/>
      <c r="F801"/>
      <c r="G801"/>
      <c r="H801"/>
      <c r="I801"/>
      <c r="J801"/>
      <c r="N801" s="7"/>
      <c r="O801"/>
      <c r="P801" s="10"/>
      <c r="Q801" s="9"/>
      <c r="R801" s="10"/>
      <c r="S801" s="10"/>
      <c r="AA801" s="11"/>
      <c r="AD801"/>
      <c r="AE801"/>
      <c r="AF801"/>
      <c r="AG801"/>
      <c r="AH801" s="46"/>
      <c r="AI801"/>
      <c r="AJ801"/>
      <c r="AK801"/>
      <c r="AL801"/>
      <c r="AM801"/>
      <c r="AN801"/>
      <c r="AO801"/>
      <c r="AP801"/>
      <c r="AQ801"/>
      <c r="AR801"/>
      <c r="AS801"/>
      <c r="AT801" s="14"/>
      <c r="AU801"/>
      <c r="AV801"/>
      <c r="AW801"/>
      <c r="AX801" s="10"/>
      <c r="AY801" s="20"/>
      <c r="AZ801" s="16"/>
      <c r="BA801"/>
      <c r="BB801"/>
      <c r="BC801" s="16"/>
      <c r="BD801"/>
      <c r="BE801"/>
      <c r="BF801"/>
      <c r="BG801"/>
      <c r="BH801"/>
      <c r="BI801"/>
      <c r="BJ801"/>
      <c r="BK801"/>
      <c r="BL801"/>
      <c r="BM801"/>
      <c r="BN801" s="19"/>
      <c r="BO801"/>
      <c r="BP801"/>
      <c r="BQ801"/>
      <c r="BR801"/>
      <c r="BS801"/>
      <c r="BT801"/>
      <c r="BU801"/>
      <c r="BV801"/>
      <c r="BW801"/>
      <c r="BX801"/>
      <c r="BY801"/>
      <c r="BZ801"/>
      <c r="CA801"/>
      <c r="CB801"/>
      <c r="CC801"/>
      <c r="CD801"/>
      <c r="CE801"/>
      <c r="CF801"/>
      <c r="CG801"/>
      <c r="CH801"/>
      <c r="CI801"/>
      <c r="CJ801"/>
      <c r="CK801"/>
      <c r="CL801"/>
      <c r="CM801" s="20"/>
      <c r="CN801" s="20"/>
      <c r="CO801" s="20"/>
      <c r="CP801" s="20"/>
      <c r="CQ801" s="20"/>
      <c r="CR801" s="20"/>
      <c r="CS801" s="20"/>
      <c r="CT801" s="20"/>
      <c r="CU801" s="20"/>
      <c r="CV801" s="20"/>
      <c r="CW801" s="20"/>
      <c r="CX801" s="20"/>
      <c r="CY801" s="20"/>
    </row>
    <row r="802" spans="1:103" s="6" customFormat="1">
      <c r="A802"/>
      <c r="B802"/>
      <c r="C802"/>
      <c r="D802"/>
      <c r="E802"/>
      <c r="F802"/>
      <c r="G802"/>
      <c r="H802"/>
      <c r="I802"/>
      <c r="J802"/>
      <c r="N802" s="7"/>
      <c r="O802"/>
      <c r="P802" s="10"/>
      <c r="Q802" s="9"/>
      <c r="R802" s="10"/>
      <c r="S802" s="10"/>
      <c r="AA802" s="11"/>
      <c r="AD802"/>
      <c r="AE802"/>
      <c r="AF802"/>
      <c r="AG802"/>
      <c r="AH802" s="46"/>
      <c r="AI802"/>
      <c r="AJ802"/>
      <c r="AK802"/>
      <c r="AL802"/>
      <c r="AM802"/>
      <c r="AN802"/>
      <c r="AO802"/>
      <c r="AP802"/>
      <c r="AQ802"/>
      <c r="AR802"/>
      <c r="AS802"/>
      <c r="AT802" s="14"/>
      <c r="AU802"/>
      <c r="AV802"/>
      <c r="AW802"/>
      <c r="AX802" s="10"/>
      <c r="AY802" s="20"/>
      <c r="AZ802" s="16"/>
      <c r="BA802"/>
      <c r="BB802"/>
      <c r="BC802" s="16"/>
      <c r="BD802"/>
      <c r="BE802"/>
      <c r="BF802"/>
      <c r="BG802"/>
      <c r="BH802"/>
      <c r="BI802"/>
      <c r="BJ802"/>
      <c r="BK802"/>
      <c r="BL802"/>
      <c r="BM802"/>
      <c r="BN802" s="19"/>
      <c r="BO802"/>
      <c r="BP802"/>
      <c r="BQ802"/>
      <c r="BR802"/>
      <c r="BS802"/>
      <c r="BT802"/>
      <c r="BU802"/>
      <c r="BV802"/>
      <c r="BW802"/>
      <c r="BX802"/>
      <c r="BY802"/>
      <c r="BZ802"/>
      <c r="CA802"/>
      <c r="CB802"/>
      <c r="CC802"/>
      <c r="CD802"/>
      <c r="CE802"/>
      <c r="CF802"/>
      <c r="CG802"/>
      <c r="CH802"/>
      <c r="CI802"/>
      <c r="CJ802"/>
      <c r="CK802"/>
      <c r="CL802"/>
      <c r="CM802" s="20"/>
      <c r="CN802" s="20"/>
      <c r="CO802" s="20"/>
      <c r="CP802" s="20"/>
      <c r="CQ802" s="20"/>
      <c r="CR802" s="20"/>
      <c r="CS802" s="20"/>
      <c r="CT802" s="20"/>
      <c r="CU802" s="20"/>
      <c r="CV802" s="20"/>
      <c r="CW802" s="20"/>
      <c r="CX802" s="20"/>
      <c r="CY802" s="20"/>
    </row>
    <row r="803" spans="1:103" s="6" customFormat="1">
      <c r="A803"/>
      <c r="B803"/>
      <c r="C803"/>
      <c r="D803"/>
      <c r="E803"/>
      <c r="F803"/>
      <c r="G803"/>
      <c r="H803"/>
      <c r="I803"/>
      <c r="J803"/>
      <c r="N803" s="7"/>
      <c r="O803"/>
      <c r="P803" s="10"/>
      <c r="Q803" s="9"/>
      <c r="R803" s="10"/>
      <c r="S803" s="10"/>
      <c r="AA803" s="11"/>
      <c r="AD803"/>
      <c r="AE803"/>
      <c r="AF803"/>
      <c r="AG803"/>
      <c r="AH803" s="46"/>
      <c r="AI803"/>
      <c r="AJ803"/>
      <c r="AK803"/>
      <c r="AL803"/>
      <c r="AM803"/>
      <c r="AN803"/>
      <c r="AO803"/>
      <c r="AP803"/>
      <c r="AQ803"/>
      <c r="AR803"/>
      <c r="AS803"/>
      <c r="AT803" s="14"/>
      <c r="AU803"/>
      <c r="AV803"/>
      <c r="AW803"/>
      <c r="AX803" s="10"/>
      <c r="AY803" s="20"/>
      <c r="AZ803" s="16"/>
      <c r="BA803"/>
      <c r="BB803"/>
      <c r="BC803" s="16"/>
      <c r="BD803"/>
      <c r="BE803"/>
      <c r="BF803"/>
      <c r="BG803"/>
      <c r="BH803"/>
      <c r="BI803"/>
      <c r="BJ803"/>
      <c r="BK803"/>
      <c r="BL803"/>
      <c r="BM803"/>
      <c r="BN803" s="19"/>
      <c r="BO803"/>
      <c r="BP803"/>
      <c r="BQ803"/>
      <c r="BR803"/>
      <c r="BS803"/>
      <c r="BT803"/>
      <c r="BU803"/>
      <c r="BV803"/>
      <c r="BW803"/>
      <c r="BX803"/>
      <c r="BY803"/>
      <c r="BZ803"/>
      <c r="CA803"/>
      <c r="CB803"/>
      <c r="CC803"/>
      <c r="CD803"/>
      <c r="CE803"/>
      <c r="CF803"/>
      <c r="CG803"/>
      <c r="CH803"/>
      <c r="CI803"/>
      <c r="CJ803"/>
      <c r="CK803"/>
      <c r="CL803"/>
      <c r="CM803" s="20"/>
      <c r="CN803" s="20"/>
      <c r="CO803" s="20"/>
      <c r="CP803" s="20"/>
      <c r="CQ803" s="20"/>
      <c r="CR803" s="20"/>
      <c r="CS803" s="20"/>
      <c r="CT803" s="20"/>
      <c r="CU803" s="20"/>
      <c r="CV803" s="20"/>
      <c r="CW803" s="20"/>
      <c r="CX803" s="20"/>
      <c r="CY803" s="20"/>
    </row>
    <row r="804" spans="1:103" s="6" customFormat="1">
      <c r="A804"/>
      <c r="B804"/>
      <c r="C804"/>
      <c r="D804"/>
      <c r="E804"/>
      <c r="F804"/>
      <c r="G804"/>
      <c r="H804"/>
      <c r="I804"/>
      <c r="J804"/>
      <c r="N804" s="7"/>
      <c r="O804"/>
      <c r="P804" s="10"/>
      <c r="Q804" s="9"/>
      <c r="R804" s="10"/>
      <c r="S804" s="10"/>
      <c r="AA804" s="11"/>
      <c r="AD804"/>
      <c r="AE804"/>
      <c r="AF804"/>
      <c r="AG804"/>
      <c r="AH804" s="46"/>
      <c r="AI804"/>
      <c r="AJ804"/>
      <c r="AK804"/>
      <c r="AL804"/>
      <c r="AM804"/>
      <c r="AN804"/>
      <c r="AO804"/>
      <c r="AP804"/>
      <c r="AQ804"/>
      <c r="AR804"/>
      <c r="AS804"/>
      <c r="AT804" s="14"/>
      <c r="AU804"/>
      <c r="AV804"/>
      <c r="AW804"/>
      <c r="AX804" s="10"/>
      <c r="AY804" s="20"/>
      <c r="AZ804" s="16"/>
      <c r="BA804"/>
      <c r="BB804"/>
      <c r="BC804" s="16"/>
      <c r="BD804"/>
      <c r="BE804"/>
      <c r="BF804"/>
      <c r="BG804"/>
      <c r="BH804"/>
      <c r="BI804"/>
      <c r="BJ804"/>
      <c r="BK804"/>
      <c r="BL804"/>
      <c r="BM804"/>
      <c r="BN804" s="19"/>
      <c r="BO804"/>
      <c r="BP804"/>
      <c r="BQ804"/>
      <c r="BR804"/>
      <c r="BS804"/>
      <c r="BT804"/>
      <c r="BU804"/>
      <c r="BV804"/>
      <c r="BW804"/>
      <c r="BX804"/>
      <c r="BY804"/>
      <c r="BZ804"/>
      <c r="CA804"/>
      <c r="CB804"/>
      <c r="CC804"/>
      <c r="CD804"/>
      <c r="CE804"/>
      <c r="CF804"/>
      <c r="CG804"/>
      <c r="CH804"/>
      <c r="CI804"/>
      <c r="CJ804"/>
      <c r="CK804"/>
      <c r="CL804"/>
      <c r="CM804" s="20"/>
      <c r="CN804" s="20"/>
      <c r="CO804" s="20"/>
      <c r="CP804" s="20"/>
      <c r="CQ804" s="20"/>
      <c r="CR804" s="20"/>
      <c r="CS804" s="20"/>
      <c r="CT804" s="20"/>
      <c r="CU804" s="20"/>
      <c r="CV804" s="20"/>
      <c r="CW804" s="20"/>
      <c r="CX804" s="20"/>
      <c r="CY804" s="20"/>
    </row>
    <row r="805" spans="1:103" s="6" customFormat="1">
      <c r="A805"/>
      <c r="B805"/>
      <c r="C805"/>
      <c r="D805"/>
      <c r="E805"/>
      <c r="F805"/>
      <c r="G805"/>
      <c r="H805"/>
      <c r="I805"/>
      <c r="J805"/>
      <c r="N805" s="7"/>
      <c r="O805"/>
      <c r="P805" s="10"/>
      <c r="Q805" s="9"/>
      <c r="R805" s="10"/>
      <c r="S805" s="10"/>
      <c r="AA805" s="11"/>
      <c r="AD805"/>
      <c r="AE805"/>
      <c r="AF805"/>
      <c r="AG805"/>
      <c r="AH805" s="46"/>
      <c r="AI805"/>
      <c r="AJ805"/>
      <c r="AK805"/>
      <c r="AL805"/>
      <c r="AM805"/>
      <c r="AN805"/>
      <c r="AO805"/>
      <c r="AP805"/>
      <c r="AQ805"/>
      <c r="AR805"/>
      <c r="AS805"/>
      <c r="AT805" s="14"/>
      <c r="AU805"/>
      <c r="AV805"/>
      <c r="AW805"/>
      <c r="AX805" s="10"/>
      <c r="AY805" s="20"/>
      <c r="AZ805" s="16"/>
      <c r="BA805"/>
      <c r="BB805"/>
      <c r="BC805" s="16"/>
      <c r="BD805"/>
      <c r="BE805"/>
      <c r="BF805"/>
      <c r="BG805"/>
      <c r="BH805"/>
      <c r="BI805"/>
      <c r="BJ805"/>
      <c r="BK805"/>
      <c r="BL805"/>
      <c r="BM805"/>
      <c r="BN805" s="19"/>
      <c r="BO805"/>
      <c r="BP805"/>
      <c r="BQ805"/>
      <c r="BR805"/>
      <c r="BS805"/>
      <c r="BT805"/>
      <c r="BU805"/>
      <c r="BV805"/>
      <c r="BW805"/>
      <c r="BX805"/>
      <c r="BY805"/>
      <c r="BZ805"/>
      <c r="CA805"/>
      <c r="CB805"/>
      <c r="CC805"/>
      <c r="CD805"/>
      <c r="CE805"/>
      <c r="CF805"/>
      <c r="CG805"/>
      <c r="CH805"/>
      <c r="CI805"/>
      <c r="CJ805"/>
      <c r="CK805"/>
      <c r="CL805"/>
      <c r="CM805" s="20"/>
      <c r="CN805" s="20"/>
      <c r="CO805" s="20"/>
      <c r="CP805" s="20"/>
      <c r="CQ805" s="20"/>
      <c r="CR805" s="20"/>
      <c r="CS805" s="20"/>
      <c r="CT805" s="20"/>
      <c r="CU805" s="20"/>
      <c r="CV805" s="20"/>
      <c r="CW805" s="20"/>
      <c r="CX805" s="20"/>
      <c r="CY805" s="20"/>
    </row>
    <row r="806" spans="1:103" s="6" customFormat="1">
      <c r="A806"/>
      <c r="B806"/>
      <c r="C806"/>
      <c r="D806"/>
      <c r="E806"/>
      <c r="F806"/>
      <c r="G806"/>
      <c r="H806"/>
      <c r="I806"/>
      <c r="J806"/>
      <c r="N806" s="7"/>
      <c r="O806"/>
      <c r="P806" s="10"/>
      <c r="Q806" s="9"/>
      <c r="R806" s="10"/>
      <c r="S806" s="10"/>
      <c r="AA806" s="11"/>
      <c r="AD806"/>
      <c r="AE806"/>
      <c r="AF806"/>
      <c r="AG806"/>
      <c r="AH806" s="46"/>
      <c r="AI806"/>
      <c r="AJ806"/>
      <c r="AK806"/>
      <c r="AL806"/>
      <c r="AM806"/>
      <c r="AN806"/>
      <c r="AO806"/>
      <c r="AP806"/>
      <c r="AQ806"/>
      <c r="AR806"/>
      <c r="AS806"/>
      <c r="AT806" s="14"/>
      <c r="AU806"/>
      <c r="AV806"/>
      <c r="AW806"/>
      <c r="AX806" s="10"/>
      <c r="AY806" s="20"/>
      <c r="AZ806" s="16"/>
      <c r="BA806"/>
      <c r="BB806"/>
      <c r="BC806" s="16"/>
      <c r="BD806"/>
      <c r="BE806"/>
      <c r="BF806"/>
      <c r="BG806"/>
      <c r="BH806"/>
      <c r="BI806"/>
      <c r="BJ806"/>
      <c r="BK806"/>
      <c r="BL806"/>
      <c r="BM806"/>
      <c r="BN806" s="19"/>
      <c r="BO806"/>
      <c r="BP806"/>
      <c r="BQ806"/>
      <c r="BR806"/>
      <c r="BS806"/>
      <c r="BT806"/>
      <c r="BU806"/>
      <c r="BV806"/>
      <c r="BW806"/>
      <c r="BX806"/>
      <c r="BY806"/>
      <c r="BZ806"/>
      <c r="CA806"/>
      <c r="CB806"/>
      <c r="CC806"/>
      <c r="CD806"/>
      <c r="CE806"/>
      <c r="CF806"/>
      <c r="CG806"/>
      <c r="CH806"/>
      <c r="CI806"/>
      <c r="CJ806"/>
      <c r="CK806"/>
      <c r="CL806"/>
      <c r="CM806" s="20"/>
      <c r="CN806" s="20"/>
      <c r="CO806" s="20"/>
      <c r="CP806" s="20"/>
      <c r="CQ806" s="20"/>
      <c r="CR806" s="20"/>
      <c r="CS806" s="20"/>
      <c r="CT806" s="20"/>
      <c r="CU806" s="20"/>
      <c r="CV806" s="20"/>
      <c r="CW806" s="20"/>
      <c r="CX806" s="20"/>
      <c r="CY806" s="20"/>
    </row>
    <row r="807" spans="1:103" s="6" customFormat="1">
      <c r="A807"/>
      <c r="B807"/>
      <c r="C807"/>
      <c r="D807"/>
      <c r="E807"/>
      <c r="F807"/>
      <c r="G807"/>
      <c r="H807"/>
      <c r="I807"/>
      <c r="J807"/>
      <c r="N807" s="7"/>
      <c r="O807"/>
      <c r="P807" s="10"/>
      <c r="Q807" s="9"/>
      <c r="R807" s="10"/>
      <c r="S807" s="10"/>
      <c r="AA807" s="11"/>
      <c r="AD807"/>
      <c r="AE807"/>
      <c r="AF807"/>
      <c r="AG807"/>
      <c r="AH807" s="46"/>
      <c r="AI807"/>
      <c r="AJ807"/>
      <c r="AK807"/>
      <c r="AL807"/>
      <c r="AM807"/>
      <c r="AN807"/>
      <c r="AO807"/>
      <c r="AP807"/>
      <c r="AQ807"/>
      <c r="AR807"/>
      <c r="AS807"/>
      <c r="AT807" s="14"/>
      <c r="AU807"/>
      <c r="AV807"/>
      <c r="AW807"/>
      <c r="AX807" s="10"/>
      <c r="AY807" s="20"/>
      <c r="AZ807" s="16"/>
      <c r="BA807"/>
      <c r="BB807"/>
      <c r="BC807" s="16"/>
      <c r="BD807"/>
      <c r="BE807"/>
      <c r="BF807"/>
      <c r="BG807"/>
      <c r="BH807"/>
      <c r="BI807"/>
      <c r="BJ807"/>
      <c r="BK807"/>
      <c r="BL807"/>
      <c r="BM807"/>
      <c r="BN807" s="19"/>
      <c r="BO807"/>
      <c r="BP807"/>
      <c r="BQ807"/>
      <c r="BR807"/>
      <c r="BS807"/>
      <c r="BT807"/>
      <c r="BU807"/>
      <c r="BV807"/>
      <c r="BW807"/>
      <c r="BX807"/>
      <c r="BY807"/>
      <c r="BZ807"/>
      <c r="CA807"/>
      <c r="CB807"/>
      <c r="CC807"/>
      <c r="CD807"/>
      <c r="CE807"/>
      <c r="CF807"/>
      <c r="CG807"/>
      <c r="CH807"/>
      <c r="CI807"/>
      <c r="CJ807"/>
      <c r="CK807"/>
      <c r="CL807"/>
      <c r="CM807" s="20"/>
      <c r="CN807" s="20"/>
      <c r="CO807" s="20"/>
      <c r="CP807" s="20"/>
      <c r="CQ807" s="20"/>
      <c r="CR807" s="20"/>
      <c r="CS807" s="20"/>
      <c r="CT807" s="20"/>
      <c r="CU807" s="20"/>
      <c r="CV807" s="20"/>
      <c r="CW807" s="20"/>
      <c r="CX807" s="20"/>
      <c r="CY807" s="20"/>
    </row>
    <row r="808" spans="1:103" s="6" customFormat="1">
      <c r="A808"/>
      <c r="B808"/>
      <c r="C808"/>
      <c r="D808"/>
      <c r="E808"/>
      <c r="F808"/>
      <c r="G808"/>
      <c r="H808"/>
      <c r="I808"/>
      <c r="J808"/>
      <c r="N808" s="7"/>
      <c r="O808"/>
      <c r="P808" s="10"/>
      <c r="Q808" s="9"/>
      <c r="R808" s="10"/>
      <c r="S808" s="10"/>
      <c r="AA808" s="11"/>
      <c r="AD808"/>
      <c r="AE808"/>
      <c r="AF808"/>
      <c r="AG808"/>
      <c r="AH808" s="46"/>
      <c r="AI808"/>
      <c r="AJ808"/>
      <c r="AK808"/>
      <c r="AL808"/>
      <c r="AM808"/>
      <c r="AN808"/>
      <c r="AO808"/>
      <c r="AP808"/>
      <c r="AQ808"/>
      <c r="AR808"/>
      <c r="AS808"/>
      <c r="AT808" s="14"/>
      <c r="AU808"/>
      <c r="AV808"/>
      <c r="AW808"/>
      <c r="AX808" s="10"/>
      <c r="AY808" s="20"/>
      <c r="AZ808" s="16"/>
      <c r="BA808"/>
      <c r="BB808"/>
      <c r="BC808" s="16"/>
      <c r="BD808"/>
      <c r="BE808"/>
      <c r="BF808"/>
      <c r="BG808"/>
      <c r="BH808"/>
      <c r="BI808"/>
      <c r="BJ808"/>
      <c r="BK808"/>
      <c r="BL808"/>
      <c r="BM808"/>
      <c r="BN808" s="19"/>
      <c r="BO808"/>
      <c r="BP808"/>
      <c r="BQ808"/>
      <c r="BR808"/>
      <c r="BS808"/>
      <c r="BT808"/>
      <c r="BU808"/>
      <c r="BV808"/>
      <c r="BW808"/>
      <c r="BX808"/>
      <c r="BY808"/>
      <c r="BZ808"/>
      <c r="CA808"/>
      <c r="CB808"/>
      <c r="CC808"/>
      <c r="CD808"/>
      <c r="CE808"/>
      <c r="CF808"/>
      <c r="CG808"/>
      <c r="CH808"/>
      <c r="CI808"/>
      <c r="CJ808"/>
      <c r="CK808"/>
      <c r="CL808"/>
      <c r="CM808" s="20"/>
      <c r="CN808" s="20"/>
      <c r="CO808" s="20"/>
      <c r="CP808" s="20"/>
      <c r="CQ808" s="20"/>
      <c r="CR808" s="20"/>
      <c r="CS808" s="20"/>
      <c r="CT808" s="20"/>
      <c r="CU808" s="20"/>
      <c r="CV808" s="20"/>
      <c r="CW808" s="20"/>
      <c r="CX808" s="20"/>
      <c r="CY808" s="20"/>
    </row>
    <row r="809" spans="1:103" s="6" customFormat="1">
      <c r="A809"/>
      <c r="B809"/>
      <c r="C809"/>
      <c r="D809"/>
      <c r="E809"/>
      <c r="F809"/>
      <c r="G809"/>
      <c r="H809"/>
      <c r="I809"/>
      <c r="J809"/>
      <c r="N809" s="7"/>
      <c r="O809"/>
      <c r="P809" s="10"/>
      <c r="Q809" s="9"/>
      <c r="R809" s="10"/>
      <c r="S809" s="10"/>
      <c r="AA809" s="11"/>
      <c r="AD809"/>
      <c r="AE809"/>
      <c r="AF809"/>
      <c r="AG809"/>
      <c r="AH809" s="46"/>
      <c r="AI809"/>
      <c r="AJ809"/>
      <c r="AK809"/>
      <c r="AL809"/>
      <c r="AM809"/>
      <c r="AN809"/>
      <c r="AO809"/>
      <c r="AP809"/>
      <c r="AQ809"/>
      <c r="AR809"/>
      <c r="AS809"/>
      <c r="AT809" s="14"/>
      <c r="AU809"/>
      <c r="AV809"/>
      <c r="AW809"/>
      <c r="AX809" s="10"/>
      <c r="AY809" s="20"/>
      <c r="AZ809" s="16"/>
      <c r="BA809"/>
      <c r="BB809"/>
      <c r="BC809" s="16"/>
      <c r="BD809"/>
      <c r="BE809"/>
      <c r="BF809"/>
      <c r="BG809"/>
      <c r="BH809"/>
      <c r="BI809"/>
      <c r="BJ809"/>
      <c r="BK809"/>
      <c r="BL809"/>
      <c r="BM809"/>
      <c r="BN809" s="19"/>
      <c r="BO809"/>
      <c r="BP809"/>
      <c r="BQ809"/>
      <c r="BR809"/>
      <c r="BS809"/>
      <c r="BT809"/>
      <c r="BU809"/>
      <c r="BV809"/>
      <c r="BW809"/>
      <c r="BX809"/>
      <c r="BY809"/>
      <c r="BZ809"/>
      <c r="CA809"/>
      <c r="CB809"/>
      <c r="CC809"/>
      <c r="CD809"/>
      <c r="CE809"/>
      <c r="CF809"/>
      <c r="CG809"/>
      <c r="CH809"/>
      <c r="CI809"/>
      <c r="CJ809"/>
      <c r="CK809"/>
      <c r="CL809"/>
      <c r="CM809" s="20"/>
      <c r="CN809" s="20"/>
      <c r="CO809" s="20"/>
      <c r="CP809" s="20"/>
      <c r="CQ809" s="20"/>
      <c r="CR809" s="20"/>
      <c r="CS809" s="20"/>
      <c r="CT809" s="20"/>
      <c r="CU809" s="20"/>
      <c r="CV809" s="20"/>
      <c r="CW809" s="20"/>
      <c r="CX809" s="20"/>
      <c r="CY809" s="20"/>
    </row>
    <row r="810" spans="1:103" s="6" customFormat="1">
      <c r="A810"/>
      <c r="B810"/>
      <c r="C810"/>
      <c r="D810"/>
      <c r="E810"/>
      <c r="F810"/>
      <c r="G810"/>
      <c r="H810"/>
      <c r="I810"/>
      <c r="J810"/>
      <c r="N810" s="7"/>
      <c r="O810"/>
      <c r="P810" s="10"/>
      <c r="Q810" s="9"/>
      <c r="R810" s="10"/>
      <c r="S810" s="10"/>
      <c r="AA810" s="11"/>
      <c r="AD810"/>
      <c r="AE810"/>
      <c r="AF810"/>
      <c r="AG810"/>
      <c r="AH810" s="46"/>
      <c r="AI810"/>
      <c r="AJ810"/>
      <c r="AK810"/>
      <c r="AL810"/>
      <c r="AM810"/>
      <c r="AN810"/>
      <c r="AO810"/>
      <c r="AP810"/>
      <c r="AQ810"/>
      <c r="AR810"/>
      <c r="AS810"/>
      <c r="AT810" s="14"/>
      <c r="AU810"/>
      <c r="AV810"/>
      <c r="AW810"/>
      <c r="AX810" s="10"/>
      <c r="AY810" s="20"/>
      <c r="AZ810" s="16"/>
      <c r="BA810"/>
      <c r="BB810"/>
      <c r="BC810" s="16"/>
      <c r="BD810"/>
      <c r="BE810"/>
      <c r="BF810"/>
      <c r="BG810"/>
      <c r="BH810"/>
      <c r="BI810"/>
      <c r="BJ810"/>
      <c r="BK810"/>
      <c r="BL810"/>
      <c r="BM810"/>
      <c r="BN810" s="19"/>
      <c r="BO810"/>
      <c r="BP810"/>
      <c r="BQ810"/>
      <c r="BR810"/>
      <c r="BS810"/>
      <c r="BT810"/>
      <c r="BU810"/>
      <c r="BV810"/>
      <c r="BW810"/>
      <c r="BX810"/>
      <c r="BY810"/>
      <c r="BZ810"/>
      <c r="CA810"/>
      <c r="CB810"/>
      <c r="CC810"/>
      <c r="CD810"/>
      <c r="CE810"/>
      <c r="CF810"/>
      <c r="CG810"/>
      <c r="CH810"/>
      <c r="CI810"/>
      <c r="CJ810"/>
      <c r="CK810"/>
      <c r="CL810"/>
      <c r="CM810" s="20"/>
      <c r="CN810" s="20"/>
      <c r="CO810" s="20"/>
      <c r="CP810" s="20"/>
      <c r="CQ810" s="20"/>
      <c r="CR810" s="20"/>
      <c r="CS810" s="20"/>
      <c r="CT810" s="20"/>
      <c r="CU810" s="20"/>
      <c r="CV810" s="20"/>
      <c r="CW810" s="20"/>
      <c r="CX810" s="20"/>
      <c r="CY810" s="20"/>
    </row>
    <row r="811" spans="1:103" s="6" customFormat="1">
      <c r="A811"/>
      <c r="B811"/>
      <c r="C811"/>
      <c r="D811"/>
      <c r="E811"/>
      <c r="F811"/>
      <c r="G811"/>
      <c r="H811"/>
      <c r="I811"/>
      <c r="J811"/>
      <c r="N811" s="7"/>
      <c r="O811"/>
      <c r="P811" s="10"/>
      <c r="Q811" s="9"/>
      <c r="R811" s="10"/>
      <c r="S811" s="10"/>
      <c r="AA811" s="11"/>
      <c r="AD811"/>
      <c r="AE811"/>
      <c r="AF811"/>
      <c r="AG811"/>
      <c r="AH811" s="46"/>
      <c r="AI811"/>
      <c r="AJ811"/>
      <c r="AK811"/>
      <c r="AL811"/>
      <c r="AM811"/>
      <c r="AN811"/>
      <c r="AO811"/>
      <c r="AP811"/>
      <c r="AQ811"/>
      <c r="AR811"/>
      <c r="AS811"/>
      <c r="AT811" s="14"/>
      <c r="AU811"/>
      <c r="AV811"/>
      <c r="AW811"/>
      <c r="AX811" s="10"/>
      <c r="AY811" s="20"/>
      <c r="AZ811" s="16"/>
      <c r="BA811"/>
      <c r="BB811"/>
      <c r="BC811" s="16"/>
      <c r="BD811"/>
      <c r="BE811"/>
      <c r="BF811"/>
      <c r="BG811"/>
      <c r="BH811"/>
      <c r="BI811"/>
      <c r="BJ811"/>
      <c r="BK811"/>
      <c r="BL811"/>
      <c r="BM811"/>
      <c r="BN811" s="19"/>
      <c r="BO811"/>
      <c r="BP811"/>
      <c r="BQ811"/>
      <c r="BR811"/>
      <c r="BS811"/>
      <c r="BT811"/>
      <c r="BU811"/>
      <c r="BV811"/>
      <c r="BW811"/>
      <c r="BX811"/>
      <c r="BY811"/>
      <c r="BZ811"/>
      <c r="CA811"/>
      <c r="CB811"/>
      <c r="CC811"/>
      <c r="CD811"/>
      <c r="CE811"/>
      <c r="CF811"/>
      <c r="CG811"/>
      <c r="CH811"/>
      <c r="CI811"/>
      <c r="CJ811"/>
      <c r="CK811"/>
      <c r="CL811"/>
      <c r="CM811" s="20"/>
      <c r="CN811" s="20"/>
      <c r="CO811" s="20"/>
      <c r="CP811" s="20"/>
      <c r="CQ811" s="20"/>
      <c r="CR811" s="20"/>
      <c r="CS811" s="20"/>
      <c r="CT811" s="20"/>
      <c r="CU811" s="20"/>
      <c r="CV811" s="20"/>
      <c r="CW811" s="20"/>
      <c r="CX811" s="20"/>
      <c r="CY811" s="20"/>
    </row>
    <row r="812" spans="1:103" s="6" customFormat="1">
      <c r="A812"/>
      <c r="B812"/>
      <c r="C812"/>
      <c r="D812"/>
      <c r="E812"/>
      <c r="F812"/>
      <c r="G812"/>
      <c r="H812"/>
      <c r="I812"/>
      <c r="J812"/>
      <c r="N812" s="7"/>
      <c r="O812"/>
      <c r="P812" s="10"/>
      <c r="Q812" s="9"/>
      <c r="R812" s="10"/>
      <c r="S812" s="10"/>
      <c r="AA812" s="11"/>
      <c r="AD812"/>
      <c r="AE812"/>
      <c r="AF812"/>
      <c r="AG812"/>
      <c r="AH812" s="46"/>
      <c r="AI812"/>
      <c r="AJ812"/>
      <c r="AK812"/>
      <c r="AL812"/>
      <c r="AM812"/>
      <c r="AN812"/>
      <c r="AO812"/>
      <c r="AP812"/>
      <c r="AQ812"/>
      <c r="AR812"/>
      <c r="AS812"/>
      <c r="AT812" s="14"/>
      <c r="AU812"/>
      <c r="AV812"/>
      <c r="AW812"/>
      <c r="AX812" s="10"/>
      <c r="AY812" s="20"/>
      <c r="AZ812" s="16"/>
      <c r="BA812"/>
      <c r="BB812"/>
      <c r="BC812" s="16"/>
      <c r="BD812"/>
      <c r="BE812"/>
      <c r="BF812"/>
      <c r="BG812"/>
      <c r="BH812"/>
      <c r="BI812"/>
      <c r="BJ812"/>
      <c r="BK812"/>
      <c r="BL812"/>
      <c r="BM812"/>
      <c r="BN812" s="19"/>
      <c r="BO812"/>
      <c r="BP812"/>
      <c r="BQ812"/>
      <c r="BR812"/>
      <c r="BS812"/>
      <c r="BT812"/>
      <c r="BU812"/>
      <c r="BV812"/>
      <c r="BW812"/>
      <c r="BX812"/>
      <c r="BY812"/>
      <c r="BZ812"/>
      <c r="CA812"/>
      <c r="CB812"/>
      <c r="CC812"/>
      <c r="CD812"/>
      <c r="CE812"/>
      <c r="CF812"/>
      <c r="CG812"/>
      <c r="CH812"/>
      <c r="CI812"/>
      <c r="CJ812"/>
      <c r="CK812"/>
      <c r="CL812"/>
      <c r="CM812" s="20"/>
      <c r="CN812" s="20"/>
      <c r="CO812" s="20"/>
      <c r="CP812" s="20"/>
      <c r="CQ812" s="20"/>
      <c r="CR812" s="20"/>
      <c r="CS812" s="20"/>
      <c r="CT812" s="20"/>
      <c r="CU812" s="20"/>
      <c r="CV812" s="20"/>
      <c r="CW812" s="20"/>
      <c r="CX812" s="20"/>
      <c r="CY812" s="20"/>
    </row>
    <row r="813" spans="1:103" s="6" customFormat="1">
      <c r="A813"/>
      <c r="B813"/>
      <c r="C813"/>
      <c r="D813"/>
      <c r="E813"/>
      <c r="F813"/>
      <c r="G813"/>
      <c r="H813"/>
      <c r="I813"/>
      <c r="J813"/>
      <c r="N813" s="7"/>
      <c r="O813"/>
      <c r="P813" s="10"/>
      <c r="Q813" s="9"/>
      <c r="R813" s="10"/>
      <c r="S813" s="10"/>
      <c r="AA813" s="11"/>
      <c r="AD813"/>
      <c r="AE813"/>
      <c r="AF813"/>
      <c r="AG813"/>
      <c r="AH813" s="46"/>
      <c r="AI813"/>
      <c r="AJ813"/>
      <c r="AK813"/>
      <c r="AL813"/>
      <c r="AM813"/>
      <c r="AN813"/>
      <c r="AO813"/>
      <c r="AP813"/>
      <c r="AQ813"/>
      <c r="AR813"/>
      <c r="AS813"/>
      <c r="AT813" s="14"/>
      <c r="AU813"/>
      <c r="AV813"/>
      <c r="AW813"/>
      <c r="AX813" s="10"/>
      <c r="AY813" s="20"/>
      <c r="AZ813" s="16"/>
      <c r="BA813"/>
      <c r="BB813"/>
      <c r="BC813" s="16"/>
      <c r="BD813"/>
      <c r="BE813"/>
      <c r="BF813"/>
      <c r="BG813"/>
      <c r="BH813"/>
      <c r="BI813"/>
      <c r="BJ813"/>
      <c r="BK813"/>
      <c r="BL813"/>
      <c r="BM813"/>
      <c r="BN813" s="19"/>
      <c r="BO813"/>
      <c r="BP813"/>
      <c r="BQ813"/>
      <c r="BR813"/>
      <c r="BS813"/>
      <c r="BT813"/>
      <c r="BU813"/>
      <c r="BV813"/>
      <c r="BW813"/>
      <c r="BX813"/>
      <c r="BY813"/>
      <c r="BZ813"/>
      <c r="CA813"/>
      <c r="CB813"/>
      <c r="CC813"/>
      <c r="CD813"/>
      <c r="CE813"/>
      <c r="CF813"/>
      <c r="CG813"/>
      <c r="CH813"/>
      <c r="CI813"/>
      <c r="CJ813"/>
      <c r="CK813"/>
      <c r="CL813"/>
      <c r="CM813" s="20"/>
      <c r="CN813" s="20"/>
      <c r="CO813" s="20"/>
      <c r="CP813" s="20"/>
      <c r="CQ813" s="20"/>
      <c r="CR813" s="20"/>
      <c r="CS813" s="20"/>
      <c r="CT813" s="20"/>
      <c r="CU813" s="20"/>
      <c r="CV813" s="20"/>
      <c r="CW813" s="20"/>
      <c r="CX813" s="20"/>
      <c r="CY813" s="20"/>
    </row>
    <row r="814" spans="1:103" s="6" customFormat="1">
      <c r="A814"/>
      <c r="B814"/>
      <c r="C814"/>
      <c r="D814"/>
      <c r="E814"/>
      <c r="F814"/>
      <c r="G814"/>
      <c r="H814"/>
      <c r="I814"/>
      <c r="J814"/>
      <c r="N814" s="7"/>
      <c r="O814"/>
      <c r="P814" s="10"/>
      <c r="Q814" s="9"/>
      <c r="R814" s="10"/>
      <c r="S814" s="10"/>
      <c r="AA814" s="11"/>
      <c r="AD814"/>
      <c r="AE814"/>
      <c r="AF814"/>
      <c r="AG814"/>
      <c r="AH814" s="46"/>
      <c r="AI814"/>
      <c r="AJ814"/>
      <c r="AK814"/>
      <c r="AL814"/>
      <c r="AM814"/>
      <c r="AN814"/>
      <c r="AO814"/>
      <c r="AP814"/>
      <c r="AQ814"/>
      <c r="AR814"/>
      <c r="AS814"/>
      <c r="AT814" s="14"/>
      <c r="AU814"/>
      <c r="AV814"/>
      <c r="AW814"/>
      <c r="AX814" s="10"/>
      <c r="AY814" s="20"/>
      <c r="AZ814" s="16"/>
      <c r="BA814"/>
      <c r="BB814"/>
      <c r="BC814" s="16"/>
      <c r="BD814"/>
      <c r="BE814"/>
      <c r="BF814"/>
      <c r="BG814"/>
      <c r="BH814"/>
      <c r="BI814"/>
      <c r="BJ814"/>
      <c r="BK814"/>
      <c r="BL814"/>
      <c r="BM814"/>
      <c r="BN814" s="19"/>
      <c r="BO814"/>
      <c r="BP814"/>
      <c r="BQ814"/>
      <c r="BR814"/>
      <c r="BS814"/>
      <c r="BT814"/>
      <c r="BU814"/>
      <c r="BV814"/>
      <c r="BW814"/>
      <c r="BX814"/>
      <c r="BY814"/>
      <c r="BZ814"/>
      <c r="CA814"/>
      <c r="CB814"/>
      <c r="CC814"/>
      <c r="CD814"/>
      <c r="CE814"/>
      <c r="CF814"/>
      <c r="CG814"/>
      <c r="CH814"/>
      <c r="CI814"/>
      <c r="CJ814"/>
      <c r="CK814"/>
      <c r="CL814"/>
      <c r="CM814" s="20"/>
      <c r="CN814" s="20"/>
      <c r="CO814" s="20"/>
      <c r="CP814" s="20"/>
      <c r="CQ814" s="20"/>
      <c r="CR814" s="20"/>
      <c r="CS814" s="20"/>
      <c r="CT814" s="20"/>
      <c r="CU814" s="20"/>
      <c r="CV814" s="20"/>
      <c r="CW814" s="20"/>
      <c r="CX814" s="20"/>
      <c r="CY814" s="20"/>
    </row>
    <row r="815" spans="1:103" s="6" customFormat="1">
      <c r="A815"/>
      <c r="B815"/>
      <c r="C815"/>
      <c r="D815"/>
      <c r="E815"/>
      <c r="F815"/>
      <c r="G815"/>
      <c r="H815"/>
      <c r="I815"/>
      <c r="J815"/>
      <c r="N815" s="7"/>
      <c r="O815"/>
      <c r="P815" s="10"/>
      <c r="Q815" s="9"/>
      <c r="R815" s="10"/>
      <c r="S815" s="10"/>
      <c r="AA815" s="11"/>
      <c r="AD815"/>
      <c r="AE815"/>
      <c r="AF815"/>
      <c r="AG815"/>
      <c r="AH815" s="46"/>
      <c r="AI815"/>
      <c r="AJ815"/>
      <c r="AK815"/>
      <c r="AL815"/>
      <c r="AM815"/>
      <c r="AN815"/>
      <c r="AO815"/>
      <c r="AP815"/>
      <c r="AQ815"/>
      <c r="AR815"/>
      <c r="AS815"/>
      <c r="AT815" s="14"/>
      <c r="AU815"/>
      <c r="AV815"/>
      <c r="AW815"/>
      <c r="AX815" s="10"/>
      <c r="AY815" s="20"/>
      <c r="AZ815" s="16"/>
      <c r="BA815"/>
      <c r="BB815"/>
      <c r="BC815" s="16"/>
      <c r="BD815"/>
      <c r="BE815"/>
      <c r="BF815"/>
      <c r="BG815"/>
      <c r="BH815"/>
      <c r="BI815"/>
      <c r="BJ815"/>
      <c r="BK815"/>
      <c r="BL815"/>
      <c r="BM815"/>
      <c r="BN815" s="19"/>
      <c r="BO815"/>
      <c r="BP815"/>
      <c r="BQ815"/>
      <c r="BR815"/>
      <c r="BS815"/>
      <c r="BT815"/>
      <c r="BU815"/>
      <c r="BV815"/>
      <c r="BW815"/>
      <c r="BX815"/>
      <c r="BY815"/>
      <c r="BZ815"/>
      <c r="CA815"/>
      <c r="CB815"/>
      <c r="CC815"/>
      <c r="CD815"/>
      <c r="CE815"/>
      <c r="CF815"/>
      <c r="CG815"/>
      <c r="CH815"/>
      <c r="CI815"/>
      <c r="CJ815"/>
      <c r="CK815"/>
      <c r="CL815"/>
      <c r="CM815" s="20"/>
      <c r="CN815" s="20"/>
      <c r="CO815" s="20"/>
      <c r="CP815" s="20"/>
      <c r="CQ815" s="20"/>
      <c r="CR815" s="20"/>
      <c r="CS815" s="20"/>
      <c r="CT815" s="20"/>
      <c r="CU815" s="20"/>
      <c r="CV815" s="20"/>
      <c r="CW815" s="20"/>
      <c r="CX815" s="20"/>
      <c r="CY815" s="20"/>
    </row>
    <row r="816" spans="1:103" s="6" customFormat="1">
      <c r="A816"/>
      <c r="B816"/>
      <c r="C816"/>
      <c r="D816"/>
      <c r="E816"/>
      <c r="F816"/>
      <c r="G816"/>
      <c r="H816"/>
      <c r="I816"/>
      <c r="J816"/>
      <c r="N816" s="7"/>
      <c r="O816"/>
      <c r="P816" s="10"/>
      <c r="Q816" s="9"/>
      <c r="R816" s="10"/>
      <c r="S816" s="10"/>
      <c r="AA816" s="11"/>
      <c r="AD816"/>
      <c r="AE816"/>
      <c r="AF816"/>
      <c r="AG816"/>
      <c r="AH816" s="46"/>
      <c r="AI816"/>
      <c r="AJ816"/>
      <c r="AK816"/>
      <c r="AL816"/>
      <c r="AM816"/>
      <c r="AN816"/>
      <c r="AO816"/>
      <c r="AP816"/>
      <c r="AQ816"/>
      <c r="AR816"/>
      <c r="AS816"/>
      <c r="AT816" s="14"/>
      <c r="AU816"/>
      <c r="AV816"/>
      <c r="AW816"/>
      <c r="AX816" s="10"/>
      <c r="AY816" s="20"/>
      <c r="AZ816" s="16"/>
      <c r="BA816"/>
      <c r="BB816"/>
      <c r="BC816" s="16"/>
      <c r="BD816"/>
      <c r="BE816"/>
      <c r="BF816"/>
      <c r="BG816"/>
      <c r="BH816"/>
      <c r="BI816"/>
      <c r="BJ816"/>
      <c r="BK816"/>
      <c r="BL816"/>
      <c r="BM816"/>
      <c r="BN816" s="19"/>
      <c r="BO816"/>
      <c r="BP816"/>
      <c r="BQ816"/>
      <c r="BR816"/>
      <c r="BS816"/>
      <c r="BT816"/>
      <c r="BU816"/>
      <c r="BV816"/>
      <c r="BW816"/>
      <c r="BX816"/>
      <c r="BY816"/>
      <c r="BZ816"/>
      <c r="CA816"/>
      <c r="CB816"/>
      <c r="CC816"/>
      <c r="CD816"/>
      <c r="CE816"/>
      <c r="CF816"/>
      <c r="CG816"/>
      <c r="CH816"/>
      <c r="CI816"/>
      <c r="CJ816"/>
      <c r="CK816"/>
      <c r="CL816"/>
      <c r="CM816" s="20"/>
      <c r="CN816" s="20"/>
      <c r="CO816" s="20"/>
      <c r="CP816" s="20"/>
      <c r="CQ816" s="20"/>
      <c r="CR816" s="20"/>
      <c r="CS816" s="20"/>
      <c r="CT816" s="20"/>
      <c r="CU816" s="20"/>
      <c r="CV816" s="20"/>
      <c r="CW816" s="20"/>
      <c r="CX816" s="20"/>
      <c r="CY816" s="20"/>
    </row>
    <row r="817" spans="1:103" s="6" customFormat="1">
      <c r="A817"/>
      <c r="B817"/>
      <c r="C817"/>
      <c r="D817"/>
      <c r="E817"/>
      <c r="F817"/>
      <c r="G817"/>
      <c r="H817"/>
      <c r="I817"/>
      <c r="J817"/>
      <c r="N817" s="7"/>
      <c r="O817"/>
      <c r="P817" s="10"/>
      <c r="Q817" s="9"/>
      <c r="R817" s="10"/>
      <c r="S817" s="10"/>
      <c r="AA817" s="11"/>
      <c r="AD817"/>
      <c r="AE817"/>
      <c r="AF817"/>
      <c r="AG817"/>
      <c r="AH817" s="46"/>
      <c r="AI817"/>
      <c r="AJ817"/>
      <c r="AK817"/>
      <c r="AL817"/>
      <c r="AM817"/>
      <c r="AN817"/>
      <c r="AO817"/>
      <c r="AP817"/>
      <c r="AQ817"/>
      <c r="AR817"/>
      <c r="AS817"/>
      <c r="AT817" s="14"/>
      <c r="AU817"/>
      <c r="AV817"/>
      <c r="AW817"/>
      <c r="AX817" s="10"/>
      <c r="AY817" s="20"/>
      <c r="AZ817" s="16"/>
      <c r="BA817"/>
      <c r="BB817"/>
      <c r="BC817" s="16"/>
      <c r="BD817"/>
      <c r="BE817"/>
      <c r="BF817"/>
      <c r="BG817"/>
      <c r="BH817"/>
      <c r="BI817"/>
      <c r="BJ817"/>
      <c r="BK817"/>
      <c r="BL817"/>
      <c r="BM817"/>
      <c r="BN817" s="19"/>
      <c r="BO817"/>
      <c r="BP817"/>
      <c r="BQ817"/>
      <c r="BR817"/>
      <c r="BS817"/>
      <c r="BT817"/>
      <c r="BU817"/>
      <c r="BV817"/>
      <c r="BW817"/>
      <c r="BX817"/>
      <c r="BY817"/>
      <c r="BZ817"/>
      <c r="CA817"/>
      <c r="CB817"/>
      <c r="CC817"/>
      <c r="CD817"/>
      <c r="CE817"/>
      <c r="CF817"/>
      <c r="CG817"/>
      <c r="CH817"/>
      <c r="CI817"/>
      <c r="CJ817"/>
      <c r="CK817"/>
      <c r="CL817"/>
      <c r="CM817" s="20"/>
      <c r="CN817" s="20"/>
      <c r="CO817" s="20"/>
      <c r="CP817" s="20"/>
      <c r="CQ817" s="20"/>
      <c r="CR817" s="20"/>
      <c r="CS817" s="20"/>
      <c r="CT817" s="20"/>
      <c r="CU817" s="20"/>
      <c r="CV817" s="20"/>
      <c r="CW817" s="20"/>
      <c r="CX817" s="20"/>
      <c r="CY817" s="20"/>
    </row>
    <row r="818" spans="1:103" s="6" customFormat="1">
      <c r="A818"/>
      <c r="B818"/>
      <c r="C818"/>
      <c r="D818"/>
      <c r="E818"/>
      <c r="F818"/>
      <c r="G818"/>
      <c r="H818"/>
      <c r="I818"/>
      <c r="J818"/>
      <c r="N818" s="7"/>
      <c r="O818"/>
      <c r="P818" s="10"/>
      <c r="Q818" s="9"/>
      <c r="R818" s="10"/>
      <c r="S818" s="10"/>
      <c r="AA818" s="11"/>
      <c r="AD818"/>
      <c r="AE818"/>
      <c r="AF818"/>
      <c r="AG818"/>
      <c r="AH818" s="46"/>
      <c r="AI818"/>
      <c r="AJ818"/>
      <c r="AK818"/>
      <c r="AL818"/>
      <c r="AM818"/>
      <c r="AN818"/>
      <c r="AO818"/>
      <c r="AP818"/>
      <c r="AQ818"/>
      <c r="AR818"/>
      <c r="AS818"/>
      <c r="AT818" s="14"/>
      <c r="AU818"/>
      <c r="AV818"/>
      <c r="AW818"/>
      <c r="AX818" s="10"/>
      <c r="AY818" s="20"/>
      <c r="AZ818" s="16"/>
      <c r="BA818"/>
      <c r="BB818"/>
      <c r="BC818" s="16"/>
      <c r="BD818"/>
      <c r="BE818"/>
      <c r="BF818"/>
      <c r="BG818"/>
      <c r="BH818"/>
      <c r="BI818"/>
      <c r="BJ818"/>
      <c r="BK818"/>
      <c r="BL818"/>
      <c r="BM818"/>
      <c r="BN818" s="19"/>
      <c r="BO818"/>
      <c r="BP818"/>
      <c r="BQ818"/>
      <c r="BR818"/>
      <c r="BS818"/>
      <c r="BT818"/>
      <c r="BU818"/>
      <c r="BV818"/>
      <c r="BW818"/>
      <c r="BX818"/>
      <c r="BY818"/>
      <c r="BZ818"/>
      <c r="CA818"/>
      <c r="CB818"/>
      <c r="CC818"/>
      <c r="CD818"/>
      <c r="CE818"/>
      <c r="CF818"/>
      <c r="CG818"/>
      <c r="CH818"/>
      <c r="CI818"/>
      <c r="CJ818"/>
      <c r="CK818"/>
      <c r="CL818"/>
      <c r="CM818" s="20"/>
      <c r="CN818" s="20"/>
      <c r="CO818" s="20"/>
      <c r="CP818" s="20"/>
      <c r="CQ818" s="20"/>
      <c r="CR818" s="20"/>
      <c r="CS818" s="20"/>
      <c r="CT818" s="20"/>
      <c r="CU818" s="20"/>
      <c r="CV818" s="20"/>
      <c r="CW818" s="20"/>
      <c r="CX818" s="20"/>
      <c r="CY818" s="20"/>
    </row>
    <row r="819" spans="1:103" s="6" customFormat="1">
      <c r="A819"/>
      <c r="B819"/>
      <c r="C819"/>
      <c r="D819"/>
      <c r="E819"/>
      <c r="F819"/>
      <c r="G819"/>
      <c r="H819"/>
      <c r="I819"/>
      <c r="J819"/>
      <c r="N819" s="7"/>
      <c r="O819"/>
      <c r="P819" s="10"/>
      <c r="Q819" s="9"/>
      <c r="R819" s="10"/>
      <c r="S819" s="10"/>
      <c r="AA819" s="11"/>
      <c r="AD819"/>
      <c r="AE819"/>
      <c r="AF819"/>
      <c r="AG819"/>
      <c r="AH819" s="46"/>
      <c r="AI819"/>
      <c r="AJ819"/>
      <c r="AK819"/>
      <c r="AL819"/>
      <c r="AM819"/>
      <c r="AN819"/>
      <c r="AO819"/>
      <c r="AP819"/>
      <c r="AQ819"/>
      <c r="AR819"/>
      <c r="AS819"/>
      <c r="AT819" s="14"/>
      <c r="AU819"/>
      <c r="AV819"/>
      <c r="AW819"/>
      <c r="AX819" s="10"/>
      <c r="AY819" s="20"/>
      <c r="AZ819" s="16"/>
      <c r="BA819"/>
      <c r="BB819"/>
      <c r="BC819" s="16"/>
      <c r="BD819"/>
      <c r="BE819"/>
      <c r="BF819"/>
      <c r="BG819"/>
      <c r="BH819"/>
      <c r="BI819"/>
      <c r="BJ819"/>
      <c r="BK819"/>
      <c r="BL819"/>
      <c r="BM819"/>
      <c r="BN819" s="19"/>
      <c r="BO819"/>
      <c r="BP819"/>
      <c r="BQ819"/>
      <c r="BR819"/>
      <c r="BS819"/>
      <c r="BT819"/>
      <c r="BU819"/>
      <c r="BV819"/>
      <c r="BW819"/>
      <c r="BX819"/>
      <c r="BY819"/>
      <c r="BZ819"/>
      <c r="CA819"/>
      <c r="CB819"/>
      <c r="CC819"/>
      <c r="CD819"/>
      <c r="CE819"/>
      <c r="CF819"/>
      <c r="CG819"/>
      <c r="CH819"/>
      <c r="CI819"/>
      <c r="CJ819"/>
      <c r="CK819"/>
      <c r="CL819"/>
      <c r="CM819" s="20"/>
      <c r="CN819" s="20"/>
      <c r="CO819" s="20"/>
      <c r="CP819" s="20"/>
      <c r="CQ819" s="20"/>
      <c r="CR819" s="20"/>
      <c r="CS819" s="20"/>
      <c r="CT819" s="20"/>
      <c r="CU819" s="20"/>
      <c r="CV819" s="20"/>
      <c r="CW819" s="20"/>
      <c r="CX819" s="20"/>
      <c r="CY819" s="20"/>
    </row>
    <row r="820" spans="1:103" s="6" customFormat="1">
      <c r="A820"/>
      <c r="B820"/>
      <c r="C820"/>
      <c r="D820"/>
      <c r="E820"/>
      <c r="F820"/>
      <c r="G820"/>
      <c r="H820"/>
      <c r="I820"/>
      <c r="J820"/>
      <c r="N820" s="7"/>
      <c r="O820"/>
      <c r="P820" s="10"/>
      <c r="Q820" s="9"/>
      <c r="R820" s="10"/>
      <c r="S820" s="10"/>
      <c r="AA820" s="11"/>
      <c r="AD820"/>
      <c r="AE820"/>
      <c r="AF820"/>
      <c r="AG820"/>
      <c r="AH820" s="46"/>
      <c r="AI820"/>
      <c r="AJ820"/>
      <c r="AK820"/>
      <c r="AL820"/>
      <c r="AM820"/>
      <c r="AN820"/>
      <c r="AO820"/>
      <c r="AP820"/>
      <c r="AQ820"/>
      <c r="AR820"/>
      <c r="AS820"/>
      <c r="AT820" s="14"/>
      <c r="AU820"/>
      <c r="AV820"/>
      <c r="AW820"/>
      <c r="AX820" s="10"/>
      <c r="AY820" s="20"/>
      <c r="AZ820" s="16"/>
      <c r="BA820"/>
      <c r="BB820"/>
      <c r="BC820" s="16"/>
      <c r="BD820"/>
      <c r="BE820"/>
      <c r="BF820"/>
      <c r="BG820"/>
      <c r="BH820"/>
      <c r="BI820"/>
      <c r="BJ820"/>
      <c r="BK820"/>
      <c r="BL820"/>
      <c r="BM820"/>
      <c r="BN820" s="19"/>
      <c r="BO820"/>
      <c r="BP820"/>
      <c r="BQ820"/>
      <c r="BR820"/>
      <c r="BS820"/>
      <c r="BT820"/>
      <c r="BU820"/>
      <c r="BV820"/>
      <c r="BW820"/>
      <c r="BX820"/>
      <c r="BY820"/>
      <c r="BZ820"/>
      <c r="CA820"/>
      <c r="CB820"/>
      <c r="CC820"/>
      <c r="CD820"/>
      <c r="CE820"/>
      <c r="CF820"/>
      <c r="CG820"/>
      <c r="CH820"/>
      <c r="CI820"/>
      <c r="CJ820"/>
      <c r="CK820"/>
      <c r="CL820"/>
      <c r="CM820" s="20"/>
      <c r="CN820" s="20"/>
      <c r="CO820" s="20"/>
      <c r="CP820" s="20"/>
      <c r="CQ820" s="20"/>
      <c r="CR820" s="20"/>
      <c r="CS820" s="20"/>
      <c r="CT820" s="20"/>
      <c r="CU820" s="20"/>
      <c r="CV820" s="20"/>
      <c r="CW820" s="20"/>
      <c r="CX820" s="20"/>
      <c r="CY820" s="20"/>
    </row>
    <row r="821" spans="1:103" s="6" customFormat="1">
      <c r="A821"/>
      <c r="B821"/>
      <c r="C821"/>
      <c r="D821"/>
      <c r="E821"/>
      <c r="F821"/>
      <c r="G821"/>
      <c r="H821"/>
      <c r="I821"/>
      <c r="J821"/>
      <c r="N821" s="7"/>
      <c r="O821"/>
      <c r="P821" s="10"/>
      <c r="Q821" s="9"/>
      <c r="R821" s="10"/>
      <c r="S821" s="10"/>
      <c r="AA821" s="11"/>
      <c r="AD821"/>
      <c r="AE821"/>
      <c r="AF821"/>
      <c r="AG821"/>
      <c r="AH821" s="46"/>
      <c r="AI821"/>
      <c r="AJ821"/>
      <c r="AK821"/>
      <c r="AL821"/>
      <c r="AM821"/>
      <c r="AN821"/>
      <c r="AO821"/>
      <c r="AP821"/>
      <c r="AQ821"/>
      <c r="AR821"/>
      <c r="AS821"/>
      <c r="AT821" s="14"/>
      <c r="AU821"/>
      <c r="AV821"/>
      <c r="AW821"/>
      <c r="AX821" s="10"/>
      <c r="AY821" s="20"/>
      <c r="AZ821" s="16"/>
      <c r="BA821"/>
      <c r="BB821"/>
      <c r="BC821" s="16"/>
      <c r="BD821"/>
      <c r="BE821"/>
      <c r="BF821"/>
      <c r="BG821"/>
      <c r="BH821"/>
      <c r="BI821"/>
      <c r="BJ821"/>
      <c r="BK821"/>
      <c r="BL821"/>
      <c r="BM821"/>
      <c r="BN821" s="19"/>
      <c r="BO821"/>
      <c r="BP821"/>
      <c r="BQ821"/>
      <c r="BR821"/>
      <c r="BS821"/>
      <c r="BT821"/>
      <c r="BU821"/>
      <c r="BV821"/>
      <c r="BW821"/>
      <c r="BX821"/>
      <c r="BY821"/>
      <c r="BZ821"/>
      <c r="CA821"/>
      <c r="CB821"/>
      <c r="CC821"/>
      <c r="CD821"/>
      <c r="CE821"/>
      <c r="CF821"/>
      <c r="CG821"/>
      <c r="CH821"/>
      <c r="CI821"/>
      <c r="CJ821"/>
      <c r="CK821"/>
      <c r="CL821"/>
      <c r="CM821" s="20"/>
      <c r="CN821" s="20"/>
      <c r="CO821" s="20"/>
      <c r="CP821" s="20"/>
      <c r="CQ821" s="20"/>
      <c r="CR821" s="20"/>
      <c r="CS821" s="20"/>
      <c r="CT821" s="20"/>
      <c r="CU821" s="20"/>
      <c r="CV821" s="20"/>
      <c r="CW821" s="20"/>
      <c r="CX821" s="20"/>
      <c r="CY821" s="20"/>
    </row>
    <row r="822" spans="1:103" s="6" customFormat="1">
      <c r="A822"/>
      <c r="B822"/>
      <c r="C822"/>
      <c r="D822"/>
      <c r="E822"/>
      <c r="F822"/>
      <c r="G822"/>
      <c r="H822"/>
      <c r="I822"/>
      <c r="J822"/>
      <c r="N822" s="7"/>
      <c r="O822"/>
      <c r="P822" s="10"/>
      <c r="Q822" s="9"/>
      <c r="R822" s="10"/>
      <c r="S822" s="10"/>
      <c r="AA822" s="11"/>
      <c r="AD822"/>
      <c r="AE822"/>
      <c r="AF822"/>
      <c r="AG822"/>
      <c r="AH822" s="46"/>
      <c r="AI822"/>
      <c r="AJ822"/>
      <c r="AK822"/>
      <c r="AL822"/>
      <c r="AM822"/>
      <c r="AN822"/>
      <c r="AO822"/>
      <c r="AP822"/>
      <c r="AQ822"/>
      <c r="AR822"/>
      <c r="AS822"/>
      <c r="AT822" s="14"/>
      <c r="AU822"/>
      <c r="AV822"/>
      <c r="AW822"/>
      <c r="AX822" s="10"/>
      <c r="AY822" s="20"/>
      <c r="AZ822" s="16"/>
      <c r="BA822"/>
      <c r="BB822"/>
      <c r="BC822" s="16"/>
      <c r="BD822"/>
      <c r="BE822"/>
      <c r="BF822"/>
      <c r="BG822"/>
      <c r="BH822"/>
      <c r="BI822"/>
      <c r="BJ822"/>
      <c r="BK822"/>
      <c r="BL822"/>
      <c r="BM822"/>
      <c r="BN822" s="19"/>
      <c r="BO822"/>
      <c r="BP822"/>
      <c r="BQ822"/>
      <c r="BR822"/>
      <c r="BS822"/>
      <c r="BT822"/>
      <c r="BU822"/>
      <c r="BV822"/>
      <c r="BW822"/>
      <c r="BX822"/>
      <c r="BY822"/>
      <c r="BZ822"/>
      <c r="CA822"/>
      <c r="CB822"/>
      <c r="CC822"/>
      <c r="CD822"/>
      <c r="CE822"/>
      <c r="CF822"/>
      <c r="CG822"/>
      <c r="CH822"/>
      <c r="CI822"/>
      <c r="CJ822"/>
      <c r="CK822"/>
      <c r="CL822"/>
      <c r="CM822" s="20"/>
      <c r="CN822" s="20"/>
      <c r="CO822" s="20"/>
      <c r="CP822" s="20"/>
      <c r="CQ822" s="20"/>
      <c r="CR822" s="20"/>
      <c r="CS822" s="20"/>
      <c r="CT822" s="20"/>
      <c r="CU822" s="20"/>
      <c r="CV822" s="20"/>
      <c r="CW822" s="20"/>
      <c r="CX822" s="20"/>
      <c r="CY822" s="20"/>
    </row>
    <row r="823" spans="1:103" s="6" customFormat="1">
      <c r="A823"/>
      <c r="B823"/>
      <c r="C823"/>
      <c r="D823"/>
      <c r="E823"/>
      <c r="F823"/>
      <c r="G823"/>
      <c r="H823"/>
      <c r="I823"/>
      <c r="J823"/>
      <c r="N823" s="7"/>
      <c r="O823"/>
      <c r="P823" s="10"/>
      <c r="Q823" s="9"/>
      <c r="R823" s="10"/>
      <c r="S823" s="10"/>
      <c r="AA823" s="11"/>
      <c r="AD823"/>
      <c r="AE823"/>
      <c r="AF823"/>
      <c r="AG823"/>
      <c r="AH823" s="46"/>
      <c r="AI823"/>
      <c r="AJ823"/>
      <c r="AK823"/>
      <c r="AL823"/>
      <c r="AM823"/>
      <c r="AN823"/>
      <c r="AO823"/>
      <c r="AP823"/>
      <c r="AQ823"/>
      <c r="AR823"/>
      <c r="AS823"/>
      <c r="AT823" s="14"/>
      <c r="AU823"/>
      <c r="AV823"/>
      <c r="AW823"/>
      <c r="AX823" s="10"/>
      <c r="AY823" s="20"/>
      <c r="AZ823" s="16"/>
      <c r="BA823"/>
      <c r="BB823"/>
      <c r="BC823" s="16"/>
      <c r="BD823"/>
      <c r="BE823"/>
      <c r="BF823"/>
      <c r="BG823"/>
      <c r="BH823"/>
      <c r="BI823"/>
      <c r="BJ823"/>
      <c r="BK823"/>
      <c r="BL823"/>
      <c r="BM823"/>
      <c r="BN823" s="19"/>
      <c r="BO823"/>
      <c r="BP823"/>
      <c r="BQ823"/>
      <c r="BR823"/>
      <c r="BS823"/>
      <c r="BT823"/>
      <c r="BU823"/>
      <c r="BV823"/>
      <c r="BW823"/>
      <c r="BX823"/>
      <c r="BY823"/>
      <c r="BZ823"/>
      <c r="CA823"/>
      <c r="CB823"/>
      <c r="CC823"/>
      <c r="CD823"/>
      <c r="CE823"/>
      <c r="CF823"/>
      <c r="CG823"/>
      <c r="CH823"/>
      <c r="CI823"/>
      <c r="CJ823"/>
      <c r="CK823"/>
      <c r="CL823"/>
      <c r="CM823" s="20"/>
      <c r="CN823" s="20"/>
      <c r="CO823" s="20"/>
      <c r="CP823" s="20"/>
      <c r="CQ823" s="20"/>
      <c r="CR823" s="20"/>
      <c r="CS823" s="20"/>
      <c r="CT823" s="20"/>
      <c r="CU823" s="20"/>
      <c r="CV823" s="20"/>
      <c r="CW823" s="20"/>
      <c r="CX823" s="20"/>
      <c r="CY823" s="20"/>
    </row>
    <row r="824" spans="1:103" s="6" customFormat="1">
      <c r="A824"/>
      <c r="B824"/>
      <c r="C824"/>
      <c r="D824"/>
      <c r="E824"/>
      <c r="F824"/>
      <c r="G824"/>
      <c r="H824"/>
      <c r="I824"/>
      <c r="J824"/>
      <c r="N824" s="7"/>
      <c r="O824"/>
      <c r="P824" s="10"/>
      <c r="Q824" s="9"/>
      <c r="R824" s="10"/>
      <c r="S824" s="10"/>
      <c r="AA824" s="11"/>
      <c r="AD824"/>
      <c r="AE824"/>
      <c r="AF824"/>
      <c r="AG824"/>
      <c r="AH824" s="46"/>
      <c r="AI824"/>
      <c r="AJ824"/>
      <c r="AK824"/>
      <c r="AL824"/>
      <c r="AM824"/>
      <c r="AN824"/>
      <c r="AO824"/>
      <c r="AP824"/>
      <c r="AQ824"/>
      <c r="AR824"/>
      <c r="AS824"/>
      <c r="AT824" s="14"/>
      <c r="AU824"/>
      <c r="AV824"/>
      <c r="AW824"/>
      <c r="AX824" s="10"/>
      <c r="AY824" s="20"/>
      <c r="AZ824" s="16"/>
      <c r="BA824"/>
      <c r="BB824"/>
      <c r="BC824" s="16"/>
      <c r="BD824"/>
      <c r="BE824"/>
      <c r="BF824"/>
      <c r="BG824"/>
      <c r="BH824"/>
      <c r="BI824"/>
      <c r="BJ824"/>
      <c r="BK824"/>
      <c r="BL824"/>
      <c r="BM824"/>
      <c r="BN824" s="19"/>
      <c r="BO824"/>
      <c r="BP824"/>
      <c r="BQ824"/>
      <c r="BR824"/>
      <c r="BS824"/>
      <c r="BT824"/>
      <c r="BU824"/>
      <c r="BV824"/>
      <c r="BW824"/>
      <c r="BX824"/>
      <c r="BY824"/>
      <c r="BZ824"/>
      <c r="CA824"/>
      <c r="CB824"/>
      <c r="CC824"/>
      <c r="CD824"/>
      <c r="CE824"/>
      <c r="CF824"/>
      <c r="CG824"/>
      <c r="CH824"/>
      <c r="CI824"/>
      <c r="CJ824"/>
      <c r="CK824"/>
      <c r="CL824"/>
      <c r="CM824" s="20"/>
      <c r="CN824" s="20"/>
      <c r="CO824" s="20"/>
      <c r="CP824" s="20"/>
      <c r="CQ824" s="20"/>
      <c r="CR824" s="20"/>
      <c r="CS824" s="20"/>
      <c r="CT824" s="20"/>
      <c r="CU824" s="20"/>
      <c r="CV824" s="20"/>
      <c r="CW824" s="20"/>
      <c r="CX824" s="20"/>
      <c r="CY824" s="20"/>
    </row>
    <row r="825" spans="1:103" s="6" customFormat="1">
      <c r="A825"/>
      <c r="B825"/>
      <c r="C825"/>
      <c r="D825"/>
      <c r="E825"/>
      <c r="F825"/>
      <c r="G825"/>
      <c r="H825"/>
      <c r="I825"/>
      <c r="J825"/>
      <c r="N825" s="7"/>
      <c r="O825"/>
      <c r="P825" s="10"/>
      <c r="Q825" s="9"/>
      <c r="R825" s="10"/>
      <c r="S825" s="10"/>
      <c r="AA825" s="11"/>
      <c r="AD825"/>
      <c r="AE825"/>
      <c r="AF825"/>
      <c r="AG825"/>
      <c r="AH825" s="46"/>
      <c r="AI825"/>
      <c r="AJ825"/>
      <c r="AK825"/>
      <c r="AL825"/>
      <c r="AM825"/>
      <c r="AN825"/>
      <c r="AO825"/>
      <c r="AP825"/>
      <c r="AQ825"/>
      <c r="AR825"/>
      <c r="AS825"/>
      <c r="AT825" s="14"/>
      <c r="AU825"/>
      <c r="AV825"/>
      <c r="AW825"/>
      <c r="AX825" s="10"/>
      <c r="AY825" s="20"/>
      <c r="AZ825" s="16"/>
      <c r="BA825"/>
      <c r="BB825"/>
      <c r="BC825" s="16"/>
      <c r="BD825"/>
      <c r="BE825"/>
      <c r="BF825"/>
      <c r="BG825"/>
      <c r="BH825"/>
      <c r="BI825"/>
      <c r="BJ825"/>
      <c r="BK825"/>
      <c r="BL825"/>
      <c r="BM825"/>
      <c r="BN825" s="19"/>
      <c r="BO825"/>
      <c r="BP825"/>
      <c r="BQ825"/>
      <c r="BR825"/>
      <c r="BS825"/>
      <c r="BT825"/>
      <c r="BU825"/>
      <c r="BV825"/>
      <c r="BW825"/>
      <c r="BX825"/>
      <c r="BY825"/>
      <c r="BZ825"/>
      <c r="CA825"/>
      <c r="CB825"/>
      <c r="CC825"/>
      <c r="CD825"/>
      <c r="CE825"/>
      <c r="CF825"/>
      <c r="CG825"/>
      <c r="CH825"/>
      <c r="CI825"/>
      <c r="CJ825"/>
      <c r="CK825"/>
      <c r="CL825"/>
      <c r="CM825" s="20"/>
      <c r="CN825" s="20"/>
      <c r="CO825" s="20"/>
      <c r="CP825" s="20"/>
      <c r="CQ825" s="20"/>
      <c r="CR825" s="20"/>
      <c r="CS825" s="20"/>
      <c r="CT825" s="20"/>
      <c r="CU825" s="20"/>
      <c r="CV825" s="20"/>
      <c r="CW825" s="20"/>
      <c r="CX825" s="20"/>
      <c r="CY825" s="20"/>
    </row>
    <row r="826" spans="1:103" s="6" customFormat="1">
      <c r="A826"/>
      <c r="B826"/>
      <c r="C826"/>
      <c r="D826"/>
      <c r="E826"/>
      <c r="F826"/>
      <c r="G826"/>
      <c r="H826"/>
      <c r="I826"/>
      <c r="J826"/>
      <c r="N826" s="7"/>
      <c r="O826"/>
      <c r="P826" s="10"/>
      <c r="Q826" s="9"/>
      <c r="R826" s="10"/>
      <c r="S826" s="10"/>
      <c r="AA826" s="11"/>
      <c r="AD826"/>
      <c r="AE826"/>
      <c r="AF826"/>
      <c r="AG826"/>
      <c r="AH826" s="46"/>
      <c r="AI826"/>
      <c r="AJ826"/>
      <c r="AK826"/>
      <c r="AL826"/>
      <c r="AM826"/>
      <c r="AN826"/>
      <c r="AO826"/>
      <c r="AP826"/>
      <c r="AQ826"/>
      <c r="AR826"/>
      <c r="AS826"/>
      <c r="AT826" s="14"/>
      <c r="AU826"/>
      <c r="AV826"/>
      <c r="AW826"/>
      <c r="AX826" s="10"/>
      <c r="AY826" s="20"/>
      <c r="AZ826" s="16"/>
      <c r="BA826"/>
      <c r="BB826"/>
      <c r="BC826" s="16"/>
      <c r="BD826"/>
      <c r="BE826"/>
      <c r="BF826"/>
      <c r="BG826"/>
      <c r="BH826"/>
      <c r="BI826"/>
      <c r="BJ826"/>
      <c r="BK826"/>
      <c r="BL826"/>
      <c r="BM826"/>
      <c r="BN826" s="19"/>
      <c r="BO826"/>
      <c r="BP826"/>
      <c r="BQ826"/>
      <c r="BR826"/>
      <c r="BS826"/>
      <c r="BT826"/>
      <c r="BU826"/>
      <c r="BV826"/>
      <c r="BW826"/>
      <c r="BX826"/>
      <c r="BY826"/>
      <c r="BZ826"/>
      <c r="CA826"/>
      <c r="CB826"/>
      <c r="CC826"/>
      <c r="CD826"/>
      <c r="CE826"/>
      <c r="CF826"/>
      <c r="CG826"/>
      <c r="CH826"/>
      <c r="CI826"/>
      <c r="CJ826"/>
      <c r="CK826"/>
      <c r="CL826"/>
      <c r="CM826" s="20"/>
      <c r="CN826" s="20"/>
      <c r="CO826" s="20"/>
      <c r="CP826" s="20"/>
      <c r="CQ826" s="20"/>
      <c r="CR826" s="20"/>
      <c r="CS826" s="20"/>
      <c r="CT826" s="20"/>
      <c r="CU826" s="20"/>
      <c r="CV826" s="20"/>
      <c r="CW826" s="20"/>
      <c r="CX826" s="20"/>
      <c r="CY826" s="20"/>
    </row>
    <row r="827" spans="1:103" s="6" customFormat="1">
      <c r="A827"/>
      <c r="B827"/>
      <c r="C827"/>
      <c r="D827"/>
      <c r="E827"/>
      <c r="F827"/>
      <c r="G827"/>
      <c r="H827"/>
      <c r="I827"/>
      <c r="J827"/>
      <c r="N827" s="7"/>
      <c r="O827"/>
      <c r="P827" s="10"/>
      <c r="Q827" s="9"/>
      <c r="R827" s="10"/>
      <c r="S827" s="10"/>
      <c r="AA827" s="11"/>
      <c r="AD827"/>
      <c r="AE827"/>
      <c r="AF827"/>
      <c r="AG827"/>
      <c r="AH827" s="46"/>
      <c r="AI827"/>
      <c r="AJ827"/>
      <c r="AK827"/>
      <c r="AL827"/>
      <c r="AM827"/>
      <c r="AN827"/>
      <c r="AO827"/>
      <c r="AP827"/>
      <c r="AQ827"/>
      <c r="AR827"/>
      <c r="AS827"/>
      <c r="AT827" s="14"/>
      <c r="AU827"/>
      <c r="AV827"/>
      <c r="AW827"/>
      <c r="AX827" s="10"/>
      <c r="AY827" s="20"/>
      <c r="AZ827" s="16"/>
      <c r="BA827"/>
      <c r="BB827"/>
      <c r="BC827" s="16"/>
      <c r="BD827"/>
      <c r="BE827"/>
      <c r="BF827"/>
      <c r="BG827"/>
      <c r="BH827"/>
      <c r="BI827"/>
      <c r="BJ827"/>
      <c r="BK827"/>
      <c r="BL827"/>
      <c r="BM827"/>
      <c r="BN827" s="19"/>
      <c r="BO827"/>
      <c r="BP827"/>
      <c r="BQ827"/>
      <c r="BR827"/>
      <c r="BS827"/>
      <c r="BT827"/>
      <c r="BU827"/>
      <c r="BV827"/>
      <c r="BW827"/>
      <c r="BX827"/>
      <c r="BY827"/>
      <c r="BZ827"/>
      <c r="CA827"/>
      <c r="CB827"/>
      <c r="CC827"/>
      <c r="CD827"/>
      <c r="CE827"/>
      <c r="CF827"/>
      <c r="CG827"/>
      <c r="CH827"/>
      <c r="CI827"/>
      <c r="CJ827"/>
      <c r="CK827"/>
      <c r="CL827"/>
      <c r="CM827" s="20"/>
      <c r="CN827" s="20"/>
      <c r="CO827" s="20"/>
      <c r="CP827" s="20"/>
      <c r="CQ827" s="20"/>
      <c r="CR827" s="20"/>
      <c r="CS827" s="20"/>
      <c r="CT827" s="20"/>
      <c r="CU827" s="20"/>
      <c r="CV827" s="20"/>
      <c r="CW827" s="20"/>
      <c r="CX827" s="20"/>
      <c r="CY827" s="20"/>
    </row>
    <row r="828" spans="1:103" s="6" customFormat="1">
      <c r="A828"/>
      <c r="B828"/>
      <c r="C828"/>
      <c r="D828"/>
      <c r="E828"/>
      <c r="F828"/>
      <c r="G828"/>
      <c r="H828"/>
      <c r="I828"/>
      <c r="J828"/>
      <c r="N828" s="7"/>
      <c r="O828"/>
      <c r="P828" s="10"/>
      <c r="Q828" s="9"/>
      <c r="R828" s="10"/>
      <c r="S828" s="10"/>
      <c r="AA828" s="11"/>
      <c r="AD828"/>
      <c r="AE828"/>
      <c r="AF828"/>
      <c r="AG828"/>
      <c r="AH828" s="46"/>
      <c r="AI828"/>
      <c r="AJ828"/>
      <c r="AK828"/>
      <c r="AL828"/>
      <c r="AM828"/>
      <c r="AN828"/>
      <c r="AO828"/>
      <c r="AP828"/>
      <c r="AQ828"/>
      <c r="AR828"/>
      <c r="AS828"/>
      <c r="AT828" s="14"/>
      <c r="AU828"/>
      <c r="AV828"/>
      <c r="AW828"/>
      <c r="AX828" s="10"/>
      <c r="AY828" s="20"/>
      <c r="AZ828" s="16"/>
      <c r="BA828"/>
      <c r="BB828"/>
      <c r="BC828" s="16"/>
      <c r="BD828"/>
      <c r="BE828"/>
      <c r="BF828"/>
      <c r="BG828"/>
      <c r="BH828"/>
      <c r="BI828"/>
      <c r="BJ828"/>
      <c r="BK828"/>
      <c r="BL828"/>
      <c r="BM828"/>
      <c r="BN828" s="19"/>
      <c r="BO828"/>
      <c r="BP828"/>
      <c r="BQ828"/>
      <c r="BR828"/>
      <c r="BS828"/>
      <c r="BT828"/>
      <c r="BU828"/>
      <c r="BV828"/>
      <c r="BW828"/>
      <c r="BX828"/>
      <c r="BY828"/>
      <c r="BZ828"/>
      <c r="CA828"/>
      <c r="CB828"/>
      <c r="CC828"/>
      <c r="CD828"/>
      <c r="CE828"/>
      <c r="CF828"/>
      <c r="CG828"/>
      <c r="CH828"/>
      <c r="CI828"/>
      <c r="CJ828"/>
      <c r="CK828"/>
      <c r="CL828"/>
      <c r="CM828" s="20"/>
      <c r="CN828" s="20"/>
      <c r="CO828" s="20"/>
      <c r="CP828" s="20"/>
      <c r="CQ828" s="20"/>
      <c r="CR828" s="20"/>
      <c r="CS828" s="20"/>
      <c r="CT828" s="20"/>
      <c r="CU828" s="20"/>
      <c r="CV828" s="20"/>
      <c r="CW828" s="20"/>
      <c r="CX828" s="20"/>
      <c r="CY828" s="20"/>
    </row>
    <row r="829" spans="1:103" s="6" customFormat="1">
      <c r="A829"/>
      <c r="B829"/>
      <c r="C829"/>
      <c r="D829"/>
      <c r="E829"/>
      <c r="F829"/>
      <c r="G829"/>
      <c r="H829"/>
      <c r="I829"/>
      <c r="J829"/>
      <c r="N829" s="7"/>
      <c r="O829"/>
      <c r="P829" s="10"/>
      <c r="Q829" s="9"/>
      <c r="R829" s="10"/>
      <c r="S829" s="10"/>
      <c r="AA829" s="11"/>
      <c r="AD829"/>
      <c r="AE829"/>
      <c r="AF829"/>
      <c r="AG829"/>
      <c r="AH829" s="46"/>
      <c r="AI829"/>
      <c r="AJ829"/>
      <c r="AK829"/>
      <c r="AL829"/>
      <c r="AM829"/>
      <c r="AN829"/>
      <c r="AO829"/>
      <c r="AP829"/>
      <c r="AQ829"/>
      <c r="AR829"/>
      <c r="AS829"/>
      <c r="AT829" s="14"/>
      <c r="AU829"/>
      <c r="AV829"/>
      <c r="AW829"/>
      <c r="AX829" s="10"/>
      <c r="AY829" s="20"/>
      <c r="AZ829" s="16"/>
      <c r="BA829"/>
      <c r="BB829"/>
      <c r="BC829" s="16"/>
      <c r="BD829"/>
      <c r="BE829"/>
      <c r="BF829"/>
      <c r="BG829"/>
      <c r="BH829"/>
      <c r="BI829"/>
      <c r="BJ829"/>
      <c r="BK829"/>
      <c r="BL829"/>
      <c r="BM829"/>
      <c r="BN829" s="19"/>
      <c r="BO829"/>
      <c r="BP829"/>
      <c r="BQ829"/>
      <c r="BR829"/>
      <c r="BS829"/>
      <c r="BT829"/>
      <c r="BU829"/>
      <c r="BV829"/>
      <c r="BW829"/>
      <c r="BX829"/>
      <c r="BY829"/>
      <c r="BZ829"/>
      <c r="CA829"/>
      <c r="CB829"/>
      <c r="CC829"/>
      <c r="CD829"/>
      <c r="CE829"/>
      <c r="CF829"/>
      <c r="CG829"/>
      <c r="CH829"/>
      <c r="CI829"/>
      <c r="CJ829"/>
      <c r="CK829"/>
      <c r="CL829"/>
      <c r="CM829" s="20"/>
      <c r="CN829" s="20"/>
      <c r="CO829" s="20"/>
      <c r="CP829" s="20"/>
      <c r="CQ829" s="20"/>
      <c r="CR829" s="20"/>
      <c r="CS829" s="20"/>
      <c r="CT829" s="20"/>
      <c r="CU829" s="20"/>
      <c r="CV829" s="20"/>
      <c r="CW829" s="20"/>
      <c r="CX829" s="20"/>
      <c r="CY829" s="20"/>
    </row>
    <row r="830" spans="1:103" s="6" customFormat="1">
      <c r="A830"/>
      <c r="B830"/>
      <c r="C830"/>
      <c r="D830"/>
      <c r="E830"/>
      <c r="F830"/>
      <c r="G830"/>
      <c r="H830"/>
      <c r="I830"/>
      <c r="J830"/>
      <c r="N830" s="7"/>
      <c r="O830"/>
      <c r="P830" s="10"/>
      <c r="Q830" s="9"/>
      <c r="R830" s="10"/>
      <c r="S830" s="10"/>
      <c r="AA830" s="11"/>
      <c r="AD830"/>
      <c r="AE830"/>
      <c r="AF830"/>
      <c r="AG830"/>
      <c r="AH830" s="46"/>
      <c r="AI830"/>
      <c r="AJ830"/>
      <c r="AK830"/>
      <c r="AL830"/>
      <c r="AM830"/>
      <c r="AN830"/>
      <c r="AO830"/>
      <c r="AP830"/>
      <c r="AQ830"/>
      <c r="AR830"/>
      <c r="AS830"/>
      <c r="AT830" s="14"/>
      <c r="AU830"/>
      <c r="AV830"/>
      <c r="AW830"/>
      <c r="AX830" s="10"/>
      <c r="AY830" s="20"/>
      <c r="AZ830" s="16"/>
      <c r="BA830"/>
      <c r="BB830"/>
      <c r="BC830" s="16"/>
      <c r="BD830"/>
      <c r="BE830"/>
      <c r="BF830"/>
      <c r="BG830"/>
      <c r="BH830"/>
      <c r="BI830"/>
      <c r="BJ830"/>
      <c r="BK830"/>
      <c r="BL830"/>
      <c r="BM830"/>
      <c r="BN830" s="19"/>
      <c r="BO830"/>
      <c r="BP830"/>
      <c r="BQ830"/>
      <c r="BR830"/>
      <c r="BS830"/>
      <c r="BT830"/>
      <c r="BU830"/>
      <c r="BV830"/>
      <c r="BW830"/>
      <c r="BX830"/>
      <c r="BY830"/>
      <c r="BZ830"/>
      <c r="CA830"/>
      <c r="CB830"/>
      <c r="CC830"/>
      <c r="CD830"/>
      <c r="CE830"/>
      <c r="CF830"/>
      <c r="CG830"/>
      <c r="CH830"/>
      <c r="CI830"/>
      <c r="CJ830"/>
      <c r="CK830"/>
      <c r="CL830"/>
      <c r="CM830" s="20"/>
      <c r="CN830" s="20"/>
      <c r="CO830" s="20"/>
      <c r="CP830" s="20"/>
      <c r="CQ830" s="20"/>
      <c r="CR830" s="20"/>
      <c r="CS830" s="20"/>
      <c r="CT830" s="20"/>
      <c r="CU830" s="20"/>
      <c r="CV830" s="20"/>
      <c r="CW830" s="20"/>
      <c r="CX830" s="20"/>
      <c r="CY830" s="20"/>
    </row>
    <row r="831" spans="1:103" s="6" customFormat="1">
      <c r="A831"/>
      <c r="B831"/>
      <c r="C831"/>
      <c r="D831"/>
      <c r="E831"/>
      <c r="F831"/>
      <c r="G831"/>
      <c r="H831"/>
      <c r="I831"/>
      <c r="J831"/>
      <c r="N831" s="7"/>
      <c r="O831"/>
      <c r="P831" s="10"/>
      <c r="Q831" s="9"/>
      <c r="R831" s="10"/>
      <c r="S831" s="10"/>
      <c r="AA831" s="11"/>
      <c r="AD831"/>
      <c r="AE831"/>
      <c r="AF831"/>
      <c r="AG831"/>
      <c r="AH831" s="46"/>
      <c r="AI831"/>
      <c r="AJ831"/>
      <c r="AK831"/>
      <c r="AL831"/>
      <c r="AM831"/>
      <c r="AN831"/>
      <c r="AO831"/>
      <c r="AP831"/>
      <c r="AQ831"/>
      <c r="AR831"/>
      <c r="AS831"/>
      <c r="AT831" s="14"/>
      <c r="AU831"/>
      <c r="AV831"/>
      <c r="AW831"/>
      <c r="AX831" s="10"/>
      <c r="AY831" s="20"/>
      <c r="AZ831" s="16"/>
      <c r="BA831"/>
      <c r="BB831"/>
      <c r="BC831" s="16"/>
      <c r="BD831"/>
      <c r="BE831"/>
      <c r="BF831"/>
      <c r="BG831"/>
      <c r="BH831"/>
      <c r="BI831"/>
      <c r="BJ831"/>
      <c r="BK831"/>
      <c r="BL831"/>
      <c r="BM831"/>
      <c r="BN831" s="19"/>
      <c r="BO831"/>
      <c r="BP831"/>
      <c r="BQ831"/>
      <c r="BR831"/>
      <c r="BS831"/>
      <c r="BT831"/>
      <c r="BU831"/>
      <c r="BV831"/>
      <c r="BW831"/>
      <c r="BX831"/>
      <c r="BY831"/>
      <c r="BZ831"/>
      <c r="CA831"/>
      <c r="CB831"/>
      <c r="CC831"/>
      <c r="CD831"/>
      <c r="CE831"/>
      <c r="CF831"/>
      <c r="CG831"/>
      <c r="CH831"/>
      <c r="CI831"/>
      <c r="CJ831"/>
      <c r="CK831"/>
      <c r="CL831"/>
      <c r="CM831" s="20"/>
      <c r="CN831" s="20"/>
      <c r="CO831" s="20"/>
      <c r="CP831" s="20"/>
      <c r="CQ831" s="20"/>
      <c r="CR831" s="20"/>
      <c r="CS831" s="20"/>
      <c r="CT831" s="20"/>
      <c r="CU831" s="20"/>
      <c r="CV831" s="20"/>
      <c r="CW831" s="20"/>
      <c r="CX831" s="20"/>
      <c r="CY831" s="20"/>
    </row>
    <row r="832" spans="1:103" s="6" customFormat="1">
      <c r="A832"/>
      <c r="B832"/>
      <c r="C832"/>
      <c r="D832"/>
      <c r="E832"/>
      <c r="F832"/>
      <c r="G832"/>
      <c r="H832"/>
      <c r="I832"/>
      <c r="J832"/>
      <c r="N832" s="7"/>
      <c r="O832"/>
      <c r="P832" s="10"/>
      <c r="Q832" s="9"/>
      <c r="R832" s="10"/>
      <c r="S832" s="10"/>
      <c r="AA832" s="11"/>
      <c r="AD832"/>
      <c r="AE832"/>
      <c r="AF832"/>
      <c r="AG832"/>
      <c r="AH832" s="46"/>
      <c r="AI832"/>
      <c r="AJ832"/>
      <c r="AK832"/>
      <c r="AL832"/>
      <c r="AM832"/>
      <c r="AN832"/>
      <c r="AO832"/>
      <c r="AP832"/>
      <c r="AQ832"/>
      <c r="AR832"/>
      <c r="AS832"/>
      <c r="AT832" s="14"/>
      <c r="AU832"/>
      <c r="AV832"/>
      <c r="AW832"/>
      <c r="AX832" s="10"/>
      <c r="AY832" s="20"/>
      <c r="AZ832" s="16"/>
      <c r="BA832"/>
      <c r="BB832"/>
      <c r="BC832" s="16"/>
      <c r="BD832"/>
      <c r="BE832"/>
      <c r="BF832"/>
      <c r="BG832"/>
      <c r="BH832"/>
      <c r="BI832"/>
      <c r="BJ832"/>
      <c r="BK832"/>
      <c r="BL832"/>
      <c r="BM832"/>
      <c r="BN832" s="19"/>
      <c r="BO832"/>
      <c r="BP832"/>
      <c r="BQ832"/>
      <c r="BR832"/>
      <c r="BS832"/>
      <c r="BT832"/>
      <c r="BU832"/>
      <c r="BV832"/>
      <c r="BW832"/>
      <c r="BX832"/>
      <c r="BY832"/>
      <c r="BZ832"/>
      <c r="CA832"/>
      <c r="CB832"/>
      <c r="CC832"/>
      <c r="CD832"/>
      <c r="CE832"/>
      <c r="CF832"/>
      <c r="CG832"/>
      <c r="CH832"/>
      <c r="CI832"/>
      <c r="CJ832"/>
      <c r="CK832"/>
      <c r="CL832"/>
      <c r="CM832" s="20"/>
      <c r="CN832" s="20"/>
      <c r="CO832" s="20"/>
      <c r="CP832" s="20"/>
      <c r="CQ832" s="20"/>
      <c r="CR832" s="20"/>
      <c r="CS832" s="20"/>
      <c r="CT832" s="20"/>
      <c r="CU832" s="20"/>
      <c r="CV832" s="20"/>
      <c r="CW832" s="20"/>
      <c r="CX832" s="20"/>
      <c r="CY832" s="20"/>
    </row>
    <row r="833" spans="1:103" s="6" customFormat="1">
      <c r="A833"/>
      <c r="B833"/>
      <c r="C833"/>
      <c r="D833"/>
      <c r="E833"/>
      <c r="F833"/>
      <c r="G833"/>
      <c r="H833"/>
      <c r="I833"/>
      <c r="J833"/>
      <c r="N833" s="7"/>
      <c r="O833"/>
      <c r="P833" s="10"/>
      <c r="Q833" s="9"/>
      <c r="R833" s="10"/>
      <c r="S833" s="10"/>
      <c r="AA833" s="11"/>
      <c r="AD833"/>
      <c r="AE833"/>
      <c r="AF833"/>
      <c r="AG833"/>
      <c r="AH833" s="46"/>
      <c r="AI833"/>
      <c r="AJ833"/>
      <c r="AK833"/>
      <c r="AL833"/>
      <c r="AM833"/>
      <c r="AN833"/>
      <c r="AO833"/>
      <c r="AP833"/>
      <c r="AQ833"/>
      <c r="AR833"/>
      <c r="AS833"/>
      <c r="AT833" s="14"/>
      <c r="AU833"/>
      <c r="AV833"/>
      <c r="AW833"/>
      <c r="AX833" s="10"/>
      <c r="AY833" s="20"/>
      <c r="AZ833" s="16"/>
      <c r="BA833"/>
      <c r="BB833"/>
      <c r="BC833" s="16"/>
      <c r="BD833"/>
      <c r="BE833"/>
      <c r="BF833"/>
      <c r="BG833"/>
      <c r="BH833"/>
      <c r="BI833"/>
      <c r="BJ833"/>
      <c r="BK833"/>
      <c r="BL833"/>
      <c r="BM833"/>
      <c r="BN833" s="19"/>
      <c r="BO833"/>
      <c r="BP833"/>
      <c r="BQ833"/>
      <c r="BR833"/>
      <c r="BS833"/>
      <c r="BT833"/>
      <c r="BU833"/>
      <c r="BV833"/>
      <c r="BW833"/>
      <c r="BX833"/>
      <c r="BY833"/>
      <c r="BZ833"/>
      <c r="CA833"/>
      <c r="CB833"/>
      <c r="CC833"/>
      <c r="CD833"/>
      <c r="CE833"/>
      <c r="CF833"/>
      <c r="CG833"/>
      <c r="CH833"/>
      <c r="CI833"/>
      <c r="CJ833"/>
      <c r="CK833"/>
      <c r="CL833"/>
      <c r="CM833" s="20"/>
      <c r="CN833" s="20"/>
      <c r="CO833" s="20"/>
      <c r="CP833" s="20"/>
      <c r="CQ833" s="20"/>
      <c r="CR833" s="20"/>
      <c r="CS833" s="20"/>
      <c r="CT833" s="20"/>
      <c r="CU833" s="20"/>
      <c r="CV833" s="20"/>
      <c r="CW833" s="20"/>
      <c r="CX833" s="20"/>
      <c r="CY833" s="20"/>
    </row>
    <row r="834" spans="1:103" s="6" customFormat="1">
      <c r="A834"/>
      <c r="B834"/>
      <c r="C834"/>
      <c r="D834"/>
      <c r="E834"/>
      <c r="F834"/>
      <c r="G834"/>
      <c r="H834"/>
      <c r="I834"/>
      <c r="J834"/>
      <c r="N834" s="7"/>
      <c r="O834"/>
      <c r="P834" s="10"/>
      <c r="Q834" s="9"/>
      <c r="R834" s="10"/>
      <c r="S834" s="10"/>
      <c r="AA834" s="11"/>
      <c r="AD834"/>
      <c r="AE834"/>
      <c r="AF834"/>
      <c r="AG834"/>
      <c r="AH834" s="46"/>
      <c r="AI834"/>
      <c r="AJ834"/>
      <c r="AK834"/>
      <c r="AL834"/>
      <c r="AM834"/>
      <c r="AN834"/>
      <c r="AO834"/>
      <c r="AP834"/>
      <c r="AQ834"/>
      <c r="AR834"/>
      <c r="AS834"/>
      <c r="AT834" s="14"/>
      <c r="AU834"/>
      <c r="AV834"/>
      <c r="AW834"/>
      <c r="AX834" s="10"/>
      <c r="AY834" s="20"/>
      <c r="AZ834" s="16"/>
      <c r="BA834"/>
      <c r="BB834"/>
      <c r="BC834" s="16"/>
      <c r="BD834"/>
      <c r="BE834"/>
      <c r="BF834"/>
      <c r="BG834"/>
      <c r="BH834"/>
      <c r="BI834"/>
      <c r="BJ834"/>
      <c r="BK834"/>
      <c r="BL834"/>
      <c r="BM834"/>
      <c r="BN834" s="19"/>
      <c r="BO834"/>
      <c r="BP834"/>
      <c r="BQ834"/>
      <c r="BR834"/>
      <c r="BS834"/>
      <c r="BT834"/>
      <c r="BU834"/>
      <c r="BV834"/>
      <c r="BW834"/>
      <c r="BX834"/>
      <c r="BY834"/>
      <c r="BZ834"/>
      <c r="CA834"/>
      <c r="CB834"/>
      <c r="CC834"/>
      <c r="CD834"/>
      <c r="CE834"/>
      <c r="CF834"/>
      <c r="CG834"/>
      <c r="CH834"/>
      <c r="CI834"/>
      <c r="CJ834"/>
      <c r="CK834"/>
      <c r="CL834"/>
      <c r="CM834" s="20"/>
      <c r="CN834" s="20"/>
      <c r="CO834" s="20"/>
      <c r="CP834" s="20"/>
      <c r="CQ834" s="20"/>
      <c r="CR834" s="20"/>
      <c r="CS834" s="20"/>
      <c r="CT834" s="20"/>
      <c r="CU834" s="20"/>
      <c r="CV834" s="20"/>
      <c r="CW834" s="20"/>
      <c r="CX834" s="20"/>
      <c r="CY834" s="20"/>
    </row>
    <row r="835" spans="1:103" s="6" customFormat="1">
      <c r="A835"/>
      <c r="B835"/>
      <c r="C835"/>
      <c r="D835"/>
      <c r="E835"/>
      <c r="F835"/>
      <c r="G835"/>
      <c r="H835"/>
      <c r="I835"/>
      <c r="J835"/>
      <c r="N835" s="7"/>
      <c r="O835"/>
      <c r="P835" s="10"/>
      <c r="Q835" s="9"/>
      <c r="R835" s="10"/>
      <c r="S835" s="10"/>
      <c r="AA835" s="11"/>
      <c r="AD835"/>
      <c r="AE835"/>
      <c r="AF835"/>
      <c r="AG835"/>
      <c r="AH835" s="46"/>
      <c r="AI835"/>
      <c r="AJ835"/>
      <c r="AK835"/>
      <c r="AL835"/>
      <c r="AM835"/>
      <c r="AN835"/>
      <c r="AO835"/>
      <c r="AP835"/>
      <c r="AQ835"/>
      <c r="AR835"/>
      <c r="AS835"/>
      <c r="AT835" s="14"/>
      <c r="AU835"/>
      <c r="AV835"/>
      <c r="AW835"/>
      <c r="AX835" s="10"/>
      <c r="AY835" s="20"/>
      <c r="AZ835" s="16"/>
      <c r="BA835"/>
      <c r="BB835"/>
      <c r="BC835" s="16"/>
      <c r="BD835"/>
      <c r="BE835"/>
      <c r="BF835"/>
      <c r="BG835"/>
      <c r="BH835"/>
      <c r="BI835"/>
      <c r="BJ835"/>
      <c r="BK835"/>
      <c r="BL835"/>
      <c r="BM835"/>
      <c r="BN835" s="19"/>
      <c r="BO835"/>
      <c r="BP835"/>
      <c r="BQ835"/>
      <c r="BR835"/>
      <c r="BS835"/>
      <c r="BT835"/>
      <c r="BU835"/>
      <c r="BV835"/>
      <c r="BW835"/>
      <c r="BX835"/>
      <c r="BY835"/>
      <c r="BZ835"/>
      <c r="CA835"/>
      <c r="CB835"/>
      <c r="CC835"/>
      <c r="CD835"/>
      <c r="CE835"/>
      <c r="CF835"/>
      <c r="CG835"/>
      <c r="CH835"/>
      <c r="CI835"/>
      <c r="CJ835"/>
      <c r="CK835"/>
      <c r="CL835"/>
      <c r="CM835" s="20"/>
      <c r="CN835" s="20"/>
      <c r="CO835" s="20"/>
      <c r="CP835" s="20"/>
      <c r="CQ835" s="20"/>
      <c r="CR835" s="20"/>
      <c r="CS835" s="20"/>
      <c r="CT835" s="20"/>
      <c r="CU835" s="20"/>
      <c r="CV835" s="20"/>
      <c r="CW835" s="20"/>
      <c r="CX835" s="20"/>
      <c r="CY835" s="20"/>
    </row>
    <row r="836" spans="1:103" s="6" customFormat="1">
      <c r="A836"/>
      <c r="B836"/>
      <c r="C836"/>
      <c r="D836"/>
      <c r="E836"/>
      <c r="F836"/>
      <c r="G836"/>
      <c r="H836"/>
      <c r="I836"/>
      <c r="J836"/>
      <c r="N836" s="7"/>
      <c r="O836"/>
      <c r="P836" s="10"/>
      <c r="Q836" s="9"/>
      <c r="R836" s="10"/>
      <c r="S836" s="10"/>
      <c r="AA836" s="11"/>
      <c r="AD836"/>
      <c r="AE836"/>
      <c r="AF836"/>
      <c r="AG836"/>
      <c r="AH836" s="46"/>
      <c r="AI836"/>
      <c r="AJ836"/>
      <c r="AK836"/>
      <c r="AL836"/>
      <c r="AM836"/>
      <c r="AN836"/>
      <c r="AO836"/>
      <c r="AP836"/>
      <c r="AQ836"/>
      <c r="AR836"/>
      <c r="AS836"/>
      <c r="AT836" s="14"/>
      <c r="AU836"/>
      <c r="AV836"/>
      <c r="AW836"/>
      <c r="AX836" s="10"/>
      <c r="AY836" s="20"/>
      <c r="AZ836" s="16"/>
      <c r="BA836"/>
      <c r="BB836"/>
      <c r="BC836" s="16"/>
      <c r="BD836"/>
      <c r="BE836"/>
      <c r="BF836"/>
      <c r="BG836"/>
      <c r="BH836"/>
      <c r="BI836"/>
      <c r="BJ836"/>
      <c r="BK836"/>
      <c r="BL836"/>
      <c r="BM836"/>
      <c r="BN836" s="19"/>
      <c r="BO836"/>
      <c r="BP836"/>
      <c r="BQ836"/>
      <c r="BR836"/>
      <c r="BS836"/>
      <c r="BT836"/>
      <c r="BU836"/>
      <c r="BV836"/>
      <c r="BW836"/>
      <c r="BX836"/>
      <c r="BY836"/>
      <c r="BZ836"/>
      <c r="CA836"/>
      <c r="CB836"/>
      <c r="CC836"/>
      <c r="CD836"/>
      <c r="CE836"/>
      <c r="CF836"/>
      <c r="CG836"/>
      <c r="CH836"/>
      <c r="CI836"/>
      <c r="CJ836"/>
      <c r="CK836"/>
      <c r="CL836"/>
      <c r="CM836" s="20"/>
      <c r="CN836" s="20"/>
      <c r="CO836" s="20"/>
      <c r="CP836" s="20"/>
      <c r="CQ836" s="20"/>
      <c r="CR836" s="20"/>
      <c r="CS836" s="20"/>
      <c r="CT836" s="20"/>
      <c r="CU836" s="20"/>
      <c r="CV836" s="20"/>
      <c r="CW836" s="20"/>
      <c r="CX836" s="20"/>
      <c r="CY836" s="20"/>
    </row>
    <row r="837" spans="1:103" s="6" customFormat="1">
      <c r="A837"/>
      <c r="B837"/>
      <c r="C837"/>
      <c r="D837"/>
      <c r="E837"/>
      <c r="F837"/>
      <c r="G837"/>
      <c r="H837"/>
      <c r="I837"/>
      <c r="J837"/>
      <c r="N837" s="7"/>
      <c r="O837"/>
      <c r="P837" s="10"/>
      <c r="Q837" s="9"/>
      <c r="R837" s="10"/>
      <c r="S837" s="10"/>
      <c r="AA837" s="11"/>
      <c r="AD837"/>
      <c r="AE837"/>
      <c r="AF837"/>
      <c r="AG837"/>
      <c r="AH837" s="46"/>
      <c r="AI837"/>
      <c r="AJ837"/>
      <c r="AK837"/>
      <c r="AL837"/>
      <c r="AM837"/>
      <c r="AN837"/>
      <c r="AO837"/>
      <c r="AP837"/>
      <c r="AQ837"/>
      <c r="AR837"/>
      <c r="AS837"/>
      <c r="AT837" s="14"/>
      <c r="AU837"/>
      <c r="AV837"/>
      <c r="AW837"/>
      <c r="AX837" s="10"/>
      <c r="AY837" s="20"/>
      <c r="AZ837" s="16"/>
      <c r="BA837"/>
      <c r="BB837"/>
      <c r="BC837" s="16"/>
      <c r="BD837"/>
      <c r="BE837"/>
      <c r="BF837"/>
      <c r="BG837"/>
      <c r="BH837"/>
      <c r="BI837"/>
      <c r="BJ837"/>
      <c r="BK837"/>
      <c r="BL837"/>
      <c r="BM837"/>
      <c r="BN837" s="19"/>
      <c r="BO837"/>
      <c r="BP837"/>
      <c r="BQ837"/>
      <c r="BR837"/>
      <c r="BS837"/>
      <c r="BT837"/>
      <c r="BU837"/>
      <c r="BV837"/>
      <c r="BW837"/>
      <c r="BX837"/>
      <c r="BY837"/>
      <c r="BZ837"/>
      <c r="CA837"/>
      <c r="CB837"/>
      <c r="CC837"/>
      <c r="CD837"/>
      <c r="CE837"/>
      <c r="CF837"/>
      <c r="CG837"/>
      <c r="CH837"/>
      <c r="CI837"/>
      <c r="CJ837"/>
      <c r="CK837"/>
      <c r="CL837"/>
      <c r="CM837" s="20"/>
      <c r="CN837" s="20"/>
      <c r="CO837" s="20"/>
      <c r="CP837" s="20"/>
      <c r="CQ837" s="20"/>
      <c r="CR837" s="20"/>
      <c r="CS837" s="20"/>
      <c r="CT837" s="20"/>
      <c r="CU837" s="20"/>
      <c r="CV837" s="20"/>
      <c r="CW837" s="20"/>
      <c r="CX837" s="20"/>
      <c r="CY837" s="20"/>
    </row>
    <row r="838" spans="1:103" s="6" customFormat="1">
      <c r="A838"/>
      <c r="B838"/>
      <c r="C838"/>
      <c r="D838"/>
      <c r="E838"/>
      <c r="F838"/>
      <c r="G838"/>
      <c r="H838"/>
      <c r="I838"/>
      <c r="J838"/>
      <c r="N838" s="7"/>
      <c r="O838"/>
      <c r="P838" s="10"/>
      <c r="Q838" s="9"/>
      <c r="R838" s="10"/>
      <c r="S838" s="10"/>
      <c r="AA838" s="11"/>
      <c r="AD838"/>
      <c r="AE838"/>
      <c r="AF838"/>
      <c r="AG838"/>
      <c r="AH838" s="46"/>
      <c r="AI838"/>
      <c r="AJ838"/>
      <c r="AK838"/>
      <c r="AL838"/>
      <c r="AM838"/>
      <c r="AN838"/>
      <c r="AO838"/>
      <c r="AP838"/>
      <c r="AQ838"/>
      <c r="AR838"/>
      <c r="AS838"/>
      <c r="AT838" s="14"/>
      <c r="AU838"/>
      <c r="AV838"/>
      <c r="AW838"/>
      <c r="AX838" s="10"/>
      <c r="AY838" s="20"/>
      <c r="AZ838" s="16"/>
      <c r="BA838"/>
      <c r="BB838"/>
      <c r="BC838" s="16"/>
      <c r="BD838"/>
      <c r="BE838"/>
      <c r="BF838"/>
      <c r="BG838"/>
      <c r="BH838"/>
      <c r="BI838"/>
      <c r="BJ838"/>
      <c r="BK838"/>
      <c r="BL838"/>
      <c r="BM838"/>
      <c r="BN838" s="19"/>
      <c r="BO838"/>
      <c r="BP838"/>
      <c r="BQ838"/>
      <c r="BR838"/>
      <c r="BS838"/>
      <c r="BT838"/>
      <c r="BU838"/>
      <c r="BV838"/>
      <c r="BW838"/>
      <c r="BX838"/>
      <c r="BY838"/>
      <c r="BZ838"/>
      <c r="CA838"/>
      <c r="CB838"/>
      <c r="CC838"/>
      <c r="CD838"/>
      <c r="CE838"/>
      <c r="CF838"/>
      <c r="CG838"/>
      <c r="CH838"/>
      <c r="CI838"/>
      <c r="CJ838"/>
      <c r="CK838"/>
      <c r="CL838"/>
      <c r="CM838" s="20"/>
      <c r="CN838" s="20"/>
      <c r="CO838" s="20"/>
      <c r="CP838" s="20"/>
      <c r="CQ838" s="20"/>
      <c r="CR838" s="20"/>
      <c r="CS838" s="20"/>
      <c r="CT838" s="20"/>
      <c r="CU838" s="20"/>
      <c r="CV838" s="20"/>
      <c r="CW838" s="20"/>
      <c r="CX838" s="20"/>
      <c r="CY838" s="20"/>
    </row>
    <row r="839" spans="1:103" s="6" customFormat="1">
      <c r="A839"/>
      <c r="B839"/>
      <c r="C839"/>
      <c r="D839"/>
      <c r="E839"/>
      <c r="F839"/>
      <c r="G839"/>
      <c r="H839"/>
      <c r="I839"/>
      <c r="J839"/>
      <c r="N839" s="7"/>
      <c r="O839"/>
      <c r="P839" s="10"/>
      <c r="Q839" s="9"/>
      <c r="R839" s="10"/>
      <c r="S839" s="10"/>
      <c r="AA839" s="11"/>
      <c r="AD839"/>
      <c r="AE839"/>
      <c r="AF839"/>
      <c r="AG839"/>
      <c r="AH839" s="46"/>
      <c r="AI839"/>
      <c r="AJ839"/>
      <c r="AK839"/>
      <c r="AL839"/>
      <c r="AM839"/>
      <c r="AN839"/>
      <c r="AO839"/>
      <c r="AP839"/>
      <c r="AQ839"/>
      <c r="AR839"/>
      <c r="AS839"/>
      <c r="AT839" s="14"/>
      <c r="AU839"/>
      <c r="AV839"/>
      <c r="AW839"/>
      <c r="AX839" s="10"/>
      <c r="AY839" s="20"/>
      <c r="AZ839" s="16"/>
      <c r="BA839"/>
      <c r="BB839"/>
      <c r="BC839" s="16"/>
      <c r="BD839"/>
      <c r="BE839"/>
      <c r="BF839"/>
      <c r="BG839"/>
      <c r="BH839"/>
      <c r="BI839"/>
      <c r="BJ839"/>
      <c r="BK839"/>
      <c r="BL839"/>
      <c r="BM839"/>
      <c r="BN839" s="19"/>
      <c r="BO839"/>
      <c r="BP839"/>
      <c r="BQ839"/>
      <c r="BR839"/>
      <c r="BS839"/>
      <c r="BT839"/>
      <c r="BU839"/>
      <c r="BV839"/>
      <c r="BW839"/>
      <c r="BX839"/>
      <c r="BY839"/>
      <c r="BZ839"/>
      <c r="CA839"/>
      <c r="CB839"/>
      <c r="CC839"/>
      <c r="CD839"/>
      <c r="CE839"/>
      <c r="CF839"/>
      <c r="CG839"/>
      <c r="CH839"/>
      <c r="CI839"/>
      <c r="CJ839"/>
      <c r="CK839"/>
      <c r="CL839"/>
      <c r="CM839" s="20"/>
      <c r="CN839" s="20"/>
      <c r="CO839" s="20"/>
      <c r="CP839" s="20"/>
      <c r="CQ839" s="20"/>
      <c r="CR839" s="20"/>
      <c r="CS839" s="20"/>
      <c r="CT839" s="20"/>
      <c r="CU839" s="20"/>
      <c r="CV839" s="20"/>
      <c r="CW839" s="20"/>
      <c r="CX839" s="20"/>
      <c r="CY839" s="20"/>
    </row>
    <row r="840" spans="1:103" s="6" customFormat="1">
      <c r="A840"/>
      <c r="B840"/>
      <c r="C840"/>
      <c r="D840"/>
      <c r="E840"/>
      <c r="F840"/>
      <c r="G840"/>
      <c r="H840"/>
      <c r="I840"/>
      <c r="J840"/>
      <c r="N840" s="7"/>
      <c r="O840"/>
      <c r="P840" s="10"/>
      <c r="Q840" s="9"/>
      <c r="R840" s="10"/>
      <c r="S840" s="10"/>
      <c r="AA840" s="11"/>
      <c r="AD840"/>
      <c r="AE840"/>
      <c r="AF840"/>
      <c r="AG840"/>
      <c r="AH840" s="46"/>
      <c r="AI840"/>
      <c r="AJ840"/>
      <c r="AK840"/>
      <c r="AL840"/>
      <c r="AM840"/>
      <c r="AN840"/>
      <c r="AO840"/>
      <c r="AP840"/>
      <c r="AQ840"/>
      <c r="AR840"/>
      <c r="AS840"/>
      <c r="AT840" s="14"/>
      <c r="AU840"/>
      <c r="AV840"/>
      <c r="AW840"/>
      <c r="AX840" s="10"/>
      <c r="AY840" s="20"/>
      <c r="AZ840" s="16"/>
      <c r="BA840"/>
      <c r="BB840"/>
      <c r="BC840" s="16"/>
      <c r="BD840"/>
      <c r="BE840"/>
      <c r="BF840"/>
      <c r="BG840"/>
      <c r="BH840"/>
      <c r="BI840"/>
      <c r="BJ840"/>
      <c r="BK840"/>
      <c r="BL840"/>
      <c r="BM840"/>
      <c r="BN840" s="19"/>
      <c r="BO840"/>
      <c r="BP840"/>
      <c r="BQ840"/>
      <c r="BR840"/>
      <c r="BS840"/>
      <c r="BT840"/>
      <c r="BU840"/>
      <c r="BV840"/>
      <c r="BW840"/>
      <c r="BX840"/>
      <c r="BY840"/>
      <c r="BZ840"/>
      <c r="CA840"/>
      <c r="CB840"/>
      <c r="CC840"/>
      <c r="CD840"/>
      <c r="CE840"/>
      <c r="CF840"/>
      <c r="CG840"/>
      <c r="CH840"/>
      <c r="CI840"/>
      <c r="CJ840"/>
      <c r="CK840"/>
      <c r="CL840"/>
      <c r="CM840" s="20"/>
      <c r="CN840" s="20"/>
      <c r="CO840" s="20"/>
      <c r="CP840" s="20"/>
      <c r="CQ840" s="20"/>
      <c r="CR840" s="20"/>
      <c r="CS840" s="20"/>
      <c r="CT840" s="20"/>
      <c r="CU840" s="20"/>
      <c r="CV840" s="20"/>
      <c r="CW840" s="20"/>
      <c r="CX840" s="20"/>
      <c r="CY840" s="20"/>
    </row>
    <row r="841" spans="1:103" s="6" customFormat="1">
      <c r="A841"/>
      <c r="B841"/>
      <c r="C841"/>
      <c r="D841"/>
      <c r="E841"/>
      <c r="F841"/>
      <c r="G841"/>
      <c r="H841"/>
      <c r="I841"/>
      <c r="J841"/>
      <c r="N841" s="7"/>
      <c r="O841"/>
      <c r="P841" s="10"/>
      <c r="Q841" s="9"/>
      <c r="R841" s="10"/>
      <c r="S841" s="10"/>
      <c r="AA841" s="11"/>
      <c r="AD841"/>
      <c r="AE841"/>
      <c r="AF841"/>
      <c r="AG841"/>
      <c r="AH841" s="46"/>
      <c r="AI841"/>
      <c r="AJ841"/>
      <c r="AK841"/>
      <c r="AL841"/>
      <c r="AM841"/>
      <c r="AN841"/>
      <c r="AO841"/>
      <c r="AP841"/>
      <c r="AQ841"/>
      <c r="AR841"/>
      <c r="AS841"/>
      <c r="AT841" s="14"/>
      <c r="AU841"/>
      <c r="AV841"/>
      <c r="AW841"/>
      <c r="AX841" s="10"/>
      <c r="AY841" s="20"/>
      <c r="AZ841" s="16"/>
      <c r="BA841"/>
      <c r="BB841"/>
      <c r="BC841" s="16"/>
      <c r="BD841"/>
      <c r="BE841"/>
      <c r="BF841"/>
      <c r="BG841"/>
      <c r="BH841"/>
      <c r="BI841"/>
      <c r="BJ841"/>
      <c r="BK841"/>
      <c r="BL841"/>
      <c r="BM841"/>
      <c r="BN841" s="19"/>
      <c r="BO841"/>
      <c r="BP841"/>
      <c r="BQ841"/>
      <c r="BR841"/>
      <c r="BS841"/>
      <c r="BT841"/>
      <c r="BU841"/>
      <c r="BV841"/>
      <c r="BW841"/>
      <c r="BX841"/>
      <c r="BY841"/>
      <c r="BZ841"/>
      <c r="CA841"/>
      <c r="CB841"/>
      <c r="CC841"/>
      <c r="CD841"/>
      <c r="CE841"/>
      <c r="CF841"/>
      <c r="CG841"/>
      <c r="CH841"/>
      <c r="CI841"/>
      <c r="CJ841"/>
      <c r="CK841"/>
      <c r="CL841"/>
      <c r="CM841" s="20"/>
      <c r="CN841" s="20"/>
      <c r="CO841" s="20"/>
      <c r="CP841" s="20"/>
      <c r="CQ841" s="20"/>
      <c r="CR841" s="20"/>
      <c r="CS841" s="20"/>
      <c r="CT841" s="20"/>
      <c r="CU841" s="20"/>
      <c r="CV841" s="20"/>
      <c r="CW841" s="20"/>
      <c r="CX841" s="20"/>
      <c r="CY841" s="20"/>
    </row>
    <row r="842" spans="1:103" s="6" customFormat="1">
      <c r="A842"/>
      <c r="B842"/>
      <c r="C842"/>
      <c r="D842"/>
      <c r="E842"/>
      <c r="F842"/>
      <c r="G842"/>
      <c r="H842"/>
      <c r="I842"/>
      <c r="J842"/>
      <c r="N842" s="7"/>
      <c r="O842"/>
      <c r="P842" s="10"/>
      <c r="Q842" s="9"/>
      <c r="R842" s="10"/>
      <c r="S842" s="10"/>
      <c r="AA842" s="11"/>
      <c r="AD842"/>
      <c r="AE842"/>
      <c r="AF842"/>
      <c r="AG842"/>
      <c r="AH842" s="46"/>
      <c r="AI842"/>
      <c r="AJ842"/>
      <c r="AK842"/>
      <c r="AL842"/>
      <c r="AM842"/>
      <c r="AN842"/>
      <c r="AO842"/>
      <c r="AP842"/>
      <c r="AQ842"/>
      <c r="AR842"/>
      <c r="AS842"/>
      <c r="AT842" s="14"/>
      <c r="AU842"/>
      <c r="AV842"/>
      <c r="AW842"/>
      <c r="AX842" s="10"/>
      <c r="AY842" s="20"/>
      <c r="AZ842" s="16"/>
      <c r="BA842"/>
      <c r="BB842"/>
      <c r="BC842" s="16"/>
      <c r="BD842"/>
      <c r="BE842"/>
      <c r="BF842"/>
      <c r="BG842"/>
      <c r="BH842"/>
      <c r="BI842"/>
      <c r="BJ842"/>
      <c r="BK842"/>
      <c r="BL842"/>
      <c r="BM842"/>
      <c r="BN842" s="19"/>
      <c r="BO842"/>
      <c r="BP842"/>
      <c r="BQ842"/>
      <c r="BR842"/>
      <c r="BS842"/>
      <c r="BT842"/>
      <c r="BU842"/>
      <c r="BV842"/>
      <c r="BW842"/>
      <c r="BX842"/>
      <c r="BY842"/>
      <c r="BZ842"/>
      <c r="CA842"/>
      <c r="CB842"/>
      <c r="CC842"/>
      <c r="CD842"/>
      <c r="CE842"/>
      <c r="CF842"/>
      <c r="CG842"/>
      <c r="CH842"/>
      <c r="CI842"/>
      <c r="CJ842"/>
      <c r="CK842"/>
      <c r="CL842"/>
      <c r="CM842" s="20"/>
      <c r="CN842" s="20"/>
      <c r="CO842" s="20"/>
      <c r="CP842" s="20"/>
      <c r="CQ842" s="20"/>
      <c r="CR842" s="20"/>
      <c r="CS842" s="20"/>
      <c r="CT842" s="20"/>
      <c r="CU842" s="20"/>
      <c r="CV842" s="20"/>
      <c r="CW842" s="20"/>
      <c r="CX842" s="20"/>
      <c r="CY842" s="20"/>
    </row>
    <row r="843" spans="1:103" s="6" customFormat="1">
      <c r="A843"/>
      <c r="B843"/>
      <c r="C843"/>
      <c r="D843"/>
      <c r="E843"/>
      <c r="F843"/>
      <c r="G843"/>
      <c r="H843"/>
      <c r="I843"/>
      <c r="J843"/>
      <c r="N843" s="7"/>
      <c r="O843"/>
      <c r="P843" s="10"/>
      <c r="Q843" s="9"/>
      <c r="R843" s="10"/>
      <c r="S843" s="10"/>
      <c r="AA843" s="11"/>
      <c r="AD843"/>
      <c r="AE843"/>
      <c r="AF843"/>
      <c r="AG843"/>
      <c r="AH843" s="46"/>
      <c r="AI843"/>
      <c r="AJ843"/>
      <c r="AK843"/>
      <c r="AL843"/>
      <c r="AM843"/>
      <c r="AN843"/>
      <c r="AO843"/>
      <c r="AP843"/>
      <c r="AQ843"/>
      <c r="AR843"/>
      <c r="AS843"/>
      <c r="AT843" s="14"/>
      <c r="AU843"/>
      <c r="AV843"/>
      <c r="AW843"/>
      <c r="AX843" s="10"/>
      <c r="AY843" s="20"/>
      <c r="AZ843" s="16"/>
      <c r="BA843"/>
      <c r="BB843"/>
      <c r="BC843" s="16"/>
      <c r="BD843"/>
      <c r="BE843"/>
      <c r="BF843"/>
      <c r="BG843"/>
      <c r="BH843"/>
      <c r="BI843"/>
      <c r="BJ843"/>
      <c r="BK843"/>
      <c r="BL843"/>
      <c r="BM843"/>
      <c r="BN843" s="19"/>
      <c r="BO843"/>
      <c r="BP843"/>
      <c r="BQ843"/>
      <c r="BR843"/>
      <c r="BS843"/>
      <c r="BT843"/>
      <c r="BU843"/>
      <c r="BV843"/>
      <c r="BW843"/>
      <c r="BX843"/>
      <c r="BY843"/>
      <c r="BZ843"/>
      <c r="CA843"/>
      <c r="CB843"/>
      <c r="CC843"/>
      <c r="CD843"/>
      <c r="CE843"/>
      <c r="CF843"/>
      <c r="CG843"/>
      <c r="CH843"/>
      <c r="CI843"/>
      <c r="CJ843"/>
      <c r="CK843"/>
      <c r="CL843"/>
      <c r="CM843" s="20"/>
      <c r="CN843" s="20"/>
      <c r="CO843" s="20"/>
      <c r="CP843" s="20"/>
      <c r="CQ843" s="20"/>
      <c r="CR843" s="20"/>
      <c r="CS843" s="20"/>
      <c r="CT843" s="20"/>
      <c r="CU843" s="20"/>
      <c r="CV843" s="20"/>
      <c r="CW843" s="20"/>
      <c r="CX843" s="20"/>
      <c r="CY843" s="20"/>
    </row>
    <row r="844" spans="1:103" s="6" customFormat="1">
      <c r="A844"/>
      <c r="B844"/>
      <c r="C844"/>
      <c r="D844"/>
      <c r="E844"/>
      <c r="F844"/>
      <c r="G844"/>
      <c r="H844"/>
      <c r="I844"/>
      <c r="J844"/>
      <c r="N844" s="7"/>
      <c r="O844"/>
      <c r="P844" s="10"/>
      <c r="Q844" s="9"/>
      <c r="R844" s="10"/>
      <c r="S844" s="10"/>
      <c r="AA844" s="11"/>
      <c r="AD844"/>
      <c r="AE844"/>
      <c r="AF844"/>
      <c r="AG844"/>
      <c r="AH844" s="46"/>
      <c r="AI844"/>
      <c r="AJ844"/>
      <c r="AK844"/>
      <c r="AL844"/>
      <c r="AM844"/>
      <c r="AN844"/>
      <c r="AO844"/>
      <c r="AP844"/>
      <c r="AQ844"/>
      <c r="AR844"/>
      <c r="AS844"/>
      <c r="AT844" s="14"/>
      <c r="AU844"/>
      <c r="AV844"/>
      <c r="AW844"/>
      <c r="AX844" s="10"/>
      <c r="AY844" s="20"/>
      <c r="AZ844" s="16"/>
      <c r="BA844"/>
      <c r="BB844"/>
      <c r="BC844" s="16"/>
      <c r="BD844"/>
      <c r="BE844"/>
      <c r="BF844"/>
      <c r="BG844"/>
      <c r="BH844"/>
      <c r="BI844"/>
      <c r="BJ844"/>
      <c r="BK844"/>
      <c r="BL844"/>
      <c r="BM844"/>
      <c r="BN844" s="19"/>
      <c r="BO844"/>
      <c r="BP844"/>
      <c r="BQ844"/>
      <c r="BR844"/>
      <c r="BS844"/>
      <c r="BT844"/>
      <c r="BU844"/>
      <c r="BV844"/>
      <c r="BW844"/>
      <c r="BX844"/>
      <c r="BY844"/>
      <c r="BZ844"/>
      <c r="CA844"/>
      <c r="CB844"/>
      <c r="CC844"/>
      <c r="CD844"/>
      <c r="CE844"/>
      <c r="CF844"/>
      <c r="CG844"/>
      <c r="CH844"/>
      <c r="CI844"/>
      <c r="CJ844"/>
      <c r="CK844"/>
      <c r="CL844"/>
      <c r="CM844" s="20"/>
      <c r="CN844" s="20"/>
      <c r="CO844" s="20"/>
      <c r="CP844" s="20"/>
      <c r="CQ844" s="20"/>
      <c r="CR844" s="20"/>
      <c r="CS844" s="20"/>
      <c r="CT844" s="20"/>
      <c r="CU844" s="20"/>
      <c r="CV844" s="20"/>
      <c r="CW844" s="20"/>
      <c r="CX844" s="20"/>
      <c r="CY844" s="20"/>
    </row>
    <row r="845" spans="1:103" s="6" customFormat="1">
      <c r="A845"/>
      <c r="B845"/>
      <c r="C845"/>
      <c r="D845"/>
      <c r="E845"/>
      <c r="F845"/>
      <c r="G845"/>
      <c r="H845"/>
      <c r="I845"/>
      <c r="J845"/>
      <c r="N845" s="7"/>
      <c r="O845"/>
      <c r="P845" s="10"/>
      <c r="Q845" s="9"/>
      <c r="R845" s="10"/>
      <c r="S845" s="10"/>
      <c r="AA845" s="11"/>
      <c r="AD845"/>
      <c r="AE845"/>
      <c r="AF845"/>
      <c r="AG845"/>
      <c r="AH845" s="46"/>
      <c r="AI845"/>
      <c r="AJ845"/>
      <c r="AK845"/>
      <c r="AL845"/>
      <c r="AM845"/>
      <c r="AN845"/>
      <c r="AO845"/>
      <c r="AP845"/>
      <c r="AQ845"/>
      <c r="AR845"/>
      <c r="AS845"/>
      <c r="AT845" s="14"/>
      <c r="AU845"/>
      <c r="AV845"/>
      <c r="AW845"/>
      <c r="AX845" s="10"/>
      <c r="AY845" s="20"/>
      <c r="AZ845" s="16"/>
      <c r="BA845"/>
      <c r="BB845"/>
      <c r="BC845" s="16"/>
      <c r="BD845"/>
      <c r="BE845"/>
      <c r="BF845"/>
      <c r="BG845"/>
      <c r="BH845"/>
      <c r="BI845"/>
      <c r="BJ845"/>
      <c r="BK845"/>
      <c r="BL845"/>
      <c r="BM845"/>
      <c r="BN845" s="19"/>
      <c r="BO845"/>
      <c r="BP845"/>
      <c r="BQ845"/>
      <c r="BR845"/>
      <c r="BS845"/>
      <c r="BT845"/>
      <c r="BU845"/>
      <c r="BV845"/>
      <c r="BW845"/>
      <c r="BX845"/>
      <c r="BY845"/>
      <c r="BZ845"/>
      <c r="CA845"/>
      <c r="CB845"/>
      <c r="CC845"/>
      <c r="CD845"/>
      <c r="CE845"/>
      <c r="CF845"/>
      <c r="CG845"/>
      <c r="CH845"/>
      <c r="CI845"/>
      <c r="CJ845"/>
      <c r="CK845"/>
      <c r="CL845"/>
      <c r="CM845" s="20"/>
      <c r="CN845" s="20"/>
      <c r="CO845" s="20"/>
      <c r="CP845" s="20"/>
      <c r="CQ845" s="20"/>
      <c r="CR845" s="20"/>
      <c r="CS845" s="20"/>
      <c r="CT845" s="20"/>
      <c r="CU845" s="20"/>
      <c r="CV845" s="20"/>
      <c r="CW845" s="20"/>
      <c r="CX845" s="20"/>
      <c r="CY845" s="20"/>
    </row>
    <row r="846" spans="1:103" s="6" customFormat="1">
      <c r="A846"/>
      <c r="B846"/>
      <c r="C846"/>
      <c r="D846"/>
      <c r="E846"/>
      <c r="F846"/>
      <c r="G846"/>
      <c r="H846"/>
      <c r="I846"/>
      <c r="J846"/>
      <c r="N846" s="7"/>
      <c r="O846"/>
      <c r="P846" s="10"/>
      <c r="Q846" s="9"/>
      <c r="R846" s="10"/>
      <c r="S846" s="10"/>
      <c r="AA846" s="11"/>
      <c r="AD846"/>
      <c r="AE846"/>
      <c r="AF846"/>
      <c r="AG846"/>
      <c r="AH846" s="46"/>
      <c r="AI846"/>
      <c r="AJ846"/>
      <c r="AK846"/>
      <c r="AL846"/>
      <c r="AM846"/>
      <c r="AN846"/>
      <c r="AO846"/>
      <c r="AP846"/>
      <c r="AQ846"/>
      <c r="AR846"/>
      <c r="AS846"/>
      <c r="AT846" s="14"/>
      <c r="AU846"/>
      <c r="AV846"/>
      <c r="AW846"/>
      <c r="AX846" s="10"/>
      <c r="AY846" s="20"/>
      <c r="AZ846" s="16"/>
      <c r="BA846"/>
      <c r="BB846"/>
      <c r="BC846" s="16"/>
      <c r="BD846"/>
      <c r="BE846"/>
      <c r="BF846"/>
      <c r="BG846"/>
      <c r="BH846"/>
      <c r="BI846"/>
      <c r="BJ846"/>
      <c r="BK846"/>
      <c r="BL846"/>
      <c r="BM846"/>
      <c r="BN846" s="19"/>
      <c r="BO846"/>
      <c r="BP846"/>
      <c r="BQ846"/>
      <c r="BR846"/>
      <c r="BS846"/>
      <c r="BT846"/>
      <c r="BU846"/>
      <c r="BV846"/>
      <c r="BW846"/>
      <c r="BX846"/>
      <c r="BY846"/>
      <c r="BZ846"/>
      <c r="CA846"/>
      <c r="CB846"/>
      <c r="CC846"/>
      <c r="CD846"/>
      <c r="CE846"/>
      <c r="CF846"/>
      <c r="CG846"/>
      <c r="CH846"/>
      <c r="CI846"/>
      <c r="CJ846"/>
      <c r="CK846"/>
      <c r="CL846"/>
      <c r="CM846" s="20"/>
      <c r="CN846" s="20"/>
      <c r="CO846" s="20"/>
      <c r="CP846" s="20"/>
      <c r="CQ846" s="20"/>
      <c r="CR846" s="20"/>
      <c r="CS846" s="20"/>
      <c r="CT846" s="20"/>
      <c r="CU846" s="20"/>
      <c r="CV846" s="20"/>
      <c r="CW846" s="20"/>
      <c r="CX846" s="20"/>
      <c r="CY846" s="20"/>
    </row>
    <row r="847" spans="1:103" s="6" customFormat="1">
      <c r="A847"/>
      <c r="B847"/>
      <c r="C847"/>
      <c r="D847"/>
      <c r="E847"/>
      <c r="F847"/>
      <c r="G847"/>
      <c r="H847"/>
      <c r="I847"/>
      <c r="J847"/>
      <c r="N847" s="7"/>
      <c r="O847"/>
      <c r="P847" s="10"/>
      <c r="Q847" s="9"/>
      <c r="R847" s="10"/>
      <c r="S847" s="10"/>
      <c r="AA847" s="11"/>
      <c r="AD847"/>
      <c r="AE847"/>
      <c r="AF847"/>
      <c r="AG847"/>
      <c r="AH847" s="46"/>
      <c r="AI847"/>
      <c r="AJ847"/>
      <c r="AK847"/>
      <c r="AL847"/>
      <c r="AM847"/>
      <c r="AN847"/>
      <c r="AO847"/>
      <c r="AP847"/>
      <c r="AQ847"/>
      <c r="AR847"/>
      <c r="AS847"/>
      <c r="AT847" s="14"/>
      <c r="AU847"/>
      <c r="AV847"/>
      <c r="AW847"/>
      <c r="AX847" s="10"/>
      <c r="AY847" s="20"/>
      <c r="AZ847" s="16"/>
      <c r="BA847"/>
      <c r="BB847"/>
      <c r="BC847" s="16"/>
      <c r="BD847"/>
      <c r="BE847"/>
      <c r="BF847"/>
      <c r="BG847"/>
      <c r="BH847"/>
      <c r="BI847"/>
      <c r="BJ847"/>
      <c r="BK847"/>
      <c r="BL847"/>
      <c r="BM847"/>
      <c r="BN847" s="19"/>
      <c r="BO847"/>
      <c r="BP847"/>
      <c r="BQ847"/>
      <c r="BR847"/>
      <c r="BS847"/>
      <c r="BT847"/>
      <c r="BU847"/>
      <c r="BV847"/>
      <c r="BW847"/>
      <c r="BX847"/>
      <c r="BY847"/>
      <c r="BZ847"/>
      <c r="CA847"/>
      <c r="CB847"/>
      <c r="CC847"/>
      <c r="CD847"/>
      <c r="CE847"/>
      <c r="CF847"/>
      <c r="CG847"/>
      <c r="CH847"/>
      <c r="CI847"/>
      <c r="CJ847"/>
      <c r="CK847"/>
      <c r="CL847"/>
      <c r="CM847" s="20"/>
      <c r="CN847" s="20"/>
      <c r="CO847" s="20"/>
      <c r="CP847" s="20"/>
      <c r="CQ847" s="20"/>
      <c r="CR847" s="20"/>
      <c r="CS847" s="20"/>
      <c r="CT847" s="20"/>
      <c r="CU847" s="20"/>
      <c r="CV847" s="20"/>
      <c r="CW847" s="20"/>
      <c r="CX847" s="20"/>
      <c r="CY847" s="20"/>
    </row>
    <row r="848" spans="1:103" s="6" customFormat="1">
      <c r="A848"/>
      <c r="B848"/>
      <c r="C848"/>
      <c r="D848"/>
      <c r="E848"/>
      <c r="F848"/>
      <c r="G848"/>
      <c r="H848"/>
      <c r="I848"/>
      <c r="J848"/>
      <c r="N848" s="7"/>
      <c r="O848"/>
      <c r="P848" s="10"/>
      <c r="Q848" s="9"/>
      <c r="R848" s="10"/>
      <c r="S848" s="10"/>
      <c r="AA848" s="11"/>
      <c r="AD848"/>
      <c r="AE848"/>
      <c r="AF848"/>
      <c r="AG848"/>
      <c r="AH848" s="46"/>
      <c r="AI848"/>
      <c r="AJ848"/>
      <c r="AK848"/>
      <c r="AL848"/>
      <c r="AM848"/>
      <c r="AN848"/>
      <c r="AO848"/>
      <c r="AP848"/>
      <c r="AQ848"/>
      <c r="AR848"/>
      <c r="AS848"/>
      <c r="AT848" s="14"/>
      <c r="AU848"/>
      <c r="AV848"/>
      <c r="AW848"/>
      <c r="AX848" s="10"/>
      <c r="AY848" s="20"/>
      <c r="AZ848" s="16"/>
      <c r="BA848"/>
      <c r="BB848"/>
      <c r="BC848" s="16"/>
      <c r="BD848"/>
      <c r="BE848"/>
      <c r="BF848"/>
      <c r="BG848"/>
      <c r="BH848"/>
      <c r="BI848"/>
      <c r="BJ848"/>
      <c r="BK848"/>
      <c r="BL848"/>
      <c r="BM848"/>
      <c r="BN848" s="19"/>
      <c r="BO848"/>
      <c r="BP848"/>
      <c r="BQ848"/>
      <c r="BR848"/>
      <c r="BS848"/>
      <c r="BT848"/>
      <c r="BU848"/>
      <c r="BV848"/>
      <c r="BW848"/>
      <c r="BX848"/>
      <c r="BY848"/>
      <c r="BZ848"/>
      <c r="CA848"/>
      <c r="CB848"/>
      <c r="CC848"/>
      <c r="CD848"/>
      <c r="CE848"/>
      <c r="CF848"/>
      <c r="CG848"/>
      <c r="CH848"/>
      <c r="CI848"/>
      <c r="CJ848"/>
      <c r="CK848"/>
      <c r="CL848"/>
      <c r="CM848" s="20"/>
      <c r="CN848" s="20"/>
      <c r="CO848" s="20"/>
      <c r="CP848" s="20"/>
      <c r="CQ848" s="20"/>
      <c r="CR848" s="20"/>
      <c r="CS848" s="20"/>
      <c r="CT848" s="20"/>
      <c r="CU848" s="20"/>
      <c r="CV848" s="20"/>
      <c r="CW848" s="20"/>
      <c r="CX848" s="20"/>
      <c r="CY848" s="20"/>
    </row>
    <row r="849" spans="1:103" s="6" customFormat="1">
      <c r="A849"/>
      <c r="B849"/>
      <c r="C849"/>
      <c r="D849"/>
      <c r="E849"/>
      <c r="F849"/>
      <c r="G849"/>
      <c r="H849"/>
      <c r="I849"/>
      <c r="J849"/>
      <c r="N849" s="7"/>
      <c r="O849"/>
      <c r="P849" s="10"/>
      <c r="Q849" s="9"/>
      <c r="R849" s="10"/>
      <c r="S849" s="10"/>
      <c r="AA849" s="11"/>
      <c r="AD849"/>
      <c r="AE849"/>
      <c r="AF849"/>
      <c r="AG849"/>
      <c r="AH849" s="46"/>
      <c r="AI849"/>
      <c r="AJ849"/>
      <c r="AK849"/>
      <c r="AL849"/>
      <c r="AM849"/>
      <c r="AN849"/>
      <c r="AO849"/>
      <c r="AP849"/>
      <c r="AQ849"/>
      <c r="AR849"/>
      <c r="AS849"/>
      <c r="AT849" s="14"/>
      <c r="AU849"/>
      <c r="AV849"/>
      <c r="AW849"/>
      <c r="AX849" s="10"/>
      <c r="AY849" s="20"/>
      <c r="AZ849" s="16"/>
      <c r="BA849"/>
      <c r="BB849"/>
      <c r="BC849" s="16"/>
      <c r="BD849"/>
      <c r="BE849"/>
      <c r="BF849"/>
      <c r="BG849"/>
      <c r="BH849"/>
      <c r="BI849"/>
      <c r="BJ849"/>
      <c r="BK849"/>
      <c r="BL849"/>
      <c r="BM849"/>
      <c r="BN849" s="19"/>
      <c r="BO849"/>
      <c r="BP849"/>
      <c r="BQ849"/>
      <c r="BR849"/>
      <c r="BS849"/>
      <c r="BT849"/>
      <c r="BU849"/>
      <c r="BV849"/>
      <c r="BW849"/>
      <c r="BX849"/>
      <c r="BY849"/>
      <c r="BZ849"/>
      <c r="CA849"/>
      <c r="CB849"/>
      <c r="CC849"/>
      <c r="CD849"/>
      <c r="CE849"/>
      <c r="CF849"/>
      <c r="CG849"/>
      <c r="CH849"/>
      <c r="CI849"/>
      <c r="CJ849"/>
      <c r="CK849"/>
      <c r="CL849"/>
      <c r="CM849" s="20"/>
      <c r="CN849" s="20"/>
      <c r="CO849" s="20"/>
      <c r="CP849" s="20"/>
      <c r="CQ849" s="20"/>
      <c r="CR849" s="20"/>
      <c r="CS849" s="20"/>
      <c r="CT849" s="20"/>
      <c r="CU849" s="20"/>
      <c r="CV849" s="20"/>
      <c r="CW849" s="20"/>
      <c r="CX849" s="20"/>
      <c r="CY849" s="20"/>
    </row>
    <row r="850" spans="1:103" s="6" customFormat="1">
      <c r="A850"/>
      <c r="B850"/>
      <c r="C850"/>
      <c r="D850"/>
      <c r="E850"/>
      <c r="F850"/>
      <c r="G850"/>
      <c r="H850"/>
      <c r="I850"/>
      <c r="J850"/>
      <c r="N850" s="7"/>
      <c r="O850"/>
      <c r="P850" s="10"/>
      <c r="Q850" s="9"/>
      <c r="R850" s="10"/>
      <c r="S850" s="10"/>
      <c r="AA850" s="11"/>
      <c r="AD850"/>
      <c r="AE850"/>
      <c r="AF850"/>
      <c r="AG850"/>
      <c r="AH850" s="46"/>
      <c r="AI850"/>
      <c r="AJ850"/>
      <c r="AK850"/>
      <c r="AL850"/>
      <c r="AM850"/>
      <c r="AN850"/>
      <c r="AO850"/>
      <c r="AP850"/>
      <c r="AQ850"/>
      <c r="AR850"/>
      <c r="AS850"/>
      <c r="AT850" s="14"/>
      <c r="AU850"/>
      <c r="AV850"/>
      <c r="AW850"/>
      <c r="AX850" s="10"/>
      <c r="AY850" s="20"/>
      <c r="AZ850" s="16"/>
      <c r="BA850"/>
      <c r="BB850"/>
      <c r="BC850" s="16"/>
      <c r="BD850"/>
      <c r="BE850"/>
      <c r="BF850"/>
      <c r="BG850"/>
      <c r="BH850"/>
      <c r="BI850"/>
      <c r="BJ850"/>
      <c r="BK850"/>
      <c r="BL850"/>
      <c r="BM850"/>
      <c r="BN850" s="19"/>
      <c r="BO850"/>
      <c r="BP850"/>
      <c r="BQ850"/>
      <c r="BR850"/>
      <c r="BS850"/>
      <c r="BT850"/>
      <c r="BU850"/>
      <c r="BV850"/>
      <c r="BW850"/>
      <c r="BX850"/>
      <c r="BY850"/>
      <c r="BZ850"/>
      <c r="CA850"/>
      <c r="CB850"/>
      <c r="CC850"/>
      <c r="CD850"/>
      <c r="CE850"/>
      <c r="CF850"/>
      <c r="CG850"/>
      <c r="CH850"/>
      <c r="CI850"/>
      <c r="CJ850"/>
      <c r="CK850"/>
      <c r="CL850"/>
      <c r="CM850" s="20"/>
      <c r="CN850" s="20"/>
      <c r="CO850" s="20"/>
      <c r="CP850" s="20"/>
      <c r="CQ850" s="20"/>
      <c r="CR850" s="20"/>
      <c r="CS850" s="20"/>
      <c r="CT850" s="20"/>
      <c r="CU850" s="20"/>
      <c r="CV850" s="20"/>
      <c r="CW850" s="20"/>
      <c r="CX850" s="20"/>
      <c r="CY850" s="20"/>
    </row>
    <row r="851" spans="1:103" s="6" customFormat="1">
      <c r="A851"/>
      <c r="B851"/>
      <c r="C851"/>
      <c r="D851"/>
      <c r="E851"/>
      <c r="F851"/>
      <c r="G851"/>
      <c r="H851"/>
      <c r="I851"/>
      <c r="J851"/>
      <c r="N851" s="7"/>
      <c r="O851"/>
      <c r="P851" s="10"/>
      <c r="Q851" s="9"/>
      <c r="R851" s="10"/>
      <c r="S851" s="10"/>
      <c r="AA851" s="11"/>
      <c r="AD851"/>
      <c r="AE851"/>
      <c r="AF851"/>
      <c r="AG851"/>
      <c r="AH851" s="46"/>
      <c r="AI851"/>
      <c r="AJ851"/>
      <c r="AK851"/>
      <c r="AL851"/>
      <c r="AM851"/>
      <c r="AN851"/>
      <c r="AO851"/>
      <c r="AP851"/>
      <c r="AQ851"/>
      <c r="AR851"/>
      <c r="AS851"/>
      <c r="AT851" s="14"/>
      <c r="AU851"/>
      <c r="AV851"/>
      <c r="AW851"/>
      <c r="AX851" s="10"/>
      <c r="AY851" s="20"/>
      <c r="AZ851" s="16"/>
      <c r="BA851"/>
      <c r="BB851"/>
      <c r="BC851" s="16"/>
      <c r="BD851"/>
      <c r="BE851"/>
      <c r="BF851"/>
      <c r="BG851"/>
      <c r="BH851"/>
      <c r="BI851"/>
      <c r="BJ851"/>
      <c r="BK851"/>
      <c r="BL851"/>
      <c r="BM851"/>
      <c r="BN851" s="19"/>
      <c r="BO851"/>
      <c r="BP851"/>
      <c r="BQ851"/>
      <c r="BR851"/>
      <c r="BS851"/>
      <c r="BT851"/>
      <c r="BU851"/>
      <c r="BV851"/>
      <c r="BW851"/>
      <c r="BX851"/>
      <c r="BY851"/>
      <c r="BZ851"/>
      <c r="CA851"/>
      <c r="CB851"/>
      <c r="CC851"/>
      <c r="CD851"/>
      <c r="CE851"/>
      <c r="CF851"/>
      <c r="CG851"/>
      <c r="CH851"/>
      <c r="CI851"/>
      <c r="CJ851"/>
      <c r="CK851"/>
      <c r="CL851"/>
      <c r="CM851" s="20"/>
      <c r="CN851" s="20"/>
      <c r="CO851" s="20"/>
      <c r="CP851" s="20"/>
      <c r="CQ851" s="20"/>
      <c r="CR851" s="20"/>
      <c r="CS851" s="20"/>
      <c r="CT851" s="20"/>
      <c r="CU851" s="20"/>
      <c r="CV851" s="20"/>
      <c r="CW851" s="20"/>
      <c r="CX851" s="20"/>
      <c r="CY851" s="20"/>
    </row>
    <row r="852" spans="1:103" s="6" customFormat="1">
      <c r="A852"/>
      <c r="B852"/>
      <c r="C852"/>
      <c r="D852"/>
      <c r="E852"/>
      <c r="F852"/>
      <c r="G852"/>
      <c r="H852"/>
      <c r="I852"/>
      <c r="J852"/>
      <c r="N852" s="7"/>
      <c r="O852"/>
      <c r="P852" s="10"/>
      <c r="Q852" s="9"/>
      <c r="R852" s="10"/>
      <c r="S852" s="10"/>
      <c r="AA852" s="11"/>
      <c r="AD852"/>
      <c r="AE852"/>
      <c r="AF852"/>
      <c r="AG852"/>
      <c r="AH852" s="46"/>
      <c r="AI852"/>
      <c r="AJ852"/>
      <c r="AK852"/>
      <c r="AL852"/>
      <c r="AM852"/>
      <c r="AN852"/>
      <c r="AO852"/>
      <c r="AP852"/>
      <c r="AQ852"/>
      <c r="AR852"/>
      <c r="AS852"/>
      <c r="AT852" s="14"/>
      <c r="AU852"/>
      <c r="AV852"/>
      <c r="AW852"/>
      <c r="AX852" s="10"/>
      <c r="AY852" s="20"/>
      <c r="AZ852" s="16"/>
      <c r="BA852"/>
      <c r="BB852"/>
      <c r="BC852" s="16"/>
      <c r="BD852"/>
      <c r="BE852"/>
      <c r="BF852"/>
      <c r="BG852"/>
      <c r="BH852"/>
      <c r="BI852"/>
      <c r="BJ852"/>
      <c r="BK852"/>
      <c r="BL852"/>
      <c r="BM852"/>
      <c r="BN852" s="19"/>
      <c r="BO852"/>
      <c r="BP852"/>
      <c r="BQ852"/>
      <c r="BR852"/>
      <c r="BS852"/>
      <c r="BT852"/>
      <c r="BU852"/>
      <c r="BV852"/>
      <c r="BW852"/>
      <c r="BX852"/>
      <c r="BY852"/>
      <c r="BZ852"/>
      <c r="CA852"/>
      <c r="CB852"/>
      <c r="CC852"/>
      <c r="CD852"/>
      <c r="CE852"/>
      <c r="CF852"/>
      <c r="CG852"/>
      <c r="CH852"/>
      <c r="CI852"/>
      <c r="CJ852"/>
      <c r="CK852"/>
      <c r="CL852"/>
      <c r="CM852" s="20"/>
      <c r="CN852" s="20"/>
      <c r="CO852" s="20"/>
      <c r="CP852" s="20"/>
      <c r="CQ852" s="20"/>
      <c r="CR852" s="20"/>
      <c r="CS852" s="20"/>
      <c r="CT852" s="20"/>
      <c r="CU852" s="20"/>
      <c r="CV852" s="20"/>
      <c r="CW852" s="20"/>
      <c r="CX852" s="20"/>
      <c r="CY852" s="20"/>
    </row>
    <row r="853" spans="1:103" s="6" customFormat="1">
      <c r="A853"/>
      <c r="B853"/>
      <c r="C853"/>
      <c r="D853"/>
      <c r="E853"/>
      <c r="F853"/>
      <c r="G853"/>
      <c r="H853"/>
      <c r="I853"/>
      <c r="J853"/>
      <c r="N853" s="7"/>
      <c r="O853"/>
      <c r="P853" s="10"/>
      <c r="Q853" s="9"/>
      <c r="R853" s="10"/>
      <c r="S853" s="10"/>
      <c r="AA853" s="11"/>
      <c r="AD853"/>
      <c r="AE853"/>
      <c r="AF853"/>
      <c r="AG853"/>
      <c r="AH853" s="46"/>
      <c r="AI853"/>
      <c r="AJ853"/>
      <c r="AK853"/>
      <c r="AL853"/>
      <c r="AM853"/>
      <c r="AN853"/>
      <c r="AO853"/>
      <c r="AP853"/>
      <c r="AQ853"/>
      <c r="AR853"/>
      <c r="AS853"/>
      <c r="AT853" s="14"/>
      <c r="AU853"/>
      <c r="AV853"/>
      <c r="AW853"/>
      <c r="AX853" s="10"/>
      <c r="AY853" s="20"/>
      <c r="AZ853" s="16"/>
      <c r="BA853"/>
      <c r="BB853"/>
      <c r="BC853" s="16"/>
      <c r="BD853"/>
      <c r="BE853"/>
      <c r="BF853"/>
      <c r="BG853"/>
      <c r="BH853"/>
      <c r="BI853"/>
      <c r="BJ853"/>
      <c r="BK853"/>
      <c r="BL853"/>
      <c r="BM853"/>
      <c r="BN853" s="19"/>
      <c r="BO853"/>
      <c r="BP853"/>
      <c r="BQ853"/>
      <c r="BR853"/>
      <c r="BS853"/>
      <c r="BT853"/>
      <c r="BU853"/>
      <c r="BV853"/>
      <c r="BW853"/>
      <c r="BX853"/>
      <c r="BY853"/>
      <c r="BZ853"/>
      <c r="CA853"/>
      <c r="CB853"/>
      <c r="CC853"/>
      <c r="CD853"/>
      <c r="CE853"/>
      <c r="CF853"/>
      <c r="CG853"/>
      <c r="CH853"/>
      <c r="CI853"/>
      <c r="CJ853"/>
      <c r="CK853"/>
      <c r="CL853"/>
      <c r="CM853" s="20"/>
      <c r="CN853" s="20"/>
      <c r="CO853" s="20"/>
      <c r="CP853" s="20"/>
      <c r="CQ853" s="20"/>
      <c r="CR853" s="20"/>
      <c r="CS853" s="20"/>
      <c r="CT853" s="20"/>
      <c r="CU853" s="20"/>
      <c r="CV853" s="20"/>
      <c r="CW853" s="20"/>
      <c r="CX853" s="20"/>
      <c r="CY853" s="20"/>
    </row>
    <row r="854" spans="1:103" s="6" customFormat="1">
      <c r="A854"/>
      <c r="B854"/>
      <c r="C854"/>
      <c r="D854"/>
      <c r="E854"/>
      <c r="F854"/>
      <c r="G854"/>
      <c r="H854"/>
      <c r="I854"/>
      <c r="J854"/>
      <c r="N854" s="7"/>
      <c r="O854"/>
      <c r="P854" s="10"/>
      <c r="Q854" s="9"/>
      <c r="R854" s="10"/>
      <c r="S854" s="10"/>
      <c r="AA854" s="11"/>
      <c r="AD854"/>
      <c r="AE854"/>
      <c r="AF854"/>
      <c r="AG854"/>
      <c r="AH854" s="46"/>
      <c r="AI854"/>
      <c r="AJ854"/>
      <c r="AK854"/>
      <c r="AL854"/>
      <c r="AM854"/>
      <c r="AN854"/>
      <c r="AO854"/>
      <c r="AP854"/>
      <c r="AQ854"/>
      <c r="AR854"/>
      <c r="AS854"/>
      <c r="AT854" s="14"/>
      <c r="AU854"/>
      <c r="AV854"/>
      <c r="AW854"/>
      <c r="AX854" s="10"/>
      <c r="AY854" s="20"/>
      <c r="AZ854" s="16"/>
      <c r="BA854"/>
      <c r="BB854"/>
      <c r="BC854" s="16"/>
      <c r="BD854"/>
      <c r="BE854"/>
      <c r="BF854"/>
      <c r="BG854"/>
      <c r="BH854"/>
      <c r="BI854"/>
      <c r="BJ854"/>
      <c r="BK854"/>
      <c r="BL854"/>
      <c r="BM854"/>
      <c r="BN854" s="19"/>
      <c r="BO854"/>
      <c r="BP854"/>
      <c r="BQ854"/>
      <c r="BR854"/>
      <c r="BS854"/>
      <c r="BT854"/>
      <c r="BU854"/>
      <c r="BV854"/>
      <c r="BW854"/>
      <c r="BX854"/>
      <c r="BY854"/>
      <c r="BZ854"/>
      <c r="CA854"/>
      <c r="CB854"/>
      <c r="CC854"/>
      <c r="CD854"/>
      <c r="CE854"/>
      <c r="CF854"/>
      <c r="CG854"/>
      <c r="CH854"/>
      <c r="CI854"/>
      <c r="CJ854"/>
      <c r="CK854"/>
      <c r="CL854"/>
      <c r="CM854" s="20"/>
      <c r="CN854" s="20"/>
      <c r="CO854" s="20"/>
      <c r="CP854" s="20"/>
      <c r="CQ854" s="20"/>
      <c r="CR854" s="20"/>
      <c r="CS854" s="20"/>
      <c r="CT854" s="20"/>
      <c r="CU854" s="20"/>
      <c r="CV854" s="20"/>
      <c r="CW854" s="20"/>
      <c r="CX854" s="20"/>
      <c r="CY854" s="20"/>
    </row>
    <row r="855" spans="1:103" s="6" customFormat="1">
      <c r="A855"/>
      <c r="B855"/>
      <c r="C855"/>
      <c r="D855"/>
      <c r="E855"/>
      <c r="F855"/>
      <c r="G855"/>
      <c r="H855"/>
      <c r="I855"/>
      <c r="J855"/>
      <c r="N855" s="7"/>
      <c r="O855"/>
      <c r="P855" s="10"/>
      <c r="Q855" s="9"/>
      <c r="R855" s="10"/>
      <c r="S855" s="10"/>
      <c r="AA855" s="11"/>
      <c r="AD855"/>
      <c r="AE855"/>
      <c r="AF855"/>
      <c r="AG855"/>
      <c r="AH855" s="46"/>
      <c r="AI855"/>
      <c r="AJ855"/>
      <c r="AK855"/>
      <c r="AL855"/>
      <c r="AM855"/>
      <c r="AN855"/>
      <c r="AO855"/>
      <c r="AP855"/>
      <c r="AQ855"/>
      <c r="AR855"/>
      <c r="AS855"/>
      <c r="AT855" s="14"/>
      <c r="AU855"/>
      <c r="AV855"/>
      <c r="AW855"/>
      <c r="AX855" s="10"/>
      <c r="AY855" s="20"/>
      <c r="AZ855" s="16"/>
      <c r="BA855"/>
      <c r="BB855"/>
      <c r="BC855" s="16"/>
      <c r="BD855"/>
      <c r="BE855"/>
      <c r="BF855"/>
      <c r="BG855"/>
      <c r="BH855"/>
      <c r="BI855"/>
      <c r="BJ855"/>
      <c r="BK855"/>
      <c r="BL855"/>
      <c r="BM855"/>
      <c r="BN855" s="19"/>
      <c r="BO855"/>
      <c r="BP855"/>
      <c r="BQ855"/>
      <c r="BR855"/>
      <c r="BS855"/>
      <c r="BT855"/>
      <c r="BU855"/>
      <c r="BV855"/>
      <c r="BW855"/>
      <c r="BX855"/>
      <c r="BY855"/>
      <c r="BZ855"/>
      <c r="CA855"/>
      <c r="CB855"/>
      <c r="CC855"/>
      <c r="CD855"/>
      <c r="CE855"/>
      <c r="CF855"/>
      <c r="CG855"/>
      <c r="CH855"/>
      <c r="CI855"/>
      <c r="CJ855"/>
      <c r="CK855"/>
      <c r="CL855"/>
      <c r="CM855" s="20"/>
      <c r="CN855" s="20"/>
      <c r="CO855" s="20"/>
      <c r="CP855" s="20"/>
      <c r="CQ855" s="20"/>
      <c r="CR855" s="20"/>
      <c r="CS855" s="20"/>
      <c r="CT855" s="20"/>
      <c r="CU855" s="20"/>
      <c r="CV855" s="20"/>
      <c r="CW855" s="20"/>
      <c r="CX855" s="20"/>
      <c r="CY855" s="20"/>
    </row>
    <row r="856" spans="1:103" s="6" customFormat="1">
      <c r="A856"/>
      <c r="B856"/>
      <c r="C856"/>
      <c r="D856"/>
      <c r="E856"/>
      <c r="F856"/>
      <c r="G856"/>
      <c r="H856"/>
      <c r="I856"/>
      <c r="J856"/>
      <c r="N856" s="7"/>
      <c r="O856"/>
      <c r="P856" s="10"/>
      <c r="Q856" s="9"/>
      <c r="R856" s="10"/>
      <c r="S856" s="10"/>
      <c r="AA856" s="11"/>
      <c r="AD856"/>
      <c r="AE856"/>
      <c r="AF856"/>
      <c r="AG856"/>
      <c r="AH856" s="46"/>
      <c r="AI856"/>
      <c r="AJ856"/>
      <c r="AK856"/>
      <c r="AL856"/>
      <c r="AM856"/>
      <c r="AN856"/>
      <c r="AO856"/>
      <c r="AP856"/>
      <c r="AQ856"/>
      <c r="AR856"/>
      <c r="AS856"/>
      <c r="AT856" s="14"/>
      <c r="AU856"/>
      <c r="AV856"/>
      <c r="AW856"/>
      <c r="AX856" s="10"/>
      <c r="AY856" s="20"/>
      <c r="AZ856" s="16"/>
      <c r="BA856"/>
      <c r="BB856"/>
      <c r="BC856" s="16"/>
      <c r="BD856"/>
      <c r="BE856"/>
      <c r="BF856"/>
      <c r="BG856"/>
      <c r="BH856"/>
      <c r="BI856"/>
      <c r="BJ856"/>
      <c r="BK856"/>
      <c r="BL856"/>
      <c r="BM856"/>
      <c r="BN856" s="19"/>
      <c r="BO856"/>
      <c r="BP856"/>
      <c r="BQ856"/>
      <c r="BR856"/>
      <c r="BS856"/>
      <c r="BT856"/>
      <c r="BU856"/>
      <c r="BV856"/>
      <c r="BW856"/>
      <c r="BX856"/>
      <c r="BY856"/>
      <c r="BZ856"/>
      <c r="CA856"/>
      <c r="CB856"/>
      <c r="CC856"/>
      <c r="CD856"/>
      <c r="CE856"/>
      <c r="CF856"/>
      <c r="CG856"/>
      <c r="CH856"/>
      <c r="CI856"/>
      <c r="CJ856"/>
      <c r="CK856"/>
      <c r="CL856"/>
      <c r="CM856" s="20"/>
      <c r="CN856" s="20"/>
      <c r="CO856" s="20"/>
      <c r="CP856" s="20"/>
      <c r="CQ856" s="20"/>
      <c r="CR856" s="20"/>
      <c r="CS856" s="20"/>
      <c r="CT856" s="20"/>
      <c r="CU856" s="20"/>
      <c r="CV856" s="20"/>
      <c r="CW856" s="20"/>
      <c r="CX856" s="20"/>
      <c r="CY856" s="20"/>
    </row>
    <row r="857" spans="1:103" s="6" customFormat="1">
      <c r="A857"/>
      <c r="B857"/>
      <c r="C857"/>
      <c r="D857"/>
      <c r="E857"/>
      <c r="F857"/>
      <c r="G857"/>
      <c r="H857"/>
      <c r="I857"/>
      <c r="J857"/>
      <c r="N857" s="7"/>
      <c r="O857"/>
      <c r="P857" s="10"/>
      <c r="Q857" s="9"/>
      <c r="R857" s="10"/>
      <c r="S857" s="10"/>
      <c r="AA857" s="11"/>
      <c r="AD857"/>
      <c r="AE857"/>
      <c r="AF857"/>
      <c r="AG857"/>
      <c r="AH857" s="46"/>
      <c r="AI857"/>
      <c r="AJ857"/>
      <c r="AK857"/>
      <c r="AL857"/>
      <c r="AM857"/>
      <c r="AN857"/>
      <c r="AO857"/>
      <c r="AP857"/>
      <c r="AQ857"/>
      <c r="AR857"/>
      <c r="AS857"/>
      <c r="AT857" s="14"/>
      <c r="AU857"/>
      <c r="AV857"/>
      <c r="AW857"/>
      <c r="AX857" s="10"/>
      <c r="AY857" s="20"/>
      <c r="AZ857" s="16"/>
      <c r="BA857"/>
      <c r="BB857"/>
      <c r="BC857" s="16"/>
      <c r="BD857"/>
      <c r="BE857"/>
      <c r="BF857"/>
      <c r="BG857"/>
      <c r="BH857"/>
      <c r="BI857"/>
      <c r="BJ857"/>
      <c r="BK857"/>
      <c r="BL857"/>
      <c r="BM857"/>
      <c r="BN857" s="19"/>
      <c r="BO857"/>
      <c r="BP857"/>
      <c r="BQ857"/>
      <c r="BR857"/>
      <c r="BS857"/>
      <c r="BT857"/>
      <c r="BU857"/>
      <c r="BV857"/>
      <c r="BW857"/>
      <c r="BX857"/>
      <c r="BY857"/>
      <c r="BZ857"/>
      <c r="CA857"/>
      <c r="CB857"/>
      <c r="CC857"/>
      <c r="CD857"/>
      <c r="CE857"/>
      <c r="CF857"/>
      <c r="CG857"/>
      <c r="CH857"/>
      <c r="CI857"/>
      <c r="CJ857"/>
      <c r="CK857"/>
      <c r="CL857"/>
      <c r="CM857" s="20"/>
      <c r="CN857" s="20"/>
      <c r="CO857" s="20"/>
      <c r="CP857" s="20"/>
      <c r="CQ857" s="20"/>
      <c r="CR857" s="20"/>
      <c r="CS857" s="20"/>
      <c r="CT857" s="20"/>
      <c r="CU857" s="20"/>
      <c r="CV857" s="20"/>
      <c r="CW857" s="20"/>
      <c r="CX857" s="20"/>
      <c r="CY857" s="20"/>
    </row>
    <row r="858" spans="1:103" s="6" customFormat="1">
      <c r="A858"/>
      <c r="B858"/>
      <c r="C858"/>
      <c r="D858"/>
      <c r="E858"/>
      <c r="F858"/>
      <c r="G858"/>
      <c r="H858"/>
      <c r="I858"/>
      <c r="J858"/>
      <c r="N858" s="7"/>
      <c r="O858"/>
      <c r="P858" s="10"/>
      <c r="Q858" s="9"/>
      <c r="R858" s="10"/>
      <c r="S858" s="10"/>
      <c r="AA858" s="11"/>
      <c r="AD858"/>
      <c r="AE858"/>
      <c r="AF858"/>
      <c r="AG858"/>
      <c r="AH858" s="46"/>
      <c r="AI858"/>
      <c r="AJ858"/>
      <c r="AK858"/>
      <c r="AL858"/>
      <c r="AM858"/>
      <c r="AN858"/>
      <c r="AO858"/>
      <c r="AP858"/>
      <c r="AQ858"/>
      <c r="AR858"/>
      <c r="AS858"/>
      <c r="AT858" s="14"/>
      <c r="AU858"/>
      <c r="AV858"/>
      <c r="AW858"/>
      <c r="AX858" s="10"/>
      <c r="AY858" s="20"/>
      <c r="AZ858" s="16"/>
      <c r="BA858"/>
      <c r="BB858"/>
      <c r="BC858" s="16"/>
      <c r="BD858"/>
      <c r="BE858"/>
      <c r="BF858"/>
      <c r="BG858"/>
      <c r="BH858"/>
      <c r="BI858"/>
      <c r="BJ858"/>
      <c r="BK858"/>
      <c r="BL858"/>
      <c r="BM858"/>
      <c r="BN858" s="19"/>
      <c r="BO858"/>
      <c r="BP858"/>
      <c r="BQ858"/>
      <c r="BR858"/>
      <c r="BS858"/>
      <c r="BT858"/>
      <c r="BU858"/>
      <c r="BV858"/>
      <c r="BW858"/>
      <c r="BX858"/>
      <c r="BY858"/>
      <c r="BZ858"/>
      <c r="CA858"/>
      <c r="CB858"/>
      <c r="CC858"/>
      <c r="CD858"/>
      <c r="CE858"/>
      <c r="CF858"/>
      <c r="CG858"/>
      <c r="CH858"/>
      <c r="CI858"/>
      <c r="CJ858"/>
      <c r="CK858"/>
      <c r="CL858"/>
      <c r="CM858" s="20"/>
      <c r="CN858" s="20"/>
      <c r="CO858" s="20"/>
      <c r="CP858" s="20"/>
      <c r="CQ858" s="20"/>
      <c r="CR858" s="20"/>
      <c r="CS858" s="20"/>
      <c r="CT858" s="20"/>
      <c r="CU858" s="20"/>
      <c r="CV858" s="20"/>
      <c r="CW858" s="20"/>
      <c r="CX858" s="20"/>
      <c r="CY858" s="20"/>
    </row>
    <row r="859" spans="1:103" s="6" customFormat="1">
      <c r="A859"/>
      <c r="B859"/>
      <c r="C859"/>
      <c r="D859"/>
      <c r="E859"/>
      <c r="F859"/>
      <c r="G859"/>
      <c r="H859"/>
      <c r="I859"/>
      <c r="J859"/>
      <c r="N859" s="7"/>
      <c r="O859"/>
      <c r="P859" s="10"/>
      <c r="Q859" s="9"/>
      <c r="R859" s="10"/>
      <c r="S859" s="10"/>
      <c r="AA859" s="11"/>
      <c r="AD859"/>
      <c r="AE859"/>
      <c r="AF859"/>
      <c r="AG859"/>
      <c r="AH859" s="46"/>
      <c r="AI859"/>
      <c r="AJ859"/>
      <c r="AK859"/>
      <c r="AL859"/>
      <c r="AM859"/>
      <c r="AN859"/>
      <c r="AO859"/>
      <c r="AP859"/>
      <c r="AQ859"/>
      <c r="AR859"/>
      <c r="AS859"/>
      <c r="AT859" s="14"/>
      <c r="AU859"/>
      <c r="AV859"/>
      <c r="AW859"/>
      <c r="AX859" s="10"/>
      <c r="AY859" s="20"/>
      <c r="AZ859" s="16"/>
      <c r="BA859"/>
      <c r="BB859"/>
      <c r="BC859" s="16"/>
      <c r="BD859"/>
      <c r="BE859"/>
      <c r="BF859"/>
      <c r="BG859"/>
      <c r="BH859"/>
      <c r="BI859"/>
      <c r="BJ859"/>
      <c r="BK859"/>
      <c r="BL859"/>
      <c r="BM859"/>
      <c r="BN859" s="19"/>
      <c r="BO859"/>
      <c r="BP859"/>
      <c r="BQ859"/>
      <c r="BR859"/>
      <c r="BS859"/>
      <c r="BT859"/>
      <c r="BU859"/>
      <c r="BV859"/>
      <c r="BW859"/>
      <c r="BX859"/>
      <c r="BY859"/>
      <c r="BZ859"/>
      <c r="CA859"/>
      <c r="CB859"/>
      <c r="CC859"/>
      <c r="CD859"/>
      <c r="CE859"/>
      <c r="CF859"/>
      <c r="CG859"/>
      <c r="CH859"/>
      <c r="CI859"/>
      <c r="CJ859"/>
      <c r="CK859"/>
      <c r="CL859"/>
      <c r="CM859" s="20"/>
      <c r="CN859" s="20"/>
      <c r="CO859" s="20"/>
      <c r="CP859" s="20"/>
      <c r="CQ859" s="20"/>
      <c r="CR859" s="20"/>
      <c r="CS859" s="20"/>
      <c r="CT859" s="20"/>
      <c r="CU859" s="20"/>
      <c r="CV859" s="20"/>
      <c r="CW859" s="20"/>
      <c r="CX859" s="20"/>
      <c r="CY859" s="20"/>
    </row>
    <row r="860" spans="1:103" s="6" customFormat="1">
      <c r="A860"/>
      <c r="B860"/>
      <c r="C860"/>
      <c r="D860"/>
      <c r="E860"/>
      <c r="F860"/>
      <c r="G860"/>
      <c r="H860"/>
      <c r="I860"/>
      <c r="J860"/>
      <c r="N860" s="7"/>
      <c r="O860"/>
      <c r="P860" s="10"/>
      <c r="Q860" s="9"/>
      <c r="R860" s="10"/>
      <c r="S860" s="10"/>
      <c r="AA860" s="11"/>
      <c r="AD860"/>
      <c r="AE860"/>
      <c r="AF860"/>
      <c r="AG860"/>
      <c r="AH860" s="46"/>
      <c r="AI860"/>
      <c r="AJ860"/>
      <c r="AK860"/>
      <c r="AL860"/>
      <c r="AM860"/>
      <c r="AN860"/>
      <c r="AO860"/>
      <c r="AP860"/>
      <c r="AQ860"/>
      <c r="AR860"/>
      <c r="AS860"/>
      <c r="AT860" s="14"/>
      <c r="AU860"/>
      <c r="AV860"/>
      <c r="AW860"/>
      <c r="AX860" s="10"/>
      <c r="AY860" s="20"/>
      <c r="AZ860" s="16"/>
      <c r="BA860"/>
      <c r="BB860"/>
      <c r="BC860" s="16"/>
      <c r="BD860"/>
      <c r="BE860"/>
      <c r="BF860"/>
      <c r="BG860"/>
      <c r="BH860"/>
      <c r="BI860"/>
      <c r="BJ860"/>
      <c r="BK860"/>
      <c r="BL860"/>
      <c r="BM860"/>
      <c r="BN860" s="19"/>
      <c r="BO860"/>
      <c r="BP860"/>
      <c r="BQ860"/>
      <c r="BR860"/>
      <c r="BS860"/>
      <c r="BT860"/>
      <c r="BU860"/>
      <c r="BV860"/>
      <c r="BW860"/>
      <c r="BX860"/>
      <c r="BY860"/>
      <c r="BZ860"/>
      <c r="CA860"/>
      <c r="CB860"/>
      <c r="CC860"/>
      <c r="CD860"/>
      <c r="CE860"/>
      <c r="CF860"/>
      <c r="CG860"/>
      <c r="CH860"/>
      <c r="CI860"/>
      <c r="CJ860"/>
      <c r="CK860"/>
      <c r="CL860"/>
      <c r="CM860" s="20"/>
      <c r="CN860" s="20"/>
      <c r="CO860" s="20"/>
      <c r="CP860" s="20"/>
      <c r="CQ860" s="20"/>
      <c r="CR860" s="20"/>
      <c r="CS860" s="20"/>
      <c r="CT860" s="20"/>
      <c r="CU860" s="20"/>
      <c r="CV860" s="20"/>
      <c r="CW860" s="20"/>
      <c r="CX860" s="20"/>
      <c r="CY860" s="20"/>
    </row>
    <row r="861" spans="1:103" s="6" customFormat="1">
      <c r="A861"/>
      <c r="B861"/>
      <c r="C861"/>
      <c r="D861"/>
      <c r="E861"/>
      <c r="F861"/>
      <c r="G861"/>
      <c r="H861"/>
      <c r="I861"/>
      <c r="J861"/>
      <c r="N861" s="7"/>
      <c r="O861"/>
      <c r="P861" s="10"/>
      <c r="Q861" s="9"/>
      <c r="R861" s="10"/>
      <c r="S861" s="10"/>
      <c r="AA861" s="11"/>
      <c r="AD861"/>
      <c r="AE861"/>
      <c r="AF861"/>
      <c r="AG861"/>
      <c r="AH861" s="46"/>
      <c r="AI861"/>
      <c r="AJ861"/>
      <c r="AK861"/>
      <c r="AL861"/>
      <c r="AM861"/>
      <c r="AN861"/>
      <c r="AO861"/>
      <c r="AP861"/>
      <c r="AQ861"/>
      <c r="AR861"/>
      <c r="AS861"/>
      <c r="AT861" s="14"/>
      <c r="AU861"/>
      <c r="AV861"/>
      <c r="AW861"/>
      <c r="AX861" s="10"/>
      <c r="AY861" s="20"/>
      <c r="AZ861" s="16"/>
      <c r="BA861"/>
      <c r="BB861"/>
      <c r="BC861" s="16"/>
      <c r="BD861"/>
      <c r="BE861"/>
      <c r="BF861"/>
      <c r="BG861"/>
      <c r="BH861"/>
      <c r="BI861"/>
      <c r="BJ861"/>
      <c r="BK861"/>
      <c r="BL861"/>
      <c r="BM861"/>
      <c r="BN861" s="19"/>
      <c r="BO861"/>
      <c r="BP861"/>
      <c r="BQ861"/>
      <c r="BR861"/>
      <c r="BS861"/>
      <c r="BT861"/>
      <c r="BU861"/>
      <c r="BV861"/>
      <c r="BW861"/>
      <c r="BX861"/>
      <c r="BY861"/>
      <c r="BZ861"/>
      <c r="CA861"/>
      <c r="CB861"/>
      <c r="CC861"/>
      <c r="CD861"/>
      <c r="CE861"/>
      <c r="CF861"/>
      <c r="CG861"/>
      <c r="CH861"/>
      <c r="CI861"/>
      <c r="CJ861"/>
      <c r="CK861"/>
      <c r="CL861"/>
      <c r="CM861" s="20"/>
      <c r="CN861" s="20"/>
      <c r="CO861" s="20"/>
      <c r="CP861" s="20"/>
      <c r="CQ861" s="20"/>
      <c r="CR861" s="20"/>
      <c r="CS861" s="20"/>
      <c r="CT861" s="20"/>
      <c r="CU861" s="20"/>
      <c r="CV861" s="20"/>
      <c r="CW861" s="20"/>
      <c r="CX861" s="20"/>
      <c r="CY861" s="20"/>
    </row>
    <row r="862" spans="1:103" s="6" customFormat="1">
      <c r="A862"/>
      <c r="B862"/>
      <c r="C862"/>
      <c r="D862"/>
      <c r="E862"/>
      <c r="F862"/>
      <c r="G862"/>
      <c r="H862"/>
      <c r="I862"/>
      <c r="J862"/>
      <c r="N862" s="7"/>
      <c r="O862"/>
      <c r="P862" s="10"/>
      <c r="Q862" s="9"/>
      <c r="R862" s="10"/>
      <c r="S862" s="10"/>
      <c r="AA862" s="11"/>
      <c r="AD862"/>
      <c r="AE862"/>
      <c r="AF862"/>
      <c r="AG862"/>
      <c r="AH862" s="46"/>
      <c r="AI862"/>
      <c r="AJ862"/>
      <c r="AK862"/>
      <c r="AL862"/>
      <c r="AM862"/>
      <c r="AN862"/>
      <c r="AO862"/>
      <c r="AP862"/>
      <c r="AQ862"/>
      <c r="AR862"/>
      <c r="AS862"/>
      <c r="AT862" s="14"/>
      <c r="AU862"/>
      <c r="AV862"/>
      <c r="AW862"/>
      <c r="AX862" s="10"/>
      <c r="AY862" s="20"/>
      <c r="AZ862" s="16"/>
      <c r="BA862"/>
      <c r="BB862"/>
      <c r="BC862" s="16"/>
      <c r="BD862"/>
      <c r="BE862"/>
      <c r="BF862"/>
      <c r="BG862"/>
      <c r="BH862"/>
      <c r="BI862"/>
      <c r="BJ862"/>
      <c r="BK862"/>
      <c r="BL862"/>
      <c r="BM862"/>
      <c r="BN862" s="19"/>
      <c r="BO862"/>
      <c r="BP862"/>
      <c r="BQ862"/>
      <c r="BR862"/>
      <c r="BS862"/>
      <c r="BT862"/>
      <c r="BU862"/>
      <c r="BV862"/>
      <c r="BW862"/>
      <c r="BX862"/>
      <c r="BY862"/>
      <c r="BZ862"/>
      <c r="CA862"/>
      <c r="CB862"/>
      <c r="CC862"/>
      <c r="CD862"/>
      <c r="CE862"/>
      <c r="CF862"/>
      <c r="CG862"/>
      <c r="CH862"/>
      <c r="CI862"/>
      <c r="CJ862"/>
      <c r="CK862"/>
      <c r="CL862"/>
      <c r="CM862" s="20"/>
      <c r="CN862" s="20"/>
      <c r="CO862" s="20"/>
      <c r="CP862" s="20"/>
      <c r="CQ862" s="20"/>
      <c r="CR862" s="20"/>
      <c r="CS862" s="20"/>
      <c r="CT862" s="20"/>
      <c r="CU862" s="20"/>
      <c r="CV862" s="20"/>
      <c r="CW862" s="20"/>
      <c r="CX862" s="20"/>
      <c r="CY862" s="20"/>
    </row>
    <row r="863" spans="1:103" s="6" customFormat="1">
      <c r="A863"/>
      <c r="B863"/>
      <c r="C863"/>
      <c r="D863"/>
      <c r="E863"/>
      <c r="F863"/>
      <c r="G863"/>
      <c r="H863"/>
      <c r="I863"/>
      <c r="J863"/>
      <c r="N863" s="7"/>
      <c r="O863"/>
      <c r="P863" s="10"/>
      <c r="Q863" s="9"/>
      <c r="R863" s="10"/>
      <c r="S863" s="10"/>
      <c r="AA863" s="11"/>
      <c r="AD863"/>
      <c r="AE863"/>
      <c r="AF863"/>
      <c r="AG863"/>
      <c r="AH863" s="46"/>
      <c r="AI863"/>
      <c r="AJ863"/>
      <c r="AK863"/>
      <c r="AL863"/>
      <c r="AM863"/>
      <c r="AN863"/>
      <c r="AO863"/>
      <c r="AP863"/>
      <c r="AQ863"/>
      <c r="AR863"/>
      <c r="AS863"/>
      <c r="AT863" s="14"/>
      <c r="AU863"/>
      <c r="AV863"/>
      <c r="AW863"/>
      <c r="AX863" s="10"/>
      <c r="AY863" s="20"/>
      <c r="AZ863" s="16"/>
      <c r="BA863"/>
      <c r="BB863"/>
      <c r="BC863" s="16"/>
      <c r="BD863"/>
      <c r="BE863"/>
      <c r="BF863"/>
      <c r="BG863"/>
      <c r="BH863"/>
      <c r="BI863"/>
      <c r="BJ863"/>
      <c r="BK863"/>
      <c r="BL863"/>
      <c r="BM863"/>
      <c r="BN863" s="19"/>
      <c r="BO863"/>
      <c r="BP863"/>
      <c r="BQ863"/>
      <c r="BR863"/>
      <c r="BS863"/>
      <c r="BT863"/>
      <c r="BU863"/>
      <c r="BV863"/>
      <c r="BW863"/>
      <c r="BX863"/>
      <c r="BY863"/>
      <c r="BZ863"/>
      <c r="CA863"/>
      <c r="CB863"/>
      <c r="CC863"/>
      <c r="CD863"/>
      <c r="CE863"/>
      <c r="CF863"/>
      <c r="CG863"/>
      <c r="CH863"/>
      <c r="CI863"/>
      <c r="CJ863"/>
      <c r="CK863"/>
      <c r="CL863"/>
      <c r="CM863" s="20"/>
      <c r="CN863" s="20"/>
      <c r="CO863" s="20"/>
      <c r="CP863" s="20"/>
      <c r="CQ863" s="20"/>
      <c r="CR863" s="20"/>
      <c r="CS863" s="20"/>
      <c r="CT863" s="20"/>
      <c r="CU863" s="20"/>
      <c r="CV863" s="20"/>
      <c r="CW863" s="20"/>
      <c r="CX863" s="20"/>
      <c r="CY863" s="20"/>
    </row>
    <row r="864" spans="1:103" s="6" customFormat="1">
      <c r="A864"/>
      <c r="B864"/>
      <c r="C864"/>
      <c r="D864"/>
      <c r="E864"/>
      <c r="F864"/>
      <c r="G864"/>
      <c r="H864"/>
      <c r="I864"/>
      <c r="J864"/>
      <c r="N864" s="7"/>
      <c r="O864"/>
      <c r="P864" s="10"/>
      <c r="Q864" s="9"/>
      <c r="R864" s="10"/>
      <c r="S864" s="10"/>
      <c r="AA864" s="11"/>
      <c r="AD864"/>
      <c r="AE864"/>
      <c r="AF864"/>
      <c r="AG864"/>
      <c r="AH864" s="46"/>
      <c r="AI864"/>
      <c r="AJ864"/>
      <c r="AK864"/>
      <c r="AL864"/>
      <c r="AM864"/>
      <c r="AN864"/>
      <c r="AO864"/>
      <c r="AP864"/>
      <c r="AQ864"/>
      <c r="AR864"/>
      <c r="AS864"/>
      <c r="AT864" s="14"/>
      <c r="AU864"/>
      <c r="AV864"/>
      <c r="AW864"/>
      <c r="AX864" s="10"/>
      <c r="AY864" s="20"/>
      <c r="AZ864" s="16"/>
      <c r="BA864"/>
      <c r="BB864"/>
      <c r="BC864" s="16"/>
      <c r="BD864"/>
      <c r="BE864"/>
      <c r="BF864"/>
      <c r="BG864"/>
      <c r="BH864"/>
      <c r="BI864"/>
      <c r="BJ864"/>
      <c r="BK864"/>
      <c r="BL864"/>
      <c r="BM864"/>
      <c r="BN864" s="19"/>
      <c r="BO864"/>
      <c r="BP864"/>
      <c r="BQ864"/>
      <c r="BR864"/>
      <c r="BS864"/>
      <c r="BT864"/>
      <c r="BU864"/>
      <c r="BV864"/>
      <c r="BW864"/>
      <c r="BX864"/>
      <c r="BY864"/>
      <c r="BZ864"/>
      <c r="CA864"/>
      <c r="CB864"/>
      <c r="CC864"/>
      <c r="CD864"/>
      <c r="CE864"/>
      <c r="CF864"/>
      <c r="CG864"/>
      <c r="CH864"/>
      <c r="CI864"/>
      <c r="CJ864"/>
      <c r="CK864"/>
      <c r="CL864"/>
      <c r="CM864" s="20"/>
      <c r="CN864" s="20"/>
      <c r="CO864" s="20"/>
      <c r="CP864" s="20"/>
      <c r="CQ864" s="20"/>
      <c r="CR864" s="20"/>
      <c r="CS864" s="20"/>
      <c r="CT864" s="20"/>
      <c r="CU864" s="20"/>
      <c r="CV864" s="20"/>
      <c r="CW864" s="20"/>
      <c r="CX864" s="20"/>
      <c r="CY864" s="20"/>
    </row>
    <row r="865" spans="1:103" s="6" customFormat="1">
      <c r="A865"/>
      <c r="B865"/>
      <c r="C865"/>
      <c r="D865"/>
      <c r="E865"/>
      <c r="F865"/>
      <c r="G865"/>
      <c r="H865"/>
      <c r="I865"/>
      <c r="J865"/>
      <c r="N865" s="7"/>
      <c r="O865"/>
      <c r="P865" s="10"/>
      <c r="Q865" s="9"/>
      <c r="R865" s="10"/>
      <c r="S865" s="10"/>
      <c r="AA865" s="11"/>
      <c r="AD865"/>
      <c r="AE865"/>
      <c r="AF865"/>
      <c r="AG865"/>
      <c r="AH865" s="46"/>
      <c r="AI865"/>
      <c r="AJ865"/>
      <c r="AK865"/>
      <c r="AL865"/>
      <c r="AM865"/>
      <c r="AN865"/>
      <c r="AO865"/>
      <c r="AP865"/>
      <c r="AQ865"/>
      <c r="AR865"/>
      <c r="AS865"/>
      <c r="AT865" s="14"/>
      <c r="AU865"/>
      <c r="AV865"/>
      <c r="AW865"/>
      <c r="AX865" s="10"/>
      <c r="AY865" s="20"/>
      <c r="AZ865" s="16"/>
      <c r="BA865"/>
      <c r="BB865"/>
      <c r="BC865" s="16"/>
      <c r="BD865"/>
      <c r="BE865"/>
      <c r="BF865"/>
      <c r="BG865"/>
      <c r="BH865"/>
      <c r="BI865"/>
      <c r="BJ865"/>
      <c r="BK865"/>
      <c r="BL865"/>
      <c r="BM865"/>
      <c r="BN865" s="19"/>
      <c r="BO865"/>
      <c r="BP865"/>
      <c r="BQ865"/>
      <c r="BR865"/>
      <c r="BS865"/>
      <c r="BT865"/>
      <c r="BU865"/>
      <c r="BV865"/>
      <c r="BW865"/>
      <c r="BX865"/>
      <c r="BY865"/>
      <c r="BZ865"/>
      <c r="CA865"/>
      <c r="CB865"/>
      <c r="CC865"/>
      <c r="CD865"/>
      <c r="CE865"/>
      <c r="CF865"/>
      <c r="CG865"/>
      <c r="CH865"/>
      <c r="CI865"/>
      <c r="CJ865"/>
      <c r="CK865"/>
      <c r="CL865"/>
      <c r="CM865" s="20"/>
      <c r="CN865" s="20"/>
      <c r="CO865" s="20"/>
      <c r="CP865" s="20"/>
      <c r="CQ865" s="20"/>
      <c r="CR865" s="20"/>
      <c r="CS865" s="20"/>
      <c r="CT865" s="20"/>
      <c r="CU865" s="20"/>
      <c r="CV865" s="20"/>
      <c r="CW865" s="20"/>
      <c r="CX865" s="20"/>
      <c r="CY865" s="20"/>
    </row>
    <row r="866" spans="1:103" s="6" customFormat="1">
      <c r="A866"/>
      <c r="B866"/>
      <c r="C866"/>
      <c r="D866"/>
      <c r="E866"/>
      <c r="F866"/>
      <c r="G866"/>
      <c r="H866"/>
      <c r="I866"/>
      <c r="J866"/>
      <c r="N866" s="7"/>
      <c r="O866"/>
      <c r="P866" s="10"/>
      <c r="Q866" s="9"/>
      <c r="R866" s="10"/>
      <c r="S866" s="10"/>
      <c r="AA866" s="11"/>
      <c r="AD866"/>
      <c r="AE866"/>
      <c r="AF866"/>
      <c r="AG866"/>
      <c r="AH866" s="46"/>
      <c r="AI866"/>
      <c r="AJ866"/>
      <c r="AK866"/>
      <c r="AL866"/>
      <c r="AM866"/>
      <c r="AN866"/>
      <c r="AO866"/>
      <c r="AP866"/>
      <c r="AQ866"/>
      <c r="AR866"/>
      <c r="AS866"/>
      <c r="AT866" s="14"/>
      <c r="AU866"/>
      <c r="AV866"/>
      <c r="AW866"/>
      <c r="AX866" s="10"/>
      <c r="AY866" s="20"/>
      <c r="AZ866" s="16"/>
      <c r="BA866"/>
      <c r="BB866"/>
      <c r="BC866" s="16"/>
      <c r="BD866"/>
      <c r="BE866"/>
      <c r="BF866"/>
      <c r="BG866"/>
      <c r="BH866"/>
      <c r="BI866"/>
      <c r="BJ866"/>
      <c r="BK866"/>
      <c r="BL866"/>
      <c r="BM866"/>
      <c r="BN866" s="19"/>
      <c r="BO866"/>
      <c r="BP866"/>
      <c r="BQ866"/>
      <c r="BR866"/>
      <c r="BS866"/>
      <c r="BT866"/>
      <c r="BU866"/>
      <c r="BV866"/>
      <c r="BW866"/>
      <c r="BX866"/>
      <c r="BY866"/>
      <c r="BZ866"/>
      <c r="CA866"/>
      <c r="CB866"/>
      <c r="CC866"/>
      <c r="CD866"/>
      <c r="CE866"/>
      <c r="CF866"/>
      <c r="CG866"/>
      <c r="CH866"/>
      <c r="CI866"/>
      <c r="CJ866"/>
      <c r="CK866"/>
      <c r="CL866"/>
      <c r="CM866" s="20"/>
      <c r="CN866" s="20"/>
      <c r="CO866" s="20"/>
      <c r="CP866" s="20"/>
      <c r="CQ866" s="20"/>
      <c r="CR866" s="20"/>
      <c r="CS866" s="20"/>
      <c r="CT866" s="20"/>
      <c r="CU866" s="20"/>
      <c r="CV866" s="20"/>
      <c r="CW866" s="20"/>
      <c r="CX866" s="20"/>
      <c r="CY866" s="20"/>
    </row>
    <row r="867" spans="1:103" s="6" customFormat="1">
      <c r="A867"/>
      <c r="B867"/>
      <c r="C867"/>
      <c r="D867"/>
      <c r="E867"/>
      <c r="F867"/>
      <c r="G867"/>
      <c r="H867"/>
      <c r="I867"/>
      <c r="J867"/>
      <c r="N867" s="7"/>
      <c r="O867"/>
      <c r="P867" s="10"/>
      <c r="Q867" s="9"/>
      <c r="R867" s="10"/>
      <c r="S867" s="10"/>
      <c r="AA867" s="11"/>
      <c r="AD867"/>
      <c r="AE867"/>
      <c r="AF867"/>
      <c r="AG867"/>
      <c r="AH867" s="46"/>
      <c r="AI867"/>
      <c r="AJ867"/>
      <c r="AK867"/>
      <c r="AL867"/>
      <c r="AM867"/>
      <c r="AN867"/>
      <c r="AO867"/>
      <c r="AP867"/>
      <c r="AQ867"/>
      <c r="AR867"/>
      <c r="AS867"/>
      <c r="AT867" s="14"/>
      <c r="AU867"/>
      <c r="AV867"/>
      <c r="AW867"/>
      <c r="AX867" s="10"/>
      <c r="AY867" s="20"/>
      <c r="AZ867" s="16"/>
      <c r="BA867"/>
      <c r="BB867"/>
      <c r="BC867" s="16"/>
      <c r="BD867"/>
      <c r="BE867"/>
      <c r="BF867"/>
      <c r="BG867"/>
      <c r="BH867"/>
      <c r="BI867"/>
      <c r="BJ867"/>
      <c r="BK867"/>
      <c r="BL867"/>
      <c r="BM867"/>
      <c r="BN867" s="19"/>
      <c r="BO867"/>
      <c r="BP867"/>
      <c r="BQ867"/>
      <c r="BR867"/>
      <c r="BS867"/>
      <c r="BT867"/>
      <c r="BU867"/>
      <c r="BV867"/>
      <c r="BW867"/>
      <c r="BX867"/>
      <c r="BY867"/>
      <c r="BZ867"/>
      <c r="CA867"/>
      <c r="CB867"/>
      <c r="CC867"/>
      <c r="CD867"/>
      <c r="CE867"/>
      <c r="CF867"/>
      <c r="CG867"/>
      <c r="CH867"/>
      <c r="CI867"/>
      <c r="CJ867"/>
      <c r="CK867"/>
      <c r="CL867"/>
      <c r="CM867" s="20"/>
      <c r="CN867" s="20"/>
      <c r="CO867" s="20"/>
      <c r="CP867" s="20"/>
      <c r="CQ867" s="20"/>
      <c r="CR867" s="20"/>
      <c r="CS867" s="20"/>
      <c r="CT867" s="20"/>
      <c r="CU867" s="20"/>
      <c r="CV867" s="20"/>
      <c r="CW867" s="20"/>
      <c r="CX867" s="20"/>
      <c r="CY867" s="20"/>
    </row>
    <row r="868" spans="1:103" s="6" customFormat="1">
      <c r="A868"/>
      <c r="B868"/>
      <c r="C868"/>
      <c r="D868"/>
      <c r="E868"/>
      <c r="F868"/>
      <c r="G868"/>
      <c r="H868"/>
      <c r="I868"/>
      <c r="J868"/>
      <c r="N868" s="7"/>
      <c r="O868"/>
      <c r="P868" s="10"/>
      <c r="Q868" s="9"/>
      <c r="R868" s="10"/>
      <c r="S868" s="10"/>
      <c r="AA868" s="11"/>
      <c r="AD868"/>
      <c r="AE868"/>
      <c r="AF868"/>
      <c r="AG868"/>
      <c r="AH868" s="46"/>
      <c r="AI868"/>
      <c r="AJ868"/>
      <c r="AK868"/>
      <c r="AL868"/>
      <c r="AM868"/>
      <c r="AN868"/>
      <c r="AO868"/>
      <c r="AP868"/>
      <c r="AQ868"/>
      <c r="AR868"/>
      <c r="AS868"/>
      <c r="AT868" s="14"/>
      <c r="AU868"/>
      <c r="AV868"/>
      <c r="AW868"/>
      <c r="AX868" s="10"/>
      <c r="AY868" s="20"/>
      <c r="AZ868" s="16"/>
      <c r="BA868"/>
      <c r="BB868"/>
      <c r="BC868" s="16"/>
      <c r="BD868"/>
      <c r="BE868"/>
      <c r="BF868"/>
      <c r="BG868"/>
      <c r="BH868"/>
      <c r="BI868"/>
      <c r="BJ868"/>
      <c r="BK868"/>
      <c r="BL868"/>
      <c r="BM868"/>
      <c r="BN868" s="19"/>
      <c r="BO868"/>
      <c r="BP868"/>
      <c r="BQ868"/>
      <c r="BR868"/>
      <c r="BS868"/>
      <c r="BT868"/>
      <c r="BU868"/>
      <c r="BV868"/>
      <c r="BW868"/>
      <c r="BX868"/>
      <c r="BY868"/>
      <c r="BZ868"/>
      <c r="CA868"/>
      <c r="CB868"/>
      <c r="CC868"/>
      <c r="CD868"/>
      <c r="CE868"/>
      <c r="CF868"/>
      <c r="CG868"/>
      <c r="CH868"/>
      <c r="CI868"/>
      <c r="CJ868"/>
      <c r="CK868"/>
      <c r="CL868"/>
      <c r="CM868" s="20"/>
      <c r="CN868" s="20"/>
      <c r="CO868" s="20"/>
      <c r="CP868" s="20"/>
      <c r="CQ868" s="20"/>
      <c r="CR868" s="20"/>
      <c r="CS868" s="20"/>
      <c r="CT868" s="20"/>
      <c r="CU868" s="20"/>
      <c r="CV868" s="20"/>
      <c r="CW868" s="20"/>
      <c r="CX868" s="20"/>
      <c r="CY868" s="20"/>
    </row>
    <row r="869" spans="1:103" s="6" customFormat="1">
      <c r="A869"/>
      <c r="B869"/>
      <c r="C869"/>
      <c r="D869"/>
      <c r="E869"/>
      <c r="F869"/>
      <c r="G869"/>
      <c r="H869"/>
      <c r="I869"/>
      <c r="J869"/>
      <c r="N869" s="7"/>
      <c r="O869"/>
      <c r="P869" s="10"/>
      <c r="Q869" s="9"/>
      <c r="R869" s="10"/>
      <c r="S869" s="10"/>
      <c r="AA869" s="11"/>
      <c r="AD869"/>
      <c r="AE869"/>
      <c r="AF869"/>
      <c r="AG869"/>
      <c r="AH869" s="46"/>
      <c r="AI869"/>
      <c r="AJ869"/>
      <c r="AK869"/>
      <c r="AL869"/>
      <c r="AM869"/>
      <c r="AN869"/>
      <c r="AO869"/>
      <c r="AP869"/>
      <c r="AQ869"/>
      <c r="AR869"/>
      <c r="AS869"/>
      <c r="AT869" s="14"/>
      <c r="AU869"/>
      <c r="AV869"/>
      <c r="AW869"/>
      <c r="AX869" s="10"/>
      <c r="AY869" s="20"/>
      <c r="AZ869" s="16"/>
      <c r="BA869"/>
      <c r="BB869"/>
      <c r="BC869" s="16"/>
      <c r="BD869"/>
      <c r="BE869"/>
      <c r="BF869"/>
      <c r="BG869"/>
      <c r="BH869"/>
      <c r="BI869"/>
      <c r="BJ869"/>
      <c r="BK869"/>
      <c r="BL869"/>
      <c r="BM869"/>
      <c r="BN869" s="19"/>
      <c r="BO869"/>
      <c r="BP869"/>
      <c r="BQ869"/>
      <c r="BR869"/>
      <c r="BS869"/>
      <c r="BT869"/>
      <c r="BU869"/>
      <c r="BV869"/>
      <c r="BW869"/>
      <c r="BX869"/>
      <c r="BY869"/>
      <c r="BZ869"/>
      <c r="CA869"/>
      <c r="CB869"/>
      <c r="CC869"/>
      <c r="CD869"/>
      <c r="CE869"/>
      <c r="CF869"/>
      <c r="CG869"/>
      <c r="CH869"/>
      <c r="CI869"/>
      <c r="CJ869"/>
      <c r="CK869"/>
      <c r="CL869"/>
      <c r="CM869" s="20"/>
      <c r="CN869" s="20"/>
      <c r="CO869" s="20"/>
      <c r="CP869" s="20"/>
      <c r="CQ869" s="20"/>
      <c r="CR869" s="20"/>
      <c r="CS869" s="20"/>
      <c r="CT869" s="20"/>
      <c r="CU869" s="20"/>
      <c r="CV869" s="20"/>
      <c r="CW869" s="20"/>
      <c r="CX869" s="20"/>
      <c r="CY869" s="20"/>
    </row>
    <row r="870" spans="1:103" s="6" customFormat="1">
      <c r="A870"/>
      <c r="B870"/>
      <c r="C870"/>
      <c r="D870"/>
      <c r="E870"/>
      <c r="F870"/>
      <c r="G870"/>
      <c r="H870"/>
      <c r="I870"/>
      <c r="J870"/>
      <c r="N870" s="7"/>
      <c r="O870"/>
      <c r="P870" s="10"/>
      <c r="Q870" s="9"/>
      <c r="R870" s="10"/>
      <c r="S870" s="10"/>
      <c r="AA870" s="11"/>
      <c r="AD870"/>
      <c r="AE870"/>
      <c r="AF870"/>
      <c r="AG870"/>
      <c r="AH870" s="46"/>
      <c r="AI870"/>
      <c r="AJ870"/>
      <c r="AK870"/>
      <c r="AL870"/>
      <c r="AM870"/>
      <c r="AN870"/>
      <c r="AO870"/>
      <c r="AP870"/>
      <c r="AQ870"/>
      <c r="AR870"/>
      <c r="AS870"/>
      <c r="AT870" s="14"/>
      <c r="AU870"/>
      <c r="AV870"/>
      <c r="AW870"/>
      <c r="AX870" s="10"/>
      <c r="AY870" s="20"/>
      <c r="AZ870" s="16"/>
      <c r="BA870"/>
      <c r="BB870"/>
      <c r="BC870" s="16"/>
      <c r="BD870"/>
      <c r="BE870"/>
      <c r="BF870"/>
      <c r="BG870"/>
      <c r="BH870"/>
      <c r="BI870"/>
      <c r="BJ870"/>
      <c r="BK870"/>
      <c r="BL870"/>
      <c r="BM870"/>
      <c r="BN870" s="19"/>
      <c r="BO870"/>
      <c r="BP870"/>
      <c r="BQ870"/>
      <c r="BR870"/>
      <c r="BS870"/>
      <c r="BT870"/>
      <c r="BU870"/>
      <c r="BV870"/>
      <c r="BW870"/>
      <c r="BX870"/>
      <c r="BY870"/>
      <c r="BZ870"/>
      <c r="CA870"/>
      <c r="CB870"/>
      <c r="CC870"/>
      <c r="CD870"/>
      <c r="CE870"/>
      <c r="CF870"/>
      <c r="CG870"/>
      <c r="CH870"/>
      <c r="CI870"/>
      <c r="CJ870"/>
      <c r="CK870"/>
      <c r="CL870"/>
      <c r="CM870" s="20"/>
      <c r="CN870" s="20"/>
      <c r="CO870" s="20"/>
      <c r="CP870" s="20"/>
      <c r="CQ870" s="20"/>
      <c r="CR870" s="20"/>
      <c r="CS870" s="20"/>
      <c r="CT870" s="20"/>
      <c r="CU870" s="20"/>
      <c r="CV870" s="20"/>
      <c r="CW870" s="20"/>
      <c r="CX870" s="20"/>
      <c r="CY870" s="20"/>
    </row>
    <row r="871" spans="1:103" s="6" customFormat="1">
      <c r="A871"/>
      <c r="B871"/>
      <c r="C871"/>
      <c r="D871"/>
      <c r="E871"/>
      <c r="F871"/>
      <c r="G871"/>
      <c r="H871"/>
      <c r="I871"/>
      <c r="J871"/>
      <c r="N871" s="7"/>
      <c r="O871"/>
      <c r="P871" s="10"/>
      <c r="Q871" s="9"/>
      <c r="R871" s="10"/>
      <c r="S871" s="10"/>
      <c r="AA871" s="11"/>
      <c r="AD871"/>
      <c r="AE871"/>
      <c r="AF871"/>
      <c r="AG871"/>
      <c r="AH871" s="46"/>
      <c r="AI871"/>
      <c r="AJ871"/>
      <c r="AK871"/>
      <c r="AL871"/>
      <c r="AM871"/>
      <c r="AN871"/>
      <c r="AO871"/>
      <c r="AP871"/>
      <c r="AQ871"/>
      <c r="AR871"/>
      <c r="AS871"/>
      <c r="AT871" s="14"/>
      <c r="AU871"/>
      <c r="AV871"/>
      <c r="AW871"/>
      <c r="AX871" s="10"/>
      <c r="AY871" s="20"/>
      <c r="AZ871" s="16"/>
      <c r="BA871"/>
      <c r="BB871"/>
      <c r="BC871" s="16"/>
      <c r="BD871"/>
      <c r="BE871"/>
      <c r="BF871"/>
      <c r="BG871"/>
      <c r="BH871"/>
      <c r="BI871"/>
      <c r="BJ871"/>
      <c r="BK871"/>
      <c r="BL871"/>
      <c r="BM871"/>
      <c r="BN871" s="19"/>
      <c r="BO871"/>
      <c r="BP871"/>
      <c r="BQ871"/>
      <c r="BR871"/>
      <c r="BS871"/>
      <c r="BT871"/>
      <c r="BU871"/>
      <c r="BV871"/>
      <c r="BW871"/>
      <c r="BX871"/>
      <c r="BY871"/>
      <c r="BZ871"/>
      <c r="CA871"/>
      <c r="CB871"/>
      <c r="CC871"/>
      <c r="CD871"/>
      <c r="CE871"/>
      <c r="CF871"/>
      <c r="CG871"/>
      <c r="CH871"/>
      <c r="CI871"/>
      <c r="CJ871"/>
      <c r="CK871"/>
      <c r="CL871"/>
      <c r="CM871" s="20"/>
      <c r="CN871" s="20"/>
      <c r="CO871" s="20"/>
      <c r="CP871" s="20"/>
      <c r="CQ871" s="20"/>
      <c r="CR871" s="20"/>
      <c r="CS871" s="20"/>
      <c r="CT871" s="20"/>
      <c r="CU871" s="20"/>
      <c r="CV871" s="20"/>
      <c r="CW871" s="20"/>
      <c r="CX871" s="20"/>
      <c r="CY871" s="20"/>
    </row>
    <row r="872" spans="1:103" s="6" customFormat="1">
      <c r="A872"/>
      <c r="B872"/>
      <c r="C872"/>
      <c r="D872"/>
      <c r="E872"/>
      <c r="F872"/>
      <c r="G872"/>
      <c r="H872"/>
      <c r="I872"/>
      <c r="J872"/>
      <c r="N872" s="7"/>
      <c r="O872"/>
      <c r="P872" s="10"/>
      <c r="Q872" s="9"/>
      <c r="R872" s="10"/>
      <c r="S872" s="10"/>
      <c r="AA872" s="11"/>
      <c r="AD872"/>
      <c r="AE872"/>
      <c r="AF872"/>
      <c r="AG872"/>
      <c r="AH872" s="46"/>
      <c r="AI872"/>
      <c r="AJ872"/>
      <c r="AK872"/>
      <c r="AL872"/>
      <c r="AM872"/>
      <c r="AN872"/>
      <c r="AO872"/>
      <c r="AP872"/>
      <c r="AQ872"/>
      <c r="AR872"/>
      <c r="AS872"/>
      <c r="AT872" s="14"/>
      <c r="AU872"/>
      <c r="AV872"/>
      <c r="AW872"/>
      <c r="AX872" s="10"/>
      <c r="AY872" s="20"/>
      <c r="AZ872" s="16"/>
      <c r="BA872"/>
      <c r="BB872"/>
      <c r="BC872" s="16"/>
      <c r="BD872"/>
      <c r="BE872"/>
      <c r="BF872"/>
      <c r="BG872"/>
      <c r="BH872"/>
      <c r="BI872"/>
      <c r="BJ872"/>
      <c r="BK872"/>
      <c r="BL872"/>
      <c r="BM872"/>
      <c r="BN872" s="19"/>
      <c r="BO872"/>
      <c r="BP872"/>
      <c r="BQ872"/>
      <c r="BR872"/>
      <c r="BS872"/>
      <c r="BT872"/>
      <c r="BU872"/>
      <c r="BV872"/>
      <c r="BW872"/>
      <c r="BX872"/>
      <c r="BY872"/>
      <c r="BZ872"/>
      <c r="CA872"/>
      <c r="CB872"/>
      <c r="CC872"/>
      <c r="CD872"/>
      <c r="CE872"/>
      <c r="CF872"/>
      <c r="CG872"/>
      <c r="CH872"/>
      <c r="CI872"/>
      <c r="CJ872"/>
      <c r="CK872"/>
      <c r="CL872"/>
      <c r="CM872" s="20"/>
      <c r="CN872" s="20"/>
      <c r="CO872" s="20"/>
      <c r="CP872" s="20"/>
      <c r="CQ872" s="20"/>
      <c r="CR872" s="20"/>
      <c r="CS872" s="20"/>
      <c r="CT872" s="20"/>
      <c r="CU872" s="20"/>
      <c r="CV872" s="20"/>
      <c r="CW872" s="20"/>
      <c r="CX872" s="20"/>
      <c r="CY872" s="20"/>
    </row>
    <row r="873" spans="1:103" s="6" customFormat="1">
      <c r="A873"/>
      <c r="B873"/>
      <c r="C873"/>
      <c r="D873"/>
      <c r="E873"/>
      <c r="F873"/>
      <c r="G873"/>
      <c r="H873"/>
      <c r="I873"/>
      <c r="J873"/>
      <c r="N873" s="7"/>
      <c r="O873"/>
      <c r="P873" s="10"/>
      <c r="Q873" s="9"/>
      <c r="R873" s="10"/>
      <c r="S873" s="10"/>
      <c r="AA873" s="11"/>
      <c r="AD873"/>
      <c r="AE873"/>
      <c r="AF873"/>
      <c r="AG873"/>
      <c r="AH873" s="46"/>
      <c r="AI873"/>
      <c r="AJ873"/>
      <c r="AK873"/>
      <c r="AL873"/>
      <c r="AM873"/>
      <c r="AN873"/>
      <c r="AO873"/>
      <c r="AP873"/>
      <c r="AQ873"/>
      <c r="AR873"/>
      <c r="AS873"/>
      <c r="AT873" s="14"/>
      <c r="AU873"/>
      <c r="AV873"/>
      <c r="AW873"/>
      <c r="AX873" s="10"/>
      <c r="AY873" s="20"/>
      <c r="AZ873" s="16"/>
      <c r="BA873"/>
      <c r="BB873"/>
      <c r="BC873" s="16"/>
      <c r="BD873"/>
      <c r="BE873"/>
      <c r="BF873"/>
      <c r="BG873"/>
      <c r="BH873"/>
      <c r="BI873"/>
      <c r="BJ873"/>
      <c r="BK873"/>
      <c r="BL873"/>
      <c r="BM873"/>
      <c r="BN873" s="19"/>
      <c r="BO873"/>
      <c r="BP873"/>
      <c r="BQ873"/>
      <c r="BR873"/>
      <c r="BS873"/>
      <c r="BT873"/>
      <c r="BU873"/>
      <c r="BV873"/>
      <c r="BW873"/>
      <c r="BX873"/>
      <c r="BY873"/>
      <c r="BZ873"/>
      <c r="CA873"/>
      <c r="CB873"/>
      <c r="CC873"/>
      <c r="CD873"/>
      <c r="CE873"/>
      <c r="CF873"/>
      <c r="CG873"/>
      <c r="CH873"/>
      <c r="CI873"/>
      <c r="CJ873"/>
      <c r="CK873"/>
      <c r="CL873"/>
      <c r="CM873" s="20"/>
      <c r="CN873" s="20"/>
      <c r="CO873" s="20"/>
      <c r="CP873" s="20"/>
      <c r="CQ873" s="20"/>
      <c r="CR873" s="20"/>
      <c r="CS873" s="20"/>
      <c r="CT873" s="20"/>
      <c r="CU873" s="20"/>
      <c r="CV873" s="20"/>
      <c r="CW873" s="20"/>
      <c r="CX873" s="20"/>
      <c r="CY873" s="20"/>
    </row>
    <row r="874" spans="1:103" s="6" customFormat="1">
      <c r="A874"/>
      <c r="B874"/>
      <c r="C874"/>
      <c r="D874"/>
      <c r="E874"/>
      <c r="F874"/>
      <c r="G874"/>
      <c r="H874"/>
      <c r="I874"/>
      <c r="J874"/>
      <c r="N874" s="7"/>
      <c r="O874"/>
      <c r="P874" s="10"/>
      <c r="Q874" s="9"/>
      <c r="R874" s="10"/>
      <c r="S874" s="10"/>
      <c r="AA874" s="11"/>
      <c r="AD874"/>
      <c r="AE874"/>
      <c r="AF874"/>
      <c r="AG874"/>
      <c r="AH874" s="46"/>
      <c r="AI874"/>
      <c r="AJ874"/>
      <c r="AK874"/>
      <c r="AL874"/>
      <c r="AM874"/>
      <c r="AN874"/>
      <c r="AO874"/>
      <c r="AP874"/>
      <c r="AQ874"/>
      <c r="AR874"/>
      <c r="AS874"/>
      <c r="AT874" s="14"/>
      <c r="AU874"/>
      <c r="AV874"/>
      <c r="AW874"/>
      <c r="AX874" s="10"/>
      <c r="AY874" s="20"/>
      <c r="AZ874" s="16"/>
      <c r="BA874"/>
      <c r="BB874"/>
      <c r="BC874" s="16"/>
      <c r="BD874"/>
      <c r="BE874"/>
      <c r="BF874"/>
      <c r="BG874"/>
      <c r="BH874"/>
      <c r="BI874"/>
      <c r="BJ874"/>
      <c r="BK874"/>
      <c r="BL874"/>
      <c r="BM874"/>
      <c r="BN874" s="19"/>
      <c r="BO874"/>
      <c r="BP874"/>
      <c r="BQ874"/>
      <c r="BR874"/>
      <c r="BS874"/>
      <c r="BT874"/>
      <c r="BU874"/>
      <c r="BV874"/>
      <c r="BW874"/>
      <c r="BX874"/>
      <c r="BY874"/>
      <c r="BZ874"/>
      <c r="CA874"/>
      <c r="CB874"/>
      <c r="CC874"/>
      <c r="CD874"/>
      <c r="CE874"/>
      <c r="CF874"/>
      <c r="CG874"/>
      <c r="CH874"/>
      <c r="CI874"/>
      <c r="CJ874"/>
      <c r="CK874"/>
      <c r="CL874"/>
      <c r="CM874" s="20"/>
      <c r="CN874" s="20"/>
      <c r="CO874" s="20"/>
      <c r="CP874" s="20"/>
      <c r="CQ874" s="20"/>
      <c r="CR874" s="20"/>
      <c r="CS874" s="20"/>
      <c r="CT874" s="20"/>
      <c r="CU874" s="20"/>
      <c r="CV874" s="20"/>
      <c r="CW874" s="20"/>
      <c r="CX874" s="20"/>
      <c r="CY874" s="20"/>
    </row>
    <row r="875" spans="1:103" s="6" customFormat="1">
      <c r="A875"/>
      <c r="B875"/>
      <c r="C875"/>
      <c r="D875"/>
      <c r="E875"/>
      <c r="F875"/>
      <c r="G875"/>
      <c r="H875"/>
      <c r="I875"/>
      <c r="J875"/>
      <c r="N875" s="7"/>
      <c r="O875"/>
      <c r="P875" s="10"/>
      <c r="Q875" s="9"/>
      <c r="R875" s="10"/>
      <c r="S875" s="10"/>
      <c r="AA875" s="11"/>
      <c r="AD875"/>
      <c r="AE875"/>
      <c r="AF875"/>
      <c r="AG875"/>
      <c r="AH875" s="46"/>
      <c r="AI875"/>
      <c r="AJ875"/>
      <c r="AK875"/>
      <c r="AL875"/>
      <c r="AM875"/>
      <c r="AN875"/>
      <c r="AO875"/>
      <c r="AP875"/>
      <c r="AQ875"/>
      <c r="AR875"/>
      <c r="AS875"/>
      <c r="AT875" s="14"/>
      <c r="AU875"/>
      <c r="AV875"/>
      <c r="AW875"/>
      <c r="AX875" s="10"/>
      <c r="AY875" s="20"/>
      <c r="AZ875" s="16"/>
      <c r="BA875"/>
      <c r="BB875"/>
      <c r="BC875" s="16"/>
      <c r="BD875"/>
      <c r="BE875"/>
      <c r="BF875"/>
      <c r="BG875"/>
      <c r="BH875"/>
      <c r="BI875"/>
      <c r="BJ875"/>
      <c r="BK875"/>
      <c r="BL875"/>
      <c r="BM875"/>
      <c r="BN875" s="19"/>
      <c r="BO875"/>
      <c r="BP875"/>
      <c r="BQ875"/>
      <c r="BR875"/>
      <c r="BS875"/>
      <c r="BT875"/>
      <c r="BU875"/>
      <c r="BV875"/>
      <c r="BW875"/>
      <c r="BX875"/>
      <c r="BY875"/>
      <c r="BZ875"/>
      <c r="CA875"/>
      <c r="CB875"/>
      <c r="CC875"/>
      <c r="CD875"/>
      <c r="CE875"/>
      <c r="CF875"/>
      <c r="CG875"/>
      <c r="CH875"/>
      <c r="CI875"/>
      <c r="CJ875"/>
      <c r="CK875"/>
      <c r="CL875"/>
      <c r="CM875" s="20"/>
      <c r="CN875" s="20"/>
      <c r="CO875" s="20"/>
      <c r="CP875" s="20"/>
      <c r="CQ875" s="20"/>
      <c r="CR875" s="20"/>
      <c r="CS875" s="20"/>
      <c r="CT875" s="20"/>
      <c r="CU875" s="20"/>
      <c r="CV875" s="20"/>
      <c r="CW875" s="20"/>
      <c r="CX875" s="20"/>
      <c r="CY875" s="20"/>
    </row>
    <row r="876" spans="1:103" s="6" customFormat="1">
      <c r="A876"/>
      <c r="B876"/>
      <c r="C876"/>
      <c r="D876"/>
      <c r="E876"/>
      <c r="F876"/>
      <c r="G876"/>
      <c r="H876"/>
      <c r="I876"/>
      <c r="J876"/>
      <c r="N876" s="7"/>
      <c r="O876"/>
      <c r="P876" s="10"/>
      <c r="Q876" s="9"/>
      <c r="R876" s="10"/>
      <c r="S876" s="10"/>
      <c r="AA876" s="11"/>
      <c r="AD876"/>
      <c r="AE876"/>
      <c r="AF876"/>
      <c r="AG876"/>
      <c r="AH876" s="46"/>
      <c r="AI876"/>
      <c r="AJ876"/>
      <c r="AK876"/>
      <c r="AL876"/>
      <c r="AM876"/>
      <c r="AN876"/>
      <c r="AO876"/>
      <c r="AP876"/>
      <c r="AQ876"/>
      <c r="AR876"/>
      <c r="AS876"/>
      <c r="AT876" s="14"/>
      <c r="AU876"/>
      <c r="AV876"/>
      <c r="AW876"/>
      <c r="AX876" s="10"/>
      <c r="AY876" s="20"/>
      <c r="AZ876" s="16"/>
      <c r="BA876"/>
      <c r="BB876"/>
      <c r="BC876" s="16"/>
      <c r="BD876"/>
      <c r="BE876"/>
      <c r="BF876"/>
      <c r="BG876"/>
      <c r="BH876"/>
      <c r="BI876"/>
      <c r="BJ876"/>
      <c r="BK876"/>
      <c r="BL876"/>
      <c r="BM876"/>
      <c r="BN876" s="19"/>
      <c r="BO876"/>
      <c r="BP876"/>
      <c r="BQ876"/>
      <c r="BR876"/>
      <c r="BS876"/>
      <c r="BT876"/>
      <c r="BU876"/>
      <c r="BV876"/>
      <c r="BW876"/>
      <c r="BX876"/>
      <c r="BY876"/>
      <c r="BZ876"/>
      <c r="CA876"/>
      <c r="CB876"/>
      <c r="CC876"/>
      <c r="CD876"/>
      <c r="CE876"/>
      <c r="CF876"/>
      <c r="CG876"/>
      <c r="CH876"/>
      <c r="CI876"/>
      <c r="CJ876"/>
      <c r="CK876"/>
      <c r="CL876"/>
      <c r="CM876" s="20"/>
      <c r="CN876" s="20"/>
      <c r="CO876" s="20"/>
      <c r="CP876" s="20"/>
      <c r="CQ876" s="20"/>
      <c r="CR876" s="20"/>
      <c r="CS876" s="20"/>
      <c r="CT876" s="20"/>
      <c r="CU876" s="20"/>
      <c r="CV876" s="20"/>
      <c r="CW876" s="20"/>
      <c r="CX876" s="20"/>
      <c r="CY876" s="20"/>
    </row>
    <row r="877" spans="1:103" s="6" customFormat="1">
      <c r="A877"/>
      <c r="B877"/>
      <c r="C877"/>
      <c r="D877"/>
      <c r="E877"/>
      <c r="F877"/>
      <c r="G877"/>
      <c r="H877"/>
      <c r="I877"/>
      <c r="J877"/>
      <c r="N877" s="7"/>
      <c r="O877"/>
      <c r="P877" s="10"/>
      <c r="Q877" s="9"/>
      <c r="R877" s="10"/>
      <c r="S877" s="10"/>
      <c r="AA877" s="11"/>
      <c r="AD877"/>
      <c r="AE877"/>
      <c r="AF877"/>
      <c r="AG877"/>
      <c r="AH877" s="46"/>
      <c r="AI877"/>
      <c r="AJ877"/>
      <c r="AK877"/>
      <c r="AL877"/>
      <c r="AM877"/>
      <c r="AN877"/>
      <c r="AO877"/>
      <c r="AP877"/>
      <c r="AQ877"/>
      <c r="AR877"/>
      <c r="AS877"/>
      <c r="AT877" s="14"/>
      <c r="AU877"/>
      <c r="AV877"/>
      <c r="AW877"/>
      <c r="AX877" s="10"/>
      <c r="AY877" s="20"/>
      <c r="AZ877" s="16"/>
      <c r="BA877"/>
      <c r="BB877"/>
      <c r="BC877" s="16"/>
      <c r="BD877"/>
      <c r="BE877"/>
      <c r="BF877"/>
      <c r="BG877"/>
      <c r="BH877"/>
      <c r="BI877"/>
      <c r="BJ877"/>
      <c r="BK877"/>
      <c r="BL877"/>
      <c r="BM877"/>
      <c r="BN877" s="19"/>
      <c r="BO877"/>
      <c r="BP877"/>
      <c r="BQ877"/>
      <c r="BR877"/>
      <c r="BS877"/>
      <c r="BT877"/>
      <c r="BU877"/>
      <c r="BV877"/>
      <c r="BW877"/>
      <c r="BX877"/>
      <c r="BY877"/>
      <c r="BZ877"/>
      <c r="CA877"/>
      <c r="CB877"/>
      <c r="CC877"/>
      <c r="CD877"/>
      <c r="CE877"/>
      <c r="CF877"/>
      <c r="CG877"/>
      <c r="CH877"/>
      <c r="CI877"/>
      <c r="CJ877"/>
      <c r="CK877"/>
      <c r="CL877"/>
      <c r="CM877" s="20"/>
      <c r="CN877" s="20"/>
      <c r="CO877" s="20"/>
      <c r="CP877" s="20"/>
      <c r="CQ877" s="20"/>
      <c r="CR877" s="20"/>
      <c r="CS877" s="20"/>
      <c r="CT877" s="20"/>
      <c r="CU877" s="20"/>
      <c r="CV877" s="20"/>
      <c r="CW877" s="20"/>
      <c r="CX877" s="20"/>
      <c r="CY877" s="20"/>
    </row>
    <row r="878" spans="1:103" s="6" customFormat="1">
      <c r="A878"/>
      <c r="B878"/>
      <c r="C878"/>
      <c r="D878"/>
      <c r="E878"/>
      <c r="F878"/>
      <c r="G878"/>
      <c r="H878"/>
      <c r="I878"/>
      <c r="J878"/>
      <c r="N878" s="7"/>
      <c r="O878"/>
      <c r="P878" s="10"/>
      <c r="Q878" s="9"/>
      <c r="R878" s="10"/>
      <c r="S878" s="10"/>
      <c r="AA878" s="11"/>
      <c r="AD878"/>
      <c r="AE878"/>
      <c r="AF878"/>
      <c r="AG878"/>
      <c r="AH878" s="46"/>
      <c r="AI878"/>
      <c r="AJ878"/>
      <c r="AK878"/>
      <c r="AL878"/>
      <c r="AM878"/>
      <c r="AN878"/>
      <c r="AO878"/>
      <c r="AP878"/>
      <c r="AQ878"/>
      <c r="AR878"/>
      <c r="AS878"/>
      <c r="AT878" s="14"/>
      <c r="AU878"/>
      <c r="AV878"/>
      <c r="AW878"/>
      <c r="AX878" s="10"/>
      <c r="AY878" s="20"/>
      <c r="AZ878" s="16"/>
      <c r="BA878"/>
      <c r="BB878"/>
      <c r="BC878" s="16"/>
      <c r="BD878"/>
      <c r="BE878"/>
      <c r="BF878"/>
      <c r="BG878"/>
      <c r="BH878"/>
      <c r="BI878"/>
      <c r="BJ878"/>
      <c r="BK878"/>
      <c r="BL878"/>
      <c r="BM878"/>
      <c r="BN878" s="19"/>
      <c r="BO878"/>
      <c r="BP878"/>
      <c r="BQ878"/>
      <c r="BR878"/>
      <c r="BS878"/>
      <c r="BT878"/>
      <c r="BU878"/>
      <c r="BV878"/>
      <c r="BW878"/>
      <c r="BX878"/>
      <c r="BY878"/>
      <c r="BZ878"/>
      <c r="CA878"/>
      <c r="CB878"/>
      <c r="CC878"/>
      <c r="CD878"/>
      <c r="CE878"/>
      <c r="CF878"/>
      <c r="CG878"/>
      <c r="CH878"/>
      <c r="CI878"/>
      <c r="CJ878"/>
      <c r="CK878"/>
      <c r="CL878"/>
      <c r="CM878" s="20"/>
      <c r="CN878" s="20"/>
      <c r="CO878" s="20"/>
      <c r="CP878" s="20"/>
      <c r="CQ878" s="20"/>
      <c r="CR878" s="20"/>
      <c r="CS878" s="20"/>
      <c r="CT878" s="20"/>
      <c r="CU878" s="20"/>
      <c r="CV878" s="20"/>
      <c r="CW878" s="20"/>
      <c r="CX878" s="20"/>
      <c r="CY878" s="20"/>
    </row>
    <row r="879" spans="1:103" s="6" customFormat="1">
      <c r="A879"/>
      <c r="B879"/>
      <c r="C879"/>
      <c r="D879"/>
      <c r="E879"/>
      <c r="F879"/>
      <c r="G879"/>
      <c r="H879"/>
      <c r="I879"/>
      <c r="J879"/>
      <c r="N879" s="7"/>
      <c r="O879"/>
      <c r="P879" s="10"/>
      <c r="Q879" s="9"/>
      <c r="R879" s="10"/>
      <c r="S879" s="10"/>
      <c r="AA879" s="11"/>
      <c r="AD879"/>
      <c r="AE879"/>
      <c r="AF879"/>
      <c r="AG879"/>
      <c r="AH879" s="46"/>
      <c r="AI879"/>
      <c r="AJ879"/>
      <c r="AK879"/>
      <c r="AL879"/>
      <c r="AM879"/>
      <c r="AN879"/>
      <c r="AO879"/>
      <c r="AP879"/>
      <c r="AQ879"/>
      <c r="AR879"/>
      <c r="AS879"/>
      <c r="AT879" s="14"/>
      <c r="AU879"/>
      <c r="AV879"/>
      <c r="AW879"/>
      <c r="AX879" s="10"/>
      <c r="AY879" s="20"/>
      <c r="AZ879" s="16"/>
      <c r="BA879"/>
      <c r="BB879"/>
      <c r="BC879" s="16"/>
      <c r="BD879"/>
      <c r="BE879"/>
      <c r="BF879"/>
      <c r="BG879"/>
      <c r="BH879"/>
      <c r="BI879"/>
      <c r="BJ879"/>
      <c r="BK879"/>
      <c r="BL879"/>
      <c r="BM879"/>
      <c r="BN879" s="19"/>
      <c r="BO879"/>
      <c r="BP879"/>
      <c r="BQ879"/>
      <c r="BR879"/>
      <c r="BS879"/>
      <c r="BT879"/>
      <c r="BU879"/>
      <c r="BV879"/>
      <c r="BW879"/>
      <c r="BX879"/>
      <c r="BY879"/>
      <c r="BZ879"/>
      <c r="CA879"/>
      <c r="CB879"/>
      <c r="CC879"/>
      <c r="CD879"/>
      <c r="CE879"/>
      <c r="CF879"/>
      <c r="CG879"/>
      <c r="CH879"/>
      <c r="CI879"/>
      <c r="CJ879"/>
      <c r="CK879"/>
      <c r="CL879"/>
      <c r="CM879" s="20"/>
      <c r="CN879" s="20"/>
      <c r="CO879" s="20"/>
      <c r="CP879" s="20"/>
      <c r="CQ879" s="20"/>
      <c r="CR879" s="20"/>
      <c r="CS879" s="20"/>
      <c r="CT879" s="20"/>
      <c r="CU879" s="20"/>
      <c r="CV879" s="20"/>
      <c r="CW879" s="20"/>
      <c r="CX879" s="20"/>
      <c r="CY879" s="20"/>
    </row>
    <row r="880" spans="1:103" s="6" customFormat="1">
      <c r="A880"/>
      <c r="B880"/>
      <c r="C880"/>
      <c r="D880"/>
      <c r="E880"/>
      <c r="F880"/>
      <c r="G880"/>
      <c r="H880"/>
      <c r="I880"/>
      <c r="J880"/>
      <c r="N880" s="7"/>
      <c r="O880"/>
      <c r="P880" s="10"/>
      <c r="Q880" s="9"/>
      <c r="R880" s="10"/>
      <c r="S880" s="10"/>
      <c r="AA880" s="11"/>
      <c r="AD880"/>
      <c r="AE880"/>
      <c r="AF880"/>
      <c r="AG880"/>
      <c r="AH880" s="46"/>
      <c r="AI880"/>
      <c r="AJ880"/>
      <c r="AK880"/>
      <c r="AL880"/>
      <c r="AM880"/>
      <c r="AN880"/>
      <c r="AO880"/>
      <c r="AP880"/>
      <c r="AQ880"/>
      <c r="AR880"/>
      <c r="AS880"/>
      <c r="AT880" s="14"/>
      <c r="AU880"/>
      <c r="AV880"/>
      <c r="AW880"/>
      <c r="AX880" s="10"/>
      <c r="AY880" s="20"/>
      <c r="AZ880" s="16"/>
      <c r="BA880"/>
      <c r="BB880"/>
      <c r="BC880" s="16"/>
      <c r="BD880"/>
      <c r="BE880"/>
      <c r="BF880"/>
      <c r="BG880"/>
      <c r="BH880"/>
      <c r="BI880"/>
      <c r="BJ880"/>
      <c r="BK880"/>
      <c r="BL880"/>
      <c r="BM880"/>
      <c r="BN880" s="19"/>
      <c r="BO880"/>
      <c r="BP880"/>
      <c r="BQ880"/>
      <c r="BR880"/>
      <c r="BS880"/>
      <c r="BT880"/>
      <c r="BU880"/>
      <c r="BV880"/>
      <c r="BW880"/>
      <c r="BX880"/>
      <c r="BY880"/>
      <c r="BZ880"/>
      <c r="CA880"/>
      <c r="CB880"/>
      <c r="CC880"/>
      <c r="CD880"/>
      <c r="CE880"/>
      <c r="CF880"/>
      <c r="CG880"/>
      <c r="CH880"/>
      <c r="CI880"/>
      <c r="CJ880"/>
      <c r="CK880"/>
      <c r="CL880"/>
      <c r="CM880" s="20"/>
      <c r="CN880" s="20"/>
      <c r="CO880" s="20"/>
      <c r="CP880" s="20"/>
      <c r="CQ880" s="20"/>
      <c r="CR880" s="20"/>
      <c r="CS880" s="20"/>
      <c r="CT880" s="20"/>
      <c r="CU880" s="20"/>
      <c r="CV880" s="20"/>
      <c r="CW880" s="20"/>
      <c r="CX880" s="20"/>
      <c r="CY880" s="20"/>
    </row>
    <row r="881" spans="1:103" s="6" customFormat="1">
      <c r="A881"/>
      <c r="B881"/>
      <c r="C881"/>
      <c r="D881"/>
      <c r="E881"/>
      <c r="F881"/>
      <c r="G881"/>
      <c r="H881"/>
      <c r="I881"/>
      <c r="J881"/>
      <c r="N881" s="7"/>
      <c r="O881"/>
      <c r="P881" s="10"/>
      <c r="Q881" s="9"/>
      <c r="R881" s="10"/>
      <c r="S881" s="10"/>
      <c r="AA881" s="11"/>
      <c r="AD881"/>
      <c r="AE881"/>
      <c r="AF881"/>
      <c r="AG881"/>
      <c r="AH881" s="46"/>
      <c r="AI881"/>
      <c r="AJ881"/>
      <c r="AK881"/>
      <c r="AL881"/>
      <c r="AM881"/>
      <c r="AN881"/>
      <c r="AO881"/>
      <c r="AP881"/>
      <c r="AQ881"/>
      <c r="AR881"/>
      <c r="AS881"/>
      <c r="AT881" s="14"/>
      <c r="AU881"/>
      <c r="AV881"/>
      <c r="AW881"/>
      <c r="AX881" s="10"/>
      <c r="AY881" s="20"/>
      <c r="AZ881" s="16"/>
      <c r="BA881"/>
      <c r="BB881"/>
      <c r="BC881" s="16"/>
      <c r="BD881"/>
      <c r="BE881"/>
      <c r="BF881"/>
      <c r="BG881"/>
      <c r="BH881"/>
      <c r="BI881"/>
      <c r="BJ881"/>
      <c r="BK881"/>
      <c r="BL881"/>
      <c r="BM881"/>
      <c r="BN881" s="19"/>
      <c r="BO881"/>
      <c r="BP881"/>
      <c r="BQ881"/>
      <c r="BR881"/>
      <c r="BS881"/>
      <c r="BT881"/>
      <c r="BU881"/>
      <c r="BV881"/>
      <c r="BW881"/>
      <c r="BX881"/>
      <c r="BY881"/>
      <c r="BZ881"/>
      <c r="CA881"/>
      <c r="CB881"/>
      <c r="CC881"/>
      <c r="CD881"/>
      <c r="CE881"/>
      <c r="CF881"/>
      <c r="CG881"/>
      <c r="CH881"/>
      <c r="CI881"/>
      <c r="CJ881"/>
      <c r="CK881"/>
      <c r="CL881"/>
      <c r="CM881" s="20"/>
      <c r="CN881" s="20"/>
      <c r="CO881" s="20"/>
      <c r="CP881" s="20"/>
      <c r="CQ881" s="20"/>
      <c r="CR881" s="20"/>
      <c r="CS881" s="20"/>
      <c r="CT881" s="20"/>
      <c r="CU881" s="20"/>
      <c r="CV881" s="20"/>
      <c r="CW881" s="20"/>
      <c r="CX881" s="20"/>
      <c r="CY881" s="20"/>
    </row>
    <row r="882" spans="1:103" s="6" customFormat="1">
      <c r="A882"/>
      <c r="B882"/>
      <c r="C882"/>
      <c r="D882"/>
      <c r="E882"/>
      <c r="F882"/>
      <c r="G882"/>
      <c r="H882"/>
      <c r="I882"/>
      <c r="J882"/>
      <c r="N882" s="7"/>
      <c r="O882"/>
      <c r="P882" s="10"/>
      <c r="Q882" s="9"/>
      <c r="R882" s="10"/>
      <c r="S882" s="10"/>
      <c r="AA882" s="11"/>
      <c r="AD882"/>
      <c r="AE882"/>
      <c r="AF882"/>
      <c r="AG882"/>
      <c r="AH882" s="46"/>
      <c r="AI882"/>
      <c r="AJ882"/>
      <c r="AK882"/>
      <c r="AL882"/>
      <c r="AM882"/>
      <c r="AN882"/>
      <c r="AO882"/>
      <c r="AP882"/>
      <c r="AQ882"/>
      <c r="AR882"/>
      <c r="AS882"/>
      <c r="AT882" s="14"/>
      <c r="AU882"/>
      <c r="AV882"/>
      <c r="AW882"/>
      <c r="AX882" s="10"/>
      <c r="AY882" s="20"/>
      <c r="AZ882" s="16"/>
      <c r="BA882"/>
      <c r="BB882"/>
      <c r="BC882" s="16"/>
      <c r="BD882"/>
      <c r="BE882"/>
      <c r="BF882"/>
      <c r="BG882"/>
      <c r="BH882"/>
      <c r="BI882"/>
      <c r="BJ882"/>
      <c r="BK882"/>
      <c r="BL882"/>
      <c r="BM882"/>
      <c r="BN882" s="19"/>
      <c r="BO882"/>
      <c r="BP882"/>
      <c r="BQ882"/>
      <c r="BR882"/>
      <c r="BS882"/>
      <c r="BT882"/>
      <c r="BU882"/>
      <c r="BV882"/>
      <c r="BW882"/>
      <c r="BX882"/>
      <c r="BY882"/>
      <c r="BZ882"/>
      <c r="CA882"/>
      <c r="CB882"/>
      <c r="CC882"/>
      <c r="CD882"/>
      <c r="CE882"/>
      <c r="CF882"/>
      <c r="CG882"/>
      <c r="CH882"/>
      <c r="CI882"/>
      <c r="CJ882"/>
      <c r="CK882"/>
      <c r="CL882"/>
      <c r="CM882" s="20"/>
      <c r="CN882" s="20"/>
      <c r="CO882" s="20"/>
      <c r="CP882" s="20"/>
      <c r="CQ882" s="20"/>
      <c r="CR882" s="20"/>
      <c r="CS882" s="20"/>
      <c r="CT882" s="20"/>
      <c r="CU882" s="20"/>
      <c r="CV882" s="20"/>
      <c r="CW882" s="20"/>
      <c r="CX882" s="20"/>
      <c r="CY882" s="20"/>
    </row>
    <row r="883" spans="1:103" s="6" customFormat="1">
      <c r="A883"/>
      <c r="B883"/>
      <c r="C883"/>
      <c r="D883"/>
      <c r="E883"/>
      <c r="F883"/>
      <c r="G883"/>
      <c r="H883"/>
      <c r="I883"/>
      <c r="J883"/>
      <c r="N883" s="7"/>
      <c r="O883"/>
      <c r="P883" s="10"/>
      <c r="Q883" s="9"/>
      <c r="R883" s="10"/>
      <c r="S883" s="10"/>
      <c r="AA883" s="11"/>
      <c r="AD883"/>
      <c r="AE883"/>
      <c r="AF883"/>
      <c r="AG883"/>
      <c r="AH883" s="46"/>
      <c r="AI883"/>
      <c r="AJ883"/>
      <c r="AK883"/>
      <c r="AL883"/>
      <c r="AM883"/>
      <c r="AN883"/>
      <c r="AO883"/>
      <c r="AP883"/>
      <c r="AQ883"/>
      <c r="AR883"/>
      <c r="AS883"/>
      <c r="AT883" s="14"/>
      <c r="AU883"/>
      <c r="AV883"/>
      <c r="AW883"/>
      <c r="AX883" s="10"/>
      <c r="AY883" s="20"/>
      <c r="AZ883" s="16"/>
      <c r="BA883"/>
      <c r="BB883"/>
      <c r="BC883" s="16"/>
      <c r="BD883"/>
      <c r="BE883"/>
      <c r="BF883"/>
      <c r="BG883"/>
      <c r="BH883"/>
      <c r="BI883"/>
      <c r="BJ883"/>
      <c r="BK883"/>
      <c r="BL883"/>
      <c r="BM883"/>
      <c r="BN883" s="19"/>
      <c r="BO883"/>
      <c r="BP883"/>
      <c r="BQ883"/>
      <c r="BR883"/>
      <c r="BS883"/>
      <c r="BT883"/>
      <c r="BU883"/>
      <c r="BV883"/>
      <c r="BW883"/>
      <c r="BX883"/>
      <c r="BY883"/>
      <c r="BZ883"/>
      <c r="CA883"/>
      <c r="CB883"/>
      <c r="CC883"/>
      <c r="CD883"/>
      <c r="CE883"/>
      <c r="CF883"/>
      <c r="CG883"/>
      <c r="CH883"/>
      <c r="CI883"/>
      <c r="CJ883"/>
      <c r="CK883"/>
      <c r="CL883"/>
      <c r="CM883" s="20"/>
      <c r="CN883" s="20"/>
      <c r="CO883" s="20"/>
      <c r="CP883" s="20"/>
      <c r="CQ883" s="20"/>
      <c r="CR883" s="20"/>
      <c r="CS883" s="20"/>
      <c r="CT883" s="20"/>
      <c r="CU883" s="20"/>
      <c r="CV883" s="20"/>
      <c r="CW883" s="20"/>
      <c r="CX883" s="20"/>
      <c r="CY883" s="20"/>
    </row>
    <row r="884" spans="1:103" s="6" customFormat="1">
      <c r="A884"/>
      <c r="B884"/>
      <c r="C884"/>
      <c r="D884"/>
      <c r="E884"/>
      <c r="F884"/>
      <c r="G884"/>
      <c r="H884"/>
      <c r="I884"/>
      <c r="J884"/>
      <c r="N884" s="7"/>
      <c r="O884"/>
      <c r="P884" s="10"/>
      <c r="Q884" s="9"/>
      <c r="R884" s="10"/>
      <c r="S884" s="10"/>
      <c r="AA884" s="11"/>
      <c r="AD884"/>
      <c r="AE884"/>
      <c r="AF884"/>
      <c r="AG884"/>
      <c r="AH884" s="46"/>
      <c r="AI884"/>
      <c r="AJ884"/>
      <c r="AK884"/>
      <c r="AL884"/>
      <c r="AM884"/>
      <c r="AN884"/>
      <c r="AO884"/>
      <c r="AP884"/>
      <c r="AQ884"/>
      <c r="AR884"/>
      <c r="AS884"/>
      <c r="AT884" s="14"/>
      <c r="AU884"/>
      <c r="AV884"/>
      <c r="AW884"/>
      <c r="AX884" s="10"/>
      <c r="AY884" s="20"/>
      <c r="AZ884" s="16"/>
      <c r="BA884"/>
      <c r="BB884"/>
      <c r="BC884" s="16"/>
      <c r="BD884"/>
      <c r="BE884"/>
      <c r="BF884"/>
      <c r="BG884"/>
      <c r="BH884"/>
      <c r="BI884"/>
      <c r="BJ884"/>
      <c r="BK884"/>
      <c r="BL884"/>
      <c r="BM884"/>
      <c r="BN884" s="19"/>
      <c r="BO884"/>
      <c r="BP884"/>
      <c r="BQ884"/>
      <c r="BR884"/>
      <c r="BS884"/>
      <c r="BT884"/>
      <c r="BU884"/>
      <c r="BV884"/>
      <c r="BW884"/>
      <c r="BX884"/>
      <c r="BY884"/>
      <c r="BZ884"/>
      <c r="CA884"/>
      <c r="CB884"/>
      <c r="CC884"/>
      <c r="CD884"/>
      <c r="CE884"/>
      <c r="CF884"/>
      <c r="CG884"/>
      <c r="CH884"/>
      <c r="CI884"/>
      <c r="CJ884"/>
      <c r="CK884"/>
      <c r="CL884"/>
      <c r="CM884" s="20"/>
      <c r="CN884" s="20"/>
      <c r="CO884" s="20"/>
      <c r="CP884" s="20"/>
      <c r="CQ884" s="20"/>
      <c r="CR884" s="20"/>
      <c r="CS884" s="20"/>
      <c r="CT884" s="20"/>
      <c r="CU884" s="20"/>
      <c r="CV884" s="20"/>
      <c r="CW884" s="20"/>
      <c r="CX884" s="20"/>
      <c r="CY884" s="20"/>
    </row>
    <row r="885" spans="1:103" s="6" customFormat="1">
      <c r="A885"/>
      <c r="B885"/>
      <c r="C885"/>
      <c r="D885"/>
      <c r="E885"/>
      <c r="F885"/>
      <c r="G885"/>
      <c r="H885"/>
      <c r="I885"/>
      <c r="J885"/>
      <c r="N885" s="7"/>
      <c r="O885"/>
      <c r="P885" s="10"/>
      <c r="Q885" s="9"/>
      <c r="R885" s="10"/>
      <c r="S885" s="10"/>
      <c r="AA885" s="11"/>
      <c r="AD885"/>
      <c r="AE885"/>
      <c r="AF885"/>
      <c r="AG885"/>
      <c r="AH885" s="46"/>
      <c r="AI885"/>
      <c r="AJ885"/>
      <c r="AK885"/>
      <c r="AL885"/>
      <c r="AM885"/>
      <c r="AN885"/>
      <c r="AO885"/>
      <c r="AP885"/>
      <c r="AQ885"/>
      <c r="AR885"/>
      <c r="AS885"/>
      <c r="AT885" s="14"/>
      <c r="AU885"/>
      <c r="AV885"/>
      <c r="AW885"/>
      <c r="AX885" s="10"/>
      <c r="AY885" s="20"/>
      <c r="AZ885" s="16"/>
      <c r="BA885"/>
      <c r="BB885"/>
      <c r="BC885" s="16"/>
      <c r="BD885"/>
      <c r="BE885"/>
      <c r="BF885"/>
      <c r="BG885"/>
      <c r="BH885"/>
      <c r="BI885"/>
      <c r="BJ885"/>
      <c r="BK885"/>
      <c r="BL885"/>
      <c r="BM885"/>
      <c r="BN885" s="19"/>
      <c r="BO885"/>
      <c r="BP885"/>
      <c r="BQ885"/>
      <c r="BR885"/>
      <c r="BS885"/>
      <c r="BT885"/>
      <c r="BU885"/>
      <c r="BV885"/>
      <c r="BW885"/>
      <c r="BX885"/>
      <c r="BY885"/>
      <c r="BZ885"/>
      <c r="CA885"/>
      <c r="CB885"/>
      <c r="CC885"/>
      <c r="CD885"/>
      <c r="CE885"/>
      <c r="CF885"/>
      <c r="CG885"/>
      <c r="CH885"/>
      <c r="CI885"/>
      <c r="CJ885"/>
      <c r="CK885"/>
      <c r="CL885"/>
      <c r="CM885" s="20"/>
      <c r="CN885" s="20"/>
      <c r="CO885" s="20"/>
      <c r="CP885" s="20"/>
      <c r="CQ885" s="20"/>
      <c r="CR885" s="20"/>
      <c r="CS885" s="20"/>
      <c r="CT885" s="20"/>
      <c r="CU885" s="20"/>
      <c r="CV885" s="20"/>
      <c r="CW885" s="20"/>
      <c r="CX885" s="20"/>
      <c r="CY885" s="20"/>
    </row>
    <row r="886" spans="1:103" s="6" customFormat="1">
      <c r="A886"/>
      <c r="B886"/>
      <c r="C886"/>
      <c r="D886"/>
      <c r="E886"/>
      <c r="F886"/>
      <c r="G886"/>
      <c r="H886"/>
      <c r="I886"/>
      <c r="J886"/>
      <c r="N886" s="7"/>
      <c r="O886"/>
      <c r="P886" s="10"/>
      <c r="Q886" s="9"/>
      <c r="R886" s="10"/>
      <c r="S886" s="10"/>
      <c r="AA886" s="11"/>
      <c r="AD886"/>
      <c r="AE886"/>
      <c r="AF886"/>
      <c r="AG886"/>
      <c r="AH886" s="46"/>
      <c r="AI886"/>
      <c r="AJ886"/>
      <c r="AK886"/>
      <c r="AL886"/>
      <c r="AM886"/>
      <c r="AN886"/>
      <c r="AO886"/>
      <c r="AP886"/>
      <c r="AQ886"/>
      <c r="AR886"/>
      <c r="AS886"/>
      <c r="AT886" s="14"/>
      <c r="AU886"/>
      <c r="AV886"/>
      <c r="AW886"/>
      <c r="AX886" s="10"/>
      <c r="AY886" s="20"/>
      <c r="AZ886" s="16"/>
      <c r="BA886"/>
      <c r="BB886"/>
      <c r="BC886" s="16"/>
      <c r="BD886"/>
      <c r="BE886"/>
      <c r="BF886"/>
      <c r="BG886"/>
      <c r="BH886"/>
      <c r="BI886"/>
      <c r="BJ886"/>
      <c r="BK886"/>
      <c r="BL886"/>
      <c r="BM886"/>
      <c r="BN886" s="19"/>
      <c r="BO886"/>
      <c r="BP886"/>
      <c r="BQ886"/>
      <c r="BR886"/>
      <c r="BS886"/>
      <c r="BT886"/>
      <c r="BU886"/>
      <c r="BV886"/>
      <c r="BW886"/>
      <c r="BX886"/>
      <c r="BY886"/>
      <c r="BZ886"/>
      <c r="CA886"/>
      <c r="CB886"/>
      <c r="CC886"/>
      <c r="CD886"/>
      <c r="CE886"/>
      <c r="CF886"/>
      <c r="CG886"/>
      <c r="CH886"/>
      <c r="CI886"/>
      <c r="CJ886"/>
      <c r="CK886"/>
      <c r="CL886"/>
      <c r="CM886" s="20"/>
      <c r="CN886" s="20"/>
      <c r="CO886" s="20"/>
      <c r="CP886" s="20"/>
      <c r="CQ886" s="20"/>
      <c r="CR886" s="20"/>
      <c r="CS886" s="20"/>
      <c r="CT886" s="20"/>
      <c r="CU886" s="20"/>
      <c r="CV886" s="20"/>
      <c r="CW886" s="20"/>
      <c r="CX886" s="20"/>
      <c r="CY886" s="20"/>
    </row>
    <row r="887" spans="1:103" s="6" customFormat="1">
      <c r="A887"/>
      <c r="B887"/>
      <c r="C887"/>
      <c r="D887"/>
      <c r="E887"/>
      <c r="F887"/>
      <c r="G887"/>
      <c r="H887"/>
      <c r="I887"/>
      <c r="J887"/>
      <c r="N887" s="7"/>
      <c r="O887"/>
      <c r="P887" s="10"/>
      <c r="Q887" s="9"/>
      <c r="R887" s="10"/>
      <c r="S887" s="10"/>
      <c r="AA887" s="11"/>
      <c r="AD887"/>
      <c r="AE887"/>
      <c r="AF887"/>
      <c r="AG887"/>
      <c r="AH887" s="46"/>
      <c r="AI887"/>
      <c r="AJ887"/>
      <c r="AK887"/>
      <c r="AL887"/>
      <c r="AM887"/>
      <c r="AN887"/>
      <c r="AO887"/>
      <c r="AP887"/>
      <c r="AQ887"/>
      <c r="AR887"/>
      <c r="AS887"/>
      <c r="AT887" s="14"/>
      <c r="AU887"/>
      <c r="AV887"/>
      <c r="AW887"/>
      <c r="AX887" s="10"/>
      <c r="AY887" s="20"/>
      <c r="AZ887" s="16"/>
      <c r="BA887"/>
      <c r="BB887"/>
      <c r="BC887" s="16"/>
      <c r="BD887"/>
      <c r="BE887"/>
      <c r="BF887"/>
      <c r="BG887"/>
      <c r="BH887"/>
      <c r="BI887"/>
      <c r="BJ887"/>
      <c r="BK887"/>
      <c r="BL887"/>
      <c r="BM887"/>
      <c r="BN887" s="19"/>
      <c r="BO887"/>
      <c r="BP887"/>
      <c r="BQ887"/>
      <c r="BR887"/>
      <c r="BS887"/>
      <c r="BT887"/>
      <c r="BU887"/>
      <c r="BV887"/>
      <c r="BW887"/>
      <c r="BX887"/>
      <c r="BY887"/>
      <c r="BZ887"/>
      <c r="CA887"/>
      <c r="CB887"/>
      <c r="CC887"/>
      <c r="CD887"/>
      <c r="CE887"/>
      <c r="CF887"/>
      <c r="CG887"/>
      <c r="CH887"/>
      <c r="CI887"/>
      <c r="CJ887"/>
      <c r="CK887"/>
      <c r="CL887"/>
      <c r="CM887" s="20"/>
      <c r="CN887" s="20"/>
      <c r="CO887" s="20"/>
      <c r="CP887" s="20"/>
      <c r="CQ887" s="20"/>
      <c r="CR887" s="20"/>
      <c r="CS887" s="20"/>
      <c r="CT887" s="20"/>
      <c r="CU887" s="20"/>
      <c r="CV887" s="20"/>
      <c r="CW887" s="20"/>
      <c r="CX887" s="20"/>
      <c r="CY887" s="20"/>
    </row>
    <row r="888" spans="1:103" s="6" customFormat="1">
      <c r="A888"/>
      <c r="B888"/>
      <c r="C888"/>
      <c r="D888"/>
      <c r="E888"/>
      <c r="F888"/>
      <c r="G888"/>
      <c r="H888"/>
      <c r="I888"/>
      <c r="J888"/>
      <c r="N888" s="7"/>
      <c r="O888"/>
      <c r="P888" s="10"/>
      <c r="Q888" s="9"/>
      <c r="R888" s="10"/>
      <c r="S888" s="10"/>
      <c r="AA888" s="11"/>
      <c r="AD888"/>
      <c r="AE888"/>
      <c r="AF888"/>
      <c r="AG888"/>
      <c r="AH888" s="46"/>
      <c r="AI888"/>
      <c r="AJ888"/>
      <c r="AK888"/>
      <c r="AL888"/>
      <c r="AM888"/>
      <c r="AN888"/>
      <c r="AO888"/>
      <c r="AP888"/>
      <c r="AQ888"/>
      <c r="AR888"/>
      <c r="AS888"/>
      <c r="AT888" s="14"/>
      <c r="AU888"/>
      <c r="AV888"/>
      <c r="AW888"/>
      <c r="AX888" s="10"/>
      <c r="AY888" s="20"/>
      <c r="AZ888" s="16"/>
      <c r="BA888"/>
      <c r="BB888"/>
      <c r="BC888" s="16"/>
      <c r="BD888"/>
      <c r="BE888"/>
      <c r="BF888"/>
      <c r="BG888"/>
      <c r="BH888"/>
      <c r="BI888"/>
      <c r="BJ888"/>
      <c r="BK888"/>
      <c r="BL888"/>
      <c r="BM888"/>
      <c r="BN888" s="19"/>
      <c r="BO888"/>
      <c r="BP888"/>
      <c r="BQ888"/>
      <c r="BR888"/>
      <c r="BS888"/>
      <c r="BT888"/>
      <c r="BU888"/>
      <c r="BV888"/>
      <c r="BW888"/>
      <c r="BX888"/>
      <c r="BY888"/>
      <c r="BZ888"/>
      <c r="CA888"/>
      <c r="CB888"/>
      <c r="CC888"/>
      <c r="CD888"/>
      <c r="CE888"/>
      <c r="CF888"/>
      <c r="CG888"/>
      <c r="CH888"/>
      <c r="CI888"/>
      <c r="CJ888"/>
      <c r="CK888"/>
      <c r="CL888"/>
      <c r="CM888" s="20"/>
      <c r="CN888" s="20"/>
      <c r="CO888" s="20"/>
      <c r="CP888" s="20"/>
      <c r="CQ888" s="20"/>
      <c r="CR888" s="20"/>
      <c r="CS888" s="20"/>
      <c r="CT888" s="20"/>
      <c r="CU888" s="20"/>
      <c r="CV888" s="20"/>
      <c r="CW888" s="20"/>
      <c r="CX888" s="20"/>
      <c r="CY888" s="20"/>
    </row>
    <row r="889" spans="1:103" s="6" customFormat="1">
      <c r="A889"/>
      <c r="B889"/>
      <c r="C889"/>
      <c r="D889"/>
      <c r="E889"/>
      <c r="F889"/>
      <c r="G889"/>
      <c r="H889"/>
      <c r="I889"/>
      <c r="J889"/>
      <c r="N889" s="7"/>
      <c r="O889"/>
      <c r="P889" s="10"/>
      <c r="Q889" s="9"/>
      <c r="R889" s="10"/>
      <c r="S889" s="10"/>
      <c r="AA889" s="11"/>
      <c r="AD889"/>
      <c r="AE889"/>
      <c r="AF889"/>
      <c r="AG889"/>
      <c r="AH889" s="46"/>
      <c r="AI889"/>
      <c r="AJ889"/>
      <c r="AK889"/>
      <c r="AL889"/>
      <c r="AM889"/>
      <c r="AN889"/>
      <c r="AO889"/>
      <c r="AP889"/>
      <c r="AQ889"/>
      <c r="AR889"/>
      <c r="AS889"/>
      <c r="AT889" s="14"/>
      <c r="AU889"/>
      <c r="AV889"/>
      <c r="AW889"/>
      <c r="AX889" s="10"/>
      <c r="AY889" s="20"/>
      <c r="AZ889" s="16"/>
      <c r="BA889"/>
      <c r="BB889"/>
      <c r="BC889" s="16"/>
      <c r="BD889"/>
      <c r="BE889"/>
      <c r="BF889"/>
      <c r="BG889"/>
      <c r="BH889"/>
      <c r="BI889"/>
      <c r="BJ889"/>
      <c r="BK889"/>
      <c r="BL889"/>
      <c r="BM889"/>
      <c r="BN889" s="19"/>
      <c r="BO889"/>
      <c r="BP889"/>
      <c r="BQ889"/>
      <c r="BR889"/>
      <c r="BS889"/>
      <c r="BT889"/>
      <c r="BU889"/>
      <c r="BV889"/>
      <c r="BW889"/>
      <c r="BX889"/>
      <c r="BY889"/>
      <c r="BZ889"/>
      <c r="CA889"/>
      <c r="CB889"/>
      <c r="CC889"/>
      <c r="CD889"/>
      <c r="CE889"/>
      <c r="CF889"/>
      <c r="CG889"/>
      <c r="CH889"/>
      <c r="CI889"/>
      <c r="CJ889"/>
      <c r="CK889"/>
      <c r="CL889"/>
      <c r="CM889" s="20"/>
      <c r="CN889" s="20"/>
      <c r="CO889" s="20"/>
      <c r="CP889" s="20"/>
      <c r="CQ889" s="20"/>
      <c r="CR889" s="20"/>
      <c r="CS889" s="20"/>
      <c r="CT889" s="20"/>
      <c r="CU889" s="20"/>
      <c r="CV889" s="20"/>
      <c r="CW889" s="20"/>
      <c r="CX889" s="20"/>
      <c r="CY889" s="20"/>
    </row>
    <row r="890" spans="1:103" s="6" customFormat="1">
      <c r="A890"/>
      <c r="B890"/>
      <c r="C890"/>
      <c r="D890"/>
      <c r="E890"/>
      <c r="F890"/>
      <c r="G890"/>
      <c r="H890"/>
      <c r="I890"/>
      <c r="J890"/>
      <c r="N890" s="7"/>
      <c r="O890"/>
      <c r="P890" s="10"/>
      <c r="Q890" s="9"/>
      <c r="R890" s="10"/>
      <c r="S890" s="10"/>
      <c r="AA890" s="11"/>
      <c r="AD890"/>
      <c r="AE890"/>
      <c r="AF890"/>
      <c r="AG890"/>
      <c r="AH890" s="46"/>
      <c r="AI890"/>
      <c r="AJ890"/>
      <c r="AK890"/>
      <c r="AL890"/>
      <c r="AM890"/>
      <c r="AN890"/>
      <c r="AO890"/>
      <c r="AP890"/>
      <c r="AQ890"/>
      <c r="AR890"/>
      <c r="AS890"/>
      <c r="AT890" s="14"/>
      <c r="AU890"/>
      <c r="AV890"/>
      <c r="AW890"/>
      <c r="AX890" s="10"/>
      <c r="AY890" s="20"/>
      <c r="AZ890" s="16"/>
      <c r="BA890"/>
      <c r="BB890"/>
      <c r="BC890" s="16"/>
      <c r="BD890"/>
      <c r="BE890"/>
      <c r="BF890"/>
      <c r="BG890"/>
      <c r="BH890"/>
      <c r="BI890"/>
      <c r="BJ890"/>
      <c r="BK890"/>
      <c r="BL890"/>
      <c r="BM890"/>
      <c r="BN890" s="19"/>
      <c r="BO890"/>
      <c r="BP890"/>
      <c r="BQ890"/>
      <c r="BR890"/>
      <c r="BS890"/>
      <c r="BT890"/>
      <c r="BU890"/>
      <c r="BV890"/>
      <c r="BW890"/>
      <c r="BX890"/>
      <c r="BY890"/>
      <c r="BZ890"/>
      <c r="CA890"/>
      <c r="CB890"/>
      <c r="CC890"/>
      <c r="CD890"/>
      <c r="CE890"/>
      <c r="CF890"/>
      <c r="CG890"/>
      <c r="CH890"/>
      <c r="CI890"/>
      <c r="CJ890"/>
      <c r="CK890"/>
      <c r="CL890"/>
      <c r="CM890" s="20"/>
      <c r="CN890" s="20"/>
      <c r="CO890" s="20"/>
      <c r="CP890" s="20"/>
      <c r="CQ890" s="20"/>
      <c r="CR890" s="20"/>
      <c r="CS890" s="20"/>
      <c r="CT890" s="20"/>
      <c r="CU890" s="20"/>
      <c r="CV890" s="20"/>
      <c r="CW890" s="20"/>
      <c r="CX890" s="20"/>
      <c r="CY890" s="20"/>
    </row>
    <row r="891" spans="1:103" s="6" customFormat="1">
      <c r="A891"/>
      <c r="B891"/>
      <c r="C891"/>
      <c r="D891"/>
      <c r="E891"/>
      <c r="F891"/>
      <c r="G891"/>
      <c r="H891"/>
      <c r="I891"/>
      <c r="J891"/>
      <c r="N891" s="7"/>
      <c r="O891"/>
      <c r="P891" s="10"/>
      <c r="Q891" s="9"/>
      <c r="R891" s="10"/>
      <c r="S891" s="10"/>
      <c r="AA891" s="11"/>
      <c r="AD891"/>
      <c r="AE891"/>
      <c r="AF891"/>
      <c r="AG891"/>
      <c r="AH891" s="46"/>
      <c r="AI891"/>
      <c r="AJ891"/>
      <c r="AK891"/>
      <c r="AL891"/>
      <c r="AM891"/>
      <c r="AN891"/>
      <c r="AO891"/>
      <c r="AP891"/>
      <c r="AQ891"/>
      <c r="AR891"/>
      <c r="AS891"/>
      <c r="AT891" s="14"/>
      <c r="AU891"/>
      <c r="AV891"/>
      <c r="AW891"/>
      <c r="AX891" s="10"/>
      <c r="AY891" s="20"/>
      <c r="AZ891" s="16"/>
      <c r="BA891"/>
      <c r="BB891"/>
      <c r="BC891" s="16"/>
      <c r="BD891"/>
      <c r="BE891"/>
      <c r="BF891"/>
      <c r="BG891"/>
      <c r="BH891"/>
      <c r="BI891"/>
      <c r="BJ891"/>
      <c r="BK891"/>
      <c r="BL891"/>
      <c r="BM891"/>
      <c r="BN891" s="19"/>
      <c r="BO891"/>
      <c r="BP891"/>
      <c r="BQ891"/>
      <c r="BR891"/>
      <c r="BS891"/>
      <c r="BT891"/>
      <c r="BU891"/>
      <c r="BV891"/>
      <c r="BW891"/>
      <c r="BX891"/>
      <c r="BY891"/>
      <c r="BZ891"/>
      <c r="CA891"/>
      <c r="CB891"/>
      <c r="CC891"/>
      <c r="CD891"/>
      <c r="CE891"/>
      <c r="CF891"/>
      <c r="CG891"/>
      <c r="CH891"/>
      <c r="CI891"/>
      <c r="CJ891"/>
      <c r="CK891"/>
      <c r="CL891"/>
      <c r="CM891" s="20"/>
      <c r="CN891" s="20"/>
      <c r="CO891" s="20"/>
      <c r="CP891" s="20"/>
      <c r="CQ891" s="20"/>
      <c r="CR891" s="20"/>
      <c r="CS891" s="20"/>
      <c r="CT891" s="20"/>
      <c r="CU891" s="20"/>
      <c r="CV891" s="20"/>
      <c r="CW891" s="20"/>
      <c r="CX891" s="20"/>
      <c r="CY891" s="20"/>
    </row>
    <row r="892" spans="1:103" s="6" customFormat="1">
      <c r="A892"/>
      <c r="B892"/>
      <c r="C892"/>
      <c r="D892"/>
      <c r="E892"/>
      <c r="F892"/>
      <c r="G892"/>
      <c r="H892"/>
      <c r="I892"/>
      <c r="J892"/>
      <c r="N892" s="7"/>
      <c r="O892"/>
      <c r="P892" s="10"/>
      <c r="Q892" s="9"/>
      <c r="R892" s="10"/>
      <c r="S892" s="10"/>
      <c r="AA892" s="11"/>
      <c r="AD892"/>
      <c r="AE892"/>
      <c r="AF892"/>
      <c r="AG892"/>
      <c r="AH892" s="46"/>
      <c r="AI892"/>
      <c r="AJ892"/>
      <c r="AK892"/>
      <c r="AL892"/>
      <c r="AM892"/>
      <c r="AN892"/>
      <c r="AO892"/>
      <c r="AP892"/>
      <c r="AQ892"/>
      <c r="AR892"/>
      <c r="AS892"/>
      <c r="AT892" s="14"/>
      <c r="AU892"/>
      <c r="AV892"/>
      <c r="AW892"/>
      <c r="AX892" s="10"/>
      <c r="AY892" s="20"/>
      <c r="AZ892" s="16"/>
      <c r="BA892"/>
      <c r="BB892"/>
      <c r="BC892" s="16"/>
      <c r="BD892"/>
      <c r="BE892"/>
      <c r="BF892"/>
      <c r="BG892"/>
      <c r="BH892"/>
      <c r="BI892"/>
      <c r="BJ892"/>
      <c r="BK892"/>
      <c r="BL892"/>
      <c r="BM892"/>
      <c r="BN892" s="19"/>
      <c r="BO892"/>
      <c r="BP892"/>
      <c r="BQ892"/>
      <c r="BR892"/>
      <c r="BS892"/>
      <c r="BT892"/>
      <c r="BU892"/>
      <c r="BV892"/>
      <c r="BW892"/>
      <c r="BX892"/>
      <c r="BY892"/>
      <c r="BZ892"/>
      <c r="CA892"/>
      <c r="CB892"/>
      <c r="CC892"/>
      <c r="CD892"/>
      <c r="CE892"/>
      <c r="CF892"/>
      <c r="CG892"/>
      <c r="CH892"/>
      <c r="CI892"/>
      <c r="CJ892"/>
      <c r="CK892"/>
      <c r="CL892"/>
      <c r="CM892" s="20"/>
      <c r="CN892" s="20"/>
      <c r="CO892" s="20"/>
      <c r="CP892" s="20"/>
      <c r="CQ892" s="20"/>
      <c r="CR892" s="20"/>
      <c r="CS892" s="20"/>
      <c r="CT892" s="20"/>
      <c r="CU892" s="20"/>
      <c r="CV892" s="20"/>
      <c r="CW892" s="20"/>
      <c r="CX892" s="20"/>
      <c r="CY892" s="20"/>
    </row>
    <row r="893" spans="1:103" s="6" customFormat="1">
      <c r="A893"/>
      <c r="B893"/>
      <c r="C893"/>
      <c r="D893"/>
      <c r="E893"/>
      <c r="F893"/>
      <c r="G893"/>
      <c r="H893"/>
      <c r="I893"/>
      <c r="J893"/>
      <c r="N893" s="7"/>
      <c r="O893"/>
      <c r="P893" s="10"/>
      <c r="Q893" s="9"/>
      <c r="R893" s="10"/>
      <c r="S893" s="10"/>
      <c r="AA893" s="11"/>
      <c r="AD893"/>
      <c r="AE893"/>
      <c r="AF893"/>
      <c r="AG893"/>
      <c r="AH893" s="46"/>
      <c r="AI893"/>
      <c r="AJ893"/>
      <c r="AK893"/>
      <c r="AL893"/>
      <c r="AM893"/>
      <c r="AN893"/>
      <c r="AO893"/>
      <c r="AP893"/>
      <c r="AQ893"/>
      <c r="AR893"/>
      <c r="AS893"/>
      <c r="AT893" s="14"/>
      <c r="AU893"/>
      <c r="AV893"/>
      <c r="AW893"/>
      <c r="AX893" s="10"/>
      <c r="AY893" s="20"/>
      <c r="AZ893" s="16"/>
      <c r="BA893"/>
      <c r="BB893"/>
      <c r="BC893" s="16"/>
      <c r="BD893"/>
      <c r="BE893"/>
      <c r="BF893"/>
      <c r="BG893"/>
      <c r="BH893"/>
      <c r="BI893"/>
      <c r="BJ893"/>
      <c r="BK893"/>
      <c r="BL893"/>
      <c r="BM893"/>
      <c r="BN893" s="19"/>
      <c r="BO893"/>
      <c r="BP893"/>
      <c r="BQ893"/>
      <c r="BR893"/>
      <c r="BS893"/>
      <c r="BT893"/>
      <c r="BU893"/>
      <c r="BV893"/>
      <c r="BW893"/>
      <c r="BX893"/>
      <c r="BY893"/>
      <c r="BZ893"/>
      <c r="CA893"/>
      <c r="CB893"/>
      <c r="CC893"/>
      <c r="CD893"/>
      <c r="CE893"/>
      <c r="CF893"/>
      <c r="CG893"/>
      <c r="CH893"/>
      <c r="CI893"/>
      <c r="CJ893"/>
      <c r="CK893"/>
      <c r="CL893"/>
      <c r="CM893" s="20"/>
      <c r="CN893" s="20"/>
      <c r="CO893" s="20"/>
      <c r="CP893" s="20"/>
      <c r="CQ893" s="20"/>
      <c r="CR893" s="20"/>
      <c r="CS893" s="20"/>
      <c r="CT893" s="20"/>
      <c r="CU893" s="20"/>
      <c r="CV893" s="20"/>
      <c r="CW893" s="20"/>
      <c r="CX893" s="20"/>
      <c r="CY893" s="20"/>
    </row>
    <row r="894" spans="1:103" s="6" customFormat="1">
      <c r="A894"/>
      <c r="B894"/>
      <c r="C894"/>
      <c r="D894"/>
      <c r="E894"/>
      <c r="F894"/>
      <c r="G894"/>
      <c r="H894"/>
      <c r="I894"/>
      <c r="J894"/>
      <c r="N894" s="7"/>
      <c r="O894"/>
      <c r="P894" s="10"/>
      <c r="Q894" s="9"/>
      <c r="R894" s="10"/>
      <c r="S894" s="10"/>
      <c r="AA894" s="11"/>
      <c r="AD894"/>
      <c r="AE894"/>
      <c r="AF894"/>
      <c r="AG894"/>
      <c r="AH894" s="46"/>
      <c r="AI894"/>
      <c r="AJ894"/>
      <c r="AK894"/>
      <c r="AL894"/>
      <c r="AM894"/>
      <c r="AN894"/>
      <c r="AO894"/>
      <c r="AP894"/>
      <c r="AQ894"/>
      <c r="AR894"/>
      <c r="AS894"/>
      <c r="AT894" s="14"/>
      <c r="AU894"/>
      <c r="AV894"/>
      <c r="AW894"/>
      <c r="AX894" s="10"/>
      <c r="AY894" s="20"/>
      <c r="AZ894" s="16"/>
      <c r="BA894"/>
      <c r="BB894"/>
      <c r="BC894" s="16"/>
      <c r="BD894"/>
      <c r="BE894"/>
      <c r="BF894"/>
      <c r="BG894"/>
      <c r="BH894"/>
      <c r="BI894"/>
      <c r="BJ894"/>
      <c r="BK894"/>
      <c r="BL894"/>
      <c r="BM894"/>
      <c r="BN894" s="19"/>
      <c r="BO894"/>
      <c r="BP894"/>
      <c r="BQ894"/>
      <c r="BR894"/>
      <c r="BS894"/>
      <c r="BT894"/>
      <c r="BU894"/>
      <c r="BV894"/>
      <c r="BW894"/>
      <c r="BX894"/>
      <c r="BY894"/>
      <c r="BZ894"/>
      <c r="CA894"/>
      <c r="CB894"/>
      <c r="CC894"/>
      <c r="CD894"/>
      <c r="CE894"/>
      <c r="CF894"/>
      <c r="CG894"/>
      <c r="CH894"/>
      <c r="CI894"/>
      <c r="CJ894"/>
      <c r="CK894"/>
      <c r="CL894"/>
      <c r="CM894" s="20"/>
      <c r="CN894" s="20"/>
      <c r="CO894" s="20"/>
      <c r="CP894" s="20"/>
      <c r="CQ894" s="20"/>
      <c r="CR894" s="20"/>
      <c r="CS894" s="20"/>
      <c r="CT894" s="20"/>
      <c r="CU894" s="20"/>
      <c r="CV894" s="20"/>
      <c r="CW894" s="20"/>
      <c r="CX894" s="20"/>
      <c r="CY894" s="20"/>
    </row>
    <row r="895" spans="1:103" s="6" customFormat="1">
      <c r="A895"/>
      <c r="B895"/>
      <c r="C895"/>
      <c r="D895"/>
      <c r="E895"/>
      <c r="F895"/>
      <c r="G895"/>
      <c r="H895"/>
      <c r="I895"/>
      <c r="J895"/>
      <c r="N895" s="7"/>
      <c r="O895"/>
      <c r="P895" s="10"/>
      <c r="Q895" s="9"/>
      <c r="R895" s="10"/>
      <c r="S895" s="10"/>
      <c r="AA895" s="11"/>
      <c r="AD895"/>
      <c r="AE895"/>
      <c r="AF895"/>
      <c r="AG895"/>
      <c r="AH895" s="46"/>
      <c r="AI895"/>
      <c r="AJ895"/>
      <c r="AK895"/>
      <c r="AL895"/>
      <c r="AM895"/>
      <c r="AN895"/>
      <c r="AO895"/>
      <c r="AP895"/>
      <c r="AQ895"/>
      <c r="AR895"/>
      <c r="AS895"/>
      <c r="AT895" s="14"/>
      <c r="AU895"/>
      <c r="AV895"/>
      <c r="AW895"/>
      <c r="AX895" s="10"/>
      <c r="AY895" s="20"/>
      <c r="AZ895" s="16"/>
      <c r="BA895"/>
      <c r="BB895"/>
      <c r="BC895" s="16"/>
      <c r="BD895"/>
      <c r="BE895"/>
      <c r="BF895"/>
      <c r="BG895"/>
      <c r="BH895"/>
      <c r="BI895"/>
      <c r="BJ895"/>
      <c r="BK895"/>
      <c r="BL895"/>
      <c r="BM895"/>
      <c r="BN895" s="19"/>
      <c r="BO895"/>
      <c r="BP895"/>
      <c r="BQ895"/>
      <c r="BR895"/>
      <c r="BS895"/>
      <c r="BT895"/>
      <c r="BU895"/>
      <c r="BV895"/>
      <c r="BW895"/>
      <c r="BX895"/>
      <c r="BY895"/>
      <c r="BZ895"/>
      <c r="CA895"/>
      <c r="CB895"/>
      <c r="CC895"/>
      <c r="CD895"/>
      <c r="CE895"/>
      <c r="CF895"/>
      <c r="CG895"/>
      <c r="CH895"/>
      <c r="CI895"/>
      <c r="CJ895"/>
      <c r="CK895"/>
      <c r="CL895"/>
      <c r="CM895" s="20"/>
      <c r="CN895" s="20"/>
      <c r="CO895" s="20"/>
      <c r="CP895" s="20"/>
      <c r="CQ895" s="20"/>
      <c r="CR895" s="20"/>
      <c r="CS895" s="20"/>
      <c r="CT895" s="20"/>
      <c r="CU895" s="20"/>
      <c r="CV895" s="20"/>
      <c r="CW895" s="20"/>
      <c r="CX895" s="20"/>
      <c r="CY895" s="20"/>
    </row>
    <row r="896" spans="1:103" s="6" customFormat="1">
      <c r="A896"/>
      <c r="B896"/>
      <c r="C896"/>
      <c r="D896"/>
      <c r="E896"/>
      <c r="F896"/>
      <c r="G896"/>
      <c r="H896"/>
      <c r="I896"/>
      <c r="J896"/>
      <c r="N896" s="7"/>
      <c r="O896"/>
      <c r="P896" s="10"/>
      <c r="Q896" s="9"/>
      <c r="R896" s="10"/>
      <c r="S896" s="10"/>
      <c r="AA896" s="11"/>
      <c r="AD896"/>
      <c r="AE896"/>
      <c r="AF896"/>
      <c r="AG896"/>
      <c r="AH896" s="46"/>
      <c r="AI896"/>
      <c r="AJ896"/>
      <c r="AK896"/>
      <c r="AL896"/>
      <c r="AM896"/>
      <c r="AN896"/>
      <c r="AO896"/>
      <c r="AP896"/>
      <c r="AQ896"/>
      <c r="AR896"/>
      <c r="AS896"/>
      <c r="AT896" s="14"/>
      <c r="AU896"/>
      <c r="AV896"/>
      <c r="AW896"/>
      <c r="AX896" s="10"/>
      <c r="AY896" s="20"/>
      <c r="AZ896" s="16"/>
      <c r="BA896"/>
      <c r="BB896"/>
      <c r="BC896" s="16"/>
      <c r="BD896"/>
      <c r="BE896"/>
      <c r="BF896"/>
      <c r="BG896"/>
      <c r="BH896"/>
      <c r="BI896"/>
      <c r="BJ896"/>
      <c r="BK896"/>
      <c r="BL896"/>
      <c r="BM896"/>
      <c r="BN896" s="19"/>
      <c r="BO896"/>
      <c r="BP896"/>
      <c r="BQ896"/>
      <c r="BR896"/>
      <c r="BS896"/>
      <c r="BT896"/>
      <c r="BU896"/>
      <c r="BV896"/>
      <c r="BW896"/>
      <c r="BX896"/>
      <c r="BY896"/>
      <c r="BZ896"/>
      <c r="CA896"/>
      <c r="CB896"/>
      <c r="CC896"/>
      <c r="CD896"/>
      <c r="CE896"/>
      <c r="CF896"/>
      <c r="CG896"/>
      <c r="CH896"/>
      <c r="CI896"/>
      <c r="CJ896"/>
      <c r="CK896"/>
      <c r="CL896"/>
      <c r="CM896" s="20"/>
      <c r="CN896" s="20"/>
      <c r="CO896" s="20"/>
      <c r="CP896" s="20"/>
      <c r="CQ896" s="20"/>
      <c r="CR896" s="20"/>
      <c r="CS896" s="20"/>
      <c r="CT896" s="20"/>
      <c r="CU896" s="20"/>
      <c r="CV896" s="20"/>
      <c r="CW896" s="20"/>
      <c r="CX896" s="20"/>
      <c r="CY896" s="20"/>
    </row>
    <row r="897" spans="1:103" s="6" customFormat="1">
      <c r="A897"/>
      <c r="B897"/>
      <c r="C897"/>
      <c r="D897"/>
      <c r="E897"/>
      <c r="F897"/>
      <c r="G897"/>
      <c r="H897"/>
      <c r="I897"/>
      <c r="J897"/>
      <c r="N897" s="7"/>
      <c r="O897"/>
      <c r="P897" s="10"/>
      <c r="Q897" s="9"/>
      <c r="R897" s="10"/>
      <c r="S897" s="10"/>
      <c r="AA897" s="11"/>
      <c r="AD897"/>
      <c r="AE897"/>
      <c r="AF897"/>
      <c r="AG897"/>
      <c r="AH897" s="46"/>
      <c r="AI897"/>
      <c r="AJ897"/>
      <c r="AK897"/>
      <c r="AL897"/>
      <c r="AM897"/>
      <c r="AN897"/>
      <c r="AO897"/>
      <c r="AP897"/>
      <c r="AQ897"/>
      <c r="AR897"/>
      <c r="AS897"/>
      <c r="AT897" s="14"/>
      <c r="AU897"/>
      <c r="AV897"/>
      <c r="AW897"/>
      <c r="AX897" s="10"/>
      <c r="AY897" s="20"/>
      <c r="AZ897" s="16"/>
      <c r="BA897"/>
      <c r="BB897"/>
      <c r="BC897" s="16"/>
      <c r="BD897"/>
      <c r="BE897"/>
      <c r="BF897"/>
      <c r="BG897"/>
      <c r="BH897"/>
      <c r="BI897"/>
      <c r="BJ897"/>
      <c r="BK897"/>
      <c r="BL897"/>
      <c r="BM897"/>
      <c r="BN897" s="19"/>
      <c r="BO897"/>
      <c r="BP897"/>
      <c r="BQ897"/>
      <c r="BR897"/>
      <c r="BS897"/>
      <c r="BT897"/>
      <c r="BU897"/>
      <c r="BV897"/>
      <c r="BW897"/>
      <c r="BX897"/>
      <c r="BY897"/>
      <c r="BZ897"/>
      <c r="CA897"/>
      <c r="CB897"/>
      <c r="CC897"/>
      <c r="CD897"/>
      <c r="CE897"/>
      <c r="CF897"/>
      <c r="CG897"/>
      <c r="CH897"/>
      <c r="CI897"/>
      <c r="CJ897"/>
      <c r="CK897"/>
      <c r="CL897"/>
      <c r="CM897" s="20"/>
      <c r="CN897" s="20"/>
      <c r="CO897" s="20"/>
      <c r="CP897" s="20"/>
      <c r="CQ897" s="20"/>
      <c r="CR897" s="20"/>
      <c r="CS897" s="20"/>
      <c r="CT897" s="20"/>
      <c r="CU897" s="20"/>
      <c r="CV897" s="20"/>
      <c r="CW897" s="20"/>
      <c r="CX897" s="20"/>
      <c r="CY897" s="20"/>
    </row>
    <row r="898" spans="1:103" s="6" customFormat="1">
      <c r="A898"/>
      <c r="B898"/>
      <c r="C898"/>
      <c r="D898"/>
      <c r="E898"/>
      <c r="F898"/>
      <c r="G898"/>
      <c r="H898"/>
      <c r="I898"/>
      <c r="J898"/>
      <c r="N898" s="7"/>
      <c r="O898"/>
      <c r="P898" s="10"/>
      <c r="Q898" s="9"/>
      <c r="R898" s="10"/>
      <c r="S898" s="10"/>
      <c r="AA898" s="11"/>
      <c r="AD898"/>
      <c r="AE898"/>
      <c r="AF898"/>
      <c r="AG898"/>
      <c r="AH898" s="46"/>
      <c r="AI898"/>
      <c r="AJ898"/>
      <c r="AK898"/>
      <c r="AL898"/>
      <c r="AM898"/>
      <c r="AN898"/>
      <c r="AO898"/>
      <c r="AP898"/>
      <c r="AQ898"/>
      <c r="AR898"/>
      <c r="AS898"/>
      <c r="AT898" s="14"/>
      <c r="AU898"/>
      <c r="AV898"/>
      <c r="AW898"/>
      <c r="AX898" s="10"/>
      <c r="AY898" s="20"/>
      <c r="AZ898" s="16"/>
      <c r="BA898"/>
      <c r="BB898"/>
      <c r="BC898" s="16"/>
      <c r="BD898"/>
      <c r="BE898"/>
      <c r="BF898"/>
      <c r="BG898"/>
      <c r="BH898"/>
      <c r="BI898"/>
      <c r="BJ898"/>
      <c r="BK898"/>
      <c r="BL898"/>
      <c r="BM898"/>
      <c r="BN898" s="19"/>
      <c r="BO898"/>
      <c r="BP898"/>
      <c r="BQ898"/>
      <c r="BR898"/>
      <c r="BS898"/>
      <c r="BT898"/>
      <c r="BU898"/>
      <c r="BV898"/>
      <c r="BW898"/>
      <c r="BX898"/>
      <c r="BY898"/>
      <c r="BZ898"/>
      <c r="CA898"/>
      <c r="CB898"/>
      <c r="CC898"/>
      <c r="CD898"/>
      <c r="CE898"/>
      <c r="CF898"/>
      <c r="CG898"/>
      <c r="CH898"/>
      <c r="CI898"/>
      <c r="CJ898"/>
      <c r="CK898"/>
      <c r="CL898"/>
      <c r="CM898" s="20"/>
      <c r="CN898" s="20"/>
      <c r="CO898" s="20"/>
      <c r="CP898" s="20"/>
      <c r="CQ898" s="20"/>
      <c r="CR898" s="20"/>
      <c r="CS898" s="20"/>
      <c r="CT898" s="20"/>
      <c r="CU898" s="20"/>
      <c r="CV898" s="20"/>
      <c r="CW898" s="20"/>
      <c r="CX898" s="20"/>
      <c r="CY898" s="20"/>
    </row>
    <row r="899" spans="1:103" s="6" customFormat="1">
      <c r="A899"/>
      <c r="B899"/>
      <c r="C899"/>
      <c r="D899"/>
      <c r="E899"/>
      <c r="F899"/>
      <c r="G899"/>
      <c r="H899"/>
      <c r="I899"/>
      <c r="J899"/>
      <c r="N899" s="7"/>
      <c r="O899"/>
      <c r="P899" s="10"/>
      <c r="Q899" s="9"/>
      <c r="R899" s="10"/>
      <c r="S899" s="10"/>
      <c r="AA899" s="11"/>
      <c r="AD899"/>
      <c r="AE899"/>
      <c r="AF899"/>
      <c r="AG899"/>
      <c r="AH899" s="46"/>
      <c r="AI899"/>
      <c r="AJ899"/>
      <c r="AK899"/>
      <c r="AL899"/>
      <c r="AM899"/>
      <c r="AN899"/>
      <c r="AO899"/>
      <c r="AP899"/>
      <c r="AQ899"/>
      <c r="AR899"/>
      <c r="AS899"/>
      <c r="AT899" s="14"/>
      <c r="AU899"/>
      <c r="AV899"/>
      <c r="AW899"/>
      <c r="AX899" s="10"/>
      <c r="AY899" s="20"/>
      <c r="AZ899" s="16"/>
      <c r="BA899"/>
      <c r="BB899"/>
      <c r="BC899" s="16"/>
      <c r="BD899"/>
      <c r="BE899"/>
      <c r="BF899"/>
      <c r="BG899"/>
      <c r="BH899"/>
      <c r="BI899"/>
      <c r="BJ899"/>
      <c r="BK899"/>
      <c r="BL899"/>
      <c r="BM899"/>
      <c r="BN899" s="19"/>
      <c r="BO899"/>
      <c r="BP899"/>
      <c r="BQ899"/>
      <c r="BR899"/>
      <c r="BS899"/>
      <c r="BT899"/>
      <c r="BU899"/>
      <c r="BV899"/>
      <c r="BW899"/>
      <c r="BX899"/>
      <c r="BY899"/>
      <c r="BZ899"/>
      <c r="CA899"/>
      <c r="CB899"/>
      <c r="CC899"/>
      <c r="CD899"/>
      <c r="CE899"/>
      <c r="CF899"/>
      <c r="CG899"/>
      <c r="CH899"/>
      <c r="CI899"/>
      <c r="CJ899"/>
      <c r="CK899"/>
      <c r="CL899"/>
      <c r="CM899" s="20"/>
      <c r="CN899" s="20"/>
      <c r="CO899" s="20"/>
      <c r="CP899" s="20"/>
      <c r="CQ899" s="20"/>
      <c r="CR899" s="20"/>
      <c r="CS899" s="20"/>
      <c r="CT899" s="20"/>
      <c r="CU899" s="20"/>
      <c r="CV899" s="20"/>
      <c r="CW899" s="20"/>
      <c r="CX899" s="20"/>
      <c r="CY899" s="20"/>
    </row>
    <row r="900" spans="1:103" s="6" customFormat="1">
      <c r="A900"/>
      <c r="B900"/>
      <c r="C900"/>
      <c r="D900"/>
      <c r="E900"/>
      <c r="F900"/>
      <c r="G900"/>
      <c r="H900"/>
      <c r="I900"/>
      <c r="J900"/>
      <c r="N900" s="7"/>
      <c r="O900"/>
      <c r="P900" s="10"/>
      <c r="Q900" s="9"/>
      <c r="R900" s="10"/>
      <c r="S900" s="10"/>
      <c r="AA900" s="11"/>
      <c r="AD900"/>
      <c r="AE900"/>
      <c r="AF900"/>
      <c r="AG900"/>
      <c r="AH900" s="46"/>
      <c r="AI900"/>
      <c r="AJ900"/>
      <c r="AK900"/>
      <c r="AL900"/>
      <c r="AM900"/>
      <c r="AN900"/>
      <c r="AO900"/>
      <c r="AP900"/>
      <c r="AQ900"/>
      <c r="AR900"/>
      <c r="AS900"/>
      <c r="AT900" s="14"/>
      <c r="AU900"/>
      <c r="AV900"/>
      <c r="AW900"/>
      <c r="AX900" s="10"/>
      <c r="AY900" s="20"/>
      <c r="AZ900" s="16"/>
      <c r="BA900"/>
      <c r="BB900"/>
      <c r="BC900" s="16"/>
      <c r="BD900"/>
      <c r="BE900"/>
      <c r="BF900"/>
      <c r="BG900"/>
      <c r="BH900"/>
      <c r="BI900"/>
      <c r="BJ900"/>
      <c r="BK900"/>
      <c r="BL900"/>
      <c r="BM900"/>
      <c r="BN900" s="19"/>
      <c r="BO900"/>
      <c r="BP900"/>
      <c r="BQ900"/>
      <c r="BR900"/>
      <c r="BS900"/>
      <c r="BT900"/>
      <c r="BU900"/>
      <c r="BV900"/>
      <c r="BW900"/>
      <c r="BX900"/>
      <c r="BY900"/>
      <c r="BZ900"/>
      <c r="CA900"/>
      <c r="CB900"/>
      <c r="CC900"/>
      <c r="CD900"/>
      <c r="CE900"/>
      <c r="CF900"/>
      <c r="CG900"/>
      <c r="CH900"/>
      <c r="CI900"/>
      <c r="CJ900"/>
      <c r="CK900"/>
      <c r="CL900"/>
      <c r="CM900" s="20"/>
      <c r="CN900" s="20"/>
      <c r="CO900" s="20"/>
      <c r="CP900" s="20"/>
      <c r="CQ900" s="20"/>
      <c r="CR900" s="20"/>
      <c r="CS900" s="20"/>
      <c r="CT900" s="20"/>
      <c r="CU900" s="20"/>
      <c r="CV900" s="20"/>
      <c r="CW900" s="20"/>
      <c r="CX900" s="20"/>
      <c r="CY900" s="20"/>
    </row>
    <row r="901" spans="1:103" s="6" customFormat="1">
      <c r="A901"/>
      <c r="B901"/>
      <c r="C901"/>
      <c r="D901"/>
      <c r="E901"/>
      <c r="F901"/>
      <c r="G901"/>
      <c r="H901"/>
      <c r="I901"/>
      <c r="J901"/>
      <c r="N901" s="7"/>
      <c r="O901"/>
      <c r="P901" s="10"/>
      <c r="Q901" s="9"/>
      <c r="R901" s="10"/>
      <c r="S901" s="10"/>
      <c r="AA901" s="11"/>
      <c r="AD901"/>
      <c r="AE901"/>
      <c r="AF901"/>
      <c r="AG901"/>
      <c r="AH901" s="46"/>
      <c r="AI901"/>
      <c r="AJ901"/>
      <c r="AK901"/>
      <c r="AL901"/>
      <c r="AM901"/>
      <c r="AN901"/>
      <c r="AO901"/>
      <c r="AP901"/>
      <c r="AQ901"/>
      <c r="AR901"/>
      <c r="AS901"/>
      <c r="AT901" s="14"/>
      <c r="AU901"/>
      <c r="AV901"/>
      <c r="AW901"/>
      <c r="AX901" s="10"/>
      <c r="AY901" s="20"/>
      <c r="AZ901" s="16"/>
      <c r="BA901"/>
      <c r="BB901"/>
      <c r="BC901" s="16"/>
      <c r="BD901"/>
      <c r="BE901"/>
      <c r="BF901"/>
      <c r="BG901"/>
      <c r="BH901"/>
      <c r="BI901"/>
      <c r="BJ901"/>
      <c r="BK901"/>
      <c r="BL901"/>
      <c r="BM901"/>
      <c r="BN901" s="19"/>
      <c r="BO901"/>
      <c r="BP901"/>
      <c r="BQ901"/>
      <c r="BR901"/>
      <c r="BS901"/>
      <c r="BT901"/>
      <c r="BU901"/>
      <c r="BV901"/>
      <c r="BW901"/>
      <c r="BX901"/>
      <c r="BY901"/>
      <c r="BZ901"/>
      <c r="CA901"/>
      <c r="CB901"/>
      <c r="CC901"/>
      <c r="CD901"/>
      <c r="CE901"/>
      <c r="CF901"/>
      <c r="CG901"/>
      <c r="CH901"/>
      <c r="CI901"/>
      <c r="CJ901"/>
      <c r="CK901"/>
      <c r="CL901"/>
      <c r="CM901" s="20"/>
      <c r="CN901" s="20"/>
      <c r="CO901" s="20"/>
      <c r="CP901" s="20"/>
      <c r="CQ901" s="20"/>
      <c r="CR901" s="20"/>
      <c r="CS901" s="20"/>
      <c r="CT901" s="20"/>
      <c r="CU901" s="20"/>
      <c r="CV901" s="20"/>
      <c r="CW901" s="20"/>
      <c r="CX901" s="20"/>
      <c r="CY901" s="20"/>
    </row>
    <row r="902" spans="1:103" s="6" customFormat="1">
      <c r="A902"/>
      <c r="B902"/>
      <c r="C902"/>
      <c r="D902"/>
      <c r="E902"/>
      <c r="F902"/>
      <c r="G902"/>
      <c r="H902"/>
      <c r="I902"/>
      <c r="J902"/>
      <c r="N902" s="7"/>
      <c r="O902"/>
      <c r="P902" s="10"/>
      <c r="Q902" s="9"/>
      <c r="R902" s="10"/>
      <c r="S902" s="10"/>
      <c r="AA902" s="11"/>
      <c r="AD902"/>
      <c r="AE902"/>
      <c r="AF902"/>
      <c r="AG902"/>
      <c r="AH902" s="46"/>
      <c r="AI902"/>
      <c r="AJ902"/>
      <c r="AK902"/>
      <c r="AL902"/>
      <c r="AM902"/>
      <c r="AN902"/>
      <c r="AO902"/>
      <c r="AP902"/>
      <c r="AQ902"/>
      <c r="AR902"/>
      <c r="AS902"/>
      <c r="AT902" s="14"/>
      <c r="AU902"/>
      <c r="AV902"/>
      <c r="AW902"/>
      <c r="AX902" s="10"/>
      <c r="AY902" s="20"/>
      <c r="AZ902" s="16"/>
      <c r="BA902"/>
      <c r="BB902"/>
      <c r="BC902" s="16"/>
      <c r="BD902"/>
      <c r="BE902"/>
      <c r="BF902"/>
      <c r="BG902"/>
      <c r="BH902"/>
      <c r="BI902"/>
      <c r="BJ902"/>
      <c r="BK902"/>
      <c r="BL902"/>
      <c r="BM902"/>
      <c r="BN902" s="19"/>
      <c r="BO902"/>
      <c r="BP902"/>
      <c r="BQ902"/>
      <c r="BR902"/>
      <c r="BS902"/>
      <c r="BT902"/>
      <c r="BU902"/>
      <c r="BV902"/>
      <c r="BW902"/>
      <c r="BX902"/>
      <c r="BY902"/>
      <c r="BZ902"/>
      <c r="CA902"/>
      <c r="CB902"/>
      <c r="CC902"/>
      <c r="CD902"/>
      <c r="CE902"/>
      <c r="CF902"/>
      <c r="CG902"/>
      <c r="CH902"/>
      <c r="CI902"/>
      <c r="CJ902"/>
      <c r="CK902"/>
      <c r="CL902"/>
      <c r="CM902" s="20"/>
      <c r="CN902" s="20"/>
      <c r="CO902" s="20"/>
      <c r="CP902" s="20"/>
      <c r="CQ902" s="20"/>
      <c r="CR902" s="20"/>
      <c r="CS902" s="20"/>
      <c r="CT902" s="20"/>
      <c r="CU902" s="20"/>
      <c r="CV902" s="20"/>
      <c r="CW902" s="20"/>
      <c r="CX902" s="20"/>
      <c r="CY902" s="20"/>
    </row>
    <row r="903" spans="1:103" s="6" customFormat="1">
      <c r="A903"/>
      <c r="B903"/>
      <c r="C903"/>
      <c r="D903"/>
      <c r="E903"/>
      <c r="F903"/>
      <c r="G903"/>
      <c r="H903"/>
      <c r="I903"/>
      <c r="J903"/>
      <c r="N903" s="7"/>
      <c r="O903"/>
      <c r="P903" s="10"/>
      <c r="Q903" s="9"/>
      <c r="R903" s="10"/>
      <c r="S903" s="10"/>
      <c r="AA903" s="11"/>
      <c r="AD903"/>
      <c r="AE903"/>
      <c r="AF903"/>
      <c r="AG903"/>
      <c r="AH903" s="46"/>
      <c r="AI903"/>
      <c r="AJ903"/>
      <c r="AK903"/>
      <c r="AL903"/>
      <c r="AM903"/>
      <c r="AN903"/>
      <c r="AO903"/>
      <c r="AP903"/>
      <c r="AQ903"/>
      <c r="AR903"/>
      <c r="AS903"/>
      <c r="AT903" s="14"/>
      <c r="AU903"/>
      <c r="AV903"/>
      <c r="AW903"/>
      <c r="AX903" s="10"/>
      <c r="AY903" s="20"/>
      <c r="AZ903" s="16"/>
      <c r="BA903"/>
      <c r="BB903"/>
      <c r="BC903" s="16"/>
      <c r="BD903"/>
      <c r="BE903"/>
      <c r="BF903"/>
      <c r="BG903"/>
      <c r="BH903"/>
      <c r="BI903"/>
      <c r="BJ903"/>
      <c r="BK903"/>
      <c r="BL903"/>
      <c r="BM903"/>
      <c r="BN903" s="19"/>
      <c r="BO903"/>
      <c r="BP903"/>
      <c r="BQ903"/>
      <c r="BR903"/>
      <c r="BS903"/>
      <c r="BT903"/>
      <c r="BU903"/>
      <c r="BV903"/>
      <c r="BW903"/>
      <c r="BX903"/>
      <c r="BY903"/>
      <c r="BZ903"/>
      <c r="CA903"/>
      <c r="CB903"/>
      <c r="CC903"/>
      <c r="CD903"/>
      <c r="CE903"/>
      <c r="CF903"/>
      <c r="CG903"/>
      <c r="CH903"/>
      <c r="CI903"/>
      <c r="CJ903"/>
      <c r="CK903"/>
      <c r="CL903"/>
      <c r="CM903" s="20"/>
      <c r="CN903" s="20"/>
      <c r="CO903" s="20"/>
      <c r="CP903" s="20"/>
      <c r="CQ903" s="20"/>
      <c r="CR903" s="20"/>
      <c r="CS903" s="20"/>
      <c r="CT903" s="20"/>
      <c r="CU903" s="20"/>
      <c r="CV903" s="20"/>
      <c r="CW903" s="20"/>
      <c r="CX903" s="20"/>
      <c r="CY903" s="20"/>
    </row>
    <row r="904" spans="1:103" s="6" customFormat="1">
      <c r="A904"/>
      <c r="B904"/>
      <c r="C904"/>
      <c r="D904"/>
      <c r="E904"/>
      <c r="F904"/>
      <c r="G904"/>
      <c r="H904"/>
      <c r="I904"/>
      <c r="J904"/>
      <c r="N904" s="7"/>
      <c r="O904"/>
      <c r="P904" s="10"/>
      <c r="Q904" s="9"/>
      <c r="R904" s="10"/>
      <c r="S904" s="10"/>
      <c r="AA904" s="11"/>
      <c r="AD904"/>
      <c r="AE904"/>
      <c r="AF904"/>
      <c r="AG904"/>
      <c r="AH904" s="46"/>
      <c r="AI904"/>
      <c r="AJ904"/>
      <c r="AK904"/>
      <c r="AL904"/>
      <c r="AM904"/>
      <c r="AN904"/>
      <c r="AO904"/>
      <c r="AP904"/>
      <c r="AQ904"/>
      <c r="AR904"/>
      <c r="AS904"/>
      <c r="AT904" s="14"/>
      <c r="AU904"/>
      <c r="AV904"/>
      <c r="AW904"/>
      <c r="AX904" s="10"/>
      <c r="AY904" s="20"/>
      <c r="AZ904" s="16"/>
      <c r="BA904"/>
      <c r="BB904"/>
      <c r="BC904" s="16"/>
      <c r="BD904"/>
      <c r="BE904"/>
      <c r="BF904"/>
      <c r="BG904"/>
      <c r="BH904"/>
      <c r="BI904"/>
      <c r="BJ904"/>
      <c r="BK904"/>
      <c r="BL904"/>
      <c r="BM904"/>
      <c r="BN904" s="19"/>
      <c r="BO904"/>
      <c r="BP904"/>
      <c r="BQ904"/>
      <c r="BR904"/>
      <c r="BS904"/>
      <c r="BT904"/>
      <c r="BU904"/>
      <c r="BV904"/>
      <c r="BW904"/>
      <c r="BX904"/>
      <c r="BY904"/>
      <c r="BZ904"/>
      <c r="CA904"/>
      <c r="CB904"/>
      <c r="CC904"/>
      <c r="CD904"/>
      <c r="CE904"/>
      <c r="CF904"/>
      <c r="CG904"/>
      <c r="CH904"/>
      <c r="CI904"/>
      <c r="CJ904"/>
      <c r="CK904"/>
      <c r="CL904"/>
      <c r="CM904" s="20"/>
      <c r="CN904" s="20"/>
      <c r="CO904" s="20"/>
      <c r="CP904" s="20"/>
      <c r="CQ904" s="20"/>
      <c r="CR904" s="20"/>
      <c r="CS904" s="20"/>
      <c r="CT904" s="20"/>
      <c r="CU904" s="20"/>
      <c r="CV904" s="20"/>
      <c r="CW904" s="20"/>
      <c r="CX904" s="20"/>
      <c r="CY904" s="20"/>
    </row>
    <row r="905" spans="1:103" s="6" customFormat="1">
      <c r="A905"/>
      <c r="B905"/>
      <c r="C905"/>
      <c r="D905"/>
      <c r="E905"/>
      <c r="F905"/>
      <c r="G905"/>
      <c r="H905"/>
      <c r="I905"/>
      <c r="J905"/>
      <c r="N905" s="7"/>
      <c r="O905"/>
      <c r="P905" s="10"/>
      <c r="Q905" s="9"/>
      <c r="R905" s="10"/>
      <c r="S905" s="10"/>
      <c r="AA905" s="11"/>
      <c r="AD905"/>
      <c r="AE905"/>
      <c r="AF905"/>
      <c r="AG905"/>
      <c r="AH905" s="46"/>
      <c r="AI905"/>
      <c r="AJ905"/>
      <c r="AK905"/>
      <c r="AL905"/>
      <c r="AM905"/>
      <c r="AN905"/>
      <c r="AO905"/>
      <c r="AP905"/>
      <c r="AQ905"/>
      <c r="AR905"/>
      <c r="AS905"/>
      <c r="AT905" s="14"/>
      <c r="AU905"/>
      <c r="AV905"/>
      <c r="AW905"/>
      <c r="AX905" s="10"/>
      <c r="AY905" s="20"/>
      <c r="AZ905" s="16"/>
      <c r="BA905"/>
      <c r="BB905"/>
      <c r="BC905" s="16"/>
      <c r="BD905"/>
      <c r="BE905"/>
      <c r="BF905"/>
      <c r="BG905"/>
      <c r="BH905"/>
      <c r="BI905"/>
      <c r="BJ905"/>
      <c r="BK905"/>
      <c r="BL905"/>
      <c r="BM905"/>
      <c r="BN905" s="19"/>
      <c r="BO905"/>
      <c r="BP905"/>
      <c r="BQ905"/>
      <c r="BR905"/>
      <c r="BS905"/>
      <c r="BT905"/>
      <c r="BU905"/>
      <c r="BV905"/>
      <c r="BW905"/>
      <c r="BX905"/>
      <c r="BY905"/>
      <c r="BZ905"/>
      <c r="CA905"/>
      <c r="CB905"/>
      <c r="CC905"/>
      <c r="CD905"/>
      <c r="CE905"/>
      <c r="CF905"/>
      <c r="CG905"/>
      <c r="CH905"/>
      <c r="CI905"/>
      <c r="CJ905"/>
      <c r="CK905"/>
      <c r="CL905"/>
      <c r="CM905" s="20"/>
      <c r="CN905" s="20"/>
      <c r="CO905" s="20"/>
      <c r="CP905" s="20"/>
      <c r="CQ905" s="20"/>
      <c r="CR905" s="20"/>
      <c r="CS905" s="20"/>
      <c r="CT905" s="20"/>
      <c r="CU905" s="20"/>
      <c r="CV905" s="20"/>
      <c r="CW905" s="20"/>
      <c r="CX905" s="20"/>
      <c r="CY905" s="20"/>
    </row>
    <row r="906" spans="1:103" s="6" customFormat="1">
      <c r="A906"/>
      <c r="B906"/>
      <c r="C906"/>
      <c r="D906"/>
      <c r="E906"/>
      <c r="F906"/>
      <c r="G906"/>
      <c r="H906"/>
      <c r="I906"/>
      <c r="J906"/>
      <c r="N906" s="7"/>
      <c r="O906"/>
      <c r="P906" s="10"/>
      <c r="Q906" s="9"/>
      <c r="R906" s="10"/>
      <c r="S906" s="10"/>
      <c r="AA906" s="11"/>
      <c r="AD906"/>
      <c r="AE906"/>
      <c r="AF906"/>
      <c r="AG906"/>
      <c r="AH906" s="46"/>
      <c r="AI906"/>
      <c r="AJ906"/>
      <c r="AK906"/>
      <c r="AL906"/>
      <c r="AM906"/>
      <c r="AN906"/>
      <c r="AO906"/>
      <c r="AP906"/>
      <c r="AQ906"/>
      <c r="AR906"/>
      <c r="AS906"/>
      <c r="AT906" s="14"/>
      <c r="AU906"/>
      <c r="AV906"/>
      <c r="AW906"/>
      <c r="AX906" s="10"/>
      <c r="AY906" s="20"/>
      <c r="AZ906" s="16"/>
      <c r="BA906"/>
      <c r="BB906"/>
      <c r="BC906" s="16"/>
      <c r="BD906"/>
      <c r="BE906"/>
      <c r="BF906"/>
      <c r="BG906"/>
      <c r="BH906"/>
      <c r="BI906"/>
      <c r="BJ906"/>
      <c r="BK906"/>
      <c r="BL906"/>
      <c r="BM906"/>
      <c r="BN906" s="19"/>
      <c r="BO906"/>
      <c r="BP906"/>
      <c r="BQ906"/>
      <c r="BR906"/>
      <c r="BS906"/>
      <c r="BT906"/>
      <c r="BU906"/>
      <c r="BV906"/>
      <c r="BW906"/>
      <c r="BX906"/>
      <c r="BY906"/>
      <c r="BZ906"/>
      <c r="CA906"/>
      <c r="CB906"/>
      <c r="CC906"/>
      <c r="CD906"/>
      <c r="CE906"/>
      <c r="CF906"/>
      <c r="CG906"/>
      <c r="CH906"/>
      <c r="CI906"/>
      <c r="CJ906"/>
      <c r="CK906"/>
      <c r="CL906"/>
      <c r="CM906" s="20"/>
      <c r="CN906" s="20"/>
      <c r="CO906" s="20"/>
      <c r="CP906" s="20"/>
      <c r="CQ906" s="20"/>
      <c r="CR906" s="20"/>
      <c r="CS906" s="20"/>
      <c r="CT906" s="20"/>
      <c r="CU906" s="20"/>
      <c r="CV906" s="20"/>
      <c r="CW906" s="20"/>
      <c r="CX906" s="20"/>
      <c r="CY906" s="20"/>
    </row>
    <row r="907" spans="1:103" s="6" customFormat="1">
      <c r="A907"/>
      <c r="B907"/>
      <c r="C907"/>
      <c r="D907"/>
      <c r="E907"/>
      <c r="F907"/>
      <c r="G907"/>
      <c r="H907"/>
      <c r="I907"/>
      <c r="J907"/>
      <c r="N907" s="7"/>
      <c r="O907"/>
      <c r="P907" s="10"/>
      <c r="Q907" s="9"/>
      <c r="R907" s="10"/>
      <c r="S907" s="10"/>
      <c r="AA907" s="11"/>
      <c r="AD907"/>
      <c r="AE907"/>
      <c r="AF907"/>
      <c r="AG907"/>
      <c r="AH907" s="46"/>
      <c r="AI907"/>
      <c r="AJ907"/>
      <c r="AK907"/>
      <c r="AL907"/>
      <c r="AM907"/>
      <c r="AN907"/>
      <c r="AO907"/>
      <c r="AP907"/>
      <c r="AQ907"/>
      <c r="AR907"/>
      <c r="AS907"/>
      <c r="AT907" s="14"/>
      <c r="AU907"/>
      <c r="AV907"/>
      <c r="AW907"/>
      <c r="AX907" s="10"/>
      <c r="AY907" s="20"/>
      <c r="AZ907" s="16"/>
      <c r="BA907"/>
      <c r="BB907"/>
      <c r="BC907" s="16"/>
      <c r="BD907"/>
      <c r="BE907"/>
      <c r="BF907"/>
      <c r="BG907"/>
      <c r="BH907"/>
      <c r="BI907"/>
      <c r="BJ907"/>
      <c r="BK907"/>
      <c r="BL907"/>
      <c r="BM907"/>
      <c r="BN907" s="19"/>
      <c r="BO907"/>
      <c r="BP907"/>
      <c r="BQ907"/>
      <c r="BR907"/>
      <c r="BS907"/>
      <c r="BT907"/>
      <c r="BU907"/>
      <c r="BV907"/>
      <c r="BW907"/>
      <c r="BX907"/>
      <c r="BY907"/>
      <c r="BZ907"/>
      <c r="CA907"/>
      <c r="CB907"/>
      <c r="CC907"/>
      <c r="CD907"/>
      <c r="CE907"/>
      <c r="CF907"/>
      <c r="CG907"/>
      <c r="CH907"/>
      <c r="CI907"/>
      <c r="CJ907"/>
      <c r="CK907"/>
      <c r="CL907"/>
      <c r="CM907" s="20"/>
      <c r="CN907" s="20"/>
      <c r="CO907" s="20"/>
      <c r="CP907" s="20"/>
      <c r="CQ907" s="20"/>
      <c r="CR907" s="20"/>
      <c r="CS907" s="20"/>
      <c r="CT907" s="20"/>
      <c r="CU907" s="20"/>
      <c r="CV907" s="20"/>
      <c r="CW907" s="20"/>
      <c r="CX907" s="20"/>
      <c r="CY907" s="20"/>
    </row>
    <row r="908" spans="1:103" s="6" customFormat="1">
      <c r="A908"/>
      <c r="B908"/>
      <c r="C908"/>
      <c r="D908"/>
      <c r="E908"/>
      <c r="F908"/>
      <c r="G908"/>
      <c r="H908"/>
      <c r="I908"/>
      <c r="J908"/>
      <c r="N908" s="7"/>
      <c r="O908"/>
      <c r="P908" s="10"/>
      <c r="Q908" s="9"/>
      <c r="R908" s="10"/>
      <c r="S908" s="10"/>
      <c r="AA908" s="11"/>
      <c r="AD908"/>
      <c r="AE908"/>
      <c r="AF908"/>
      <c r="AG908"/>
      <c r="AH908" s="46"/>
      <c r="AI908"/>
      <c r="AJ908"/>
      <c r="AK908"/>
      <c r="AL908"/>
      <c r="AM908"/>
      <c r="AN908"/>
      <c r="AO908"/>
      <c r="AP908"/>
      <c r="AQ908"/>
      <c r="AR908"/>
      <c r="AS908"/>
      <c r="AT908" s="14"/>
      <c r="AU908"/>
      <c r="AV908"/>
      <c r="AW908"/>
      <c r="AX908" s="10"/>
      <c r="AY908" s="20"/>
      <c r="AZ908" s="16"/>
      <c r="BA908"/>
      <c r="BB908"/>
      <c r="BC908" s="16"/>
      <c r="BD908"/>
      <c r="BE908"/>
      <c r="BF908"/>
      <c r="BG908"/>
      <c r="BH908"/>
      <c r="BI908"/>
      <c r="BJ908"/>
      <c r="BK908"/>
      <c r="BL908"/>
      <c r="BM908"/>
      <c r="BN908" s="19"/>
      <c r="BO908"/>
      <c r="BP908"/>
      <c r="BQ908"/>
      <c r="BR908"/>
      <c r="BS908"/>
      <c r="BT908"/>
      <c r="BU908"/>
      <c r="BV908"/>
      <c r="BW908"/>
      <c r="BX908"/>
      <c r="BY908"/>
      <c r="BZ908"/>
      <c r="CA908"/>
      <c r="CB908"/>
      <c r="CC908"/>
      <c r="CD908"/>
      <c r="CE908"/>
      <c r="CF908"/>
      <c r="CG908"/>
      <c r="CH908"/>
      <c r="CI908"/>
      <c r="CJ908"/>
      <c r="CK908"/>
      <c r="CL908"/>
      <c r="CM908" s="20"/>
      <c r="CN908" s="20"/>
      <c r="CO908" s="20"/>
      <c r="CP908" s="20"/>
      <c r="CQ908" s="20"/>
      <c r="CR908" s="20"/>
      <c r="CS908" s="20"/>
      <c r="CT908" s="20"/>
      <c r="CU908" s="20"/>
      <c r="CV908" s="20"/>
      <c r="CW908" s="20"/>
      <c r="CX908" s="20"/>
      <c r="CY908" s="20"/>
    </row>
    <row r="909" spans="1:103" s="6" customFormat="1">
      <c r="A909"/>
      <c r="B909"/>
      <c r="C909"/>
      <c r="D909"/>
      <c r="E909"/>
      <c r="F909"/>
      <c r="G909"/>
      <c r="H909"/>
      <c r="I909"/>
      <c r="J909"/>
      <c r="N909" s="7"/>
      <c r="O909"/>
      <c r="P909" s="10"/>
      <c r="Q909" s="9"/>
      <c r="R909" s="10"/>
      <c r="S909" s="10"/>
      <c r="AA909" s="11"/>
      <c r="AD909"/>
      <c r="AE909"/>
      <c r="AF909"/>
      <c r="AG909"/>
      <c r="AH909" s="46"/>
      <c r="AI909"/>
      <c r="AJ909"/>
      <c r="AK909"/>
      <c r="AL909"/>
      <c r="AM909"/>
      <c r="AN909"/>
      <c r="AO909"/>
      <c r="AP909"/>
      <c r="AQ909"/>
      <c r="AR909"/>
      <c r="AS909"/>
      <c r="AT909" s="14"/>
      <c r="AU909"/>
      <c r="AV909"/>
      <c r="AW909"/>
      <c r="AX909" s="10"/>
      <c r="AY909" s="20"/>
      <c r="AZ909" s="16"/>
      <c r="BA909"/>
      <c r="BB909"/>
      <c r="BC909" s="16"/>
      <c r="BD909"/>
      <c r="BE909"/>
      <c r="BF909"/>
      <c r="BG909"/>
      <c r="BH909"/>
      <c r="BI909"/>
      <c r="BJ909"/>
      <c r="BK909"/>
      <c r="BL909"/>
      <c r="BM909"/>
      <c r="BN909" s="19"/>
      <c r="BO909"/>
      <c r="BP909"/>
      <c r="BQ909"/>
      <c r="BR909"/>
      <c r="BS909"/>
      <c r="BT909"/>
      <c r="BU909"/>
      <c r="BV909"/>
      <c r="BW909"/>
      <c r="BX909"/>
      <c r="BY909"/>
      <c r="BZ909"/>
      <c r="CA909"/>
      <c r="CB909"/>
      <c r="CC909"/>
      <c r="CD909"/>
      <c r="CE909"/>
      <c r="CF909"/>
      <c r="CG909"/>
      <c r="CH909"/>
      <c r="CI909"/>
      <c r="CJ909"/>
      <c r="CK909"/>
      <c r="CL909"/>
      <c r="CM909" s="20"/>
      <c r="CN909" s="20"/>
      <c r="CO909" s="20"/>
      <c r="CP909" s="20"/>
      <c r="CQ909" s="20"/>
      <c r="CR909" s="20"/>
      <c r="CS909" s="20"/>
      <c r="CT909" s="20"/>
      <c r="CU909" s="20"/>
      <c r="CV909" s="20"/>
      <c r="CW909" s="20"/>
      <c r="CX909" s="20"/>
      <c r="CY909" s="20"/>
    </row>
    <row r="910" spans="1:103" s="6" customFormat="1">
      <c r="A910"/>
      <c r="B910"/>
      <c r="C910"/>
      <c r="D910"/>
      <c r="E910"/>
      <c r="F910"/>
      <c r="G910"/>
      <c r="H910"/>
      <c r="I910"/>
      <c r="J910"/>
      <c r="N910" s="7"/>
      <c r="O910"/>
      <c r="P910" s="10"/>
      <c r="Q910" s="9"/>
      <c r="R910" s="10"/>
      <c r="S910" s="10"/>
      <c r="AA910" s="11"/>
      <c r="AD910"/>
      <c r="AE910"/>
      <c r="AF910"/>
      <c r="AG910"/>
      <c r="AH910" s="46"/>
      <c r="AI910"/>
      <c r="AJ910"/>
      <c r="AK910"/>
      <c r="AL910"/>
      <c r="AM910"/>
      <c r="AN910"/>
      <c r="AO910"/>
      <c r="AP910"/>
      <c r="AQ910"/>
      <c r="AR910"/>
      <c r="AS910"/>
      <c r="AT910" s="14"/>
      <c r="AU910"/>
      <c r="AV910"/>
      <c r="AW910"/>
      <c r="AX910" s="10"/>
      <c r="AY910" s="20"/>
      <c r="AZ910" s="16"/>
      <c r="BA910"/>
      <c r="BB910"/>
      <c r="BC910" s="16"/>
      <c r="BD910"/>
      <c r="BE910"/>
      <c r="BF910"/>
      <c r="BG910"/>
      <c r="BH910"/>
      <c r="BI910"/>
      <c r="BJ910"/>
      <c r="BK910"/>
      <c r="BL910"/>
      <c r="BM910"/>
      <c r="BN910" s="19"/>
      <c r="BO910"/>
      <c r="BP910"/>
      <c r="BQ910"/>
      <c r="BR910"/>
      <c r="BS910"/>
      <c r="BT910"/>
      <c r="BU910"/>
      <c r="BV910"/>
      <c r="BW910"/>
      <c r="BX910"/>
      <c r="BY910"/>
      <c r="BZ910"/>
      <c r="CA910"/>
      <c r="CB910"/>
      <c r="CC910"/>
      <c r="CD910"/>
      <c r="CE910"/>
      <c r="CF910"/>
      <c r="CG910"/>
      <c r="CH910"/>
      <c r="CI910"/>
      <c r="CJ910"/>
      <c r="CK910"/>
      <c r="CL910"/>
      <c r="CM910" s="20"/>
      <c r="CN910" s="20"/>
      <c r="CO910" s="20"/>
      <c r="CP910" s="20"/>
      <c r="CQ910" s="20"/>
      <c r="CR910" s="20"/>
      <c r="CS910" s="20"/>
      <c r="CT910" s="20"/>
      <c r="CU910" s="20"/>
      <c r="CV910" s="20"/>
      <c r="CW910" s="20"/>
      <c r="CX910" s="20"/>
      <c r="CY910" s="20"/>
    </row>
    <row r="911" spans="1:103" s="6" customFormat="1">
      <c r="A911"/>
      <c r="B911"/>
      <c r="C911"/>
      <c r="D911"/>
      <c r="E911"/>
      <c r="F911"/>
      <c r="G911"/>
      <c r="H911"/>
      <c r="I911"/>
      <c r="J911"/>
      <c r="N911" s="7"/>
      <c r="O911"/>
      <c r="P911" s="10"/>
      <c r="Q911" s="9"/>
      <c r="R911" s="10"/>
      <c r="S911" s="10"/>
      <c r="AA911" s="11"/>
      <c r="AD911"/>
      <c r="AE911"/>
      <c r="AF911"/>
      <c r="AG911"/>
      <c r="AH911" s="46"/>
      <c r="AI911"/>
      <c r="AJ911"/>
      <c r="AK911"/>
      <c r="AL911"/>
      <c r="AM911"/>
      <c r="AN911"/>
      <c r="AO911"/>
      <c r="AP911"/>
      <c r="AQ911"/>
      <c r="AR911"/>
      <c r="AS911"/>
      <c r="AT911" s="14"/>
      <c r="AU911"/>
      <c r="AV911"/>
      <c r="AW911"/>
      <c r="AX911" s="10"/>
      <c r="AY911" s="20"/>
      <c r="AZ911" s="16"/>
      <c r="BA911"/>
      <c r="BB911"/>
      <c r="BC911" s="16"/>
      <c r="BD911"/>
      <c r="BE911"/>
      <c r="BF911"/>
      <c r="BG911"/>
      <c r="BH911"/>
      <c r="BI911"/>
      <c r="BJ911"/>
      <c r="BK911"/>
      <c r="BL911"/>
      <c r="BM911"/>
      <c r="BN911" s="19"/>
      <c r="BO911"/>
      <c r="BP911"/>
      <c r="BQ911"/>
      <c r="BR911"/>
      <c r="BS911"/>
      <c r="BT911"/>
      <c r="BU911"/>
      <c r="BV911"/>
      <c r="BW911"/>
      <c r="BX911"/>
      <c r="BY911"/>
      <c r="BZ911"/>
      <c r="CA911"/>
      <c r="CB911"/>
      <c r="CC911"/>
      <c r="CD911"/>
      <c r="CE911"/>
      <c r="CF911"/>
      <c r="CG911"/>
      <c r="CH911"/>
      <c r="CI911"/>
      <c r="CJ911"/>
      <c r="CK911"/>
      <c r="CL911"/>
      <c r="CM911" s="20"/>
      <c r="CN911" s="20"/>
      <c r="CO911" s="20"/>
      <c r="CP911" s="20"/>
      <c r="CQ911" s="20"/>
      <c r="CR911" s="20"/>
      <c r="CS911" s="20"/>
      <c r="CT911" s="20"/>
      <c r="CU911" s="20"/>
      <c r="CV911" s="20"/>
      <c r="CW911" s="20"/>
      <c r="CX911" s="20"/>
      <c r="CY911" s="20"/>
    </row>
    <row r="912" spans="1:103" s="6" customFormat="1">
      <c r="A912"/>
      <c r="B912"/>
      <c r="C912"/>
      <c r="D912"/>
      <c r="E912"/>
      <c r="F912"/>
      <c r="G912"/>
      <c r="H912"/>
      <c r="I912"/>
      <c r="J912"/>
      <c r="N912" s="7"/>
      <c r="O912"/>
      <c r="P912" s="10"/>
      <c r="Q912" s="9"/>
      <c r="R912" s="10"/>
      <c r="S912" s="10"/>
      <c r="AA912" s="11"/>
      <c r="AD912"/>
      <c r="AE912"/>
      <c r="AF912"/>
      <c r="AG912"/>
      <c r="AH912" s="46"/>
      <c r="AI912"/>
      <c r="AJ912"/>
      <c r="AK912"/>
      <c r="AL912"/>
      <c r="AM912"/>
      <c r="AN912"/>
      <c r="AO912"/>
      <c r="AP912"/>
      <c r="AQ912"/>
      <c r="AR912"/>
      <c r="AS912"/>
      <c r="AT912" s="14"/>
      <c r="AU912"/>
      <c r="AV912"/>
      <c r="AW912"/>
      <c r="AX912" s="10"/>
      <c r="AY912" s="20"/>
      <c r="AZ912" s="16"/>
      <c r="BA912"/>
      <c r="BB912"/>
      <c r="BC912" s="16"/>
      <c r="BD912"/>
      <c r="BE912"/>
      <c r="BF912"/>
      <c r="BG912"/>
      <c r="BH912"/>
      <c r="BI912"/>
      <c r="BJ912"/>
      <c r="BK912"/>
      <c r="BL912"/>
      <c r="BM912"/>
      <c r="BN912" s="19"/>
      <c r="BO912"/>
      <c r="BP912"/>
      <c r="BQ912"/>
      <c r="BR912"/>
      <c r="BS912"/>
      <c r="BT912"/>
      <c r="BU912"/>
      <c r="BV912"/>
      <c r="BW912"/>
      <c r="BX912"/>
      <c r="BY912"/>
      <c r="BZ912"/>
      <c r="CA912"/>
      <c r="CB912"/>
      <c r="CC912"/>
      <c r="CD912"/>
      <c r="CE912"/>
      <c r="CF912"/>
      <c r="CG912"/>
      <c r="CH912"/>
      <c r="CI912"/>
      <c r="CJ912"/>
      <c r="CK912"/>
      <c r="CL912"/>
      <c r="CM912" s="20"/>
      <c r="CN912" s="20"/>
      <c r="CO912" s="20"/>
      <c r="CP912" s="20"/>
      <c r="CQ912" s="20"/>
      <c r="CR912" s="20"/>
      <c r="CS912" s="20"/>
      <c r="CT912" s="20"/>
      <c r="CU912" s="20"/>
      <c r="CV912" s="20"/>
      <c r="CW912" s="20"/>
      <c r="CX912" s="20"/>
      <c r="CY912" s="20"/>
    </row>
    <row r="913" spans="1:103" s="6" customFormat="1">
      <c r="A913"/>
      <c r="B913"/>
      <c r="C913"/>
      <c r="D913"/>
      <c r="E913"/>
      <c r="F913"/>
      <c r="G913"/>
      <c r="H913"/>
      <c r="I913"/>
      <c r="J913"/>
      <c r="N913" s="7"/>
      <c r="O913"/>
      <c r="P913" s="10"/>
      <c r="Q913" s="9"/>
      <c r="R913" s="10"/>
      <c r="S913" s="10"/>
      <c r="AA913" s="11"/>
      <c r="AD913"/>
      <c r="AE913"/>
      <c r="AF913"/>
      <c r="AG913"/>
      <c r="AH913" s="46"/>
      <c r="AI913"/>
      <c r="AJ913"/>
      <c r="AK913"/>
      <c r="AL913"/>
      <c r="AM913"/>
      <c r="AN913"/>
      <c r="AO913"/>
      <c r="AP913"/>
      <c r="AQ913"/>
      <c r="AR913"/>
      <c r="AS913"/>
      <c r="AT913" s="14"/>
      <c r="AU913"/>
      <c r="AV913"/>
      <c r="AW913"/>
      <c r="AX913" s="10"/>
      <c r="AY913" s="20"/>
      <c r="AZ913" s="16"/>
      <c r="BA913"/>
      <c r="BB913"/>
      <c r="BC913" s="16"/>
      <c r="BD913"/>
      <c r="BE913"/>
      <c r="BF913"/>
      <c r="BG913"/>
      <c r="BH913"/>
      <c r="BI913"/>
      <c r="BJ913"/>
      <c r="BK913"/>
      <c r="BL913"/>
      <c r="BM913"/>
      <c r="BN913" s="19"/>
      <c r="BO913"/>
      <c r="BP913"/>
      <c r="BQ913"/>
      <c r="BR913"/>
      <c r="BS913"/>
      <c r="BT913"/>
      <c r="BU913"/>
      <c r="BV913"/>
      <c r="BW913"/>
      <c r="BX913"/>
      <c r="BY913"/>
      <c r="BZ913"/>
      <c r="CA913"/>
      <c r="CB913"/>
      <c r="CC913"/>
      <c r="CD913"/>
      <c r="CE913"/>
      <c r="CF913"/>
      <c r="CG913"/>
      <c r="CH913"/>
      <c r="CI913"/>
      <c r="CJ913"/>
      <c r="CK913"/>
      <c r="CL913"/>
      <c r="CM913" s="20"/>
      <c r="CN913" s="20"/>
      <c r="CO913" s="20"/>
      <c r="CP913" s="20"/>
      <c r="CQ913" s="20"/>
      <c r="CR913" s="20"/>
      <c r="CS913" s="20"/>
      <c r="CT913" s="20"/>
      <c r="CU913" s="20"/>
      <c r="CV913" s="20"/>
      <c r="CW913" s="20"/>
      <c r="CX913" s="20"/>
      <c r="CY913" s="20"/>
    </row>
    <row r="914" spans="1:103" s="6" customFormat="1">
      <c r="A914"/>
      <c r="B914"/>
      <c r="C914"/>
      <c r="D914"/>
      <c r="E914"/>
      <c r="F914"/>
      <c r="G914"/>
      <c r="H914"/>
      <c r="I914"/>
      <c r="J914"/>
      <c r="N914" s="7"/>
      <c r="O914"/>
      <c r="P914" s="10"/>
      <c r="Q914" s="9"/>
      <c r="R914" s="10"/>
      <c r="S914" s="10"/>
      <c r="AA914" s="11"/>
      <c r="AD914"/>
      <c r="AE914"/>
      <c r="AF914"/>
      <c r="AG914"/>
      <c r="AH914" s="46"/>
      <c r="AI914"/>
      <c r="AJ914"/>
      <c r="AK914"/>
      <c r="AL914"/>
      <c r="AM914"/>
      <c r="AN914"/>
      <c r="AO914"/>
      <c r="AP914"/>
      <c r="AQ914"/>
      <c r="AR914"/>
      <c r="AS914"/>
      <c r="AT914" s="14"/>
      <c r="AU914"/>
      <c r="AV914"/>
      <c r="AW914"/>
      <c r="AX914" s="10"/>
      <c r="AY914" s="20"/>
      <c r="AZ914" s="16"/>
      <c r="BA914"/>
      <c r="BB914"/>
      <c r="BC914" s="16"/>
      <c r="BD914"/>
      <c r="BE914"/>
      <c r="BF914"/>
      <c r="BG914"/>
      <c r="BH914"/>
      <c r="BI914"/>
      <c r="BJ914"/>
      <c r="BK914"/>
      <c r="BL914"/>
      <c r="BM914"/>
      <c r="BN914" s="19"/>
      <c r="BO914"/>
      <c r="BP914"/>
      <c r="BQ914"/>
      <c r="BR914"/>
      <c r="BS914"/>
      <c r="BT914"/>
      <c r="BU914"/>
      <c r="BV914"/>
      <c r="BW914"/>
      <c r="BX914"/>
      <c r="BY914"/>
      <c r="BZ914"/>
      <c r="CA914"/>
      <c r="CB914"/>
      <c r="CC914"/>
      <c r="CD914"/>
      <c r="CE914"/>
      <c r="CF914"/>
      <c r="CG914"/>
      <c r="CH914"/>
      <c r="CI914"/>
      <c r="CJ914"/>
      <c r="CK914"/>
      <c r="CL914"/>
      <c r="CM914" s="20"/>
      <c r="CN914" s="20"/>
      <c r="CO914" s="20"/>
      <c r="CP914" s="20"/>
      <c r="CQ914" s="20"/>
      <c r="CR914" s="20"/>
      <c r="CS914" s="20"/>
      <c r="CT914" s="20"/>
      <c r="CU914" s="20"/>
      <c r="CV914" s="20"/>
      <c r="CW914" s="20"/>
      <c r="CX914" s="20"/>
      <c r="CY914" s="20"/>
    </row>
    <row r="915" spans="1:103" s="6" customFormat="1">
      <c r="A915"/>
      <c r="B915"/>
      <c r="C915"/>
      <c r="D915"/>
      <c r="E915"/>
      <c r="F915"/>
      <c r="G915"/>
      <c r="H915"/>
      <c r="I915"/>
      <c r="J915"/>
      <c r="N915" s="7"/>
      <c r="O915"/>
      <c r="P915" s="10"/>
      <c r="Q915" s="9"/>
      <c r="R915" s="10"/>
      <c r="S915" s="10"/>
      <c r="AA915" s="11"/>
      <c r="AD915"/>
      <c r="AE915"/>
      <c r="AF915"/>
      <c r="AG915"/>
      <c r="AH915" s="46"/>
      <c r="AI915"/>
      <c r="AJ915"/>
      <c r="AK915"/>
      <c r="AL915"/>
      <c r="AM915"/>
      <c r="AN915"/>
      <c r="AO915"/>
      <c r="AP915"/>
      <c r="AQ915"/>
      <c r="AR915"/>
      <c r="AS915"/>
      <c r="AT915" s="14"/>
      <c r="AU915"/>
      <c r="AV915"/>
      <c r="AW915"/>
      <c r="AX915" s="10"/>
      <c r="AY915" s="20"/>
      <c r="AZ915" s="16"/>
      <c r="BA915"/>
      <c r="BB915"/>
      <c r="BC915" s="16"/>
      <c r="BD915"/>
      <c r="BE915"/>
      <c r="BF915"/>
      <c r="BG915"/>
      <c r="BH915"/>
      <c r="BI915"/>
      <c r="BJ915"/>
      <c r="BK915"/>
      <c r="BL915"/>
      <c r="BM915"/>
      <c r="BN915" s="19"/>
      <c r="BO915"/>
      <c r="BP915"/>
      <c r="BQ915"/>
      <c r="BR915"/>
      <c r="BS915"/>
      <c r="BT915"/>
      <c r="BU915"/>
      <c r="BV915"/>
      <c r="BW915"/>
      <c r="BX915"/>
      <c r="BY915"/>
      <c r="BZ915"/>
      <c r="CA915"/>
      <c r="CB915"/>
      <c r="CC915"/>
      <c r="CD915"/>
      <c r="CE915"/>
      <c r="CF915"/>
      <c r="CG915"/>
      <c r="CH915"/>
      <c r="CI915"/>
      <c r="CJ915"/>
      <c r="CK915"/>
      <c r="CL915"/>
      <c r="CM915" s="20"/>
      <c r="CN915" s="20"/>
      <c r="CO915" s="20"/>
      <c r="CP915" s="20"/>
      <c r="CQ915" s="20"/>
      <c r="CR915" s="20"/>
      <c r="CS915" s="20"/>
      <c r="CT915" s="20"/>
      <c r="CU915" s="20"/>
      <c r="CV915" s="20"/>
      <c r="CW915" s="20"/>
      <c r="CX915" s="20"/>
      <c r="CY915" s="20"/>
    </row>
    <row r="916" spans="1:103" s="6" customFormat="1">
      <c r="A916"/>
      <c r="B916"/>
      <c r="C916"/>
      <c r="D916"/>
      <c r="E916"/>
      <c r="F916"/>
      <c r="G916"/>
      <c r="H916"/>
      <c r="I916"/>
      <c r="J916"/>
      <c r="N916" s="7"/>
      <c r="O916"/>
      <c r="P916" s="10"/>
      <c r="Q916" s="9"/>
      <c r="R916" s="10"/>
      <c r="S916" s="10"/>
      <c r="AA916" s="11"/>
      <c r="AD916"/>
      <c r="AE916"/>
      <c r="AF916"/>
      <c r="AG916"/>
      <c r="AH916" s="46"/>
      <c r="AI916"/>
      <c r="AJ916"/>
      <c r="AK916"/>
      <c r="AL916"/>
      <c r="AM916"/>
      <c r="AN916"/>
      <c r="AO916"/>
      <c r="AP916"/>
      <c r="AQ916"/>
      <c r="AR916"/>
      <c r="AS916"/>
      <c r="AT916" s="14"/>
      <c r="AU916"/>
      <c r="AV916"/>
      <c r="AW916"/>
      <c r="AX916" s="10"/>
      <c r="AY916" s="20"/>
      <c r="AZ916" s="16"/>
      <c r="BA916"/>
      <c r="BB916"/>
      <c r="BC916" s="16"/>
      <c r="BD916"/>
      <c r="BE916"/>
      <c r="BF916"/>
      <c r="BG916"/>
      <c r="BH916"/>
      <c r="BI916"/>
      <c r="BJ916"/>
      <c r="BK916"/>
      <c r="BL916"/>
      <c r="BM916"/>
      <c r="BN916" s="19"/>
      <c r="BO916"/>
      <c r="BP916"/>
      <c r="BQ916"/>
      <c r="BR916"/>
      <c r="BS916"/>
      <c r="BT916"/>
      <c r="BU916"/>
      <c r="BV916"/>
      <c r="BW916"/>
      <c r="BX916"/>
      <c r="BY916"/>
      <c r="BZ916"/>
      <c r="CA916"/>
      <c r="CB916"/>
      <c r="CC916"/>
      <c r="CD916"/>
      <c r="CE916"/>
      <c r="CF916"/>
      <c r="CG916"/>
      <c r="CH916"/>
      <c r="CI916"/>
      <c r="CJ916"/>
      <c r="CK916"/>
      <c r="CL916"/>
      <c r="CM916" s="20"/>
      <c r="CN916" s="20"/>
      <c r="CO916" s="20"/>
      <c r="CP916" s="20"/>
      <c r="CQ916" s="20"/>
      <c r="CR916" s="20"/>
      <c r="CS916" s="20"/>
      <c r="CT916" s="20"/>
      <c r="CU916" s="20"/>
      <c r="CV916" s="20"/>
      <c r="CW916" s="20"/>
      <c r="CX916" s="20"/>
      <c r="CY916" s="20"/>
    </row>
    <row r="917" spans="1:103" s="6" customFormat="1">
      <c r="A917"/>
      <c r="B917"/>
      <c r="C917"/>
      <c r="D917"/>
      <c r="E917"/>
      <c r="F917"/>
      <c r="G917"/>
      <c r="H917"/>
      <c r="I917"/>
      <c r="J917"/>
      <c r="N917" s="7"/>
      <c r="O917"/>
      <c r="P917" s="10"/>
      <c r="Q917" s="9"/>
      <c r="R917" s="10"/>
      <c r="S917" s="10"/>
      <c r="AA917" s="11"/>
      <c r="AD917"/>
      <c r="AE917"/>
      <c r="AF917"/>
      <c r="AG917"/>
      <c r="AH917" s="46"/>
      <c r="AI917"/>
      <c r="AJ917"/>
      <c r="AK917"/>
      <c r="AL917"/>
      <c r="AM917"/>
      <c r="AN917"/>
      <c r="AO917"/>
      <c r="AP917"/>
      <c r="AQ917"/>
      <c r="AR917"/>
      <c r="AS917"/>
      <c r="AT917" s="14"/>
      <c r="AU917"/>
      <c r="AV917"/>
      <c r="AW917"/>
      <c r="AX917" s="10"/>
      <c r="AY917" s="20"/>
      <c r="AZ917" s="16"/>
      <c r="BA917"/>
      <c r="BB917"/>
      <c r="BC917" s="16"/>
      <c r="BD917"/>
      <c r="BE917"/>
      <c r="BF917"/>
      <c r="BG917"/>
      <c r="BH917"/>
      <c r="BI917"/>
      <c r="BJ917"/>
      <c r="BK917"/>
      <c r="BL917"/>
      <c r="BM917"/>
      <c r="BN917" s="19"/>
      <c r="BO917"/>
      <c r="BP917"/>
      <c r="BQ917"/>
      <c r="BR917"/>
      <c r="BS917"/>
      <c r="BT917"/>
      <c r="BU917"/>
      <c r="BV917"/>
      <c r="BW917"/>
      <c r="BX917"/>
      <c r="BY917"/>
      <c r="BZ917"/>
      <c r="CA917"/>
      <c r="CB917"/>
      <c r="CC917"/>
      <c r="CD917"/>
      <c r="CE917"/>
      <c r="CF917"/>
      <c r="CG917"/>
      <c r="CH917"/>
      <c r="CI917"/>
      <c r="CJ917"/>
      <c r="CK917"/>
      <c r="CL917"/>
      <c r="CM917" s="20"/>
      <c r="CN917" s="20"/>
      <c r="CO917" s="20"/>
      <c r="CP917" s="20"/>
      <c r="CQ917" s="20"/>
      <c r="CR917" s="20"/>
      <c r="CS917" s="20"/>
      <c r="CT917" s="20"/>
      <c r="CU917" s="20"/>
      <c r="CV917" s="20"/>
      <c r="CW917" s="20"/>
      <c r="CX917" s="20"/>
      <c r="CY917" s="20"/>
    </row>
    <row r="918" spans="1:103" s="6" customFormat="1">
      <c r="A918"/>
      <c r="B918"/>
      <c r="C918"/>
      <c r="D918"/>
      <c r="E918"/>
      <c r="F918"/>
      <c r="G918"/>
      <c r="H918"/>
      <c r="I918"/>
      <c r="J918"/>
      <c r="N918" s="7"/>
      <c r="O918"/>
      <c r="P918" s="10"/>
      <c r="Q918" s="9"/>
      <c r="R918" s="10"/>
      <c r="S918" s="10"/>
      <c r="AA918" s="11"/>
      <c r="AD918"/>
      <c r="AE918"/>
      <c r="AF918"/>
      <c r="AG918"/>
      <c r="AH918" s="46"/>
      <c r="AI918"/>
      <c r="AJ918"/>
      <c r="AK918"/>
      <c r="AL918"/>
      <c r="AM918"/>
      <c r="AN918"/>
      <c r="AO918"/>
      <c r="AP918"/>
      <c r="AQ918"/>
      <c r="AR918"/>
      <c r="AS918"/>
      <c r="AT918" s="14"/>
      <c r="AU918"/>
      <c r="AV918"/>
      <c r="AW918"/>
      <c r="AX918" s="10"/>
      <c r="AY918" s="20"/>
      <c r="AZ918" s="16"/>
      <c r="BA918"/>
      <c r="BB918"/>
      <c r="BC918" s="16"/>
      <c r="BD918"/>
      <c r="BE918"/>
      <c r="BF918"/>
      <c r="BG918"/>
      <c r="BH918"/>
      <c r="BI918"/>
      <c r="BJ918"/>
      <c r="BK918"/>
      <c r="BL918"/>
      <c r="BM918"/>
      <c r="BN918" s="19"/>
      <c r="BO918"/>
      <c r="BP918"/>
      <c r="BQ918"/>
      <c r="BR918"/>
      <c r="BS918"/>
      <c r="BT918"/>
      <c r="BU918"/>
      <c r="BV918"/>
      <c r="BW918"/>
      <c r="BX918"/>
      <c r="BY918"/>
      <c r="BZ918"/>
      <c r="CA918"/>
      <c r="CB918"/>
      <c r="CC918"/>
      <c r="CD918"/>
      <c r="CE918"/>
      <c r="CF918"/>
      <c r="CG918"/>
      <c r="CH918"/>
      <c r="CI918"/>
      <c r="CJ918"/>
      <c r="CK918"/>
      <c r="CL918"/>
      <c r="CM918" s="20"/>
      <c r="CN918" s="20"/>
      <c r="CO918" s="20"/>
      <c r="CP918" s="20"/>
      <c r="CQ918" s="20"/>
      <c r="CR918" s="20"/>
      <c r="CS918" s="20"/>
      <c r="CT918" s="20"/>
      <c r="CU918" s="20"/>
      <c r="CV918" s="20"/>
      <c r="CW918" s="20"/>
      <c r="CX918" s="20"/>
      <c r="CY918" s="20"/>
    </row>
    <row r="919" spans="1:103" s="6" customFormat="1">
      <c r="A919"/>
      <c r="B919"/>
      <c r="C919"/>
      <c r="D919"/>
      <c r="E919"/>
      <c r="F919"/>
      <c r="G919"/>
      <c r="H919"/>
      <c r="I919"/>
      <c r="J919"/>
      <c r="N919" s="7"/>
      <c r="O919"/>
      <c r="P919" s="10"/>
      <c r="Q919" s="9"/>
      <c r="R919" s="10"/>
      <c r="S919" s="10"/>
      <c r="AA919" s="11"/>
      <c r="AD919"/>
      <c r="AE919"/>
      <c r="AF919"/>
      <c r="AG919"/>
      <c r="AH919" s="46"/>
      <c r="AI919"/>
      <c r="AJ919"/>
      <c r="AK919"/>
      <c r="AL919"/>
      <c r="AM919"/>
      <c r="AN919"/>
      <c r="AO919"/>
      <c r="AP919"/>
      <c r="AQ919"/>
      <c r="AR919"/>
      <c r="AS919"/>
      <c r="AT919" s="14"/>
      <c r="AU919"/>
      <c r="AV919"/>
      <c r="AW919"/>
      <c r="AX919" s="10"/>
      <c r="AY919" s="20"/>
      <c r="AZ919" s="16"/>
      <c r="BA919"/>
      <c r="BB919"/>
      <c r="BC919" s="16"/>
      <c r="BD919"/>
      <c r="BE919"/>
      <c r="BF919"/>
      <c r="BG919"/>
      <c r="BH919"/>
      <c r="BI919"/>
      <c r="BJ919"/>
      <c r="BK919"/>
      <c r="BL919"/>
      <c r="BM919"/>
      <c r="BN919" s="19"/>
      <c r="BO919"/>
      <c r="BP919"/>
      <c r="BQ919"/>
      <c r="BR919"/>
      <c r="BS919"/>
      <c r="BT919"/>
      <c r="BU919"/>
      <c r="BV919"/>
      <c r="BW919"/>
      <c r="BX919"/>
      <c r="BY919"/>
      <c r="BZ919"/>
      <c r="CA919"/>
      <c r="CB919"/>
      <c r="CC919"/>
      <c r="CD919"/>
      <c r="CE919"/>
      <c r="CF919"/>
      <c r="CG919"/>
      <c r="CH919"/>
      <c r="CI919"/>
      <c r="CJ919"/>
      <c r="CK919"/>
      <c r="CL919"/>
      <c r="CM919" s="20"/>
      <c r="CN919" s="20"/>
      <c r="CO919" s="20"/>
      <c r="CP919" s="20"/>
      <c r="CQ919" s="20"/>
      <c r="CR919" s="20"/>
      <c r="CS919" s="20"/>
      <c r="CT919" s="20"/>
      <c r="CU919" s="20"/>
      <c r="CV919" s="20"/>
      <c r="CW919" s="20"/>
      <c r="CX919" s="20"/>
      <c r="CY919" s="20"/>
    </row>
    <row r="920" spans="1:103" s="6" customFormat="1">
      <c r="A920"/>
      <c r="B920"/>
      <c r="C920"/>
      <c r="D920"/>
      <c r="E920"/>
      <c r="F920"/>
      <c r="G920"/>
      <c r="H920"/>
      <c r="I920"/>
      <c r="J920"/>
      <c r="N920" s="7"/>
      <c r="O920"/>
      <c r="P920" s="10"/>
      <c r="Q920" s="9"/>
      <c r="R920" s="10"/>
      <c r="S920" s="10"/>
      <c r="AA920" s="11"/>
      <c r="AD920"/>
      <c r="AE920"/>
      <c r="AF920"/>
      <c r="AG920"/>
      <c r="AH920" s="46"/>
      <c r="AI920"/>
      <c r="AJ920"/>
      <c r="AK920"/>
      <c r="AL920"/>
      <c r="AM920"/>
      <c r="AN920"/>
      <c r="AO920"/>
      <c r="AP920"/>
      <c r="AQ920"/>
      <c r="AR920"/>
      <c r="AS920"/>
      <c r="AT920" s="14"/>
      <c r="AU920"/>
      <c r="AV920"/>
      <c r="AW920"/>
      <c r="AX920" s="10"/>
      <c r="AY920" s="20"/>
      <c r="AZ920" s="16"/>
      <c r="BA920"/>
      <c r="BB920"/>
      <c r="BC920" s="16"/>
      <c r="BD920"/>
      <c r="BE920"/>
      <c r="BF920"/>
      <c r="BG920"/>
      <c r="BH920"/>
      <c r="BI920"/>
      <c r="BJ920"/>
      <c r="BK920"/>
      <c r="BL920"/>
      <c r="BM920"/>
      <c r="BN920" s="19"/>
      <c r="BO920"/>
      <c r="BP920"/>
      <c r="BQ920"/>
      <c r="BR920"/>
      <c r="BS920"/>
      <c r="BT920"/>
      <c r="BU920"/>
      <c r="BV920"/>
      <c r="BW920"/>
      <c r="BX920"/>
      <c r="BY920"/>
      <c r="BZ920"/>
      <c r="CA920"/>
      <c r="CB920"/>
      <c r="CC920"/>
      <c r="CD920"/>
      <c r="CE920"/>
      <c r="CF920"/>
      <c r="CG920"/>
      <c r="CH920"/>
      <c r="CI920"/>
      <c r="CJ920"/>
      <c r="CK920"/>
      <c r="CL920"/>
      <c r="CM920" s="20"/>
      <c r="CN920" s="20"/>
      <c r="CO920" s="20"/>
      <c r="CP920" s="20"/>
      <c r="CQ920" s="20"/>
      <c r="CR920" s="20"/>
      <c r="CS920" s="20"/>
      <c r="CT920" s="20"/>
      <c r="CU920" s="20"/>
      <c r="CV920" s="20"/>
      <c r="CW920" s="20"/>
      <c r="CX920" s="20"/>
      <c r="CY920" s="20"/>
    </row>
    <row r="921" spans="1:103" s="6" customFormat="1">
      <c r="A921"/>
      <c r="B921"/>
      <c r="C921"/>
      <c r="D921"/>
      <c r="E921"/>
      <c r="F921"/>
      <c r="G921"/>
      <c r="H921"/>
      <c r="I921"/>
      <c r="J921"/>
      <c r="N921" s="7"/>
      <c r="O921"/>
      <c r="P921" s="10"/>
      <c r="Q921" s="9"/>
      <c r="R921" s="10"/>
      <c r="S921" s="10"/>
      <c r="AA921" s="11"/>
      <c r="AD921"/>
      <c r="AE921"/>
      <c r="AF921"/>
      <c r="AG921"/>
      <c r="AH921" s="46"/>
      <c r="AI921"/>
      <c r="AJ921"/>
      <c r="AK921"/>
      <c r="AL921"/>
      <c r="AM921"/>
      <c r="AN921"/>
      <c r="AO921"/>
      <c r="AP921"/>
      <c r="AQ921"/>
      <c r="AR921"/>
      <c r="AS921"/>
      <c r="AT921" s="14"/>
      <c r="AU921"/>
      <c r="AV921"/>
      <c r="AW921"/>
      <c r="AX921" s="10"/>
      <c r="AY921" s="20"/>
      <c r="AZ921" s="16"/>
      <c r="BA921"/>
      <c r="BB921"/>
      <c r="BC921" s="16"/>
      <c r="BD921"/>
      <c r="BE921"/>
      <c r="BF921"/>
      <c r="BG921"/>
      <c r="BH921"/>
      <c r="BI921"/>
      <c r="BJ921"/>
      <c r="BK921"/>
      <c r="BL921"/>
      <c r="BM921"/>
      <c r="BN921" s="19"/>
      <c r="BO921"/>
      <c r="BP921"/>
      <c r="BQ921"/>
      <c r="BR921"/>
      <c r="BS921"/>
      <c r="BT921"/>
      <c r="BU921"/>
      <c r="BV921"/>
      <c r="BW921"/>
      <c r="BX921"/>
      <c r="BY921"/>
      <c r="BZ921"/>
      <c r="CA921"/>
      <c r="CB921"/>
      <c r="CC921"/>
      <c r="CD921"/>
      <c r="CE921"/>
      <c r="CF921"/>
      <c r="CG921"/>
      <c r="CH921"/>
      <c r="CI921"/>
      <c r="CJ921"/>
      <c r="CK921"/>
      <c r="CL921"/>
      <c r="CM921" s="20"/>
      <c r="CN921" s="20"/>
      <c r="CO921" s="20"/>
      <c r="CP921" s="20"/>
      <c r="CQ921" s="20"/>
      <c r="CR921" s="20"/>
      <c r="CS921" s="20"/>
      <c r="CT921" s="20"/>
      <c r="CU921" s="20"/>
      <c r="CV921" s="20"/>
      <c r="CW921" s="20"/>
      <c r="CX921" s="20"/>
      <c r="CY921" s="20"/>
    </row>
    <row r="922" spans="1:103" s="6" customFormat="1">
      <c r="A922"/>
      <c r="B922"/>
      <c r="C922"/>
      <c r="D922"/>
      <c r="E922"/>
      <c r="F922"/>
      <c r="G922"/>
      <c r="H922"/>
      <c r="I922"/>
      <c r="J922"/>
      <c r="N922" s="7"/>
      <c r="O922"/>
      <c r="P922" s="10"/>
      <c r="Q922" s="9"/>
      <c r="R922" s="10"/>
      <c r="S922" s="10"/>
      <c r="AA922" s="11"/>
      <c r="AD922"/>
      <c r="AE922"/>
      <c r="AF922"/>
      <c r="AG922"/>
      <c r="AH922" s="46"/>
      <c r="AI922"/>
      <c r="AJ922"/>
      <c r="AK922"/>
      <c r="AL922"/>
      <c r="AM922"/>
      <c r="AN922"/>
      <c r="AO922"/>
      <c r="AP922"/>
      <c r="AQ922"/>
      <c r="AR922"/>
      <c r="AS922"/>
      <c r="AT922" s="14"/>
      <c r="AU922"/>
      <c r="AV922"/>
      <c r="AW922"/>
      <c r="AX922" s="10"/>
      <c r="AY922" s="20"/>
      <c r="AZ922" s="16"/>
      <c r="BA922"/>
      <c r="BB922"/>
      <c r="BC922" s="16"/>
      <c r="BD922"/>
      <c r="BE922"/>
      <c r="BF922"/>
      <c r="BG922"/>
      <c r="BH922"/>
      <c r="BI922"/>
      <c r="BJ922"/>
      <c r="BK922"/>
      <c r="BL922"/>
      <c r="BM922"/>
      <c r="BN922" s="19"/>
      <c r="BO922"/>
      <c r="BP922"/>
      <c r="BQ922"/>
      <c r="BR922"/>
      <c r="BS922"/>
      <c r="BT922"/>
      <c r="BU922"/>
      <c r="BV922"/>
      <c r="BW922"/>
      <c r="BX922"/>
      <c r="BY922"/>
      <c r="BZ922"/>
      <c r="CA922"/>
      <c r="CB922"/>
      <c r="CC922"/>
      <c r="CD922"/>
      <c r="CE922"/>
      <c r="CF922"/>
      <c r="CG922"/>
      <c r="CH922"/>
      <c r="CI922"/>
      <c r="CJ922"/>
      <c r="CK922"/>
      <c r="CL922"/>
      <c r="CM922" s="20"/>
      <c r="CN922" s="20"/>
      <c r="CO922" s="20"/>
      <c r="CP922" s="20"/>
      <c r="CQ922" s="20"/>
      <c r="CR922" s="20"/>
      <c r="CS922" s="20"/>
      <c r="CT922" s="20"/>
      <c r="CU922" s="20"/>
      <c r="CV922" s="20"/>
      <c r="CW922" s="20"/>
      <c r="CX922" s="20"/>
      <c r="CY922" s="20"/>
    </row>
    <row r="923" spans="1:103" s="6" customFormat="1">
      <c r="A923"/>
      <c r="B923"/>
      <c r="C923"/>
      <c r="D923"/>
      <c r="E923"/>
      <c r="F923"/>
      <c r="G923"/>
      <c r="H923"/>
      <c r="I923"/>
      <c r="J923"/>
      <c r="N923" s="7"/>
      <c r="O923"/>
      <c r="P923" s="10"/>
      <c r="Q923" s="9"/>
      <c r="R923" s="10"/>
      <c r="S923" s="10"/>
      <c r="AA923" s="11"/>
      <c r="AD923"/>
      <c r="AE923"/>
      <c r="AF923"/>
      <c r="AG923"/>
      <c r="AH923" s="46"/>
      <c r="AI923"/>
      <c r="AJ923"/>
      <c r="AK923"/>
      <c r="AL923"/>
      <c r="AM923"/>
      <c r="AN923"/>
      <c r="AO923"/>
      <c r="AP923"/>
      <c r="AQ923"/>
      <c r="AR923"/>
      <c r="AS923"/>
      <c r="AT923" s="14"/>
      <c r="AU923"/>
      <c r="AV923"/>
      <c r="AW923"/>
      <c r="AX923" s="10"/>
      <c r="AY923" s="20"/>
      <c r="AZ923" s="16"/>
      <c r="BA923"/>
      <c r="BB923"/>
      <c r="BC923" s="16"/>
      <c r="BD923"/>
      <c r="BE923"/>
      <c r="BF923"/>
      <c r="BG923"/>
      <c r="BH923"/>
      <c r="BI923"/>
      <c r="BJ923"/>
      <c r="BK923"/>
      <c r="BL923"/>
      <c r="BM923"/>
      <c r="BN923" s="19"/>
      <c r="BO923"/>
      <c r="BP923"/>
      <c r="BQ923"/>
      <c r="BR923"/>
      <c r="BS923"/>
      <c r="BT923"/>
      <c r="BU923"/>
      <c r="BV923"/>
      <c r="BW923"/>
      <c r="BX923"/>
      <c r="BY923"/>
      <c r="BZ923"/>
      <c r="CA923"/>
      <c r="CB923"/>
      <c r="CC923"/>
      <c r="CD923"/>
      <c r="CE923"/>
      <c r="CF923"/>
      <c r="CG923"/>
      <c r="CH923"/>
      <c r="CI923"/>
      <c r="CJ923"/>
      <c r="CK923"/>
      <c r="CL923"/>
      <c r="CM923" s="20"/>
      <c r="CN923" s="20"/>
      <c r="CO923" s="20"/>
      <c r="CP923" s="20"/>
      <c r="CQ923" s="20"/>
      <c r="CR923" s="20"/>
      <c r="CS923" s="20"/>
      <c r="CT923" s="20"/>
      <c r="CU923" s="20"/>
      <c r="CV923" s="20"/>
      <c r="CW923" s="20"/>
      <c r="CX923" s="20"/>
      <c r="CY923" s="20"/>
    </row>
    <row r="924" spans="1:103" s="6" customFormat="1">
      <c r="A924"/>
      <c r="B924"/>
      <c r="C924"/>
      <c r="D924"/>
      <c r="E924"/>
      <c r="F924"/>
      <c r="G924"/>
      <c r="H924"/>
      <c r="I924"/>
      <c r="J924"/>
      <c r="N924" s="7"/>
      <c r="O924"/>
      <c r="P924" s="10"/>
      <c r="Q924" s="9"/>
      <c r="R924" s="10"/>
      <c r="S924" s="10"/>
      <c r="AA924" s="11"/>
      <c r="AD924"/>
      <c r="AE924"/>
      <c r="AF924"/>
      <c r="AG924"/>
      <c r="AH924" s="46"/>
      <c r="AI924"/>
      <c r="AJ924"/>
      <c r="AK924"/>
      <c r="AL924"/>
      <c r="AM924"/>
      <c r="AN924"/>
      <c r="AO924"/>
      <c r="AP924"/>
      <c r="AQ924"/>
      <c r="AR924"/>
      <c r="AS924"/>
      <c r="AT924" s="14"/>
      <c r="AU924"/>
      <c r="AV924"/>
      <c r="AW924"/>
      <c r="AX924" s="10"/>
      <c r="AY924" s="20"/>
      <c r="AZ924" s="16"/>
      <c r="BA924"/>
      <c r="BB924"/>
      <c r="BC924" s="16"/>
      <c r="BD924"/>
      <c r="BE924"/>
      <c r="BF924"/>
      <c r="BG924"/>
      <c r="BH924"/>
      <c r="BI924"/>
      <c r="BJ924"/>
      <c r="BK924"/>
      <c r="BL924"/>
      <c r="BM924"/>
      <c r="BN924" s="19"/>
      <c r="BO924"/>
      <c r="BP924"/>
      <c r="BQ924"/>
      <c r="BR924"/>
      <c r="BS924"/>
      <c r="BT924"/>
      <c r="BU924"/>
      <c r="BV924"/>
      <c r="BW924"/>
      <c r="BX924"/>
      <c r="BY924"/>
      <c r="BZ924"/>
      <c r="CA924"/>
      <c r="CB924"/>
      <c r="CC924"/>
      <c r="CD924"/>
      <c r="CE924"/>
      <c r="CF924"/>
      <c r="CG924"/>
      <c r="CH924"/>
      <c r="CI924"/>
      <c r="CJ924"/>
      <c r="CK924"/>
      <c r="CL924"/>
      <c r="CM924" s="20"/>
      <c r="CN924" s="20"/>
      <c r="CO924" s="20"/>
      <c r="CP924" s="20"/>
      <c r="CQ924" s="20"/>
      <c r="CR924" s="20"/>
      <c r="CS924" s="20"/>
      <c r="CT924" s="20"/>
      <c r="CU924" s="20"/>
      <c r="CV924" s="20"/>
      <c r="CW924" s="20"/>
      <c r="CX924" s="20"/>
      <c r="CY924" s="20"/>
    </row>
    <row r="925" spans="1:103" s="6" customFormat="1">
      <c r="A925"/>
      <c r="B925"/>
      <c r="C925"/>
      <c r="D925"/>
      <c r="E925"/>
      <c r="F925"/>
      <c r="G925"/>
      <c r="H925"/>
      <c r="I925"/>
      <c r="J925"/>
      <c r="N925" s="7"/>
      <c r="O925"/>
      <c r="P925" s="10"/>
      <c r="Q925" s="9"/>
      <c r="R925" s="10"/>
      <c r="S925" s="10"/>
      <c r="AA925" s="11"/>
      <c r="AD925"/>
      <c r="AE925"/>
      <c r="AF925"/>
      <c r="AG925"/>
      <c r="AH925" s="46"/>
      <c r="AI925"/>
      <c r="AJ925"/>
      <c r="AK925"/>
      <c r="AL925"/>
      <c r="AM925"/>
      <c r="AN925"/>
      <c r="AO925"/>
      <c r="AP925"/>
      <c r="AQ925"/>
      <c r="AR925"/>
      <c r="AS925"/>
      <c r="AT925" s="14"/>
      <c r="AU925"/>
      <c r="AV925"/>
      <c r="AW925"/>
      <c r="AX925" s="10"/>
      <c r="AY925" s="20"/>
      <c r="AZ925" s="16"/>
      <c r="BA925"/>
      <c r="BB925"/>
      <c r="BC925" s="16"/>
      <c r="BD925"/>
      <c r="BE925"/>
      <c r="BF925"/>
      <c r="BG925"/>
      <c r="BH925"/>
      <c r="BI925"/>
      <c r="BJ925"/>
      <c r="BK925"/>
      <c r="BL925"/>
      <c r="BM925"/>
      <c r="BN925" s="19"/>
      <c r="BO925"/>
      <c r="BP925"/>
      <c r="BQ925"/>
      <c r="BR925"/>
      <c r="BS925"/>
      <c r="BT925"/>
      <c r="BU925"/>
      <c r="BV925"/>
      <c r="BW925"/>
      <c r="BX925"/>
      <c r="BY925"/>
      <c r="BZ925"/>
      <c r="CA925"/>
      <c r="CB925"/>
      <c r="CC925"/>
      <c r="CD925"/>
      <c r="CE925"/>
      <c r="CF925"/>
      <c r="CG925"/>
      <c r="CH925"/>
      <c r="CI925"/>
      <c r="CJ925"/>
      <c r="CK925"/>
      <c r="CL925"/>
      <c r="CM925" s="20"/>
      <c r="CN925" s="20"/>
      <c r="CO925" s="20"/>
      <c r="CP925" s="20"/>
      <c r="CQ925" s="20"/>
      <c r="CR925" s="20"/>
      <c r="CS925" s="20"/>
      <c r="CT925" s="20"/>
      <c r="CU925" s="20"/>
      <c r="CV925" s="20"/>
      <c r="CW925" s="20"/>
      <c r="CX925" s="20"/>
      <c r="CY925" s="20"/>
    </row>
    <row r="926" spans="1:103" s="6" customFormat="1">
      <c r="A926"/>
      <c r="B926"/>
      <c r="C926"/>
      <c r="D926"/>
      <c r="E926"/>
      <c r="F926"/>
      <c r="G926"/>
      <c r="H926"/>
      <c r="I926"/>
      <c r="J926"/>
      <c r="N926" s="7"/>
      <c r="O926"/>
      <c r="P926" s="10"/>
      <c r="Q926" s="9"/>
      <c r="R926" s="10"/>
      <c r="S926" s="10"/>
      <c r="AA926" s="11"/>
      <c r="AD926"/>
      <c r="AE926"/>
      <c r="AF926"/>
      <c r="AG926"/>
      <c r="AH926" s="46"/>
      <c r="AI926"/>
      <c r="AJ926"/>
      <c r="AK926"/>
      <c r="AL926"/>
      <c r="AM926"/>
      <c r="AN926"/>
      <c r="AO926"/>
      <c r="AP926"/>
      <c r="AQ926"/>
      <c r="AR926"/>
      <c r="AS926"/>
      <c r="AT926" s="14"/>
      <c r="AU926"/>
      <c r="AV926"/>
      <c r="AW926"/>
      <c r="AX926" s="10"/>
      <c r="AY926" s="20"/>
      <c r="AZ926" s="16"/>
      <c r="BA926"/>
      <c r="BB926"/>
      <c r="BC926" s="16"/>
      <c r="BD926"/>
      <c r="BE926"/>
      <c r="BF926"/>
      <c r="BG926"/>
      <c r="BH926"/>
      <c r="BI926"/>
      <c r="BJ926"/>
      <c r="BK926"/>
      <c r="BL926"/>
      <c r="BM926"/>
      <c r="BN926" s="19"/>
      <c r="BO926"/>
      <c r="BP926"/>
      <c r="BQ926"/>
      <c r="BR926"/>
      <c r="BS926"/>
      <c r="BT926"/>
      <c r="BU926"/>
      <c r="BV926"/>
      <c r="BW926"/>
      <c r="BX926"/>
      <c r="BY926"/>
      <c r="BZ926"/>
      <c r="CA926"/>
      <c r="CB926"/>
      <c r="CC926"/>
      <c r="CD926"/>
      <c r="CE926"/>
      <c r="CF926"/>
      <c r="CG926"/>
      <c r="CH926"/>
      <c r="CI926"/>
      <c r="CJ926"/>
      <c r="CK926"/>
      <c r="CL926"/>
      <c r="CM926" s="20"/>
      <c r="CN926" s="20"/>
      <c r="CO926" s="20"/>
      <c r="CP926" s="20"/>
      <c r="CQ926" s="20"/>
      <c r="CR926" s="20"/>
      <c r="CS926" s="20"/>
      <c r="CT926" s="20"/>
      <c r="CU926" s="20"/>
      <c r="CV926" s="20"/>
      <c r="CW926" s="20"/>
      <c r="CX926" s="20"/>
      <c r="CY926" s="20"/>
    </row>
    <row r="927" spans="1:103" s="6" customFormat="1">
      <c r="A927"/>
      <c r="B927"/>
      <c r="C927"/>
      <c r="D927"/>
      <c r="E927"/>
      <c r="F927"/>
      <c r="G927"/>
      <c r="H927"/>
      <c r="I927"/>
      <c r="J927"/>
      <c r="N927" s="7"/>
      <c r="O927"/>
      <c r="P927" s="10"/>
      <c r="Q927" s="9"/>
      <c r="R927" s="10"/>
      <c r="S927" s="10"/>
      <c r="AA927" s="11"/>
      <c r="AD927"/>
      <c r="AE927"/>
      <c r="AF927"/>
      <c r="AG927"/>
      <c r="AH927" s="46"/>
      <c r="AI927"/>
      <c r="AJ927"/>
      <c r="AK927"/>
      <c r="AL927"/>
      <c r="AM927"/>
      <c r="AN927"/>
      <c r="AO927"/>
      <c r="AP927"/>
      <c r="AQ927"/>
      <c r="AR927"/>
      <c r="AS927"/>
      <c r="AT927" s="14"/>
      <c r="AU927"/>
      <c r="AV927"/>
      <c r="AW927"/>
      <c r="AX927" s="10"/>
      <c r="AY927" s="20"/>
      <c r="AZ927" s="16"/>
      <c r="BA927"/>
      <c r="BB927"/>
      <c r="BC927" s="16"/>
      <c r="BD927"/>
      <c r="BE927"/>
      <c r="BF927"/>
      <c r="BG927"/>
      <c r="BH927"/>
      <c r="BI927"/>
      <c r="BJ927"/>
      <c r="BK927"/>
      <c r="BL927"/>
      <c r="BM927"/>
      <c r="BN927" s="19"/>
      <c r="BO927"/>
      <c r="BP927"/>
      <c r="BQ927"/>
      <c r="BR927"/>
      <c r="BS927"/>
      <c r="BT927"/>
      <c r="BU927"/>
      <c r="BV927"/>
      <c r="BW927"/>
      <c r="BX927"/>
      <c r="BY927"/>
      <c r="BZ927"/>
      <c r="CA927"/>
      <c r="CB927"/>
      <c r="CC927"/>
      <c r="CD927"/>
      <c r="CE927"/>
      <c r="CF927"/>
      <c r="CG927"/>
      <c r="CH927"/>
      <c r="CI927"/>
      <c r="CJ927"/>
      <c r="CK927"/>
      <c r="CL927"/>
      <c r="CM927" s="20"/>
      <c r="CN927" s="20"/>
      <c r="CO927" s="20"/>
      <c r="CP927" s="20"/>
      <c r="CQ927" s="20"/>
      <c r="CR927" s="20"/>
      <c r="CS927" s="20"/>
      <c r="CT927" s="20"/>
      <c r="CU927" s="20"/>
      <c r="CV927" s="20"/>
      <c r="CW927" s="20"/>
      <c r="CX927" s="20"/>
      <c r="CY927" s="20"/>
    </row>
    <row r="928" spans="1:103" s="6" customFormat="1">
      <c r="A928"/>
      <c r="B928"/>
      <c r="C928"/>
      <c r="D928"/>
      <c r="E928"/>
      <c r="F928"/>
      <c r="G928"/>
      <c r="H928"/>
      <c r="I928"/>
      <c r="J928"/>
      <c r="N928" s="7"/>
      <c r="O928"/>
      <c r="P928" s="10"/>
      <c r="Q928" s="9"/>
      <c r="R928" s="10"/>
      <c r="S928" s="10"/>
      <c r="AA928" s="11"/>
      <c r="AD928"/>
      <c r="AE928"/>
      <c r="AF928"/>
      <c r="AG928"/>
      <c r="AH928" s="46"/>
      <c r="AI928"/>
      <c r="AJ928"/>
      <c r="AK928"/>
      <c r="AL928"/>
      <c r="AM928"/>
      <c r="AN928"/>
      <c r="AO928"/>
      <c r="AP928"/>
      <c r="AQ928"/>
      <c r="AR928"/>
      <c r="AS928"/>
      <c r="AT928" s="14"/>
      <c r="AU928"/>
      <c r="AV928"/>
      <c r="AW928"/>
      <c r="AX928" s="10"/>
      <c r="AY928" s="20"/>
      <c r="AZ928" s="16"/>
      <c r="BA928"/>
      <c r="BB928"/>
      <c r="BC928" s="16"/>
      <c r="BD928"/>
      <c r="BE928"/>
      <c r="BF928"/>
      <c r="BG928"/>
      <c r="BH928"/>
      <c r="BI928"/>
      <c r="BJ928"/>
      <c r="BK928"/>
      <c r="BL928"/>
      <c r="BM928"/>
      <c r="BN928" s="19"/>
      <c r="BO928"/>
      <c r="BP928"/>
      <c r="BQ928"/>
      <c r="BR928"/>
      <c r="BS928"/>
      <c r="BT928"/>
      <c r="BU928"/>
      <c r="BV928"/>
      <c r="BW928"/>
      <c r="BX928"/>
      <c r="BY928"/>
      <c r="BZ928"/>
      <c r="CA928"/>
      <c r="CB928"/>
      <c r="CC928"/>
      <c r="CD928"/>
      <c r="CE928"/>
      <c r="CF928"/>
      <c r="CG928"/>
      <c r="CH928"/>
      <c r="CI928"/>
      <c r="CJ928"/>
      <c r="CK928"/>
      <c r="CL928"/>
      <c r="CM928" s="20"/>
      <c r="CN928" s="20"/>
      <c r="CO928" s="20"/>
      <c r="CP928" s="20"/>
      <c r="CQ928" s="20"/>
      <c r="CR928" s="20"/>
      <c r="CS928" s="20"/>
      <c r="CT928" s="20"/>
      <c r="CU928" s="20"/>
      <c r="CV928" s="20"/>
      <c r="CW928" s="20"/>
      <c r="CX928" s="20"/>
      <c r="CY928" s="20"/>
    </row>
    <row r="929" spans="1:103" s="6" customFormat="1">
      <c r="A929"/>
      <c r="B929"/>
      <c r="C929"/>
      <c r="D929"/>
      <c r="E929"/>
      <c r="F929"/>
      <c r="G929"/>
      <c r="H929"/>
      <c r="I929"/>
      <c r="J929"/>
      <c r="N929" s="7"/>
      <c r="O929"/>
      <c r="P929" s="10"/>
      <c r="Q929" s="9"/>
      <c r="R929" s="10"/>
      <c r="S929" s="10"/>
      <c r="AA929" s="11"/>
      <c r="AD929"/>
      <c r="AE929"/>
      <c r="AF929"/>
      <c r="AG929"/>
      <c r="AH929" s="46"/>
      <c r="AI929"/>
      <c r="AJ929"/>
      <c r="AK929"/>
      <c r="AL929"/>
      <c r="AM929"/>
      <c r="AN929"/>
      <c r="AO929"/>
      <c r="AP929"/>
      <c r="AQ929"/>
      <c r="AR929"/>
      <c r="AS929"/>
      <c r="AT929" s="14"/>
      <c r="AU929"/>
      <c r="AV929"/>
      <c r="AW929"/>
      <c r="AX929" s="10"/>
      <c r="AY929" s="20"/>
      <c r="AZ929" s="16"/>
      <c r="BA929"/>
      <c r="BB929"/>
      <c r="BC929" s="16"/>
      <c r="BD929"/>
      <c r="BE929"/>
      <c r="BF929"/>
      <c r="BG929"/>
      <c r="BH929"/>
      <c r="BI929"/>
      <c r="BJ929"/>
      <c r="BK929"/>
      <c r="BL929"/>
      <c r="BM929"/>
      <c r="BN929" s="19"/>
      <c r="BO929"/>
      <c r="BP929"/>
      <c r="BQ929"/>
      <c r="BR929"/>
      <c r="BS929"/>
      <c r="BT929"/>
      <c r="BU929"/>
      <c r="BV929"/>
      <c r="BW929"/>
      <c r="BX929"/>
      <c r="BY929"/>
      <c r="BZ929"/>
      <c r="CA929"/>
      <c r="CB929"/>
      <c r="CC929"/>
      <c r="CD929"/>
      <c r="CE929"/>
      <c r="CF929"/>
      <c r="CG929"/>
      <c r="CH929"/>
      <c r="CI929"/>
      <c r="CJ929"/>
      <c r="CK929"/>
      <c r="CL929"/>
      <c r="CM929" s="20"/>
      <c r="CN929" s="20"/>
      <c r="CO929" s="20"/>
      <c r="CP929" s="20"/>
      <c r="CQ929" s="20"/>
      <c r="CR929" s="20"/>
      <c r="CS929" s="20"/>
      <c r="CT929" s="20"/>
      <c r="CU929" s="20"/>
      <c r="CV929" s="20"/>
      <c r="CW929" s="20"/>
      <c r="CX929" s="20"/>
      <c r="CY929" s="20"/>
    </row>
    <row r="930" spans="1:103" s="6" customFormat="1">
      <c r="A930"/>
      <c r="B930"/>
      <c r="C930"/>
      <c r="D930"/>
      <c r="E930"/>
      <c r="F930"/>
      <c r="G930"/>
      <c r="H930"/>
      <c r="I930"/>
      <c r="J930"/>
      <c r="N930" s="7"/>
      <c r="O930"/>
      <c r="P930" s="10"/>
      <c r="Q930" s="9"/>
      <c r="R930" s="10"/>
      <c r="S930" s="10"/>
      <c r="AA930" s="11"/>
      <c r="AD930"/>
      <c r="AE930"/>
      <c r="AF930"/>
      <c r="AG930"/>
      <c r="AH930" s="46"/>
      <c r="AI930"/>
      <c r="AJ930"/>
      <c r="AK930"/>
      <c r="AL930"/>
      <c r="AM930"/>
      <c r="AN930"/>
      <c r="AO930"/>
      <c r="AP930"/>
      <c r="AQ930"/>
      <c r="AR930"/>
      <c r="AS930"/>
      <c r="AT930" s="14"/>
      <c r="AU930"/>
      <c r="AV930"/>
      <c r="AW930"/>
      <c r="AX930" s="10"/>
      <c r="AY930" s="20"/>
      <c r="AZ930" s="16"/>
      <c r="BA930"/>
      <c r="BB930"/>
      <c r="BC930" s="16"/>
      <c r="BD930"/>
      <c r="BE930"/>
      <c r="BF930"/>
      <c r="BG930"/>
      <c r="BH930"/>
      <c r="BI930"/>
      <c r="BJ930"/>
      <c r="BK930"/>
      <c r="BL930"/>
      <c r="BM930"/>
      <c r="BN930" s="19"/>
      <c r="BO930"/>
      <c r="BP930"/>
      <c r="BQ930"/>
      <c r="BR930"/>
      <c r="BS930"/>
      <c r="BT930"/>
      <c r="BU930"/>
      <c r="BV930"/>
      <c r="BW930"/>
      <c r="BX930"/>
      <c r="BY930"/>
      <c r="BZ930"/>
      <c r="CA930"/>
      <c r="CB930"/>
      <c r="CC930"/>
      <c r="CD930"/>
      <c r="CE930"/>
      <c r="CF930"/>
      <c r="CG930"/>
      <c r="CH930"/>
      <c r="CI930"/>
      <c r="CJ930"/>
      <c r="CK930"/>
      <c r="CL930"/>
      <c r="CM930" s="20"/>
      <c r="CN930" s="20"/>
      <c r="CO930" s="20"/>
      <c r="CP930" s="20"/>
      <c r="CQ930" s="20"/>
      <c r="CR930" s="20"/>
      <c r="CS930" s="20"/>
      <c r="CT930" s="20"/>
      <c r="CU930" s="20"/>
      <c r="CV930" s="20"/>
      <c r="CW930" s="20"/>
      <c r="CX930" s="20"/>
      <c r="CY930" s="20"/>
    </row>
    <row r="931" spans="1:103" s="6" customFormat="1">
      <c r="A931"/>
      <c r="B931"/>
      <c r="C931"/>
      <c r="D931"/>
      <c r="E931"/>
      <c r="F931"/>
      <c r="G931"/>
      <c r="H931"/>
      <c r="I931"/>
      <c r="J931"/>
      <c r="N931" s="7"/>
      <c r="O931"/>
      <c r="P931" s="10"/>
      <c r="Q931" s="9"/>
      <c r="R931" s="10"/>
      <c r="S931" s="10"/>
      <c r="AA931" s="11"/>
      <c r="AD931"/>
      <c r="AE931"/>
      <c r="AF931"/>
      <c r="AG931"/>
      <c r="AH931" s="46"/>
      <c r="AI931"/>
      <c r="AJ931"/>
      <c r="AK931"/>
      <c r="AL931"/>
      <c r="AM931"/>
      <c r="AN931"/>
      <c r="AO931"/>
      <c r="AP931"/>
      <c r="AQ931"/>
      <c r="AR931"/>
      <c r="AS931"/>
      <c r="AT931" s="14"/>
      <c r="AU931"/>
      <c r="AV931"/>
      <c r="AW931"/>
      <c r="AX931" s="10"/>
      <c r="AY931" s="20"/>
      <c r="AZ931" s="16"/>
      <c r="BA931"/>
      <c r="BB931"/>
      <c r="BC931" s="16"/>
      <c r="BD931"/>
      <c r="BE931"/>
      <c r="BF931"/>
      <c r="BG931"/>
      <c r="BH931"/>
      <c r="BI931"/>
      <c r="BJ931"/>
      <c r="BK931"/>
      <c r="BL931"/>
      <c r="BM931"/>
      <c r="BN931" s="19"/>
      <c r="BO931"/>
      <c r="BP931"/>
      <c r="BQ931"/>
      <c r="BR931"/>
      <c r="BS931"/>
      <c r="BT931"/>
      <c r="BU931"/>
      <c r="BV931"/>
      <c r="BW931"/>
      <c r="BX931"/>
      <c r="BY931"/>
      <c r="BZ931"/>
      <c r="CA931"/>
      <c r="CB931"/>
      <c r="CC931"/>
      <c r="CD931"/>
      <c r="CE931"/>
      <c r="CF931"/>
      <c r="CG931"/>
      <c r="CH931"/>
      <c r="CI931"/>
      <c r="CJ931"/>
      <c r="CK931"/>
      <c r="CL931"/>
      <c r="CM931" s="20"/>
      <c r="CN931" s="20"/>
      <c r="CO931" s="20"/>
      <c r="CP931" s="20"/>
      <c r="CQ931" s="20"/>
      <c r="CR931" s="20"/>
      <c r="CS931" s="20"/>
      <c r="CT931" s="20"/>
      <c r="CU931" s="20"/>
      <c r="CV931" s="20"/>
      <c r="CW931" s="20"/>
      <c r="CX931" s="20"/>
      <c r="CY931" s="20"/>
    </row>
    <row r="932" spans="1:103" s="6" customFormat="1">
      <c r="A932"/>
      <c r="B932"/>
      <c r="C932"/>
      <c r="D932"/>
      <c r="E932"/>
      <c r="F932"/>
      <c r="G932"/>
      <c r="H932"/>
      <c r="I932"/>
      <c r="J932"/>
      <c r="N932" s="7"/>
      <c r="O932"/>
      <c r="P932" s="10"/>
      <c r="Q932" s="9"/>
      <c r="R932" s="10"/>
      <c r="S932" s="10"/>
      <c r="AA932" s="11"/>
      <c r="AD932"/>
      <c r="AE932"/>
      <c r="AF932"/>
      <c r="AG932"/>
      <c r="AH932" s="46"/>
      <c r="AI932"/>
      <c r="AJ932"/>
      <c r="AK932"/>
      <c r="AL932"/>
      <c r="AM932"/>
      <c r="AN932"/>
      <c r="AO932"/>
      <c r="AP932"/>
      <c r="AQ932"/>
      <c r="AR932"/>
      <c r="AS932"/>
      <c r="AT932" s="14"/>
      <c r="AU932"/>
      <c r="AV932"/>
      <c r="AW932"/>
      <c r="AX932" s="10"/>
      <c r="AY932" s="20"/>
      <c r="AZ932" s="16"/>
      <c r="BA932"/>
      <c r="BB932"/>
      <c r="BC932" s="16"/>
      <c r="BD932"/>
      <c r="BE932"/>
      <c r="BF932"/>
      <c r="BG932"/>
      <c r="BH932"/>
      <c r="BI932"/>
      <c r="BJ932"/>
      <c r="BK932"/>
      <c r="BL932"/>
      <c r="BM932"/>
      <c r="BN932" s="19"/>
      <c r="BO932"/>
      <c r="BP932"/>
      <c r="BQ932"/>
      <c r="BR932"/>
      <c r="BS932"/>
      <c r="BT932"/>
      <c r="BU932"/>
      <c r="BV932"/>
      <c r="BW932"/>
      <c r="BX932"/>
      <c r="BY932"/>
      <c r="BZ932"/>
      <c r="CA932"/>
      <c r="CB932"/>
      <c r="CC932"/>
      <c r="CD932"/>
      <c r="CE932"/>
      <c r="CF932"/>
      <c r="CG932"/>
      <c r="CH932"/>
      <c r="CI932"/>
      <c r="CJ932"/>
      <c r="CK932"/>
      <c r="CL932"/>
      <c r="CM932" s="20"/>
      <c r="CN932" s="20"/>
      <c r="CO932" s="20"/>
      <c r="CP932" s="20"/>
      <c r="CQ932" s="20"/>
      <c r="CR932" s="20"/>
      <c r="CS932" s="20"/>
      <c r="CT932" s="20"/>
      <c r="CU932" s="20"/>
      <c r="CV932" s="20"/>
      <c r="CW932" s="20"/>
      <c r="CX932" s="20"/>
      <c r="CY932" s="20"/>
    </row>
    <row r="933" spans="1:103" s="6" customFormat="1">
      <c r="A933"/>
      <c r="B933"/>
      <c r="C933"/>
      <c r="D933"/>
      <c r="E933"/>
      <c r="F933"/>
      <c r="G933"/>
      <c r="H933"/>
      <c r="I933"/>
      <c r="J933"/>
      <c r="N933" s="7"/>
      <c r="O933"/>
      <c r="P933" s="10"/>
      <c r="Q933" s="9"/>
      <c r="R933" s="10"/>
      <c r="S933" s="10"/>
      <c r="AA933" s="11"/>
      <c r="AD933"/>
      <c r="AE933"/>
      <c r="AF933"/>
      <c r="AG933"/>
      <c r="AH933" s="46"/>
      <c r="AI933"/>
      <c r="AJ933"/>
      <c r="AK933"/>
      <c r="AL933"/>
      <c r="AM933"/>
      <c r="AN933"/>
      <c r="AO933"/>
      <c r="AP933"/>
      <c r="AQ933"/>
      <c r="AR933"/>
      <c r="AS933"/>
      <c r="AT933" s="14"/>
      <c r="AU933"/>
      <c r="AV933"/>
      <c r="AW933"/>
      <c r="AX933" s="10"/>
      <c r="AY933" s="20"/>
      <c r="AZ933" s="16"/>
      <c r="BA933"/>
      <c r="BB933"/>
      <c r="BC933" s="16"/>
      <c r="BD933"/>
      <c r="BE933"/>
      <c r="BF933"/>
      <c r="BG933"/>
      <c r="BH933"/>
      <c r="BI933"/>
      <c r="BJ933"/>
      <c r="BK933"/>
      <c r="BL933"/>
      <c r="BM933"/>
      <c r="BN933" s="19"/>
      <c r="BO933"/>
      <c r="BP933"/>
      <c r="BQ933"/>
      <c r="BR933"/>
      <c r="BS933"/>
      <c r="BT933"/>
      <c r="BU933"/>
      <c r="BV933"/>
      <c r="BW933"/>
      <c r="BX933"/>
      <c r="BY933"/>
      <c r="BZ933"/>
      <c r="CA933"/>
      <c r="CB933"/>
      <c r="CC933"/>
      <c r="CD933"/>
      <c r="CE933"/>
      <c r="CF933"/>
      <c r="CG933"/>
      <c r="CH933"/>
      <c r="CI933"/>
      <c r="CJ933"/>
      <c r="CK933"/>
      <c r="CL933"/>
      <c r="CM933" s="20"/>
      <c r="CN933" s="20"/>
      <c r="CO933" s="20"/>
      <c r="CP933" s="20"/>
      <c r="CQ933" s="20"/>
      <c r="CR933" s="20"/>
      <c r="CS933" s="20"/>
      <c r="CT933" s="20"/>
      <c r="CU933" s="20"/>
      <c r="CV933" s="20"/>
      <c r="CW933" s="20"/>
      <c r="CX933" s="20"/>
      <c r="CY933" s="20"/>
    </row>
    <row r="934" spans="1:103" s="6" customFormat="1">
      <c r="A934"/>
      <c r="B934"/>
      <c r="C934"/>
      <c r="D934"/>
      <c r="E934"/>
      <c r="F934"/>
      <c r="G934"/>
      <c r="H934"/>
      <c r="I934"/>
      <c r="J934"/>
      <c r="N934" s="7"/>
      <c r="O934"/>
      <c r="P934" s="10"/>
      <c r="Q934" s="9"/>
      <c r="R934" s="10"/>
      <c r="S934" s="10"/>
      <c r="AA934" s="11"/>
      <c r="AD934"/>
      <c r="AE934"/>
      <c r="AF934"/>
      <c r="AG934"/>
      <c r="AH934" s="46"/>
      <c r="AI934"/>
      <c r="AJ934"/>
      <c r="AK934"/>
      <c r="AL934"/>
      <c r="AM934"/>
      <c r="AN934"/>
      <c r="AO934"/>
      <c r="AP934"/>
      <c r="AQ934"/>
      <c r="AR934"/>
      <c r="AS934"/>
      <c r="AT934" s="14"/>
      <c r="AU934"/>
      <c r="AV934"/>
      <c r="AW934"/>
      <c r="AX934" s="10"/>
      <c r="AY934" s="20"/>
      <c r="AZ934" s="16"/>
      <c r="BA934"/>
      <c r="BB934"/>
      <c r="BC934" s="16"/>
      <c r="BD934"/>
      <c r="BE934"/>
      <c r="BF934"/>
      <c r="BG934"/>
      <c r="BH934"/>
      <c r="BI934"/>
      <c r="BJ934"/>
      <c r="BK934"/>
      <c r="BL934"/>
      <c r="BM934"/>
      <c r="BN934" s="19"/>
      <c r="BO934"/>
      <c r="BP934"/>
      <c r="BQ934"/>
      <c r="BR934"/>
      <c r="BS934"/>
      <c r="BT934"/>
      <c r="BU934"/>
      <c r="BV934"/>
      <c r="BW934"/>
      <c r="BX934"/>
      <c r="BY934"/>
      <c r="BZ934"/>
      <c r="CA934"/>
      <c r="CB934"/>
      <c r="CC934"/>
      <c r="CD934"/>
      <c r="CE934"/>
      <c r="CF934"/>
      <c r="CG934"/>
      <c r="CH934"/>
      <c r="CI934"/>
      <c r="CJ934"/>
      <c r="CK934"/>
      <c r="CL934"/>
      <c r="CM934" s="20"/>
      <c r="CN934" s="20"/>
      <c r="CO934" s="20"/>
      <c r="CP934" s="20"/>
      <c r="CQ934" s="20"/>
      <c r="CR934" s="20"/>
      <c r="CS934" s="20"/>
      <c r="CT934" s="20"/>
      <c r="CU934" s="20"/>
      <c r="CV934" s="20"/>
      <c r="CW934" s="20"/>
      <c r="CX934" s="20"/>
      <c r="CY934" s="20"/>
    </row>
    <row r="935" spans="1:103" s="6" customFormat="1">
      <c r="A935"/>
      <c r="B935"/>
      <c r="C935"/>
      <c r="D935"/>
      <c r="E935"/>
      <c r="F935"/>
      <c r="G935"/>
      <c r="H935"/>
      <c r="I935"/>
      <c r="J935"/>
      <c r="N935" s="7"/>
      <c r="O935"/>
      <c r="P935" s="10"/>
      <c r="Q935" s="9"/>
      <c r="R935" s="10"/>
      <c r="S935" s="10"/>
      <c r="AA935" s="11"/>
      <c r="AD935"/>
      <c r="AE935"/>
      <c r="AF935"/>
      <c r="AG935"/>
      <c r="AH935" s="46"/>
      <c r="AI935"/>
      <c r="AJ935"/>
      <c r="AK935"/>
      <c r="AL935"/>
      <c r="AM935"/>
      <c r="AN935"/>
      <c r="AO935"/>
      <c r="AP935"/>
      <c r="AQ935"/>
      <c r="AR935"/>
      <c r="AS935"/>
      <c r="AT935" s="14"/>
      <c r="AU935"/>
      <c r="AV935"/>
      <c r="AW935"/>
      <c r="AX935" s="10"/>
      <c r="AY935" s="20"/>
      <c r="AZ935" s="16"/>
      <c r="BA935"/>
      <c r="BB935"/>
      <c r="BC935" s="16"/>
      <c r="BD935"/>
      <c r="BE935"/>
      <c r="BF935"/>
      <c r="BG935"/>
      <c r="BH935"/>
      <c r="BI935"/>
      <c r="BJ935"/>
      <c r="BK935"/>
      <c r="BL935"/>
      <c r="BM935"/>
      <c r="BN935" s="19"/>
      <c r="BO935"/>
      <c r="BP935"/>
      <c r="BQ935"/>
      <c r="BR935"/>
      <c r="BS935"/>
      <c r="BT935"/>
      <c r="BU935"/>
      <c r="BV935"/>
      <c r="BW935"/>
      <c r="BX935"/>
      <c r="BY935"/>
      <c r="BZ935"/>
      <c r="CA935"/>
      <c r="CB935"/>
      <c r="CC935"/>
      <c r="CD935"/>
      <c r="CE935"/>
      <c r="CF935"/>
      <c r="CG935"/>
      <c r="CH935"/>
      <c r="CI935"/>
      <c r="CJ935"/>
      <c r="CK935"/>
      <c r="CL935"/>
      <c r="CM935" s="20"/>
      <c r="CN935" s="20"/>
      <c r="CO935" s="20"/>
      <c r="CP935" s="20"/>
      <c r="CQ935" s="20"/>
      <c r="CR935" s="20"/>
      <c r="CS935" s="20"/>
      <c r="CT935" s="20"/>
      <c r="CU935" s="20"/>
      <c r="CV935" s="20"/>
      <c r="CW935" s="20"/>
      <c r="CX935" s="20"/>
      <c r="CY935" s="20"/>
    </row>
    <row r="936" spans="1:103" s="6" customFormat="1">
      <c r="A936"/>
      <c r="B936"/>
      <c r="C936"/>
      <c r="D936"/>
      <c r="E936"/>
      <c r="F936"/>
      <c r="G936"/>
      <c r="H936"/>
      <c r="I936"/>
      <c r="J936"/>
      <c r="N936" s="7"/>
      <c r="O936"/>
      <c r="P936" s="10"/>
      <c r="Q936" s="9"/>
      <c r="R936" s="10"/>
      <c r="S936" s="10"/>
      <c r="AA936" s="11"/>
      <c r="AD936"/>
      <c r="AE936"/>
      <c r="AF936"/>
      <c r="AG936"/>
      <c r="AH936" s="46"/>
      <c r="AI936"/>
      <c r="AJ936"/>
      <c r="AK936"/>
      <c r="AL936"/>
      <c r="AM936"/>
      <c r="AN936"/>
      <c r="AO936"/>
      <c r="AP936"/>
      <c r="AQ936"/>
      <c r="AR936"/>
      <c r="AS936"/>
      <c r="AT936" s="14"/>
      <c r="AU936"/>
      <c r="AV936"/>
      <c r="AW936"/>
      <c r="AX936" s="10"/>
      <c r="AY936" s="20"/>
      <c r="AZ936" s="16"/>
      <c r="BA936"/>
      <c r="BB936"/>
      <c r="BC936" s="16"/>
      <c r="BD936"/>
      <c r="BE936"/>
      <c r="BF936"/>
      <c r="BG936"/>
      <c r="BH936"/>
      <c r="BI936"/>
      <c r="BJ936"/>
      <c r="BK936"/>
      <c r="BL936"/>
      <c r="BM936"/>
      <c r="BN936" s="19"/>
      <c r="BO936"/>
      <c r="BP936"/>
      <c r="BQ936"/>
      <c r="BR936"/>
      <c r="BS936"/>
      <c r="BT936"/>
      <c r="BU936"/>
      <c r="BV936"/>
      <c r="BW936"/>
      <c r="BX936"/>
      <c r="BY936"/>
      <c r="BZ936"/>
      <c r="CA936"/>
      <c r="CB936"/>
      <c r="CC936"/>
      <c r="CD936"/>
      <c r="CE936"/>
      <c r="CF936"/>
      <c r="CG936"/>
      <c r="CH936"/>
      <c r="CI936"/>
      <c r="CJ936"/>
      <c r="CK936"/>
      <c r="CL936"/>
      <c r="CM936" s="20"/>
      <c r="CN936" s="20"/>
      <c r="CO936" s="20"/>
      <c r="CP936" s="20"/>
      <c r="CQ936" s="20"/>
      <c r="CR936" s="20"/>
      <c r="CS936" s="20"/>
      <c r="CT936" s="20"/>
      <c r="CU936" s="20"/>
      <c r="CV936" s="20"/>
      <c r="CW936" s="20"/>
      <c r="CX936" s="20"/>
      <c r="CY936" s="20"/>
    </row>
    <row r="937" spans="1:103" s="6" customFormat="1">
      <c r="A937"/>
      <c r="B937"/>
      <c r="C937"/>
      <c r="D937"/>
      <c r="E937"/>
      <c r="F937"/>
      <c r="G937"/>
      <c r="H937"/>
      <c r="I937"/>
      <c r="J937"/>
      <c r="N937" s="7"/>
      <c r="O937"/>
      <c r="P937" s="10"/>
      <c r="Q937" s="9"/>
      <c r="R937" s="10"/>
      <c r="S937" s="10"/>
      <c r="AA937" s="11"/>
      <c r="AD937"/>
      <c r="AE937"/>
      <c r="AF937"/>
      <c r="AG937"/>
      <c r="AH937" s="46"/>
      <c r="AI937"/>
      <c r="AJ937"/>
      <c r="AK937"/>
      <c r="AL937"/>
      <c r="AM937"/>
      <c r="AN937"/>
      <c r="AO937"/>
      <c r="AP937"/>
      <c r="AQ937"/>
      <c r="AR937"/>
      <c r="AS937"/>
      <c r="AT937" s="14"/>
      <c r="AU937"/>
      <c r="AV937"/>
      <c r="AW937"/>
      <c r="AX937" s="10"/>
      <c r="AY937" s="20"/>
      <c r="AZ937" s="16"/>
      <c r="BA937"/>
      <c r="BB937"/>
      <c r="BC937" s="16"/>
      <c r="BD937"/>
      <c r="BE937"/>
      <c r="BF937"/>
      <c r="BG937"/>
      <c r="BH937"/>
      <c r="BI937"/>
      <c r="BJ937"/>
      <c r="BK937"/>
      <c r="BL937"/>
      <c r="BM937"/>
      <c r="BN937" s="19"/>
      <c r="BO937"/>
      <c r="BP937"/>
      <c r="BQ937"/>
      <c r="BR937"/>
      <c r="BS937"/>
      <c r="BT937"/>
      <c r="BU937"/>
      <c r="BV937"/>
      <c r="BW937"/>
      <c r="BX937"/>
      <c r="BY937"/>
      <c r="BZ937"/>
      <c r="CA937"/>
      <c r="CB937"/>
      <c r="CC937"/>
      <c r="CD937"/>
      <c r="CE937"/>
      <c r="CF937"/>
      <c r="CG937"/>
      <c r="CH937"/>
      <c r="CI937"/>
      <c r="CJ937"/>
      <c r="CK937"/>
      <c r="CL937"/>
      <c r="CM937" s="20"/>
      <c r="CN937" s="20"/>
      <c r="CO937" s="20"/>
      <c r="CP937" s="20"/>
      <c r="CQ937" s="20"/>
      <c r="CR937" s="20"/>
      <c r="CS937" s="20"/>
      <c r="CT937" s="20"/>
      <c r="CU937" s="20"/>
      <c r="CV937" s="20"/>
      <c r="CW937" s="20"/>
      <c r="CX937" s="20"/>
      <c r="CY937" s="20"/>
    </row>
    <row r="938" spans="1:103" s="6" customFormat="1">
      <c r="A938"/>
      <c r="B938"/>
      <c r="C938"/>
      <c r="D938"/>
      <c r="E938"/>
      <c r="F938"/>
      <c r="G938"/>
      <c r="H938"/>
      <c r="I938"/>
      <c r="J938"/>
      <c r="N938" s="7"/>
      <c r="O938"/>
      <c r="P938" s="10"/>
      <c r="Q938" s="9"/>
      <c r="R938" s="10"/>
      <c r="S938" s="10"/>
      <c r="AA938" s="11"/>
      <c r="AD938"/>
      <c r="AE938"/>
      <c r="AF938"/>
      <c r="AG938"/>
      <c r="AH938" s="46"/>
      <c r="AI938"/>
      <c r="AJ938"/>
      <c r="AK938"/>
      <c r="AL938"/>
      <c r="AM938"/>
      <c r="AN938"/>
      <c r="AO938"/>
      <c r="AP938"/>
      <c r="AQ938"/>
      <c r="AR938"/>
      <c r="AS938"/>
      <c r="AT938" s="14"/>
      <c r="AU938"/>
      <c r="AV938"/>
      <c r="AW938"/>
      <c r="AX938" s="10"/>
      <c r="AY938" s="20"/>
      <c r="AZ938" s="16"/>
      <c r="BA938"/>
      <c r="BB938"/>
      <c r="BC938" s="16"/>
      <c r="BD938"/>
      <c r="BE938"/>
      <c r="BF938"/>
      <c r="BG938"/>
      <c r="BH938"/>
      <c r="BI938"/>
      <c r="BJ938"/>
      <c r="BK938"/>
      <c r="BL938"/>
      <c r="BM938"/>
      <c r="BN938" s="19"/>
      <c r="BO938"/>
      <c r="BP938"/>
      <c r="BQ938"/>
      <c r="BR938"/>
      <c r="BS938"/>
      <c r="BT938"/>
      <c r="BU938"/>
      <c r="BV938"/>
      <c r="BW938"/>
      <c r="BX938"/>
      <c r="BY938"/>
      <c r="BZ938"/>
      <c r="CA938"/>
      <c r="CB938"/>
      <c r="CC938"/>
      <c r="CD938"/>
      <c r="CE938"/>
      <c r="CF938"/>
      <c r="CG938"/>
      <c r="CH938"/>
      <c r="CI938"/>
      <c r="CJ938"/>
      <c r="CK938"/>
      <c r="CL938"/>
      <c r="CM938" s="20"/>
      <c r="CN938" s="20"/>
      <c r="CO938" s="20"/>
      <c r="CP938" s="20"/>
      <c r="CQ938" s="20"/>
      <c r="CR938" s="20"/>
      <c r="CS938" s="20"/>
      <c r="CT938" s="20"/>
      <c r="CU938" s="20"/>
      <c r="CV938" s="20"/>
      <c r="CW938" s="20"/>
      <c r="CX938" s="20"/>
      <c r="CY938" s="20"/>
    </row>
    <row r="939" spans="1:103" s="6" customFormat="1">
      <c r="A939"/>
      <c r="B939"/>
      <c r="C939"/>
      <c r="D939"/>
      <c r="E939"/>
      <c r="F939"/>
      <c r="G939"/>
      <c r="H939"/>
      <c r="I939"/>
      <c r="J939"/>
      <c r="N939" s="7"/>
      <c r="O939"/>
      <c r="P939" s="10"/>
      <c r="Q939" s="9"/>
      <c r="R939" s="10"/>
      <c r="S939" s="10"/>
      <c r="AA939" s="11"/>
      <c r="AD939"/>
      <c r="AE939"/>
      <c r="AF939"/>
      <c r="AG939"/>
      <c r="AH939" s="46"/>
      <c r="AI939"/>
      <c r="AJ939"/>
      <c r="AK939"/>
      <c r="AL939"/>
      <c r="AM939"/>
      <c r="AN939"/>
      <c r="AO939"/>
      <c r="AP939"/>
      <c r="AQ939"/>
      <c r="AR939"/>
      <c r="AS939"/>
      <c r="AT939" s="14"/>
      <c r="AU939"/>
      <c r="AV939"/>
      <c r="AW939"/>
      <c r="AX939" s="10"/>
      <c r="AY939" s="20"/>
      <c r="AZ939" s="16"/>
      <c r="BA939"/>
      <c r="BB939"/>
      <c r="BC939" s="16"/>
      <c r="BD939"/>
      <c r="BE939"/>
      <c r="BF939"/>
      <c r="BG939"/>
      <c r="BH939"/>
      <c r="BI939"/>
      <c r="BJ939"/>
      <c r="BK939"/>
      <c r="BL939"/>
      <c r="BM939"/>
      <c r="BN939" s="19"/>
      <c r="BO939"/>
      <c r="BP939"/>
      <c r="BQ939"/>
      <c r="BR939"/>
      <c r="BS939"/>
      <c r="BT939"/>
      <c r="BU939"/>
      <c r="BV939"/>
      <c r="BW939"/>
      <c r="BX939"/>
      <c r="BY939"/>
      <c r="BZ939"/>
      <c r="CA939"/>
      <c r="CB939"/>
      <c r="CC939"/>
      <c r="CD939"/>
      <c r="CE939"/>
      <c r="CF939"/>
      <c r="CG939"/>
      <c r="CH939"/>
      <c r="CI939"/>
      <c r="CJ939"/>
      <c r="CK939"/>
      <c r="CL939"/>
      <c r="CM939" s="20"/>
      <c r="CN939" s="20"/>
      <c r="CO939" s="20"/>
      <c r="CP939" s="20"/>
      <c r="CQ939" s="20"/>
      <c r="CR939" s="20"/>
      <c r="CS939" s="20"/>
      <c r="CT939" s="20"/>
      <c r="CU939" s="20"/>
      <c r="CV939" s="20"/>
      <c r="CW939" s="20"/>
      <c r="CX939" s="20"/>
      <c r="CY939" s="20"/>
    </row>
    <row r="940" spans="1:103" s="6" customFormat="1">
      <c r="A940"/>
      <c r="B940"/>
      <c r="C940"/>
      <c r="D940"/>
      <c r="E940"/>
      <c r="F940"/>
      <c r="G940"/>
      <c r="H940"/>
      <c r="I940"/>
      <c r="J940"/>
      <c r="N940" s="7"/>
      <c r="O940"/>
      <c r="P940" s="10"/>
      <c r="Q940" s="9"/>
      <c r="R940" s="10"/>
      <c r="S940" s="10"/>
      <c r="AA940" s="11"/>
      <c r="AD940"/>
      <c r="AE940"/>
      <c r="AF940"/>
      <c r="AG940"/>
      <c r="AH940" s="46"/>
      <c r="AI940"/>
      <c r="AJ940"/>
      <c r="AK940"/>
      <c r="AL940"/>
      <c r="AM940"/>
      <c r="AN940"/>
      <c r="AO940"/>
      <c r="AP940"/>
      <c r="AQ940"/>
      <c r="AR940"/>
      <c r="AS940"/>
      <c r="AT940" s="14"/>
      <c r="AU940"/>
      <c r="AV940"/>
      <c r="AW940"/>
      <c r="AX940" s="10"/>
      <c r="AY940" s="20"/>
      <c r="AZ940" s="16"/>
      <c r="BA940"/>
      <c r="BB940"/>
      <c r="BC940" s="16"/>
      <c r="BD940"/>
      <c r="BE940"/>
      <c r="BF940"/>
      <c r="BG940"/>
      <c r="BH940"/>
      <c r="BI940"/>
      <c r="BJ940"/>
      <c r="BK940"/>
      <c r="BL940"/>
      <c r="BM940"/>
      <c r="BN940" s="19"/>
      <c r="BO940"/>
      <c r="BP940"/>
      <c r="BQ940"/>
      <c r="BR940"/>
      <c r="BS940"/>
      <c r="BT940"/>
      <c r="BU940"/>
      <c r="BV940"/>
      <c r="BW940"/>
      <c r="BX940"/>
      <c r="BY940"/>
      <c r="BZ940"/>
      <c r="CA940"/>
      <c r="CB940"/>
      <c r="CC940"/>
      <c r="CD940"/>
      <c r="CE940"/>
      <c r="CF940"/>
      <c r="CG940"/>
      <c r="CH940"/>
      <c r="CI940"/>
      <c r="CJ940"/>
      <c r="CK940"/>
      <c r="CL940"/>
      <c r="CM940" s="20"/>
      <c r="CN940" s="20"/>
      <c r="CO940" s="20"/>
      <c r="CP940" s="20"/>
      <c r="CQ940" s="20"/>
      <c r="CR940" s="20"/>
      <c r="CS940" s="20"/>
      <c r="CT940" s="20"/>
      <c r="CU940" s="20"/>
      <c r="CV940" s="20"/>
      <c r="CW940" s="20"/>
      <c r="CX940" s="20"/>
      <c r="CY940" s="20"/>
    </row>
    <row r="941" spans="1:103" s="6" customFormat="1">
      <c r="A941"/>
      <c r="B941"/>
      <c r="C941"/>
      <c r="D941"/>
      <c r="E941"/>
      <c r="F941"/>
      <c r="G941"/>
      <c r="H941"/>
      <c r="I941"/>
      <c r="J941"/>
      <c r="N941" s="7"/>
      <c r="O941"/>
      <c r="P941" s="10"/>
      <c r="Q941" s="9"/>
      <c r="R941" s="10"/>
      <c r="S941" s="10"/>
      <c r="AA941" s="11"/>
      <c r="AD941"/>
      <c r="AE941"/>
      <c r="AF941"/>
      <c r="AG941"/>
      <c r="AH941" s="46"/>
      <c r="AI941"/>
      <c r="AJ941"/>
      <c r="AK941"/>
      <c r="AL941"/>
      <c r="AM941"/>
      <c r="AN941"/>
      <c r="AO941"/>
      <c r="AP941"/>
      <c r="AQ941"/>
      <c r="AR941"/>
      <c r="AS941"/>
      <c r="AT941" s="14"/>
      <c r="AU941"/>
      <c r="AV941"/>
      <c r="AW941"/>
      <c r="AX941" s="10"/>
      <c r="AY941" s="20"/>
      <c r="AZ941" s="16"/>
      <c r="BA941"/>
      <c r="BB941"/>
      <c r="BC941" s="16"/>
      <c r="BD941"/>
      <c r="BE941"/>
      <c r="BF941"/>
      <c r="BG941"/>
      <c r="BH941"/>
      <c r="BI941"/>
      <c r="BJ941"/>
      <c r="BK941"/>
      <c r="BL941"/>
      <c r="BM941"/>
      <c r="BN941" s="19"/>
      <c r="BO941"/>
      <c r="BP941"/>
      <c r="BQ941"/>
      <c r="BR941"/>
      <c r="BS941"/>
      <c r="BT941"/>
      <c r="BU941"/>
      <c r="BV941"/>
      <c r="BW941"/>
      <c r="BX941"/>
      <c r="BY941"/>
      <c r="BZ941"/>
      <c r="CA941"/>
      <c r="CB941"/>
      <c r="CC941"/>
      <c r="CD941"/>
      <c r="CE941"/>
      <c r="CF941"/>
      <c r="CG941"/>
      <c r="CH941"/>
      <c r="CI941"/>
      <c r="CJ941"/>
      <c r="CK941"/>
      <c r="CL941"/>
      <c r="CM941" s="20"/>
      <c r="CN941" s="20"/>
      <c r="CO941" s="20"/>
      <c r="CP941" s="20"/>
      <c r="CQ941" s="20"/>
      <c r="CR941" s="20"/>
      <c r="CS941" s="20"/>
      <c r="CT941" s="20"/>
      <c r="CU941" s="20"/>
      <c r="CV941" s="20"/>
      <c r="CW941" s="20"/>
      <c r="CX941" s="20"/>
      <c r="CY941" s="20"/>
    </row>
    <row r="942" spans="1:103" s="6" customFormat="1">
      <c r="A942"/>
      <c r="B942"/>
      <c r="C942"/>
      <c r="D942"/>
      <c r="E942"/>
      <c r="F942"/>
      <c r="G942"/>
      <c r="H942"/>
      <c r="I942"/>
      <c r="J942"/>
      <c r="N942" s="7"/>
      <c r="O942"/>
      <c r="P942" s="10"/>
      <c r="Q942" s="9"/>
      <c r="R942" s="10"/>
      <c r="S942" s="10"/>
      <c r="AA942" s="11"/>
      <c r="AD942"/>
      <c r="AE942"/>
      <c r="AF942"/>
      <c r="AG942"/>
      <c r="AH942" s="46"/>
      <c r="AI942"/>
      <c r="AJ942"/>
      <c r="AK942"/>
      <c r="AL942"/>
      <c r="AM942"/>
      <c r="AN942"/>
      <c r="AO942"/>
      <c r="AP942"/>
      <c r="AQ942"/>
      <c r="AR942"/>
      <c r="AS942"/>
      <c r="AT942" s="14"/>
      <c r="AU942"/>
      <c r="AV942"/>
      <c r="AW942"/>
      <c r="AX942" s="10"/>
      <c r="AY942" s="20"/>
      <c r="AZ942" s="16"/>
      <c r="BA942"/>
      <c r="BB942"/>
      <c r="BC942" s="16"/>
      <c r="BD942"/>
      <c r="BE942"/>
      <c r="BF942"/>
      <c r="BG942"/>
      <c r="BH942"/>
      <c r="BI942"/>
      <c r="BJ942"/>
      <c r="BK942"/>
      <c r="BL942"/>
      <c r="BM942"/>
      <c r="BN942" s="19"/>
      <c r="BO942"/>
      <c r="BP942"/>
      <c r="BQ942"/>
      <c r="BR942"/>
      <c r="BS942"/>
      <c r="BT942"/>
      <c r="BU942"/>
      <c r="BV942"/>
      <c r="BW942"/>
      <c r="BX942"/>
      <c r="BY942"/>
      <c r="BZ942"/>
      <c r="CA942"/>
      <c r="CB942"/>
      <c r="CC942"/>
      <c r="CD942"/>
      <c r="CE942"/>
      <c r="CF942"/>
      <c r="CG942"/>
      <c r="CH942"/>
      <c r="CI942"/>
      <c r="CJ942"/>
      <c r="CK942"/>
      <c r="CL942"/>
      <c r="CM942" s="20"/>
      <c r="CN942" s="20"/>
      <c r="CO942" s="20"/>
      <c r="CP942" s="20"/>
      <c r="CQ942" s="20"/>
      <c r="CR942" s="20"/>
      <c r="CS942" s="20"/>
      <c r="CT942" s="20"/>
      <c r="CU942" s="20"/>
      <c r="CV942" s="20"/>
      <c r="CW942" s="20"/>
      <c r="CX942" s="20"/>
      <c r="CY942" s="20"/>
    </row>
    <row r="943" spans="1:103" s="6" customFormat="1">
      <c r="A943"/>
      <c r="B943"/>
      <c r="C943"/>
      <c r="D943"/>
      <c r="E943"/>
      <c r="F943"/>
      <c r="G943"/>
      <c r="H943"/>
      <c r="I943"/>
      <c r="J943"/>
      <c r="N943" s="7"/>
      <c r="O943"/>
      <c r="P943" s="10"/>
      <c r="Q943" s="9"/>
      <c r="R943" s="10"/>
      <c r="S943" s="10"/>
      <c r="AA943" s="11"/>
      <c r="AD943"/>
      <c r="AE943"/>
      <c r="AF943"/>
      <c r="AG943"/>
      <c r="AH943" s="46"/>
      <c r="AI943"/>
      <c r="AJ943"/>
      <c r="AK943"/>
      <c r="AL943"/>
      <c r="AM943"/>
      <c r="AN943"/>
      <c r="AO943"/>
      <c r="AP943"/>
      <c r="AQ943"/>
      <c r="AR943"/>
      <c r="AS943"/>
      <c r="AT943" s="14"/>
      <c r="AU943"/>
      <c r="AV943"/>
      <c r="AW943"/>
      <c r="AX943" s="10"/>
      <c r="AY943" s="20"/>
      <c r="AZ943" s="16"/>
      <c r="BA943"/>
      <c r="BB943"/>
      <c r="BC943" s="16"/>
      <c r="BD943"/>
      <c r="BE943"/>
      <c r="BF943"/>
      <c r="BG943"/>
      <c r="BH943"/>
      <c r="BI943"/>
      <c r="BJ943"/>
      <c r="BK943"/>
      <c r="BL943"/>
      <c r="BM943"/>
      <c r="BN943" s="19"/>
      <c r="BO943"/>
      <c r="BP943"/>
      <c r="BQ943"/>
      <c r="BR943"/>
      <c r="BS943"/>
      <c r="BT943"/>
      <c r="BU943"/>
      <c r="BV943"/>
      <c r="BW943"/>
      <c r="BX943"/>
      <c r="BY943"/>
      <c r="BZ943"/>
      <c r="CA943"/>
      <c r="CB943"/>
      <c r="CC943"/>
      <c r="CD943"/>
      <c r="CE943"/>
      <c r="CF943"/>
      <c r="CG943"/>
      <c r="CH943"/>
      <c r="CI943"/>
      <c r="CJ943"/>
      <c r="CK943"/>
      <c r="CL943"/>
      <c r="CM943" s="20"/>
      <c r="CN943" s="20"/>
      <c r="CO943" s="20"/>
      <c r="CP943" s="20"/>
      <c r="CQ943" s="20"/>
      <c r="CR943" s="20"/>
      <c r="CS943" s="20"/>
      <c r="CT943" s="20"/>
      <c r="CU943" s="20"/>
      <c r="CV943" s="20"/>
      <c r="CW943" s="20"/>
      <c r="CX943" s="20"/>
      <c r="CY943" s="20"/>
    </row>
    <row r="944" spans="1:103" s="6" customFormat="1">
      <c r="A944"/>
      <c r="B944"/>
      <c r="C944"/>
      <c r="D944"/>
      <c r="E944"/>
      <c r="F944"/>
      <c r="G944"/>
      <c r="H944"/>
      <c r="I944"/>
      <c r="J944"/>
      <c r="N944" s="7"/>
      <c r="O944"/>
      <c r="P944" s="10"/>
      <c r="Q944" s="9"/>
      <c r="R944" s="10"/>
      <c r="S944" s="10"/>
      <c r="AA944" s="11"/>
      <c r="AD944"/>
      <c r="AE944"/>
      <c r="AF944"/>
      <c r="AG944"/>
      <c r="AH944" s="46"/>
      <c r="AI944"/>
      <c r="AJ944"/>
      <c r="AK944"/>
      <c r="AL944"/>
      <c r="AM944"/>
      <c r="AN944"/>
      <c r="AO944"/>
      <c r="AP944"/>
      <c r="AQ944"/>
      <c r="AR944"/>
      <c r="AS944"/>
      <c r="AT944" s="14"/>
      <c r="AU944"/>
      <c r="AV944"/>
      <c r="AW944"/>
      <c r="AX944" s="10"/>
      <c r="AY944" s="20"/>
      <c r="AZ944" s="16"/>
      <c r="BA944"/>
      <c r="BB944"/>
      <c r="BC944" s="16"/>
      <c r="BD944"/>
      <c r="BE944"/>
      <c r="BF944"/>
      <c r="BG944"/>
      <c r="BH944"/>
      <c r="BI944"/>
      <c r="BJ944"/>
      <c r="BK944"/>
      <c r="BL944"/>
      <c r="BM944"/>
      <c r="BN944" s="19"/>
      <c r="BO944"/>
      <c r="BP944"/>
      <c r="BQ944"/>
      <c r="BR944"/>
      <c r="BS944"/>
      <c r="BT944"/>
      <c r="BU944"/>
      <c r="BV944"/>
      <c r="BW944"/>
      <c r="BX944"/>
      <c r="BY944"/>
      <c r="BZ944"/>
      <c r="CA944"/>
      <c r="CB944"/>
      <c r="CC944"/>
      <c r="CD944"/>
      <c r="CE944"/>
      <c r="CF944"/>
      <c r="CG944"/>
      <c r="CH944"/>
      <c r="CI944"/>
      <c r="CJ944"/>
      <c r="CK944"/>
      <c r="CL944"/>
      <c r="CM944" s="20"/>
      <c r="CN944" s="20"/>
      <c r="CO944" s="20"/>
      <c r="CP944" s="20"/>
      <c r="CQ944" s="20"/>
      <c r="CR944" s="20"/>
      <c r="CS944" s="20"/>
      <c r="CT944" s="20"/>
      <c r="CU944" s="20"/>
      <c r="CV944" s="20"/>
      <c r="CW944" s="20"/>
      <c r="CX944" s="20"/>
      <c r="CY944" s="20"/>
    </row>
    <row r="945" spans="1:103" s="6" customFormat="1">
      <c r="A945"/>
      <c r="B945"/>
      <c r="C945"/>
      <c r="D945"/>
      <c r="E945"/>
      <c r="F945"/>
      <c r="G945"/>
      <c r="H945"/>
      <c r="I945"/>
      <c r="J945"/>
      <c r="N945" s="7"/>
      <c r="O945"/>
      <c r="P945" s="10"/>
      <c r="Q945" s="9"/>
      <c r="R945" s="10"/>
      <c r="S945" s="10"/>
      <c r="AA945" s="11"/>
      <c r="AD945"/>
      <c r="AE945"/>
      <c r="AF945"/>
      <c r="AG945"/>
      <c r="AH945" s="46"/>
      <c r="AI945"/>
      <c r="AJ945"/>
      <c r="AK945"/>
      <c r="AL945"/>
      <c r="AM945"/>
      <c r="AN945"/>
      <c r="AO945"/>
      <c r="AP945"/>
      <c r="AQ945"/>
      <c r="AR945"/>
      <c r="AS945"/>
      <c r="AT945" s="14"/>
      <c r="AU945"/>
      <c r="AV945"/>
      <c r="AW945"/>
      <c r="AX945" s="10"/>
      <c r="AY945" s="20"/>
      <c r="AZ945" s="16"/>
      <c r="BA945"/>
      <c r="BB945"/>
      <c r="BC945" s="16"/>
      <c r="BD945"/>
      <c r="BE945"/>
      <c r="BF945"/>
      <c r="BG945"/>
      <c r="BH945"/>
      <c r="BI945"/>
      <c r="BJ945"/>
      <c r="BK945"/>
      <c r="BL945"/>
      <c r="BM945"/>
      <c r="BN945" s="19"/>
      <c r="BO945"/>
      <c r="BP945"/>
      <c r="BQ945"/>
      <c r="BR945"/>
      <c r="BS945"/>
      <c r="BT945"/>
      <c r="BU945"/>
      <c r="BV945"/>
      <c r="BW945"/>
      <c r="BX945"/>
      <c r="BY945"/>
      <c r="BZ945"/>
      <c r="CA945"/>
      <c r="CB945"/>
      <c r="CC945"/>
      <c r="CD945"/>
      <c r="CE945"/>
      <c r="CF945"/>
      <c r="CG945"/>
      <c r="CH945"/>
      <c r="CI945"/>
      <c r="CJ945"/>
      <c r="CK945"/>
      <c r="CL945"/>
      <c r="CM945" s="20"/>
      <c r="CN945" s="20"/>
      <c r="CO945" s="20"/>
      <c r="CP945" s="20"/>
      <c r="CQ945" s="20"/>
      <c r="CR945" s="20"/>
      <c r="CS945" s="20"/>
      <c r="CT945" s="20"/>
      <c r="CU945" s="20"/>
      <c r="CV945" s="20"/>
      <c r="CW945" s="20"/>
      <c r="CX945" s="20"/>
      <c r="CY945" s="20"/>
    </row>
    <row r="946" spans="1:103" s="6" customFormat="1">
      <c r="A946"/>
      <c r="B946"/>
      <c r="C946"/>
      <c r="D946"/>
      <c r="E946"/>
      <c r="F946"/>
      <c r="G946"/>
      <c r="H946"/>
      <c r="I946"/>
      <c r="J946"/>
      <c r="N946" s="7"/>
      <c r="O946"/>
      <c r="P946" s="10"/>
      <c r="Q946" s="9"/>
      <c r="R946" s="10"/>
      <c r="S946" s="10"/>
      <c r="AA946" s="11"/>
      <c r="AD946"/>
      <c r="AE946"/>
      <c r="AF946"/>
      <c r="AG946"/>
      <c r="AH946" s="46"/>
      <c r="AI946"/>
      <c r="AJ946"/>
      <c r="AK946"/>
      <c r="AL946"/>
      <c r="AM946"/>
      <c r="AN946"/>
      <c r="AO946"/>
      <c r="AP946"/>
      <c r="AQ946"/>
      <c r="AR946"/>
      <c r="AS946"/>
      <c r="AT946" s="14"/>
      <c r="AU946"/>
      <c r="AV946"/>
      <c r="AW946"/>
      <c r="AX946" s="10"/>
      <c r="AY946" s="20"/>
      <c r="AZ946" s="16"/>
      <c r="BA946"/>
      <c r="BB946"/>
      <c r="BC946" s="16"/>
      <c r="BD946"/>
      <c r="BE946"/>
      <c r="BF946"/>
      <c r="BG946"/>
      <c r="BH946"/>
      <c r="BI946"/>
      <c r="BJ946"/>
      <c r="BK946"/>
      <c r="BL946"/>
      <c r="BM946"/>
      <c r="BN946" s="19"/>
      <c r="BO946"/>
      <c r="BP946"/>
      <c r="BQ946"/>
      <c r="BR946"/>
      <c r="BS946"/>
      <c r="BT946"/>
      <c r="BU946"/>
      <c r="BV946"/>
      <c r="BW946"/>
      <c r="BX946"/>
      <c r="BY946"/>
      <c r="BZ946"/>
      <c r="CA946"/>
      <c r="CB946"/>
      <c r="CC946"/>
      <c r="CD946"/>
      <c r="CE946"/>
      <c r="CF946"/>
      <c r="CG946"/>
      <c r="CH946"/>
      <c r="CI946"/>
      <c r="CJ946"/>
      <c r="CK946"/>
      <c r="CL946"/>
      <c r="CM946" s="20"/>
      <c r="CN946" s="20"/>
      <c r="CO946" s="20"/>
      <c r="CP946" s="20"/>
      <c r="CQ946" s="20"/>
      <c r="CR946" s="20"/>
      <c r="CS946" s="20"/>
      <c r="CT946" s="20"/>
      <c r="CU946" s="20"/>
      <c r="CV946" s="20"/>
      <c r="CW946" s="20"/>
      <c r="CX946" s="20"/>
      <c r="CY946" s="20"/>
    </row>
    <row r="947" spans="1:103" s="6" customFormat="1">
      <c r="A947"/>
      <c r="B947"/>
      <c r="C947"/>
      <c r="D947"/>
      <c r="E947"/>
      <c r="F947"/>
      <c r="G947"/>
      <c r="H947"/>
      <c r="I947"/>
      <c r="J947"/>
      <c r="N947" s="7"/>
      <c r="O947"/>
      <c r="P947" s="10"/>
      <c r="Q947" s="9"/>
      <c r="R947" s="10"/>
      <c r="S947" s="10"/>
      <c r="AA947" s="11"/>
      <c r="AD947"/>
      <c r="AE947"/>
      <c r="AF947"/>
      <c r="AG947"/>
      <c r="AH947" s="46"/>
      <c r="AI947"/>
      <c r="AJ947"/>
      <c r="AK947"/>
      <c r="AL947"/>
      <c r="AM947"/>
      <c r="AN947"/>
      <c r="AO947"/>
      <c r="AP947"/>
      <c r="AQ947"/>
      <c r="AR947"/>
      <c r="AS947"/>
      <c r="AT947" s="14"/>
      <c r="AU947"/>
      <c r="AV947"/>
      <c r="AW947"/>
      <c r="AX947" s="10"/>
      <c r="AY947" s="20"/>
      <c r="AZ947" s="16"/>
      <c r="BA947"/>
      <c r="BB947"/>
      <c r="BC947" s="16"/>
      <c r="BD947"/>
      <c r="BE947"/>
      <c r="BF947"/>
      <c r="BG947"/>
      <c r="BH947"/>
      <c r="BI947"/>
      <c r="BJ947"/>
      <c r="BK947"/>
      <c r="BL947"/>
      <c r="BM947"/>
      <c r="BN947" s="19"/>
      <c r="BO947"/>
      <c r="BP947"/>
      <c r="BQ947"/>
      <c r="BR947"/>
      <c r="BS947"/>
      <c r="BT947"/>
      <c r="BU947"/>
      <c r="BV947"/>
      <c r="BW947"/>
      <c r="BX947"/>
      <c r="BY947"/>
      <c r="BZ947"/>
      <c r="CA947"/>
      <c r="CB947"/>
      <c r="CC947"/>
      <c r="CD947"/>
      <c r="CE947"/>
      <c r="CF947"/>
      <c r="CG947"/>
      <c r="CH947"/>
      <c r="CI947"/>
      <c r="CJ947"/>
      <c r="CK947"/>
      <c r="CL947"/>
      <c r="CM947" s="20"/>
      <c r="CN947" s="20"/>
      <c r="CO947" s="20"/>
      <c r="CP947" s="20"/>
      <c r="CQ947" s="20"/>
      <c r="CR947" s="20"/>
      <c r="CS947" s="20"/>
      <c r="CT947" s="20"/>
      <c r="CU947" s="20"/>
      <c r="CV947" s="20"/>
      <c r="CW947" s="20"/>
      <c r="CX947" s="20"/>
      <c r="CY947" s="20"/>
    </row>
    <row r="948" spans="1:103" s="6" customFormat="1">
      <c r="A948"/>
      <c r="B948"/>
      <c r="C948"/>
      <c r="D948"/>
      <c r="E948"/>
      <c r="F948"/>
      <c r="G948"/>
      <c r="H948"/>
      <c r="I948"/>
      <c r="J948"/>
      <c r="N948" s="7"/>
      <c r="O948"/>
      <c r="P948" s="10"/>
      <c r="Q948" s="9"/>
      <c r="R948" s="10"/>
      <c r="S948" s="10"/>
      <c r="AA948" s="11"/>
      <c r="AD948"/>
      <c r="AE948"/>
      <c r="AF948"/>
      <c r="AG948"/>
      <c r="AH948" s="46"/>
      <c r="AI948"/>
      <c r="AJ948"/>
      <c r="AK948"/>
      <c r="AL948"/>
      <c r="AM948"/>
      <c r="AN948"/>
      <c r="AO948"/>
      <c r="AP948"/>
      <c r="AQ948"/>
      <c r="AR948"/>
      <c r="AS948"/>
      <c r="AT948" s="14"/>
      <c r="AU948"/>
      <c r="AV948"/>
      <c r="AW948"/>
      <c r="AX948" s="10"/>
      <c r="AY948" s="20"/>
      <c r="AZ948" s="16"/>
      <c r="BA948"/>
      <c r="BB948"/>
      <c r="BC948" s="16"/>
      <c r="BD948"/>
      <c r="BE948"/>
      <c r="BF948"/>
      <c r="BG948"/>
      <c r="BH948"/>
      <c r="BI948"/>
      <c r="BJ948"/>
      <c r="BK948"/>
      <c r="BL948"/>
      <c r="BM948"/>
      <c r="BN948" s="19"/>
      <c r="BO948"/>
      <c r="BP948"/>
      <c r="BQ948"/>
      <c r="BR948"/>
      <c r="BS948"/>
      <c r="BT948"/>
      <c r="BU948"/>
      <c r="BV948"/>
      <c r="BW948"/>
      <c r="BX948"/>
      <c r="BY948"/>
      <c r="BZ948"/>
      <c r="CA948"/>
      <c r="CB948"/>
      <c r="CC948"/>
      <c r="CD948"/>
      <c r="CE948"/>
      <c r="CF948"/>
      <c r="CG948"/>
      <c r="CH948"/>
      <c r="CI948"/>
      <c r="CJ948"/>
      <c r="CK948"/>
      <c r="CL948"/>
      <c r="CM948" s="20"/>
      <c r="CN948" s="20"/>
      <c r="CO948" s="20"/>
      <c r="CP948" s="20"/>
      <c r="CQ948" s="20"/>
      <c r="CR948" s="20"/>
      <c r="CS948" s="20"/>
      <c r="CT948" s="20"/>
      <c r="CU948" s="20"/>
      <c r="CV948" s="20"/>
      <c r="CW948" s="20"/>
      <c r="CX948" s="20"/>
      <c r="CY948" s="20"/>
    </row>
    <row r="949" spans="1:103" s="6" customFormat="1">
      <c r="A949"/>
      <c r="B949"/>
      <c r="C949"/>
      <c r="D949"/>
      <c r="E949"/>
      <c r="F949"/>
      <c r="G949"/>
      <c r="H949"/>
      <c r="I949"/>
      <c r="J949"/>
      <c r="N949" s="7"/>
      <c r="O949"/>
      <c r="P949" s="10"/>
      <c r="Q949" s="9"/>
      <c r="R949" s="10"/>
      <c r="S949" s="10"/>
      <c r="AA949" s="11"/>
      <c r="AD949"/>
      <c r="AE949"/>
      <c r="AF949"/>
      <c r="AG949"/>
      <c r="AH949" s="46"/>
      <c r="AI949"/>
      <c r="AJ949"/>
      <c r="AK949"/>
      <c r="AL949"/>
      <c r="AM949"/>
      <c r="AN949"/>
      <c r="AO949"/>
      <c r="AP949"/>
      <c r="AQ949"/>
      <c r="AR949"/>
      <c r="AS949"/>
      <c r="AT949" s="14"/>
      <c r="AU949"/>
      <c r="AV949"/>
      <c r="AW949"/>
      <c r="AX949" s="10"/>
      <c r="AY949" s="20"/>
      <c r="AZ949" s="16"/>
      <c r="BA949"/>
      <c r="BB949"/>
      <c r="BC949" s="16"/>
      <c r="BD949"/>
      <c r="BE949"/>
      <c r="BF949"/>
      <c r="BG949"/>
      <c r="BH949"/>
      <c r="BI949"/>
      <c r="BJ949"/>
      <c r="BK949"/>
      <c r="BL949"/>
      <c r="BM949"/>
      <c r="BN949" s="19"/>
      <c r="BO949"/>
      <c r="BP949"/>
      <c r="BQ949"/>
      <c r="BR949"/>
      <c r="BS949"/>
      <c r="BT949"/>
      <c r="BU949"/>
      <c r="BV949"/>
      <c r="BW949"/>
      <c r="BX949"/>
      <c r="BY949"/>
      <c r="BZ949"/>
      <c r="CA949"/>
      <c r="CB949"/>
      <c r="CC949"/>
      <c r="CD949"/>
      <c r="CE949"/>
      <c r="CF949"/>
      <c r="CG949"/>
      <c r="CH949"/>
      <c r="CI949"/>
      <c r="CJ949"/>
      <c r="CK949"/>
      <c r="CL949"/>
      <c r="CM949" s="20"/>
      <c r="CN949" s="20"/>
      <c r="CO949" s="20"/>
      <c r="CP949" s="20"/>
      <c r="CQ949" s="20"/>
      <c r="CR949" s="20"/>
      <c r="CS949" s="20"/>
      <c r="CT949" s="20"/>
      <c r="CU949" s="20"/>
      <c r="CV949" s="20"/>
      <c r="CW949" s="20"/>
      <c r="CX949" s="20"/>
      <c r="CY949" s="20"/>
    </row>
    <row r="950" spans="1:103" s="6" customFormat="1">
      <c r="A950"/>
      <c r="B950"/>
      <c r="C950"/>
      <c r="D950"/>
      <c r="E950"/>
      <c r="F950"/>
      <c r="G950"/>
      <c r="H950"/>
      <c r="I950"/>
      <c r="J950"/>
      <c r="N950" s="7"/>
      <c r="O950"/>
      <c r="P950" s="10"/>
      <c r="Q950" s="9"/>
      <c r="R950" s="10"/>
      <c r="S950" s="10"/>
      <c r="AA950" s="11"/>
      <c r="AD950"/>
      <c r="AE950"/>
      <c r="AF950"/>
      <c r="AG950"/>
      <c r="AH950" s="46"/>
      <c r="AI950"/>
      <c r="AJ950"/>
      <c r="AK950"/>
      <c r="AL950"/>
      <c r="AM950"/>
      <c r="AN950"/>
      <c r="AO950"/>
      <c r="AP950"/>
      <c r="AQ950"/>
      <c r="AR950"/>
      <c r="AS950"/>
      <c r="AT950" s="14"/>
      <c r="AU950"/>
      <c r="AV950"/>
      <c r="AW950"/>
      <c r="AX950" s="10"/>
      <c r="AY950" s="20"/>
      <c r="AZ950" s="16"/>
      <c r="BA950"/>
      <c r="BB950"/>
      <c r="BC950" s="16"/>
      <c r="BD950"/>
      <c r="BE950"/>
      <c r="BF950"/>
      <c r="BG950"/>
      <c r="BH950"/>
      <c r="BI950"/>
      <c r="BJ950"/>
      <c r="BK950"/>
      <c r="BL950"/>
      <c r="BM950"/>
      <c r="BN950" s="19"/>
      <c r="BO950"/>
      <c r="BP950"/>
      <c r="BQ950"/>
      <c r="BR950"/>
      <c r="BS950"/>
      <c r="BT950"/>
      <c r="BU950"/>
      <c r="BV950"/>
      <c r="BW950"/>
      <c r="BX950"/>
      <c r="BY950"/>
      <c r="BZ950"/>
      <c r="CA950"/>
      <c r="CB950"/>
      <c r="CC950"/>
      <c r="CD950"/>
      <c r="CE950"/>
      <c r="CF950"/>
      <c r="CG950"/>
      <c r="CH950"/>
      <c r="CI950"/>
      <c r="CJ950"/>
      <c r="CK950"/>
      <c r="CL950"/>
      <c r="CM950" s="20"/>
      <c r="CN950" s="20"/>
      <c r="CO950" s="20"/>
      <c r="CP950" s="20"/>
      <c r="CQ950" s="20"/>
      <c r="CR950" s="20"/>
      <c r="CS950" s="20"/>
      <c r="CT950" s="20"/>
      <c r="CU950" s="20"/>
      <c r="CV950" s="20"/>
      <c r="CW950" s="20"/>
      <c r="CX950" s="20"/>
      <c r="CY950" s="20"/>
    </row>
    <row r="951" spans="1:103" s="6" customFormat="1">
      <c r="A951"/>
      <c r="B951"/>
      <c r="C951"/>
      <c r="D951"/>
      <c r="E951"/>
      <c r="F951"/>
      <c r="G951"/>
      <c r="H951"/>
      <c r="I951"/>
      <c r="J951"/>
      <c r="N951" s="7"/>
      <c r="O951"/>
      <c r="P951" s="10"/>
      <c r="Q951" s="9"/>
      <c r="R951" s="10"/>
      <c r="S951" s="10"/>
      <c r="AA951" s="11"/>
      <c r="AD951"/>
      <c r="AE951"/>
      <c r="AF951"/>
      <c r="AG951"/>
      <c r="AH951" s="46"/>
      <c r="AI951"/>
      <c r="AJ951"/>
      <c r="AK951"/>
      <c r="AL951"/>
      <c r="AM951"/>
      <c r="AN951"/>
      <c r="AO951"/>
      <c r="AP951"/>
      <c r="AQ951"/>
      <c r="AR951"/>
      <c r="AS951"/>
      <c r="AT951" s="14"/>
      <c r="AU951"/>
      <c r="AV951"/>
      <c r="AW951"/>
      <c r="AX951" s="10"/>
      <c r="AY951" s="20"/>
      <c r="AZ951" s="16"/>
      <c r="BA951"/>
      <c r="BB951"/>
      <c r="BC951" s="16"/>
      <c r="BD951"/>
      <c r="BE951"/>
      <c r="BF951"/>
      <c r="BG951"/>
      <c r="BH951"/>
      <c r="BI951"/>
      <c r="BJ951"/>
      <c r="BK951"/>
      <c r="BL951"/>
      <c r="BM951"/>
      <c r="BN951" s="19"/>
      <c r="BO951"/>
      <c r="BP951"/>
      <c r="BQ951"/>
      <c r="BR951"/>
      <c r="BS951"/>
      <c r="BT951"/>
      <c r="BU951"/>
      <c r="BV951"/>
      <c r="BW951"/>
      <c r="BX951"/>
      <c r="BY951"/>
      <c r="BZ951"/>
      <c r="CA951"/>
      <c r="CB951"/>
      <c r="CC951"/>
      <c r="CD951"/>
      <c r="CE951"/>
      <c r="CF951"/>
      <c r="CG951"/>
      <c r="CH951"/>
      <c r="CI951"/>
      <c r="CJ951"/>
      <c r="CK951"/>
      <c r="CL951"/>
      <c r="CM951" s="20"/>
      <c r="CN951" s="20"/>
      <c r="CO951" s="20"/>
      <c r="CP951" s="20"/>
      <c r="CQ951" s="20"/>
      <c r="CR951" s="20"/>
      <c r="CS951" s="20"/>
      <c r="CT951" s="20"/>
      <c r="CU951" s="20"/>
      <c r="CV951" s="20"/>
      <c r="CW951" s="20"/>
      <c r="CX951" s="20"/>
      <c r="CY951" s="20"/>
    </row>
    <row r="952" spans="1:103" s="6" customFormat="1">
      <c r="A952"/>
      <c r="B952"/>
      <c r="C952"/>
      <c r="D952"/>
      <c r="E952"/>
      <c r="F952"/>
      <c r="G952"/>
      <c r="H952"/>
      <c r="I952"/>
      <c r="J952"/>
      <c r="N952" s="7"/>
      <c r="O952"/>
      <c r="P952" s="10"/>
      <c r="Q952" s="9"/>
      <c r="R952" s="10"/>
      <c r="S952" s="10"/>
      <c r="AA952" s="11"/>
      <c r="AD952"/>
      <c r="AE952"/>
      <c r="AF952"/>
      <c r="AG952"/>
      <c r="AH952" s="46"/>
      <c r="AI952"/>
      <c r="AJ952"/>
      <c r="AK952"/>
      <c r="AL952"/>
      <c r="AM952"/>
      <c r="AN952"/>
      <c r="AO952"/>
      <c r="AP952"/>
      <c r="AQ952"/>
      <c r="AR952"/>
      <c r="AS952"/>
      <c r="AT952" s="14"/>
      <c r="AU952"/>
      <c r="AV952"/>
      <c r="AW952"/>
      <c r="AX952" s="10"/>
      <c r="AY952" s="20"/>
      <c r="AZ952" s="16"/>
      <c r="BA952"/>
      <c r="BB952"/>
      <c r="BC952" s="16"/>
      <c r="BD952"/>
      <c r="BE952"/>
      <c r="BF952"/>
      <c r="BG952"/>
      <c r="BH952"/>
      <c r="BI952"/>
      <c r="BJ952"/>
      <c r="BK952"/>
      <c r="BL952"/>
      <c r="BM952"/>
      <c r="BN952" s="19"/>
      <c r="BO952"/>
      <c r="BP952"/>
      <c r="BQ952"/>
      <c r="BR952"/>
      <c r="BS952"/>
      <c r="BT952"/>
      <c r="BU952"/>
      <c r="BV952"/>
      <c r="BW952"/>
      <c r="BX952"/>
      <c r="BY952"/>
      <c r="BZ952"/>
      <c r="CA952"/>
      <c r="CB952"/>
      <c r="CC952"/>
      <c r="CD952"/>
      <c r="CE952"/>
      <c r="CF952"/>
      <c r="CG952"/>
      <c r="CH952"/>
      <c r="CI952"/>
      <c r="CJ952"/>
      <c r="CK952"/>
      <c r="CL952"/>
      <c r="CM952" s="20"/>
      <c r="CN952" s="20"/>
      <c r="CO952" s="20"/>
      <c r="CP952" s="20"/>
      <c r="CQ952" s="20"/>
      <c r="CR952" s="20"/>
      <c r="CS952" s="20"/>
      <c r="CT952" s="20"/>
      <c r="CU952" s="20"/>
      <c r="CV952" s="20"/>
      <c r="CW952" s="20"/>
      <c r="CX952" s="20"/>
      <c r="CY952" s="20"/>
    </row>
    <row r="953" spans="1:103" s="6" customFormat="1">
      <c r="A953"/>
      <c r="B953"/>
      <c r="C953"/>
      <c r="D953"/>
      <c r="E953"/>
      <c r="F953"/>
      <c r="G953"/>
      <c r="H953"/>
      <c r="I953"/>
      <c r="J953"/>
      <c r="N953" s="7"/>
      <c r="O953"/>
      <c r="P953" s="10"/>
      <c r="Q953" s="9"/>
      <c r="R953" s="10"/>
      <c r="S953" s="10"/>
      <c r="AA953" s="11"/>
      <c r="AD953"/>
      <c r="AE953"/>
      <c r="AF953"/>
      <c r="AG953"/>
      <c r="AH953" s="46"/>
      <c r="AI953"/>
      <c r="AJ953"/>
      <c r="AK953"/>
      <c r="AL953"/>
      <c r="AM953"/>
      <c r="AN953"/>
      <c r="AO953"/>
      <c r="AP953"/>
      <c r="AQ953"/>
      <c r="AR953"/>
      <c r="AS953"/>
      <c r="AT953" s="14"/>
      <c r="AU953"/>
      <c r="AV953"/>
      <c r="AW953"/>
      <c r="AX953" s="10"/>
      <c r="AY953" s="20"/>
      <c r="AZ953" s="16"/>
      <c r="BA953"/>
      <c r="BB953"/>
      <c r="BC953" s="16"/>
      <c r="BD953"/>
      <c r="BE953"/>
      <c r="BF953"/>
      <c r="BG953"/>
      <c r="BH953"/>
      <c r="BI953"/>
      <c r="BJ953"/>
      <c r="BK953"/>
      <c r="BL953"/>
      <c r="BM953"/>
      <c r="BN953" s="19"/>
      <c r="BO953"/>
      <c r="BP953"/>
      <c r="BQ953"/>
      <c r="BR953"/>
      <c r="BS953"/>
      <c r="BT953"/>
      <c r="BU953"/>
      <c r="BV953"/>
      <c r="BW953"/>
      <c r="BX953"/>
      <c r="BY953"/>
      <c r="BZ953"/>
      <c r="CA953"/>
      <c r="CB953"/>
      <c r="CC953"/>
      <c r="CD953"/>
      <c r="CE953"/>
      <c r="CF953"/>
      <c r="CG953"/>
      <c r="CH953"/>
      <c r="CI953"/>
      <c r="CJ953"/>
      <c r="CK953"/>
      <c r="CL953"/>
      <c r="CM953" s="20"/>
      <c r="CN953" s="20"/>
      <c r="CO953" s="20"/>
      <c r="CP953" s="20"/>
      <c r="CQ953" s="20"/>
      <c r="CR953" s="20"/>
      <c r="CS953" s="20"/>
      <c r="CT953" s="20"/>
      <c r="CU953" s="20"/>
      <c r="CV953" s="20"/>
      <c r="CW953" s="20"/>
      <c r="CX953" s="20"/>
      <c r="CY953" s="20"/>
    </row>
    <row r="954" spans="1:103" s="6" customFormat="1">
      <c r="A954"/>
      <c r="B954"/>
      <c r="C954"/>
      <c r="D954"/>
      <c r="E954"/>
      <c r="F954"/>
      <c r="G954"/>
      <c r="H954"/>
      <c r="I954"/>
      <c r="J954"/>
      <c r="N954" s="7"/>
      <c r="O954"/>
      <c r="P954" s="10"/>
      <c r="Q954" s="9"/>
      <c r="R954" s="10"/>
      <c r="S954" s="10"/>
      <c r="AA954" s="11"/>
      <c r="AD954"/>
      <c r="AE954"/>
      <c r="AF954"/>
      <c r="AG954"/>
      <c r="AH954" s="46"/>
      <c r="AI954"/>
      <c r="AJ954"/>
      <c r="AK954"/>
      <c r="AL954"/>
      <c r="AM954"/>
      <c r="AN954"/>
      <c r="AO954"/>
      <c r="AP954"/>
      <c r="AQ954"/>
      <c r="AR954"/>
      <c r="AS954"/>
      <c r="AT954" s="14"/>
      <c r="AU954"/>
      <c r="AV954"/>
      <c r="AW954"/>
      <c r="AX954" s="10"/>
      <c r="AY954" s="20"/>
      <c r="AZ954" s="16"/>
      <c r="BA954"/>
      <c r="BB954"/>
      <c r="BC954" s="16"/>
      <c r="BD954"/>
      <c r="BE954"/>
      <c r="BF954"/>
      <c r="BG954"/>
      <c r="BH954"/>
      <c r="BI954"/>
      <c r="BJ954"/>
      <c r="BK954"/>
      <c r="BL954"/>
      <c r="BM954"/>
      <c r="BN954" s="19"/>
      <c r="BO954"/>
      <c r="BP954"/>
      <c r="BQ954"/>
      <c r="BR954"/>
      <c r="BS954"/>
      <c r="BT954"/>
      <c r="BU954"/>
      <c r="BV954"/>
      <c r="BW954"/>
      <c r="BX954"/>
      <c r="BY954"/>
      <c r="BZ954"/>
      <c r="CA954"/>
      <c r="CB954"/>
      <c r="CC954"/>
      <c r="CD954"/>
      <c r="CE954"/>
      <c r="CF954"/>
      <c r="CG954"/>
      <c r="CH954"/>
      <c r="CI954"/>
      <c r="CJ954"/>
      <c r="CK954"/>
      <c r="CL954"/>
      <c r="CM954" s="20"/>
      <c r="CN954" s="20"/>
      <c r="CO954" s="20"/>
      <c r="CP954" s="20"/>
      <c r="CQ954" s="20"/>
      <c r="CR954" s="20"/>
      <c r="CS954" s="20"/>
      <c r="CT954" s="20"/>
      <c r="CU954" s="20"/>
      <c r="CV954" s="20"/>
      <c r="CW954" s="20"/>
      <c r="CX954" s="20"/>
      <c r="CY954" s="20"/>
    </row>
    <row r="955" spans="1:103" s="6" customFormat="1">
      <c r="A955"/>
      <c r="B955"/>
      <c r="C955"/>
      <c r="D955"/>
      <c r="E955"/>
      <c r="F955"/>
      <c r="G955"/>
      <c r="H955"/>
      <c r="I955"/>
      <c r="J955"/>
      <c r="N955" s="7"/>
      <c r="O955"/>
      <c r="P955" s="10"/>
      <c r="Q955" s="9"/>
      <c r="R955" s="10"/>
      <c r="S955" s="10"/>
      <c r="AA955" s="11"/>
      <c r="AD955"/>
      <c r="AE955"/>
      <c r="AF955"/>
      <c r="AG955"/>
      <c r="AH955" s="46"/>
      <c r="AI955"/>
      <c r="AJ955"/>
      <c r="AK955"/>
      <c r="AL955"/>
      <c r="AM955"/>
      <c r="AN955"/>
      <c r="AO955"/>
      <c r="AP955"/>
      <c r="AQ955"/>
      <c r="AR955"/>
      <c r="AS955"/>
      <c r="AT955" s="14"/>
      <c r="AU955"/>
      <c r="AV955"/>
      <c r="AW955"/>
      <c r="AX955" s="10"/>
      <c r="AY955" s="20"/>
      <c r="AZ955" s="16"/>
      <c r="BA955"/>
      <c r="BB955"/>
      <c r="BC955" s="16"/>
      <c r="BD955"/>
      <c r="BE955"/>
      <c r="BF955"/>
      <c r="BG955"/>
      <c r="BH955"/>
      <c r="BI955"/>
      <c r="BJ955"/>
      <c r="BK955"/>
      <c r="BL955"/>
      <c r="BM955"/>
      <c r="BN955" s="19"/>
      <c r="BO955"/>
      <c r="BP955"/>
      <c r="BQ955"/>
      <c r="BR955"/>
      <c r="BS955"/>
      <c r="BT955"/>
      <c r="BU955"/>
      <c r="BV955"/>
      <c r="BW955"/>
      <c r="BX955"/>
      <c r="BY955"/>
      <c r="BZ955"/>
      <c r="CA955"/>
      <c r="CB955"/>
      <c r="CC955"/>
      <c r="CD955"/>
      <c r="CE955"/>
      <c r="CF955"/>
      <c r="CG955"/>
      <c r="CH955"/>
      <c r="CI955"/>
      <c r="CJ955"/>
      <c r="CK955"/>
      <c r="CL955"/>
      <c r="CM955" s="20"/>
      <c r="CN955" s="20"/>
      <c r="CO955" s="20"/>
      <c r="CP955" s="20"/>
      <c r="CQ955" s="20"/>
      <c r="CR955" s="20"/>
      <c r="CS955" s="20"/>
      <c r="CT955" s="20"/>
      <c r="CU955" s="20"/>
      <c r="CV955" s="20"/>
      <c r="CW955" s="20"/>
      <c r="CX955" s="20"/>
      <c r="CY955" s="20"/>
    </row>
    <row r="956" spans="1:103" s="6" customFormat="1">
      <c r="A956"/>
      <c r="B956"/>
      <c r="C956"/>
      <c r="D956"/>
      <c r="E956"/>
      <c r="F956"/>
      <c r="G956"/>
      <c r="H956"/>
      <c r="I956"/>
      <c r="J956"/>
      <c r="N956" s="7"/>
      <c r="O956"/>
      <c r="P956" s="10"/>
      <c r="Q956" s="9"/>
      <c r="R956" s="10"/>
      <c r="S956" s="10"/>
      <c r="AA956" s="11"/>
      <c r="AD956"/>
      <c r="AE956"/>
      <c r="AF956"/>
      <c r="AG956"/>
      <c r="AH956" s="46"/>
      <c r="AI956"/>
      <c r="AJ956"/>
      <c r="AK956"/>
      <c r="AL956"/>
      <c r="AM956"/>
      <c r="AN956"/>
      <c r="AO956"/>
      <c r="AP956"/>
      <c r="AQ956"/>
      <c r="AR956"/>
      <c r="AS956"/>
      <c r="AT956" s="14"/>
      <c r="AU956"/>
      <c r="AV956"/>
      <c r="AW956"/>
      <c r="AX956" s="10"/>
      <c r="AY956" s="20"/>
      <c r="AZ956" s="16"/>
      <c r="BA956"/>
      <c r="BB956"/>
      <c r="BC956" s="16"/>
      <c r="BD956"/>
      <c r="BE956"/>
      <c r="BF956"/>
      <c r="BG956"/>
      <c r="BH956"/>
      <c r="BI956"/>
      <c r="BJ956"/>
      <c r="BK956"/>
      <c r="BL956"/>
      <c r="BM956"/>
      <c r="BN956" s="19"/>
      <c r="BO956"/>
      <c r="BP956"/>
      <c r="BQ956"/>
      <c r="BR956"/>
      <c r="BS956"/>
      <c r="BT956"/>
      <c r="BU956"/>
      <c r="BV956"/>
      <c r="BW956"/>
      <c r="BX956"/>
      <c r="BY956"/>
      <c r="BZ956"/>
      <c r="CA956"/>
      <c r="CB956"/>
      <c r="CC956"/>
      <c r="CD956"/>
      <c r="CE956"/>
      <c r="CF956"/>
      <c r="CG956"/>
      <c r="CH956"/>
      <c r="CI956"/>
      <c r="CJ956"/>
      <c r="CK956"/>
      <c r="CL956"/>
      <c r="CM956" s="20"/>
      <c r="CN956" s="20"/>
      <c r="CO956" s="20"/>
      <c r="CP956" s="20"/>
      <c r="CQ956" s="20"/>
      <c r="CR956" s="20"/>
      <c r="CS956" s="20"/>
      <c r="CT956" s="20"/>
      <c r="CU956" s="20"/>
      <c r="CV956" s="20"/>
      <c r="CW956" s="20"/>
      <c r="CX956" s="20"/>
      <c r="CY956" s="20"/>
    </row>
    <row r="957" spans="1:103" s="6" customFormat="1">
      <c r="A957"/>
      <c r="B957"/>
      <c r="C957"/>
      <c r="D957"/>
      <c r="E957"/>
      <c r="F957"/>
      <c r="G957"/>
      <c r="H957"/>
      <c r="I957"/>
      <c r="J957"/>
      <c r="N957" s="7"/>
      <c r="O957"/>
      <c r="P957" s="10"/>
      <c r="Q957" s="9"/>
      <c r="R957" s="10"/>
      <c r="S957" s="10"/>
      <c r="AA957" s="11"/>
      <c r="AD957"/>
      <c r="AE957"/>
      <c r="AF957"/>
      <c r="AG957"/>
      <c r="AH957" s="46"/>
      <c r="AI957"/>
      <c r="AJ957"/>
      <c r="AK957"/>
      <c r="AL957"/>
      <c r="AM957"/>
      <c r="AN957"/>
      <c r="AO957"/>
      <c r="AP957"/>
      <c r="AQ957"/>
      <c r="AR957"/>
      <c r="AS957"/>
      <c r="AT957" s="14"/>
      <c r="AU957"/>
      <c r="AV957"/>
      <c r="AW957"/>
      <c r="AX957" s="10"/>
      <c r="AY957" s="20"/>
      <c r="AZ957" s="16"/>
      <c r="BA957"/>
      <c r="BB957"/>
      <c r="BC957" s="16"/>
      <c r="BD957"/>
      <c r="BE957"/>
      <c r="BF957"/>
      <c r="BG957"/>
      <c r="BH957"/>
      <c r="BI957"/>
      <c r="BJ957"/>
      <c r="BK957"/>
      <c r="BL957"/>
      <c r="BM957"/>
      <c r="BN957" s="19"/>
      <c r="BO957"/>
      <c r="BP957"/>
      <c r="BQ957"/>
      <c r="BR957"/>
      <c r="BS957"/>
      <c r="BT957"/>
      <c r="BU957"/>
      <c r="BV957"/>
      <c r="BW957"/>
      <c r="BX957"/>
      <c r="BY957"/>
      <c r="BZ957"/>
      <c r="CA957"/>
      <c r="CB957"/>
      <c r="CC957"/>
      <c r="CD957"/>
      <c r="CE957"/>
      <c r="CF957"/>
      <c r="CG957"/>
      <c r="CH957"/>
      <c r="CI957"/>
      <c r="CJ957"/>
      <c r="CK957"/>
      <c r="CL957"/>
      <c r="CM957" s="20"/>
      <c r="CN957" s="20"/>
      <c r="CO957" s="20"/>
      <c r="CP957" s="20"/>
      <c r="CQ957" s="20"/>
      <c r="CR957" s="20"/>
      <c r="CS957" s="20"/>
      <c r="CT957" s="20"/>
      <c r="CU957" s="20"/>
      <c r="CV957" s="20"/>
      <c r="CW957" s="20"/>
      <c r="CX957" s="20"/>
      <c r="CY957" s="20"/>
    </row>
    <row r="958" spans="1:103" s="6" customFormat="1">
      <c r="A958"/>
      <c r="B958"/>
      <c r="C958"/>
      <c r="D958"/>
      <c r="E958"/>
      <c r="F958"/>
      <c r="G958"/>
      <c r="H958"/>
      <c r="I958"/>
      <c r="J958"/>
      <c r="N958" s="7"/>
      <c r="O958"/>
      <c r="P958" s="10"/>
      <c r="Q958" s="9"/>
      <c r="R958" s="10"/>
      <c r="S958" s="10"/>
      <c r="AA958" s="11"/>
      <c r="AD958"/>
      <c r="AE958"/>
      <c r="AF958"/>
      <c r="AG958"/>
      <c r="AH958" s="46"/>
      <c r="AI958"/>
      <c r="AJ958"/>
      <c r="AK958"/>
      <c r="AL958"/>
      <c r="AM958"/>
      <c r="AN958"/>
      <c r="AO958"/>
      <c r="AP958"/>
      <c r="AQ958"/>
      <c r="AR958"/>
      <c r="AS958"/>
      <c r="AT958" s="14"/>
      <c r="AU958"/>
      <c r="AV958"/>
      <c r="AW958"/>
      <c r="AX958" s="10"/>
      <c r="AY958" s="20"/>
      <c r="AZ958" s="16"/>
      <c r="BA958"/>
      <c r="BB958"/>
      <c r="BC958" s="16"/>
      <c r="BD958"/>
      <c r="BE958"/>
      <c r="BF958"/>
      <c r="BG958"/>
      <c r="BH958"/>
      <c r="BI958"/>
      <c r="BJ958"/>
      <c r="BK958"/>
      <c r="BL958"/>
      <c r="BM958"/>
      <c r="BN958" s="19"/>
      <c r="BO958"/>
      <c r="BP958"/>
      <c r="BQ958"/>
      <c r="BR958"/>
      <c r="BS958"/>
      <c r="BT958"/>
      <c r="BU958"/>
      <c r="BV958"/>
      <c r="BW958"/>
      <c r="BX958"/>
      <c r="BY958"/>
      <c r="BZ958"/>
      <c r="CA958"/>
      <c r="CB958"/>
      <c r="CC958"/>
      <c r="CD958"/>
      <c r="CE958"/>
      <c r="CF958"/>
      <c r="CG958"/>
      <c r="CH958"/>
      <c r="CI958"/>
      <c r="CJ958"/>
      <c r="CK958"/>
      <c r="CL958"/>
      <c r="CM958" s="20"/>
      <c r="CN958" s="20"/>
      <c r="CO958" s="20"/>
      <c r="CP958" s="20"/>
      <c r="CQ958" s="20"/>
      <c r="CR958" s="20"/>
      <c r="CS958" s="20"/>
      <c r="CT958" s="20"/>
      <c r="CU958" s="20"/>
      <c r="CV958" s="20"/>
      <c r="CW958" s="20"/>
      <c r="CX958" s="20"/>
      <c r="CY958" s="20"/>
    </row>
    <row r="959" spans="1:103" s="6" customFormat="1">
      <c r="A959"/>
      <c r="B959"/>
      <c r="C959"/>
      <c r="D959"/>
      <c r="E959"/>
      <c r="F959"/>
      <c r="G959"/>
      <c r="H959"/>
      <c r="I959"/>
      <c r="J959"/>
      <c r="N959" s="7"/>
      <c r="O959"/>
      <c r="P959" s="10"/>
      <c r="Q959" s="9"/>
      <c r="R959" s="10"/>
      <c r="S959" s="10"/>
      <c r="AA959" s="11"/>
      <c r="AD959"/>
      <c r="AE959"/>
      <c r="AF959"/>
      <c r="AG959"/>
      <c r="AH959" s="46"/>
      <c r="AI959"/>
      <c r="AJ959"/>
      <c r="AK959"/>
      <c r="AL959"/>
      <c r="AM959"/>
      <c r="AN959"/>
      <c r="AO959"/>
      <c r="AP959"/>
      <c r="AQ959"/>
      <c r="AR959"/>
      <c r="AS959"/>
      <c r="AT959" s="14"/>
      <c r="AU959"/>
      <c r="AV959"/>
      <c r="AW959"/>
      <c r="AX959" s="10"/>
      <c r="AY959" s="20"/>
      <c r="AZ959" s="16"/>
      <c r="BA959"/>
      <c r="BB959"/>
      <c r="BC959" s="16"/>
      <c r="BD959"/>
      <c r="BE959"/>
      <c r="BF959"/>
      <c r="BG959"/>
      <c r="BH959"/>
      <c r="BI959"/>
      <c r="BJ959"/>
      <c r="BK959"/>
      <c r="BL959"/>
      <c r="BM959"/>
      <c r="BN959" s="19"/>
      <c r="BO959"/>
      <c r="BP959"/>
      <c r="BQ959"/>
      <c r="BR959"/>
      <c r="BS959"/>
      <c r="BT959"/>
      <c r="BU959"/>
      <c r="BV959"/>
      <c r="BW959"/>
      <c r="BX959"/>
      <c r="BY959"/>
      <c r="BZ959"/>
      <c r="CA959"/>
      <c r="CB959"/>
      <c r="CC959"/>
      <c r="CD959"/>
      <c r="CE959"/>
      <c r="CF959"/>
      <c r="CG959"/>
      <c r="CH959"/>
      <c r="CI959"/>
      <c r="CJ959"/>
      <c r="CK959"/>
      <c r="CL959"/>
      <c r="CM959" s="20"/>
      <c r="CN959" s="20"/>
      <c r="CO959" s="20"/>
      <c r="CP959" s="20"/>
      <c r="CQ959" s="20"/>
      <c r="CR959" s="20"/>
      <c r="CS959" s="20"/>
      <c r="CT959" s="20"/>
      <c r="CU959" s="20"/>
      <c r="CV959" s="20"/>
      <c r="CW959" s="20"/>
      <c r="CX959" s="20"/>
      <c r="CY959" s="20"/>
    </row>
    <row r="960" spans="1:103" s="6" customFormat="1">
      <c r="A960"/>
      <c r="B960"/>
      <c r="C960"/>
      <c r="D960"/>
      <c r="E960"/>
      <c r="F960"/>
      <c r="G960"/>
      <c r="H960"/>
      <c r="I960"/>
      <c r="J960"/>
      <c r="N960" s="7"/>
      <c r="O960"/>
      <c r="P960" s="10"/>
      <c r="Q960" s="9"/>
      <c r="R960" s="10"/>
      <c r="S960" s="10"/>
      <c r="AA960" s="11"/>
      <c r="AD960"/>
      <c r="AE960"/>
      <c r="AF960"/>
      <c r="AG960"/>
      <c r="AH960" s="46"/>
      <c r="AI960"/>
      <c r="AJ960"/>
      <c r="AK960"/>
      <c r="AL960"/>
      <c r="AM960"/>
      <c r="AN960"/>
      <c r="AO960"/>
      <c r="AP960"/>
      <c r="AQ960"/>
      <c r="AR960"/>
      <c r="AS960"/>
      <c r="AT960" s="14"/>
      <c r="AU960"/>
      <c r="AV960"/>
      <c r="AW960"/>
      <c r="AX960" s="10"/>
      <c r="AY960" s="20"/>
      <c r="AZ960" s="16"/>
      <c r="BA960"/>
      <c r="BB960"/>
      <c r="BC960" s="16"/>
      <c r="BD960"/>
      <c r="BE960"/>
      <c r="BF960"/>
      <c r="BG960"/>
      <c r="BH960"/>
      <c r="BI960"/>
      <c r="BJ960"/>
      <c r="BK960"/>
      <c r="BL960"/>
      <c r="BM960"/>
      <c r="BN960" s="19"/>
      <c r="BO960"/>
      <c r="BP960"/>
      <c r="BQ960"/>
      <c r="BR960"/>
      <c r="BS960"/>
      <c r="BT960"/>
      <c r="BU960"/>
      <c r="BV960"/>
      <c r="BW960"/>
      <c r="BX960"/>
      <c r="BY960"/>
      <c r="BZ960"/>
      <c r="CA960"/>
      <c r="CB960"/>
      <c r="CC960"/>
      <c r="CD960"/>
      <c r="CE960"/>
      <c r="CF960"/>
      <c r="CG960"/>
      <c r="CH960"/>
      <c r="CI960"/>
      <c r="CJ960"/>
      <c r="CK960"/>
      <c r="CL960"/>
      <c r="CM960" s="20"/>
      <c r="CN960" s="20"/>
      <c r="CO960" s="20"/>
      <c r="CP960" s="20"/>
      <c r="CQ960" s="20"/>
      <c r="CR960" s="20"/>
      <c r="CS960" s="20"/>
      <c r="CT960" s="20"/>
      <c r="CU960" s="20"/>
      <c r="CV960" s="20"/>
      <c r="CW960" s="20"/>
      <c r="CX960" s="20"/>
      <c r="CY960" s="20"/>
    </row>
    <row r="961" spans="1:103" s="6" customFormat="1">
      <c r="A961"/>
      <c r="B961"/>
      <c r="C961"/>
      <c r="D961"/>
      <c r="E961"/>
      <c r="F961"/>
      <c r="G961"/>
      <c r="H961"/>
      <c r="I961"/>
      <c r="J961"/>
      <c r="N961" s="7"/>
      <c r="O961"/>
      <c r="P961" s="10"/>
      <c r="Q961" s="9"/>
      <c r="R961" s="10"/>
      <c r="S961" s="10"/>
      <c r="AA961" s="11"/>
      <c r="AD961"/>
      <c r="AE961"/>
      <c r="AF961"/>
      <c r="AG961"/>
      <c r="AH961" s="46"/>
      <c r="AI961"/>
      <c r="AJ961"/>
      <c r="AK961"/>
      <c r="AL961"/>
      <c r="AM961"/>
      <c r="AN961"/>
      <c r="AO961"/>
      <c r="AP961"/>
      <c r="AQ961"/>
      <c r="AR961"/>
      <c r="AS961"/>
      <c r="AT961" s="14"/>
      <c r="AU961"/>
      <c r="AV961"/>
      <c r="AW961"/>
      <c r="AX961" s="10"/>
      <c r="AY961" s="20"/>
      <c r="AZ961" s="16"/>
      <c r="BA961"/>
      <c r="BB961"/>
      <c r="BC961" s="16"/>
      <c r="BD961"/>
      <c r="BE961"/>
      <c r="BF961"/>
      <c r="BG961"/>
      <c r="BH961"/>
      <c r="BI961"/>
      <c r="BJ961"/>
      <c r="BK961"/>
      <c r="BL961"/>
      <c r="BM961"/>
      <c r="BN961" s="19"/>
      <c r="BO961"/>
      <c r="BP961"/>
      <c r="BQ961"/>
      <c r="BR961"/>
      <c r="BS961"/>
      <c r="BT961"/>
      <c r="BU961"/>
      <c r="BV961"/>
      <c r="BW961"/>
      <c r="BX961"/>
      <c r="BY961"/>
      <c r="BZ961"/>
      <c r="CA961"/>
      <c r="CB961"/>
      <c r="CC961"/>
      <c r="CD961"/>
      <c r="CE961"/>
      <c r="CF961"/>
      <c r="CG961"/>
      <c r="CH961"/>
      <c r="CI961"/>
      <c r="CJ961"/>
      <c r="CK961"/>
      <c r="CL961"/>
      <c r="CM961" s="20"/>
      <c r="CN961" s="20"/>
      <c r="CO961" s="20"/>
      <c r="CP961" s="20"/>
      <c r="CQ961" s="20"/>
      <c r="CR961" s="20"/>
      <c r="CS961" s="20"/>
      <c r="CT961" s="20"/>
      <c r="CU961" s="20"/>
      <c r="CV961" s="20"/>
      <c r="CW961" s="20"/>
      <c r="CX961" s="20"/>
      <c r="CY961" s="20"/>
    </row>
    <row r="962" spans="1:103" s="6" customFormat="1">
      <c r="A962"/>
      <c r="B962"/>
      <c r="C962"/>
      <c r="D962"/>
      <c r="E962"/>
      <c r="F962"/>
      <c r="G962"/>
      <c r="H962"/>
      <c r="I962"/>
      <c r="J962"/>
      <c r="N962" s="7"/>
      <c r="O962"/>
      <c r="P962" s="10"/>
      <c r="Q962" s="9"/>
      <c r="R962" s="10"/>
      <c r="S962" s="10"/>
      <c r="AA962" s="11"/>
      <c r="AD962"/>
      <c r="AE962"/>
      <c r="AF962"/>
      <c r="AG962"/>
      <c r="AH962" s="46"/>
      <c r="AI962"/>
      <c r="AJ962"/>
      <c r="AK962"/>
      <c r="AL962"/>
      <c r="AM962"/>
      <c r="AN962"/>
      <c r="AO962"/>
      <c r="AP962"/>
      <c r="AQ962"/>
      <c r="AR962"/>
      <c r="AS962"/>
      <c r="AT962" s="14"/>
      <c r="AU962"/>
      <c r="AV962"/>
      <c r="AW962"/>
      <c r="AX962" s="10"/>
      <c r="AY962" s="20"/>
      <c r="AZ962" s="16"/>
      <c r="BA962"/>
      <c r="BB962"/>
      <c r="BC962" s="16"/>
      <c r="BD962"/>
      <c r="BE962"/>
      <c r="BF962"/>
      <c r="BG962"/>
      <c r="BH962"/>
      <c r="BI962"/>
      <c r="BJ962"/>
      <c r="BK962"/>
      <c r="BL962"/>
      <c r="BM962"/>
      <c r="BN962" s="19"/>
      <c r="BO962"/>
      <c r="BP962"/>
      <c r="BQ962"/>
      <c r="BR962"/>
      <c r="BS962"/>
      <c r="BT962"/>
      <c r="BU962"/>
      <c r="BV962"/>
      <c r="BW962"/>
      <c r="BX962"/>
      <c r="BY962"/>
      <c r="BZ962"/>
      <c r="CA962"/>
      <c r="CB962"/>
      <c r="CC962"/>
      <c r="CD962"/>
      <c r="CE962"/>
      <c r="CF962"/>
      <c r="CG962"/>
      <c r="CH962"/>
      <c r="CI962"/>
      <c r="CJ962"/>
      <c r="CK962"/>
      <c r="CL962"/>
      <c r="CM962" s="20"/>
      <c r="CN962" s="20"/>
      <c r="CO962" s="20"/>
      <c r="CP962" s="20"/>
      <c r="CQ962" s="20"/>
      <c r="CR962" s="20"/>
      <c r="CS962" s="20"/>
      <c r="CT962" s="20"/>
      <c r="CU962" s="20"/>
      <c r="CV962" s="20"/>
      <c r="CW962" s="20"/>
      <c r="CX962" s="20"/>
      <c r="CY962" s="20"/>
    </row>
    <row r="963" spans="1:103" s="6" customFormat="1">
      <c r="A963"/>
      <c r="B963"/>
      <c r="C963"/>
      <c r="D963"/>
      <c r="E963"/>
      <c r="F963"/>
      <c r="G963"/>
      <c r="H963"/>
      <c r="I963"/>
      <c r="J963"/>
      <c r="N963" s="7"/>
      <c r="O963"/>
      <c r="P963" s="10"/>
      <c r="Q963" s="9"/>
      <c r="R963" s="10"/>
      <c r="S963" s="10"/>
      <c r="AA963" s="11"/>
      <c r="AD963"/>
      <c r="AE963"/>
      <c r="AF963"/>
      <c r="AG963"/>
      <c r="AH963" s="46"/>
      <c r="AI963"/>
      <c r="AJ963"/>
      <c r="AK963"/>
      <c r="AL963"/>
      <c r="AM963"/>
      <c r="AN963"/>
      <c r="AO963"/>
      <c r="AP963"/>
      <c r="AQ963"/>
      <c r="AR963"/>
      <c r="AS963"/>
      <c r="AT963" s="14"/>
      <c r="AU963"/>
      <c r="AV963"/>
      <c r="AW963"/>
      <c r="AX963" s="10"/>
      <c r="AY963" s="20"/>
      <c r="AZ963" s="16"/>
      <c r="BA963"/>
      <c r="BB963"/>
      <c r="BC963" s="16"/>
      <c r="BD963"/>
      <c r="BE963"/>
      <c r="BF963"/>
      <c r="BG963"/>
      <c r="BH963"/>
      <c r="BI963"/>
      <c r="BJ963"/>
      <c r="BK963"/>
      <c r="BL963"/>
      <c r="BM963"/>
      <c r="BN963" s="19"/>
      <c r="BO963"/>
      <c r="BP963"/>
      <c r="BQ963"/>
      <c r="BR963"/>
      <c r="BS963"/>
      <c r="BT963"/>
      <c r="BU963"/>
      <c r="BV963"/>
      <c r="BW963"/>
      <c r="BX963"/>
      <c r="BY963"/>
      <c r="BZ963"/>
      <c r="CA963"/>
      <c r="CB963"/>
      <c r="CC963"/>
      <c r="CD963"/>
      <c r="CE963"/>
      <c r="CF963"/>
      <c r="CG963"/>
      <c r="CH963"/>
      <c r="CI963"/>
      <c r="CJ963"/>
      <c r="CK963"/>
      <c r="CL963"/>
      <c r="CM963" s="20"/>
      <c r="CN963" s="20"/>
      <c r="CO963" s="20"/>
      <c r="CP963" s="20"/>
      <c r="CQ963" s="20"/>
      <c r="CR963" s="20"/>
      <c r="CS963" s="20"/>
      <c r="CT963" s="20"/>
      <c r="CU963" s="20"/>
      <c r="CV963" s="20"/>
      <c r="CW963" s="20"/>
      <c r="CX963" s="20"/>
      <c r="CY963" s="20"/>
    </row>
    <row r="964" spans="1:103" s="6" customFormat="1">
      <c r="A964"/>
      <c r="B964"/>
      <c r="C964"/>
      <c r="D964"/>
      <c r="E964"/>
      <c r="F964"/>
      <c r="G964"/>
      <c r="H964"/>
      <c r="I964"/>
      <c r="J964"/>
      <c r="N964" s="7"/>
      <c r="O964"/>
      <c r="P964" s="10"/>
      <c r="Q964" s="9"/>
      <c r="R964" s="10"/>
      <c r="S964" s="10"/>
      <c r="AA964" s="11"/>
      <c r="AD964"/>
      <c r="AE964"/>
      <c r="AF964"/>
      <c r="AG964"/>
      <c r="AH964" s="46"/>
      <c r="AI964"/>
      <c r="AJ964"/>
      <c r="AK964"/>
      <c r="AL964"/>
      <c r="AM964"/>
      <c r="AN964"/>
      <c r="AO964"/>
      <c r="AP964"/>
      <c r="AQ964"/>
      <c r="AR964"/>
      <c r="AS964"/>
      <c r="AT964" s="14"/>
      <c r="AU964"/>
      <c r="AV964"/>
      <c r="AW964"/>
      <c r="AX964" s="10"/>
      <c r="AY964" s="20"/>
      <c r="AZ964" s="16"/>
      <c r="BA964"/>
      <c r="BB964"/>
      <c r="BC964" s="16"/>
      <c r="BD964"/>
      <c r="BE964"/>
      <c r="BF964"/>
      <c r="BG964"/>
      <c r="BH964"/>
      <c r="BI964"/>
      <c r="BJ964"/>
      <c r="BK964"/>
      <c r="BL964"/>
      <c r="BM964"/>
      <c r="BN964" s="19"/>
      <c r="BO964"/>
      <c r="BP964"/>
      <c r="BQ964"/>
      <c r="BR964"/>
      <c r="BS964"/>
      <c r="BT964"/>
      <c r="BU964"/>
      <c r="BV964"/>
      <c r="BW964"/>
      <c r="BX964"/>
      <c r="BY964"/>
      <c r="BZ964"/>
      <c r="CA964"/>
      <c r="CB964"/>
      <c r="CC964"/>
      <c r="CD964"/>
      <c r="CE964"/>
      <c r="CF964"/>
      <c r="CG964"/>
      <c r="CH964"/>
      <c r="CI964"/>
      <c r="CJ964"/>
      <c r="CK964"/>
      <c r="CL964"/>
      <c r="CM964" s="20"/>
      <c r="CN964" s="20"/>
      <c r="CO964" s="20"/>
      <c r="CP964" s="20"/>
      <c r="CQ964" s="20"/>
      <c r="CR964" s="20"/>
      <c r="CS964" s="20"/>
      <c r="CT964" s="20"/>
      <c r="CU964" s="20"/>
      <c r="CV964" s="20"/>
      <c r="CW964" s="20"/>
      <c r="CX964" s="20"/>
      <c r="CY964" s="20"/>
    </row>
    <row r="965" spans="1:103" s="6" customFormat="1">
      <c r="A965"/>
      <c r="B965"/>
      <c r="C965"/>
      <c r="D965"/>
      <c r="E965"/>
      <c r="F965"/>
      <c r="G965"/>
      <c r="H965"/>
      <c r="I965"/>
      <c r="J965"/>
      <c r="N965" s="7"/>
      <c r="O965"/>
      <c r="P965" s="10"/>
      <c r="Q965" s="9"/>
      <c r="R965" s="10"/>
      <c r="S965" s="10"/>
      <c r="AA965" s="11"/>
      <c r="AD965"/>
      <c r="AE965"/>
      <c r="AF965"/>
      <c r="AG965"/>
      <c r="AH965" s="46"/>
      <c r="AI965"/>
      <c r="AJ965"/>
      <c r="AK965"/>
      <c r="AL965"/>
      <c r="AM965"/>
      <c r="AN965"/>
      <c r="AO965"/>
      <c r="AP965"/>
      <c r="AQ965"/>
      <c r="AR965"/>
      <c r="AS965"/>
      <c r="AT965" s="14"/>
      <c r="AU965"/>
      <c r="AV965"/>
      <c r="AW965"/>
      <c r="AX965" s="10"/>
      <c r="AY965" s="20"/>
      <c r="AZ965" s="16"/>
      <c r="BA965"/>
      <c r="BB965"/>
      <c r="BC965" s="16"/>
      <c r="BD965"/>
      <c r="BE965"/>
      <c r="BF965"/>
      <c r="BG965"/>
      <c r="BH965"/>
      <c r="BI965"/>
      <c r="BJ965"/>
      <c r="BK965"/>
      <c r="BL965"/>
      <c r="BM965"/>
      <c r="BN965" s="19"/>
      <c r="BO965"/>
      <c r="BP965"/>
      <c r="BQ965"/>
      <c r="BR965"/>
      <c r="BS965"/>
      <c r="BT965"/>
      <c r="BU965"/>
      <c r="BV965"/>
      <c r="BW965"/>
      <c r="BX965"/>
      <c r="BY965"/>
      <c r="BZ965"/>
      <c r="CA965"/>
      <c r="CB965"/>
      <c r="CC965"/>
      <c r="CD965"/>
      <c r="CE965"/>
      <c r="CF965"/>
      <c r="CG965"/>
      <c r="CH965"/>
      <c r="CI965"/>
      <c r="CJ965"/>
      <c r="CK965"/>
      <c r="CL965"/>
      <c r="CM965" s="20"/>
      <c r="CN965" s="20"/>
      <c r="CO965" s="20"/>
      <c r="CP965" s="20"/>
      <c r="CQ965" s="20"/>
      <c r="CR965" s="20"/>
      <c r="CS965" s="20"/>
      <c r="CT965" s="20"/>
      <c r="CU965" s="20"/>
      <c r="CV965" s="20"/>
      <c r="CW965" s="20"/>
      <c r="CX965" s="20"/>
      <c r="CY965" s="20"/>
    </row>
    <row r="966" spans="1:103" s="6" customFormat="1">
      <c r="A966"/>
      <c r="B966"/>
      <c r="C966"/>
      <c r="D966"/>
      <c r="E966"/>
      <c r="F966"/>
      <c r="G966"/>
      <c r="H966"/>
      <c r="I966"/>
      <c r="J966"/>
      <c r="N966" s="7"/>
      <c r="O966"/>
      <c r="P966" s="10"/>
      <c r="Q966" s="9"/>
      <c r="R966" s="10"/>
      <c r="S966" s="10"/>
      <c r="AA966" s="11"/>
      <c r="AD966"/>
      <c r="AE966"/>
      <c r="AF966"/>
      <c r="AG966"/>
      <c r="AH966" s="46"/>
      <c r="AI966"/>
      <c r="AJ966"/>
      <c r="AK966"/>
      <c r="AL966"/>
      <c r="AM966"/>
      <c r="AN966"/>
      <c r="AO966"/>
      <c r="AP966"/>
      <c r="AQ966"/>
      <c r="AR966"/>
      <c r="AS966"/>
      <c r="AT966" s="14"/>
      <c r="AU966"/>
      <c r="AV966"/>
      <c r="AW966"/>
      <c r="AX966" s="10"/>
      <c r="AY966" s="20"/>
      <c r="AZ966" s="16"/>
      <c r="BA966"/>
      <c r="BB966"/>
      <c r="BC966" s="16"/>
      <c r="BD966"/>
      <c r="BE966"/>
      <c r="BF966"/>
      <c r="BG966"/>
      <c r="BH966"/>
      <c r="BI966"/>
      <c r="BJ966"/>
      <c r="BK966"/>
      <c r="BL966"/>
      <c r="BM966"/>
      <c r="BN966" s="19"/>
      <c r="BO966"/>
      <c r="BP966"/>
      <c r="BQ966"/>
      <c r="BR966"/>
      <c r="BS966"/>
      <c r="BT966"/>
      <c r="BU966"/>
      <c r="BV966"/>
      <c r="BW966"/>
      <c r="BX966"/>
      <c r="BY966"/>
      <c r="BZ966"/>
      <c r="CA966"/>
      <c r="CB966"/>
      <c r="CC966"/>
      <c r="CD966"/>
      <c r="CE966"/>
      <c r="CF966"/>
      <c r="CG966"/>
      <c r="CH966"/>
      <c r="CI966"/>
      <c r="CJ966"/>
      <c r="CK966"/>
      <c r="CL966"/>
      <c r="CM966" s="20"/>
      <c r="CN966" s="20"/>
      <c r="CO966" s="20"/>
      <c r="CP966" s="20"/>
      <c r="CQ966" s="20"/>
      <c r="CR966" s="20"/>
      <c r="CS966" s="20"/>
      <c r="CT966" s="20"/>
      <c r="CU966" s="20"/>
      <c r="CV966" s="20"/>
      <c r="CW966" s="20"/>
      <c r="CX966" s="20"/>
      <c r="CY966" s="20"/>
    </row>
    <row r="967" spans="1:103" s="6" customFormat="1">
      <c r="A967"/>
      <c r="B967"/>
      <c r="C967"/>
      <c r="D967"/>
      <c r="E967"/>
      <c r="F967"/>
      <c r="G967"/>
      <c r="H967"/>
      <c r="I967"/>
      <c r="J967"/>
      <c r="N967" s="7"/>
      <c r="O967"/>
      <c r="P967" s="10"/>
      <c r="Q967" s="9"/>
      <c r="R967" s="10"/>
      <c r="S967" s="10"/>
      <c r="AA967" s="11"/>
      <c r="AD967"/>
      <c r="AE967"/>
      <c r="AF967"/>
      <c r="AG967"/>
      <c r="AH967" s="46"/>
      <c r="AI967"/>
      <c r="AJ967"/>
      <c r="AK967"/>
      <c r="AL967"/>
      <c r="AM967"/>
      <c r="AN967"/>
      <c r="AO967"/>
      <c r="AP967"/>
      <c r="AQ967"/>
      <c r="AR967"/>
      <c r="AS967"/>
      <c r="AT967" s="14"/>
      <c r="AU967"/>
      <c r="AV967"/>
      <c r="AW967"/>
      <c r="AX967" s="10"/>
      <c r="AY967" s="20"/>
      <c r="AZ967" s="16"/>
      <c r="BA967"/>
      <c r="BB967"/>
      <c r="BC967" s="16"/>
      <c r="BD967"/>
      <c r="BE967"/>
      <c r="BF967"/>
      <c r="BG967"/>
      <c r="BH967"/>
      <c r="BI967"/>
      <c r="BJ967"/>
      <c r="BK967"/>
      <c r="BL967"/>
      <c r="BM967"/>
      <c r="BN967" s="19"/>
      <c r="BO967"/>
      <c r="BP967"/>
      <c r="BQ967"/>
      <c r="BR967"/>
      <c r="BS967"/>
      <c r="BT967"/>
      <c r="BU967"/>
      <c r="BV967"/>
      <c r="BW967"/>
      <c r="BX967"/>
      <c r="BY967"/>
      <c r="BZ967"/>
      <c r="CA967"/>
      <c r="CB967"/>
      <c r="CC967"/>
      <c r="CD967"/>
      <c r="CE967"/>
      <c r="CF967"/>
      <c r="CG967"/>
      <c r="CH967"/>
      <c r="CI967"/>
      <c r="CJ967"/>
      <c r="CK967"/>
      <c r="CL967"/>
      <c r="CM967" s="20"/>
      <c r="CN967" s="20"/>
      <c r="CO967" s="20"/>
      <c r="CP967" s="20"/>
      <c r="CQ967" s="20"/>
      <c r="CR967" s="20"/>
      <c r="CS967" s="20"/>
      <c r="CT967" s="20"/>
      <c r="CU967" s="20"/>
      <c r="CV967" s="20"/>
      <c r="CW967" s="20"/>
      <c r="CX967" s="20"/>
      <c r="CY967" s="20"/>
    </row>
    <row r="968" spans="1:103" s="6" customFormat="1">
      <c r="A968"/>
      <c r="B968"/>
      <c r="C968"/>
      <c r="D968"/>
      <c r="E968"/>
      <c r="F968"/>
      <c r="G968"/>
      <c r="H968"/>
      <c r="I968"/>
      <c r="J968"/>
      <c r="N968" s="7"/>
      <c r="O968"/>
      <c r="P968" s="10"/>
      <c r="Q968" s="9"/>
      <c r="R968" s="10"/>
      <c r="S968" s="10"/>
      <c r="AA968" s="11"/>
      <c r="AD968"/>
      <c r="AE968"/>
      <c r="AF968"/>
      <c r="AG968"/>
      <c r="AH968" s="46"/>
      <c r="AI968"/>
      <c r="AJ968"/>
      <c r="AK968"/>
      <c r="AL968"/>
      <c r="AM968"/>
      <c r="AN968"/>
      <c r="AO968"/>
      <c r="AP968"/>
      <c r="AQ968"/>
      <c r="AR968"/>
      <c r="AS968"/>
      <c r="AT968" s="14"/>
      <c r="AU968"/>
      <c r="AV968"/>
      <c r="AW968"/>
      <c r="AX968" s="10"/>
      <c r="AY968" s="20"/>
      <c r="AZ968" s="16"/>
      <c r="BA968"/>
      <c r="BB968"/>
      <c r="BC968" s="16"/>
      <c r="BD968"/>
      <c r="BE968"/>
      <c r="BF968"/>
      <c r="BG968"/>
      <c r="BH968"/>
      <c r="BI968"/>
      <c r="BJ968"/>
      <c r="BK968"/>
      <c r="BL968"/>
      <c r="BM968"/>
      <c r="BN968" s="19"/>
      <c r="BO968"/>
      <c r="BP968"/>
      <c r="BQ968"/>
      <c r="BR968"/>
      <c r="BS968"/>
      <c r="BT968"/>
      <c r="BU968"/>
      <c r="BV968"/>
      <c r="BW968"/>
      <c r="BX968"/>
      <c r="BY968"/>
      <c r="BZ968"/>
      <c r="CA968"/>
      <c r="CB968"/>
      <c r="CC968"/>
      <c r="CD968"/>
      <c r="CE968"/>
      <c r="CF968"/>
      <c r="CG968"/>
      <c r="CH968"/>
      <c r="CI968"/>
      <c r="CJ968"/>
      <c r="CK968"/>
      <c r="CL968"/>
      <c r="CM968" s="20"/>
      <c r="CN968" s="20"/>
      <c r="CO968" s="20"/>
      <c r="CP968" s="20"/>
      <c r="CQ968" s="20"/>
      <c r="CR968" s="20"/>
      <c r="CS968" s="20"/>
      <c r="CT968" s="20"/>
      <c r="CU968" s="20"/>
      <c r="CV968" s="20"/>
      <c r="CW968" s="20"/>
      <c r="CX968" s="20"/>
      <c r="CY968" s="20"/>
    </row>
    <row r="969" spans="1:103" s="6" customFormat="1">
      <c r="A969"/>
      <c r="B969"/>
      <c r="C969"/>
      <c r="D969"/>
      <c r="E969"/>
      <c r="F969"/>
      <c r="G969"/>
      <c r="H969"/>
      <c r="I969"/>
      <c r="J969"/>
      <c r="N969" s="7"/>
      <c r="O969"/>
      <c r="P969" s="10"/>
      <c r="Q969" s="9"/>
      <c r="R969" s="10"/>
      <c r="S969" s="10"/>
      <c r="AA969" s="11"/>
      <c r="AD969"/>
      <c r="AE969"/>
      <c r="AF969"/>
      <c r="AG969"/>
      <c r="AH969" s="46"/>
      <c r="AI969"/>
      <c r="AJ969"/>
      <c r="AK969"/>
      <c r="AL969"/>
      <c r="AM969"/>
      <c r="AN969"/>
      <c r="AO969"/>
      <c r="AP969"/>
      <c r="AQ969"/>
      <c r="AR969"/>
      <c r="AS969"/>
      <c r="AT969" s="14"/>
      <c r="AU969"/>
      <c r="AV969"/>
      <c r="AW969"/>
      <c r="AX969" s="10"/>
      <c r="AY969" s="20"/>
      <c r="AZ969" s="16"/>
      <c r="BA969"/>
      <c r="BB969"/>
      <c r="BC969" s="16"/>
      <c r="BD969"/>
      <c r="BE969"/>
      <c r="BF969"/>
      <c r="BG969"/>
      <c r="BH969"/>
      <c r="BI969"/>
      <c r="BJ969"/>
      <c r="BK969"/>
      <c r="BL969"/>
      <c r="BM969"/>
      <c r="BN969" s="19"/>
      <c r="BO969"/>
      <c r="BP969"/>
      <c r="BQ969"/>
      <c r="BR969"/>
      <c r="BS969"/>
      <c r="BT969"/>
      <c r="BU969"/>
      <c r="BV969"/>
      <c r="BW969"/>
      <c r="BX969"/>
      <c r="BY969"/>
      <c r="BZ969"/>
      <c r="CA969"/>
      <c r="CB969"/>
      <c r="CC969"/>
      <c r="CD969"/>
      <c r="CE969"/>
      <c r="CF969"/>
      <c r="CG969"/>
      <c r="CH969"/>
      <c r="CI969"/>
      <c r="CJ969"/>
      <c r="CK969"/>
      <c r="CL969"/>
      <c r="CM969" s="20"/>
      <c r="CN969" s="20"/>
      <c r="CO969" s="20"/>
      <c r="CP969" s="20"/>
      <c r="CQ969" s="20"/>
      <c r="CR969" s="20"/>
      <c r="CS969" s="20"/>
      <c r="CT969" s="20"/>
      <c r="CU969" s="20"/>
      <c r="CV969" s="20"/>
      <c r="CW969" s="20"/>
      <c r="CX969" s="20"/>
      <c r="CY969" s="20"/>
    </row>
    <row r="970" spans="1:103" s="6" customFormat="1">
      <c r="A970"/>
      <c r="B970"/>
      <c r="C970"/>
      <c r="D970"/>
      <c r="E970"/>
      <c r="F970"/>
      <c r="G970"/>
      <c r="H970"/>
      <c r="I970"/>
      <c r="J970"/>
      <c r="N970" s="7"/>
      <c r="O970"/>
      <c r="P970" s="10"/>
      <c r="Q970" s="9"/>
      <c r="R970" s="10"/>
      <c r="S970" s="10"/>
      <c r="AA970" s="11"/>
      <c r="AD970"/>
      <c r="AE970"/>
      <c r="AF970"/>
      <c r="AG970"/>
      <c r="AH970" s="46"/>
      <c r="AI970"/>
      <c r="AJ970"/>
      <c r="AK970"/>
      <c r="AL970"/>
      <c r="AM970"/>
      <c r="AN970"/>
      <c r="AO970"/>
      <c r="AP970"/>
      <c r="AQ970"/>
      <c r="AR970"/>
      <c r="AS970"/>
      <c r="AT970" s="14"/>
      <c r="AU970"/>
      <c r="AV970"/>
      <c r="AW970"/>
      <c r="AX970" s="10"/>
      <c r="AY970" s="20"/>
      <c r="AZ970" s="16"/>
      <c r="BA970"/>
      <c r="BB970"/>
      <c r="BC970" s="16"/>
      <c r="BD970"/>
      <c r="BE970"/>
      <c r="BF970"/>
      <c r="BG970"/>
      <c r="BH970"/>
      <c r="BI970"/>
      <c r="BJ970"/>
      <c r="BK970"/>
      <c r="BL970"/>
      <c r="BM970"/>
      <c r="BN970" s="19"/>
      <c r="BO970"/>
      <c r="BP970"/>
      <c r="BQ970"/>
      <c r="BR970"/>
      <c r="BS970"/>
      <c r="BT970"/>
      <c r="BU970"/>
      <c r="BV970"/>
      <c r="BW970"/>
      <c r="BX970"/>
      <c r="BY970"/>
      <c r="BZ970"/>
      <c r="CA970"/>
      <c r="CB970"/>
      <c r="CC970"/>
      <c r="CD970"/>
      <c r="CE970"/>
      <c r="CF970"/>
      <c r="CG970"/>
      <c r="CH970"/>
      <c r="CI970"/>
      <c r="CJ970"/>
      <c r="CK970"/>
      <c r="CL970"/>
      <c r="CM970" s="20"/>
      <c r="CN970" s="20"/>
      <c r="CO970" s="20"/>
      <c r="CP970" s="20"/>
      <c r="CQ970" s="20"/>
      <c r="CR970" s="20"/>
      <c r="CS970" s="20"/>
      <c r="CT970" s="20"/>
      <c r="CU970" s="20"/>
      <c r="CV970" s="20"/>
      <c r="CW970" s="20"/>
      <c r="CX970" s="20"/>
      <c r="CY970" s="20"/>
    </row>
    <row r="971" spans="1:103" s="6" customFormat="1">
      <c r="A971"/>
      <c r="B971"/>
      <c r="C971"/>
      <c r="D971"/>
      <c r="E971"/>
      <c r="F971"/>
      <c r="G971"/>
      <c r="H971"/>
      <c r="I971"/>
      <c r="J971"/>
      <c r="N971" s="7"/>
      <c r="O971"/>
      <c r="P971" s="10"/>
      <c r="Q971" s="9"/>
      <c r="R971" s="10"/>
      <c r="S971" s="10"/>
      <c r="AA971" s="11"/>
      <c r="AD971"/>
      <c r="AE971"/>
      <c r="AF971"/>
      <c r="AG971"/>
      <c r="AH971" s="46"/>
      <c r="AI971"/>
      <c r="AJ971"/>
      <c r="AK971"/>
      <c r="AL971"/>
      <c r="AM971"/>
      <c r="AN971"/>
      <c r="AO971"/>
      <c r="AP971"/>
      <c r="AQ971"/>
      <c r="AR971"/>
      <c r="AS971"/>
      <c r="AT971" s="14"/>
      <c r="AU971"/>
      <c r="AV971"/>
      <c r="AW971"/>
      <c r="AX971" s="10"/>
      <c r="AY971" s="20"/>
      <c r="AZ971" s="16"/>
      <c r="BA971"/>
      <c r="BB971"/>
      <c r="BC971" s="16"/>
      <c r="BD971"/>
      <c r="BE971"/>
      <c r="BF971"/>
      <c r="BG971"/>
      <c r="BH971"/>
      <c r="BI971"/>
      <c r="BJ971"/>
      <c r="BK971"/>
      <c r="BL971"/>
      <c r="BM971"/>
      <c r="BN971" s="19"/>
      <c r="BO971"/>
      <c r="BP971"/>
      <c r="BQ971"/>
      <c r="BR971"/>
      <c r="BS971"/>
      <c r="BT971"/>
      <c r="BU971"/>
      <c r="BV971"/>
      <c r="BW971"/>
      <c r="BX971"/>
      <c r="BY971"/>
      <c r="BZ971"/>
      <c r="CA971"/>
      <c r="CB971"/>
      <c r="CC971"/>
      <c r="CD971"/>
      <c r="CE971"/>
      <c r="CF971"/>
      <c r="CG971"/>
      <c r="CH971"/>
      <c r="CI971"/>
      <c r="CJ971"/>
      <c r="CK971"/>
      <c r="CL971"/>
      <c r="CM971" s="20"/>
      <c r="CN971" s="20"/>
      <c r="CO971" s="20"/>
      <c r="CP971" s="20"/>
      <c r="CQ971" s="20"/>
      <c r="CR971" s="20"/>
      <c r="CS971" s="20"/>
      <c r="CT971" s="20"/>
      <c r="CU971" s="20"/>
      <c r="CV971" s="20"/>
      <c r="CW971" s="20"/>
      <c r="CX971" s="20"/>
      <c r="CY971" s="20"/>
    </row>
    <row r="972" spans="1:103" s="6" customFormat="1">
      <c r="A972"/>
      <c r="B972"/>
      <c r="C972"/>
      <c r="D972"/>
      <c r="E972"/>
      <c r="F972"/>
      <c r="G972"/>
      <c r="H972"/>
      <c r="I972"/>
      <c r="J972"/>
      <c r="N972" s="7"/>
      <c r="O972"/>
      <c r="P972" s="10"/>
      <c r="Q972" s="9"/>
      <c r="R972" s="10"/>
      <c r="S972" s="10"/>
      <c r="AA972" s="11"/>
      <c r="AD972"/>
      <c r="AE972"/>
      <c r="AF972"/>
      <c r="AG972"/>
      <c r="AH972" s="46"/>
      <c r="AI972"/>
      <c r="AJ972"/>
      <c r="AK972"/>
      <c r="AL972"/>
      <c r="AM972"/>
      <c r="AN972"/>
      <c r="AO972"/>
      <c r="AP972"/>
      <c r="AQ972"/>
      <c r="AR972"/>
      <c r="AS972"/>
      <c r="AT972" s="14"/>
      <c r="AU972"/>
      <c r="AV972"/>
      <c r="AW972"/>
      <c r="AX972" s="10"/>
      <c r="AY972" s="20"/>
      <c r="AZ972" s="16"/>
      <c r="BA972"/>
      <c r="BB972"/>
      <c r="BC972" s="16"/>
      <c r="BD972"/>
      <c r="BE972"/>
      <c r="BF972"/>
      <c r="BG972"/>
      <c r="BH972"/>
      <c r="BI972"/>
      <c r="BJ972"/>
      <c r="BK972"/>
      <c r="BL972"/>
      <c r="BM972"/>
      <c r="BN972" s="19"/>
      <c r="BO972"/>
      <c r="BP972"/>
      <c r="BQ972"/>
      <c r="BR972"/>
      <c r="BS972"/>
      <c r="BT972"/>
      <c r="BU972"/>
      <c r="BV972"/>
      <c r="BW972"/>
      <c r="BX972"/>
      <c r="BY972"/>
      <c r="BZ972"/>
      <c r="CA972"/>
      <c r="CB972"/>
      <c r="CC972"/>
      <c r="CD972"/>
      <c r="CE972"/>
      <c r="CF972"/>
      <c r="CG972"/>
      <c r="CH972"/>
      <c r="CI972"/>
      <c r="CJ972"/>
      <c r="CK972"/>
      <c r="CL972"/>
      <c r="CM972" s="20"/>
      <c r="CN972" s="20"/>
      <c r="CO972" s="20"/>
      <c r="CP972" s="20"/>
      <c r="CQ972" s="20"/>
      <c r="CR972" s="20"/>
      <c r="CS972" s="20"/>
      <c r="CT972" s="20"/>
      <c r="CU972" s="20"/>
      <c r="CV972" s="20"/>
      <c r="CW972" s="20"/>
      <c r="CX972" s="20"/>
      <c r="CY972" s="20"/>
    </row>
    <row r="973" spans="1:103" s="6" customFormat="1">
      <c r="A973"/>
      <c r="B973"/>
      <c r="C973"/>
      <c r="D973"/>
      <c r="E973"/>
      <c r="F973"/>
      <c r="G973"/>
      <c r="H973"/>
      <c r="I973"/>
      <c r="J973"/>
      <c r="N973" s="7"/>
      <c r="O973"/>
      <c r="P973" s="10"/>
      <c r="Q973" s="9"/>
      <c r="R973" s="10"/>
      <c r="S973" s="10"/>
      <c r="AA973" s="11"/>
      <c r="AD973"/>
      <c r="AE973"/>
      <c r="AF973"/>
      <c r="AG973"/>
      <c r="AH973" s="46"/>
      <c r="AI973"/>
      <c r="AJ973"/>
      <c r="AK973"/>
      <c r="AL973"/>
      <c r="AM973"/>
      <c r="AN973"/>
      <c r="AO973"/>
      <c r="AP973"/>
      <c r="AQ973"/>
      <c r="AR973"/>
      <c r="AS973"/>
      <c r="AT973" s="14"/>
      <c r="AU973"/>
      <c r="AV973"/>
      <c r="AW973"/>
      <c r="AX973" s="10"/>
      <c r="AY973" s="20"/>
      <c r="AZ973" s="16"/>
      <c r="BA973"/>
      <c r="BB973"/>
      <c r="BC973" s="16"/>
      <c r="BD973"/>
      <c r="BE973"/>
      <c r="BF973"/>
      <c r="BG973"/>
      <c r="BH973"/>
      <c r="BI973"/>
      <c r="BJ973"/>
      <c r="BK973"/>
      <c r="BL973"/>
      <c r="BM973"/>
      <c r="BN973" s="19"/>
      <c r="BO973"/>
      <c r="BP973"/>
      <c r="BQ973"/>
      <c r="BR973"/>
      <c r="BS973"/>
      <c r="BT973"/>
      <c r="BU973"/>
      <c r="BV973"/>
      <c r="BW973"/>
      <c r="BX973"/>
      <c r="BY973"/>
      <c r="BZ973"/>
      <c r="CA973"/>
      <c r="CB973"/>
      <c r="CC973"/>
      <c r="CD973"/>
      <c r="CE973"/>
      <c r="CF973"/>
      <c r="CG973"/>
      <c r="CH973"/>
      <c r="CI973"/>
      <c r="CJ973"/>
      <c r="CK973"/>
      <c r="CL973"/>
      <c r="CM973" s="20"/>
      <c r="CN973" s="20"/>
      <c r="CO973" s="20"/>
      <c r="CP973" s="20"/>
      <c r="CQ973" s="20"/>
      <c r="CR973" s="20"/>
      <c r="CS973" s="20"/>
      <c r="CT973" s="20"/>
      <c r="CU973" s="20"/>
      <c r="CV973" s="20"/>
      <c r="CW973" s="20"/>
      <c r="CX973" s="20"/>
      <c r="CY973" s="20"/>
    </row>
    <row r="974" spans="1:103" s="6" customFormat="1">
      <c r="A974"/>
      <c r="B974"/>
      <c r="C974"/>
      <c r="D974"/>
      <c r="E974"/>
      <c r="F974"/>
      <c r="G974"/>
      <c r="H974"/>
      <c r="I974"/>
      <c r="J974"/>
      <c r="N974" s="7"/>
      <c r="O974"/>
      <c r="P974" s="10"/>
      <c r="Q974" s="9"/>
      <c r="R974" s="10"/>
      <c r="S974" s="10"/>
      <c r="AA974" s="11"/>
      <c r="AD974"/>
      <c r="AE974"/>
      <c r="AF974"/>
      <c r="AG974"/>
      <c r="AH974" s="46"/>
      <c r="AI974"/>
      <c r="AJ974"/>
      <c r="AK974"/>
      <c r="AL974"/>
      <c r="AM974"/>
      <c r="AN974"/>
      <c r="AO974"/>
      <c r="AP974"/>
      <c r="AQ974"/>
      <c r="AR974"/>
      <c r="AS974"/>
      <c r="AT974" s="14"/>
      <c r="AU974"/>
      <c r="AV974"/>
      <c r="AW974"/>
      <c r="AX974" s="10"/>
      <c r="AY974" s="20"/>
      <c r="AZ974" s="16"/>
      <c r="BA974"/>
      <c r="BB974"/>
      <c r="BC974" s="16"/>
      <c r="BD974"/>
      <c r="BE974"/>
      <c r="BF974"/>
      <c r="BG974"/>
      <c r="BH974"/>
      <c r="BI974"/>
      <c r="BJ974"/>
      <c r="BK974"/>
      <c r="BL974"/>
      <c r="BM974"/>
      <c r="BN974" s="19"/>
      <c r="BO974"/>
      <c r="BP974"/>
      <c r="BQ974"/>
      <c r="BR974"/>
      <c r="BS974"/>
      <c r="BT974"/>
      <c r="BU974"/>
      <c r="BV974"/>
      <c r="BW974"/>
      <c r="BX974"/>
      <c r="BY974"/>
      <c r="BZ974"/>
      <c r="CA974"/>
      <c r="CB974"/>
      <c r="CC974"/>
      <c r="CD974"/>
      <c r="CE974"/>
      <c r="CF974"/>
      <c r="CG974"/>
      <c r="CH974"/>
      <c r="CI974"/>
      <c r="CJ974"/>
      <c r="CK974"/>
      <c r="CL974"/>
      <c r="CM974" s="20"/>
      <c r="CN974" s="20"/>
      <c r="CO974" s="20"/>
      <c r="CP974" s="20"/>
      <c r="CQ974" s="20"/>
      <c r="CR974" s="20"/>
      <c r="CS974" s="20"/>
      <c r="CT974" s="20"/>
      <c r="CU974" s="20"/>
      <c r="CV974" s="20"/>
      <c r="CW974" s="20"/>
      <c r="CX974" s="20"/>
      <c r="CY974" s="20"/>
    </row>
  </sheetData>
  <mergeCells count="3">
    <mergeCell ref="BA5:BB5"/>
    <mergeCell ref="AY6:AZ6"/>
    <mergeCell ref="BB6:BC6"/>
  </mergeCells>
  <printOptions headings="1" gridLines="1"/>
  <pageMargins left="0.25" right="0.25" top="0.5" bottom="0.5" header="0.25" footer="0.25"/>
  <pageSetup scale="50" fitToWidth="3" orientation="landscape" r:id="rId1"/>
  <headerFooter alignWithMargins="0">
    <oddHeader>&amp;L&amp;"Arial,Bold"&amp;12&amp;F&amp;C&amp;A&amp;R&amp;"Arial,Bold"&amp;12&amp;T</oddHeader>
    <oddFooter>&amp;L&amp;BCCCCO Confidential&amp;B&amp;C&amp;D&amp;RPage &amp;P</oddFooter>
  </headerFooter>
  <legacyDrawing r:id="rId2"/>
</worksheet>
</file>

<file path=xl/worksheets/sheet5.xml><?xml version="1.0" encoding="utf-8"?>
<worksheet xmlns="http://schemas.openxmlformats.org/spreadsheetml/2006/main" xmlns:r="http://schemas.openxmlformats.org/officeDocument/2006/relationships">
  <dimension ref="A1:DV100"/>
  <sheetViews>
    <sheetView workbookViewId="0">
      <pane xSplit="2" ySplit="8" topLeftCell="CS68" activePane="bottomRight" state="frozen"/>
      <selection activeCell="AU4" sqref="AU4"/>
      <selection pane="topRight" activeCell="AU4" sqref="AU4"/>
      <selection pane="bottomLeft" activeCell="AU4" sqref="AU4"/>
      <selection pane="bottomRight" activeCell="A81" sqref="A81:IV81"/>
    </sheetView>
  </sheetViews>
  <sheetFormatPr defaultColWidth="9.140625" defaultRowHeight="12.75"/>
  <cols>
    <col min="1" max="1" width="9.140625" style="16" customWidth="1"/>
    <col min="2" max="2" width="21.42578125" style="16" customWidth="1"/>
    <col min="3" max="3" width="15.7109375" style="271" customWidth="1"/>
    <col min="4" max="4" width="17.42578125" style="16" bestFit="1" customWidth="1"/>
    <col min="5" max="5" width="12.28515625" style="17" bestFit="1" customWidth="1"/>
    <col min="6" max="6" width="16.42578125" style="17" bestFit="1" customWidth="1"/>
    <col min="7" max="7" width="11.28515625" style="16" bestFit="1" customWidth="1"/>
    <col min="8" max="8" width="20.28515625" style="16" customWidth="1"/>
    <col min="9" max="9" width="15" style="16" customWidth="1"/>
    <col min="10" max="10" width="12.140625" style="16" bestFit="1" customWidth="1"/>
    <col min="11" max="11" width="11.28515625" style="16" bestFit="1" customWidth="1"/>
    <col min="12" max="12" width="12.5703125" style="271" customWidth="1"/>
    <col min="13" max="13" width="11.140625" style="16" bestFit="1" customWidth="1"/>
    <col min="14" max="14" width="12.140625" style="16" bestFit="1" customWidth="1"/>
    <col min="15" max="15" width="12" style="17" bestFit="1" customWidth="1"/>
    <col min="16" max="16" width="13" style="16" customWidth="1"/>
    <col min="17" max="17" width="14.140625" style="16" customWidth="1"/>
    <col min="18" max="18" width="11.140625" style="16" bestFit="1" customWidth="1"/>
    <col min="19" max="19" width="11.28515625" style="16" bestFit="1" customWidth="1"/>
    <col min="20" max="20" width="10.7109375" style="16" customWidth="1"/>
    <col min="21" max="21" width="13.28515625" style="439" customWidth="1"/>
    <col min="22" max="22" width="12" style="16" bestFit="1" customWidth="1"/>
    <col min="23" max="23" width="12" style="17" bestFit="1" customWidth="1"/>
    <col min="24" max="24" width="9.140625" style="17" customWidth="1"/>
    <col min="25" max="25" width="10.140625" style="16" customWidth="1"/>
    <col min="26" max="26" width="14.140625" style="16" customWidth="1"/>
    <col min="27" max="27" width="10.28515625" style="16" bestFit="1" customWidth="1"/>
    <col min="28" max="28" width="12.140625" style="16" bestFit="1" customWidth="1"/>
    <col min="29" max="29" width="10.7109375" style="16" customWidth="1"/>
    <col min="30" max="30" width="4.85546875" style="16" customWidth="1"/>
    <col min="31" max="31" width="15.42578125" style="16" bestFit="1" customWidth="1"/>
    <col min="32" max="32" width="6.28515625" style="16" customWidth="1"/>
    <col min="33" max="33" width="9.140625" style="16" bestFit="1" customWidth="1"/>
    <col min="34" max="36" width="9.140625" style="16" customWidth="1"/>
    <col min="37" max="37" width="5.42578125" style="16" customWidth="1"/>
    <col min="38" max="38" width="16.42578125" style="16" bestFit="1" customWidth="1"/>
    <col min="39" max="40" width="11.7109375" style="16" customWidth="1"/>
    <col min="41" max="41" width="15.42578125" style="16" bestFit="1" customWidth="1"/>
    <col min="42" max="42" width="12.7109375" style="16" customWidth="1"/>
    <col min="43" max="43" width="4.85546875" style="16" customWidth="1"/>
    <col min="44" max="44" width="14.85546875" style="16" bestFit="1" customWidth="1"/>
    <col min="45" max="45" width="14.42578125" style="16" bestFit="1" customWidth="1"/>
    <col min="46" max="46" width="4.42578125" style="16" customWidth="1"/>
    <col min="47" max="47" width="13.85546875" style="16" bestFit="1" customWidth="1"/>
    <col min="48" max="48" width="12.7109375" style="16" customWidth="1"/>
    <col min="49" max="49" width="13.42578125" style="16" bestFit="1" customWidth="1"/>
    <col min="50" max="50" width="3.42578125" style="16" customWidth="1"/>
    <col min="51" max="51" width="16.7109375" style="16" customWidth="1"/>
    <col min="52" max="52" width="12.7109375" style="16" customWidth="1"/>
    <col min="53" max="53" width="13.42578125" style="16" bestFit="1" customWidth="1"/>
    <col min="54" max="54" width="7.140625" style="16" customWidth="1"/>
    <col min="55" max="55" width="18.5703125" style="16" customWidth="1"/>
    <col min="56" max="56" width="18.140625" style="16" customWidth="1"/>
    <col min="57" max="57" width="15.140625" style="16" customWidth="1"/>
    <col min="58" max="58" width="17.28515625" style="16" customWidth="1"/>
    <col min="59" max="59" width="14.42578125" style="438" customWidth="1"/>
    <col min="60" max="60" width="14.42578125" style="16" customWidth="1"/>
    <col min="61" max="61" width="15" style="16" bestFit="1" customWidth="1"/>
    <col min="62" max="63" width="14.42578125" style="16" customWidth="1"/>
    <col min="64" max="64" width="6.7109375" style="16" customWidth="1"/>
    <col min="65" max="67" width="14.42578125" style="16" customWidth="1"/>
    <col min="68" max="68" width="6.7109375" style="16" customWidth="1"/>
    <col min="69" max="69" width="14.42578125" style="16" bestFit="1" customWidth="1"/>
    <col min="70" max="71" width="13.42578125" style="16" bestFit="1" customWidth="1"/>
    <col min="72" max="72" width="4.42578125" style="16" customWidth="1"/>
    <col min="73" max="73" width="15.85546875" style="16" bestFit="1" customWidth="1"/>
    <col min="74" max="75" width="13.28515625" style="16" bestFit="1" customWidth="1"/>
    <col min="76" max="76" width="4.42578125" style="16" customWidth="1"/>
    <col min="77" max="77" width="13.28515625" style="16" bestFit="1" customWidth="1"/>
    <col min="78" max="79" width="12.140625" style="16" bestFit="1" customWidth="1"/>
    <col min="80" max="80" width="6.28515625" style="16" customWidth="1"/>
    <col min="81" max="81" width="12.7109375" style="16" bestFit="1" customWidth="1"/>
    <col min="82" max="82" width="11.140625" style="16" bestFit="1" customWidth="1"/>
    <col min="83" max="83" width="12.42578125" style="16" customWidth="1"/>
    <col min="84" max="84" width="5" style="16" customWidth="1"/>
    <col min="85" max="85" width="13.28515625" style="16" bestFit="1" customWidth="1"/>
    <col min="86" max="86" width="11.85546875" style="16" customWidth="1"/>
    <col min="87" max="87" width="11" style="16" customWidth="1"/>
    <col min="88" max="88" width="3.85546875" style="16" customWidth="1"/>
    <col min="89" max="91" width="12.140625" style="16" bestFit="1" customWidth="1"/>
    <col min="92" max="92" width="3.140625" style="16" customWidth="1"/>
    <col min="93" max="93" width="16.85546875" style="16" bestFit="1" customWidth="1"/>
    <col min="94" max="94" width="15.5703125" style="16" bestFit="1" customWidth="1"/>
    <col min="95" max="95" width="16.42578125" style="16" bestFit="1" customWidth="1"/>
    <col min="96" max="98" width="16.42578125" style="16" customWidth="1"/>
    <col min="99" max="100" width="10.28515625" style="16" customWidth="1"/>
    <col min="101" max="101" width="15.140625" style="16" customWidth="1"/>
    <col min="102" max="102" width="12.5703125" style="16" customWidth="1"/>
    <col min="103" max="103" width="12.28515625" style="16" customWidth="1"/>
    <col min="104" max="104" width="4.42578125" style="16" customWidth="1"/>
    <col min="105" max="105" width="14" style="16" customWidth="1"/>
    <col min="106" max="107" width="12.140625" style="16" customWidth="1"/>
    <col min="108" max="108" width="5.5703125" style="16" customWidth="1"/>
    <col min="109" max="109" width="15.140625" style="16" hidden="1" customWidth="1"/>
    <col min="110" max="110" width="12.5703125" style="16" hidden="1" customWidth="1"/>
    <col min="111" max="111" width="12.28515625" style="16" hidden="1" customWidth="1"/>
    <col min="112" max="112" width="5.28515625" style="16" hidden="1" customWidth="1"/>
    <col min="113" max="113" width="12.5703125" style="16" hidden="1" customWidth="1"/>
    <col min="114" max="114" width="12.28515625" style="16" hidden="1" customWidth="1"/>
    <col min="115" max="115" width="15.140625" style="16" hidden="1" customWidth="1"/>
    <col min="116" max="116" width="18.5703125" style="16" bestFit="1" customWidth="1"/>
    <col min="117" max="117" width="16" style="16" bestFit="1" customWidth="1"/>
    <col min="118" max="119" width="16.85546875" style="16" bestFit="1" customWidth="1"/>
    <col min="120" max="120" width="15.42578125" style="16" bestFit="1" customWidth="1"/>
    <col min="121" max="121" width="11.28515625" style="16" bestFit="1" customWidth="1"/>
    <col min="122" max="122" width="10.5703125" style="16" bestFit="1" customWidth="1"/>
    <col min="123" max="123" width="12.7109375" style="16" bestFit="1" customWidth="1"/>
    <col min="124" max="124" width="10" style="16" customWidth="1"/>
    <col min="125" max="16384" width="9.140625" style="16"/>
  </cols>
  <sheetData>
    <row r="1" spans="1:126">
      <c r="A1" s="116"/>
      <c r="B1" s="442"/>
      <c r="C1" s="441"/>
      <c r="D1" s="175"/>
      <c r="H1" s="440"/>
      <c r="I1" s="440"/>
      <c r="AV1" s="17"/>
      <c r="AW1" s="17"/>
      <c r="AX1" s="17"/>
      <c r="AY1" s="17"/>
      <c r="AZ1" s="17"/>
      <c r="BB1" s="17"/>
    </row>
    <row r="2" spans="1:126" ht="13.5" thickBot="1">
      <c r="C2" s="441"/>
      <c r="D2" s="175"/>
      <c r="E2" s="437"/>
      <c r="H2" s="440"/>
      <c r="I2" s="17"/>
      <c r="M2" s="436"/>
      <c r="P2" s="435"/>
      <c r="T2" s="439"/>
      <c r="CW2" s="434"/>
      <c r="CX2" s="434"/>
      <c r="CY2" s="434"/>
      <c r="DE2" s="434"/>
      <c r="DF2" s="434"/>
      <c r="DG2" s="434"/>
      <c r="DH2" s="434"/>
      <c r="DI2" s="434"/>
      <c r="DJ2" s="434"/>
      <c r="DK2" s="434"/>
    </row>
    <row r="3" spans="1:126" ht="13.5" thickBot="1">
      <c r="B3" s="433"/>
      <c r="C3" s="432"/>
      <c r="D3" s="431"/>
      <c r="E3" s="430"/>
      <c r="G3" s="439"/>
      <c r="H3" s="440"/>
      <c r="I3" s="17"/>
      <c r="M3" s="429"/>
      <c r="P3" s="428"/>
      <c r="Y3" s="439"/>
      <c r="AR3" s="17"/>
      <c r="AU3" s="17"/>
      <c r="BU3" s="434"/>
      <c r="BV3" s="434"/>
      <c r="BW3" s="434"/>
      <c r="CW3" s="427"/>
      <c r="CX3" s="439"/>
      <c r="DE3" s="427"/>
      <c r="DF3" s="439"/>
      <c r="DH3" s="427"/>
      <c r="DI3" s="439"/>
      <c r="DK3" s="427"/>
      <c r="DQ3" s="426">
        <v>-1819010</v>
      </c>
    </row>
    <row r="4" spans="1:126" ht="13.5" thickBot="1">
      <c r="B4" s="425"/>
      <c r="E4" s="424"/>
      <c r="H4" s="440"/>
      <c r="I4" s="440"/>
      <c r="BQ4" s="428"/>
      <c r="CU4" s="144"/>
      <c r="CV4" s="144"/>
      <c r="DA4" s="423"/>
    </row>
    <row r="5" spans="1:126">
      <c r="B5" s="422"/>
      <c r="C5" s="421" t="str">
        <f>+[1]FTES!C5</f>
        <v>2012-13 R1</v>
      </c>
      <c r="I5" s="440"/>
      <c r="L5" s="421" t="str">
        <f>+$C5</f>
        <v>2012-13 R1</v>
      </c>
      <c r="U5" s="421" t="str">
        <f>+$C5</f>
        <v>2012-13 R1</v>
      </c>
      <c r="AZ5" s="439"/>
      <c r="BB5" s="439"/>
      <c r="BC5" s="116" t="s">
        <v>555</v>
      </c>
      <c r="BD5" s="116" t="s">
        <v>556</v>
      </c>
      <c r="BE5" s="116" t="s">
        <v>557</v>
      </c>
      <c r="DQ5" s="426">
        <f>DQ25+DQ3</f>
        <v>-142547</v>
      </c>
    </row>
    <row r="6" spans="1:126" ht="13.5" thickBot="1">
      <c r="B6" s="420"/>
      <c r="C6" s="419" t="s">
        <v>558</v>
      </c>
      <c r="L6" s="419" t="s">
        <v>558</v>
      </c>
      <c r="U6" s="418" t="s">
        <v>558</v>
      </c>
      <c r="AE6" s="417"/>
      <c r="BC6" s="16">
        <f>'[1]PBF Run'!$AS$4</f>
        <v>4636.4928540700002</v>
      </c>
      <c r="BD6" s="16">
        <f>'[1]PBF Run'!$AF$4</f>
        <v>2788.0536374600001</v>
      </c>
      <c r="BE6" s="16">
        <f>'[1]PBF Run'!$AJ$4</f>
        <v>3282.8110613200001</v>
      </c>
      <c r="DE6" s="17"/>
    </row>
    <row r="7" spans="1:126" s="116" customFormat="1" ht="13.5" thickBot="1">
      <c r="C7" s="416" t="s">
        <v>12</v>
      </c>
      <c r="D7" s="415" t="s">
        <v>12</v>
      </c>
      <c r="E7" s="414" t="s">
        <v>559</v>
      </c>
      <c r="F7" s="415" t="s">
        <v>560</v>
      </c>
      <c r="G7" s="413" t="s">
        <v>561</v>
      </c>
      <c r="H7" s="412"/>
      <c r="I7" s="411"/>
      <c r="J7" s="411"/>
      <c r="K7" s="90" t="s">
        <v>558</v>
      </c>
      <c r="L7" s="410" t="s">
        <v>9</v>
      </c>
      <c r="M7" s="414"/>
      <c r="N7" s="414" t="s">
        <v>559</v>
      </c>
      <c r="O7" s="415" t="s">
        <v>560</v>
      </c>
      <c r="P7" s="415" t="s">
        <v>561</v>
      </c>
      <c r="Q7" s="412"/>
      <c r="R7" s="411"/>
      <c r="S7" s="41"/>
      <c r="T7" s="90" t="s">
        <v>558</v>
      </c>
      <c r="U7" s="409" t="s">
        <v>10</v>
      </c>
      <c r="V7" s="415"/>
      <c r="W7" s="415" t="s">
        <v>559</v>
      </c>
      <c r="X7" s="415" t="s">
        <v>560</v>
      </c>
      <c r="Y7" s="415" t="s">
        <v>561</v>
      </c>
      <c r="Z7" s="412"/>
      <c r="AA7" s="411"/>
      <c r="AC7" s="90" t="s">
        <v>558</v>
      </c>
      <c r="AD7" s="90"/>
      <c r="AE7" s="408" t="s">
        <v>59</v>
      </c>
      <c r="AF7" s="41"/>
      <c r="AG7" s="116" t="s">
        <v>17</v>
      </c>
      <c r="AH7" s="116" t="s">
        <v>562</v>
      </c>
      <c r="AK7" s="407"/>
      <c r="AL7" s="116" t="s">
        <v>563</v>
      </c>
      <c r="BC7" s="116" t="s">
        <v>564</v>
      </c>
      <c r="BG7" s="438"/>
      <c r="BI7" s="406" t="s">
        <v>38</v>
      </c>
      <c r="BJ7" s="405" t="s">
        <v>559</v>
      </c>
      <c r="BK7" s="404"/>
      <c r="BM7" s="406" t="s">
        <v>565</v>
      </c>
      <c r="BN7" s="405" t="s">
        <v>559</v>
      </c>
      <c r="BO7" s="404"/>
      <c r="BQ7" s="403" t="s">
        <v>566</v>
      </c>
      <c r="BR7" s="402"/>
      <c r="BS7" s="401"/>
      <c r="BU7" s="403" t="s">
        <v>567</v>
      </c>
      <c r="BV7" s="405" t="s">
        <v>559</v>
      </c>
      <c r="BW7" s="401"/>
      <c r="BY7" s="403" t="s">
        <v>17</v>
      </c>
      <c r="BZ7" s="402"/>
      <c r="CA7" s="401"/>
      <c r="CB7" s="400"/>
      <c r="CC7" s="406" t="s">
        <v>87</v>
      </c>
      <c r="CD7" s="405" t="s">
        <v>559</v>
      </c>
      <c r="CE7" s="404"/>
      <c r="CG7" s="403" t="s">
        <v>568</v>
      </c>
      <c r="CH7" s="405" t="s">
        <v>559</v>
      </c>
      <c r="CI7" s="401"/>
      <c r="CJ7" s="400"/>
      <c r="CK7" s="620" t="s">
        <v>569</v>
      </c>
      <c r="CL7" s="620"/>
      <c r="CM7" s="620"/>
      <c r="CN7" s="400"/>
      <c r="CO7" s="400"/>
      <c r="CP7" s="400"/>
      <c r="CQ7" s="400"/>
      <c r="CR7" s="400"/>
      <c r="CS7" s="400"/>
      <c r="CT7" s="400"/>
      <c r="CW7" s="403" t="s">
        <v>558</v>
      </c>
      <c r="CX7" s="405" t="s">
        <v>559</v>
      </c>
      <c r="CY7" s="401"/>
      <c r="DA7" s="403" t="s">
        <v>570</v>
      </c>
      <c r="DB7" s="405" t="s">
        <v>559</v>
      </c>
      <c r="DC7" s="401"/>
      <c r="DE7" s="399" t="s">
        <v>571</v>
      </c>
      <c r="DF7" s="398" t="s">
        <v>572</v>
      </c>
      <c r="DG7" s="397"/>
      <c r="DH7" s="400"/>
      <c r="DI7" s="399" t="s">
        <v>571</v>
      </c>
      <c r="DJ7" s="398" t="s">
        <v>573</v>
      </c>
      <c r="DK7" s="397"/>
      <c r="DL7" s="400" t="s">
        <v>574</v>
      </c>
      <c r="DM7" s="400"/>
      <c r="DN7" s="400"/>
      <c r="DO7" s="400"/>
    </row>
    <row r="8" spans="1:126" s="116" customFormat="1" ht="39" thickBot="1">
      <c r="A8" s="116" t="s">
        <v>547</v>
      </c>
      <c r="B8" s="116" t="s">
        <v>70</v>
      </c>
      <c r="C8" s="416" t="s">
        <v>38</v>
      </c>
      <c r="D8" s="415" t="s">
        <v>62</v>
      </c>
      <c r="E8" s="414" t="s">
        <v>575</v>
      </c>
      <c r="F8" s="415" t="s">
        <v>576</v>
      </c>
      <c r="G8" s="413" t="s">
        <v>17</v>
      </c>
      <c r="H8" s="415" t="s">
        <v>558</v>
      </c>
      <c r="I8" s="415" t="s">
        <v>87</v>
      </c>
      <c r="J8" s="396" t="s">
        <v>570</v>
      </c>
      <c r="K8" s="41" t="s">
        <v>17</v>
      </c>
      <c r="L8" s="410" t="s">
        <v>38</v>
      </c>
      <c r="M8" s="414" t="s">
        <v>62</v>
      </c>
      <c r="N8" s="414" t="s">
        <v>575</v>
      </c>
      <c r="O8" s="415" t="s">
        <v>576</v>
      </c>
      <c r="P8" s="413" t="s">
        <v>17</v>
      </c>
      <c r="Q8" s="415" t="s">
        <v>558</v>
      </c>
      <c r="R8" s="415" t="s">
        <v>87</v>
      </c>
      <c r="S8" s="396" t="s">
        <v>570</v>
      </c>
      <c r="T8" s="41" t="s">
        <v>17</v>
      </c>
      <c r="U8" s="395" t="s">
        <v>38</v>
      </c>
      <c r="V8" s="394" t="s">
        <v>62</v>
      </c>
      <c r="W8" s="414" t="s">
        <v>575</v>
      </c>
      <c r="X8" s="415" t="s">
        <v>576</v>
      </c>
      <c r="Y8" s="413" t="s">
        <v>17</v>
      </c>
      <c r="Z8" s="415" t="s">
        <v>558</v>
      </c>
      <c r="AA8" s="393" t="s">
        <v>87</v>
      </c>
      <c r="AB8" s="396" t="s">
        <v>570</v>
      </c>
      <c r="AC8" s="41" t="s">
        <v>17</v>
      </c>
      <c r="AD8" s="41"/>
      <c r="AE8" s="392" t="s">
        <v>577</v>
      </c>
      <c r="AF8" s="391"/>
      <c r="AG8" s="41" t="s">
        <v>578</v>
      </c>
      <c r="AH8" s="41" t="s">
        <v>12</v>
      </c>
      <c r="AI8" s="41" t="s">
        <v>579</v>
      </c>
      <c r="AJ8" s="41" t="s">
        <v>52</v>
      </c>
      <c r="AK8" s="41"/>
      <c r="AL8" s="41" t="s">
        <v>12</v>
      </c>
      <c r="AM8" s="41" t="s">
        <v>580</v>
      </c>
      <c r="AN8" s="41" t="s">
        <v>52</v>
      </c>
      <c r="AO8" s="41" t="s">
        <v>59</v>
      </c>
      <c r="AP8" s="391" t="s">
        <v>581</v>
      </c>
      <c r="AR8" s="390" t="s">
        <v>582</v>
      </c>
      <c r="AS8" s="390" t="s">
        <v>583</v>
      </c>
      <c r="AT8" s="390"/>
      <c r="AU8" s="116" t="s">
        <v>584</v>
      </c>
      <c r="AV8" s="390" t="s">
        <v>585</v>
      </c>
      <c r="AW8" s="390" t="s">
        <v>586</v>
      </c>
      <c r="AX8" s="390"/>
      <c r="AY8" s="116" t="s">
        <v>587</v>
      </c>
      <c r="AZ8" s="390" t="s">
        <v>588</v>
      </c>
      <c r="BA8" s="390" t="s">
        <v>589</v>
      </c>
      <c r="BC8" s="116" t="s">
        <v>590</v>
      </c>
      <c r="BD8" s="116" t="s">
        <v>591</v>
      </c>
      <c r="BE8" s="116" t="s">
        <v>592</v>
      </c>
      <c r="BF8" s="116" t="s">
        <v>59</v>
      </c>
      <c r="BG8" s="389" t="s">
        <v>82</v>
      </c>
      <c r="BI8" s="388" t="s">
        <v>12</v>
      </c>
      <c r="BJ8" s="387" t="s">
        <v>593</v>
      </c>
      <c r="BK8" s="386" t="s">
        <v>52</v>
      </c>
      <c r="BM8" s="388" t="s">
        <v>12</v>
      </c>
      <c r="BN8" s="387" t="s">
        <v>593</v>
      </c>
      <c r="BO8" s="386" t="s">
        <v>52</v>
      </c>
      <c r="BQ8" s="385" t="s">
        <v>12</v>
      </c>
      <c r="BR8" s="384" t="s">
        <v>593</v>
      </c>
      <c r="BS8" s="383" t="s">
        <v>52</v>
      </c>
      <c r="BU8" s="385" t="s">
        <v>12</v>
      </c>
      <c r="BV8" s="384" t="s">
        <v>593</v>
      </c>
      <c r="BW8" s="383" t="s">
        <v>52</v>
      </c>
      <c r="BY8" s="385" t="s">
        <v>12</v>
      </c>
      <c r="BZ8" s="384" t="s">
        <v>593</v>
      </c>
      <c r="CA8" s="383" t="s">
        <v>52</v>
      </c>
      <c r="CB8" s="400"/>
      <c r="CC8" s="388" t="s">
        <v>12</v>
      </c>
      <c r="CD8" s="387" t="s">
        <v>593</v>
      </c>
      <c r="CE8" s="386" t="s">
        <v>52</v>
      </c>
      <c r="CF8" s="439"/>
      <c r="CG8" s="385" t="s">
        <v>12</v>
      </c>
      <c r="CH8" s="384" t="s">
        <v>593</v>
      </c>
      <c r="CI8" s="383" t="s">
        <v>52</v>
      </c>
      <c r="CJ8" s="400"/>
      <c r="CK8" s="385" t="s">
        <v>12</v>
      </c>
      <c r="CL8" s="384" t="s">
        <v>593</v>
      </c>
      <c r="CM8" s="383" t="s">
        <v>52</v>
      </c>
      <c r="CN8" s="400"/>
      <c r="CO8" s="385" t="s">
        <v>12</v>
      </c>
      <c r="CP8" s="384" t="s">
        <v>593</v>
      </c>
      <c r="CQ8" s="383" t="s">
        <v>52</v>
      </c>
      <c r="CR8" s="400" t="s">
        <v>59</v>
      </c>
      <c r="CS8" s="400" t="s">
        <v>594</v>
      </c>
      <c r="CT8" s="400" t="s">
        <v>595</v>
      </c>
      <c r="CV8" s="382" t="s">
        <v>596</v>
      </c>
      <c r="CW8" s="385" t="s">
        <v>12</v>
      </c>
      <c r="CX8" s="384" t="s">
        <v>593</v>
      </c>
      <c r="CY8" s="383" t="s">
        <v>52</v>
      </c>
      <c r="DA8" s="385" t="s">
        <v>12</v>
      </c>
      <c r="DB8" s="384" t="s">
        <v>593</v>
      </c>
      <c r="DC8" s="383" t="s">
        <v>52</v>
      </c>
      <c r="DE8" s="381" t="s">
        <v>597</v>
      </c>
      <c r="DF8" s="380" t="s">
        <v>593</v>
      </c>
      <c r="DG8" s="379" t="s">
        <v>52</v>
      </c>
      <c r="DH8" s="400"/>
      <c r="DI8" s="381" t="s">
        <v>12</v>
      </c>
      <c r="DJ8" s="380" t="s">
        <v>593</v>
      </c>
      <c r="DK8" s="379" t="s">
        <v>52</v>
      </c>
      <c r="DL8" s="378" t="s">
        <v>598</v>
      </c>
      <c r="DM8" s="378" t="s">
        <v>599</v>
      </c>
      <c r="DN8" s="378" t="s">
        <v>52</v>
      </c>
      <c r="DO8" s="378" t="s">
        <v>55</v>
      </c>
      <c r="DP8" s="116" t="s">
        <v>89</v>
      </c>
      <c r="DQ8" s="116" t="s">
        <v>87</v>
      </c>
      <c r="DR8" s="116" t="s">
        <v>600</v>
      </c>
      <c r="DS8" s="116" t="s">
        <v>601</v>
      </c>
      <c r="DT8" s="377" t="s">
        <v>602</v>
      </c>
    </row>
    <row r="9" spans="1:126" ht="13.5" thickBot="1">
      <c r="A9" s="16" t="s">
        <v>401</v>
      </c>
      <c r="B9" s="16" t="s">
        <v>110</v>
      </c>
      <c r="C9" s="425">
        <f>[1]FTES!C9</f>
        <v>8260.3823260000008</v>
      </c>
      <c r="D9" s="425">
        <f>[1]FTES!D9</f>
        <v>8260.3823260000008</v>
      </c>
      <c r="E9" s="425">
        <f>[1]FTES!E9</f>
        <v>8462.58</v>
      </c>
      <c r="F9" s="425">
        <f>[1]FTES!H9</f>
        <v>0</v>
      </c>
      <c r="G9" s="425">
        <f>[1]FTES!I9</f>
        <v>0</v>
      </c>
      <c r="H9" s="425">
        <f>[1]FTES!J9</f>
        <v>8260.3823260000008</v>
      </c>
      <c r="I9" s="425">
        <f>[1]FTES!K9</f>
        <v>0</v>
      </c>
      <c r="J9" s="425">
        <f>[1]FTES!L9</f>
        <v>202.19767400000001</v>
      </c>
      <c r="K9" s="425">
        <f>[1]FTES!M9</f>
        <v>0</v>
      </c>
      <c r="L9" s="425">
        <f>[1]FTES!N9</f>
        <v>594.4</v>
      </c>
      <c r="M9" s="425">
        <f>[1]FTES!O9</f>
        <v>594.4</v>
      </c>
      <c r="N9" s="425">
        <f>[1]FTES!P9</f>
        <v>594.39</v>
      </c>
      <c r="O9" s="425">
        <f>[1]FTES!S9</f>
        <v>0</v>
      </c>
      <c r="P9" s="425">
        <f>[1]FTES!T9</f>
        <v>0</v>
      </c>
      <c r="Q9" s="425">
        <f>[1]FTES!U9</f>
        <v>594.39</v>
      </c>
      <c r="R9" s="425">
        <f>[1]FTES!V9</f>
        <v>0</v>
      </c>
      <c r="S9" s="425">
        <f>[1]FTES!W9</f>
        <v>0</v>
      </c>
      <c r="T9" s="425">
        <f>[1]FTES!X9</f>
        <v>0</v>
      </c>
      <c r="U9" s="425">
        <f>[1]FTES!Y9</f>
        <v>320.27999999999997</v>
      </c>
      <c r="V9" s="425">
        <f>[1]FTES!Z9</f>
        <v>320.27999999999997</v>
      </c>
      <c r="W9" s="425">
        <f>[1]FTES!AA9</f>
        <v>324.99</v>
      </c>
      <c r="X9" s="425">
        <f>[1]FTES!AD9</f>
        <v>0</v>
      </c>
      <c r="Y9" s="425">
        <f>[1]FTES!AE9</f>
        <v>0</v>
      </c>
      <c r="Z9" s="425">
        <f>[1]FTES!AF9</f>
        <v>320.27999999999997</v>
      </c>
      <c r="AA9" s="425">
        <f>[1]FTES!AG9</f>
        <v>0</v>
      </c>
      <c r="AB9" s="425">
        <f>[1]FTES!AH9</f>
        <v>4.71</v>
      </c>
      <c r="AC9" s="425">
        <f>[1]FTES!AI9</f>
        <v>0</v>
      </c>
      <c r="AD9" s="425"/>
      <c r="AE9" s="376">
        <f>'[1]13-14 $86M Workload Restore'!AJ7</f>
        <v>952922</v>
      </c>
      <c r="AF9" s="375"/>
      <c r="AG9" s="122" t="str">
        <f>'[1]Restoration and Growth'!N9</f>
        <v>Growth</v>
      </c>
      <c r="AH9" s="122" t="str">
        <f>'[1]Restoration and Growth'!O9</f>
        <v>Grow</v>
      </c>
      <c r="AI9" s="122" t="str">
        <f>'[1]Restoration and Growth'!P9</f>
        <v>Decline</v>
      </c>
      <c r="AJ9" s="122" t="str">
        <f>'[1]Restoration and Growth'!Q9</f>
        <v>Grow</v>
      </c>
      <c r="AK9" s="139"/>
      <c r="AL9" s="139">
        <f>ROUND(J9*'[1]PBF Run'!$AS$4,3)</f>
        <v>937488.071</v>
      </c>
      <c r="AM9" s="139">
        <f>ROUND(S9*'[1]PBF Run'!$AF$4,3)</f>
        <v>0</v>
      </c>
      <c r="AN9" s="139">
        <f>ROUND(AB9*'[1]PBF Run'!$AJ$4,3)</f>
        <v>15462.04</v>
      </c>
      <c r="AO9" s="139">
        <f>SUM(AL9:AN9)</f>
        <v>952950.11100000003</v>
      </c>
      <c r="AP9" s="139" t="str">
        <f>IF(AG9="decline","NA",IF(ROUND(AO9,0)-ROUND(AE9,0)&gt;=0,"Y","Not Enough"))</f>
        <v>Y</v>
      </c>
      <c r="AQ9" s="139"/>
      <c r="AR9" s="374">
        <f>IF(AP9="NA",0,IF(AH9="Decline",E9-D9,IF(U9&gt;=AL9,ROUND(AL9/$BC$6,6),IF(AU9&lt;0,ROUND(AL9/$BC$6,6),ROUND(AU9/$BC$6,6)))))</f>
        <v>202.19765899999999</v>
      </c>
      <c r="AS9" s="9">
        <f t="shared" ref="AS9:AS72" si="0">ROUND(AR9*$BC$6,0)</f>
        <v>937488</v>
      </c>
      <c r="AT9" s="9"/>
      <c r="AU9" s="373">
        <f t="shared" ref="AU9:AU72" si="1">IF(AP9="NA",0,AE9-BA9-AW9)</f>
        <v>937488</v>
      </c>
      <c r="AV9" s="439">
        <f t="shared" ref="AV9:AV27" si="2">IF(AP9="NA",0,IF(AI9="Decline",N9-L9,IF(AY9&gt;=AM9,ROUND(AM9/$BD$6,6),ROUND(AY9/$BD$6,6))))</f>
        <v>-9.9999999999909051E-3</v>
      </c>
      <c r="AW9" s="9">
        <f t="shared" ref="AW9:AW72" si="3">ROUND(AV9*$BD$6,0)</f>
        <v>-28</v>
      </c>
      <c r="AX9" s="9"/>
      <c r="AY9" s="373">
        <f t="shared" ref="AY9:AY72" si="4">IF(AP9="NA",0,AE9-BA9)</f>
        <v>937460</v>
      </c>
      <c r="AZ9" s="439">
        <f>IF(AP9="NA",0,IF(AJ9="Decline",(W9-V9),ROUND(AN9/$BE$6,6)))</f>
        <v>4.71</v>
      </c>
      <c r="BA9" s="9">
        <f>ROUND(AZ9*$BE$6,0)</f>
        <v>15462</v>
      </c>
      <c r="BB9" s="439"/>
      <c r="BC9" s="171">
        <f>ROUND(AR9*$BC$6,0)</f>
        <v>937488</v>
      </c>
      <c r="BD9" s="171">
        <f>ROUND(AV9*$BD$6,0)</f>
        <v>-28</v>
      </c>
      <c r="BE9" s="171">
        <f>ROUND(AZ9*$BE$6,0)</f>
        <v>15462</v>
      </c>
      <c r="BF9" s="438">
        <f>SUM(BC9:BE9)</f>
        <v>952922</v>
      </c>
      <c r="BG9" s="389">
        <f t="shared" ref="BG9:BG72" si="5">BF9-AE9</f>
        <v>0</v>
      </c>
      <c r="BH9" s="438"/>
      <c r="BI9" s="425">
        <f t="shared" ref="BI9:BI72" si="6">C9</f>
        <v>8260.3823260000008</v>
      </c>
      <c r="BJ9" s="425">
        <f t="shared" ref="BJ9:BJ72" si="7">L9</f>
        <v>594.4</v>
      </c>
      <c r="BK9" s="425">
        <f t="shared" ref="BK9:BK72" si="8">U9</f>
        <v>320.27999999999997</v>
      </c>
      <c r="BL9" s="438"/>
      <c r="BM9" s="425">
        <f t="shared" ref="BM9:BM72" si="9">D9</f>
        <v>8260.3823260000008</v>
      </c>
      <c r="BN9" s="425">
        <f t="shared" ref="BN9:BN72" si="10">M9</f>
        <v>594.4</v>
      </c>
      <c r="BO9" s="425">
        <f t="shared" ref="BO9:BO72" si="11">V9</f>
        <v>320.27999999999997</v>
      </c>
      <c r="BP9" s="438"/>
      <c r="BQ9" s="372">
        <f t="shared" ref="BQ9:BQ72" si="12">E9</f>
        <v>8462.58</v>
      </c>
      <c r="BR9" s="372">
        <f t="shared" ref="BR9:BR72" si="13">N9</f>
        <v>594.39</v>
      </c>
      <c r="BS9" s="372">
        <f t="shared" ref="BS9:BS72" si="14">W9</f>
        <v>324.99</v>
      </c>
      <c r="BU9" s="439">
        <f t="shared" ref="BU9:BU72" si="15">F9</f>
        <v>0</v>
      </c>
      <c r="BV9" s="439">
        <f t="shared" ref="BV9:BV72" si="16">O9</f>
        <v>0</v>
      </c>
      <c r="BW9" s="439">
        <f t="shared" ref="BW9:BW72" si="17">X9</f>
        <v>0</v>
      </c>
      <c r="BY9" s="439">
        <f t="shared" ref="BY9:BY72" si="18">G9</f>
        <v>0</v>
      </c>
      <c r="BZ9" s="439">
        <f t="shared" ref="BZ9:BZ72" si="19">P9</f>
        <v>0</v>
      </c>
      <c r="CA9" s="439">
        <f t="shared" ref="CA9:CA72" si="20">Y9</f>
        <v>0</v>
      </c>
      <c r="CB9" s="439"/>
      <c r="CC9" s="439">
        <f t="shared" ref="CC9:CC72" si="21">I9</f>
        <v>0</v>
      </c>
      <c r="CD9" s="439">
        <f t="shared" ref="CD9:CD72" si="22">R9</f>
        <v>0</v>
      </c>
      <c r="CE9" s="374">
        <f t="shared" ref="CE9:CE72" si="23">AA9</f>
        <v>0</v>
      </c>
      <c r="CF9" s="439"/>
      <c r="CG9" s="439">
        <f>AR9</f>
        <v>202.19765899999999</v>
      </c>
      <c r="CH9" s="439">
        <f>AV9</f>
        <v>-9.9999999999909051E-3</v>
      </c>
      <c r="CI9" s="439">
        <f>AZ9</f>
        <v>4.71</v>
      </c>
      <c r="CJ9" s="439"/>
      <c r="CK9" s="439">
        <v>4636.4928019999998</v>
      </c>
      <c r="CL9" s="439">
        <v>2788.0536374600001</v>
      </c>
      <c r="CM9" s="439">
        <v>3282.8110613200001</v>
      </c>
      <c r="CN9" s="439"/>
      <c r="CO9" s="439">
        <f>+CG9*CK9</f>
        <v>937487.9905347504</v>
      </c>
      <c r="CP9" s="439">
        <f t="shared" ref="CP9:CQ72" si="24">+CH9*CL9</f>
        <v>-27.880536374574643</v>
      </c>
      <c r="CQ9" s="439">
        <f t="shared" si="24"/>
        <v>15462.0400988172</v>
      </c>
      <c r="CR9" s="439">
        <f>SUM(CO9:CQ9)</f>
        <v>952922.15009719308</v>
      </c>
      <c r="CS9" s="439">
        <f>+'[1]13-14 $86M Workload Restore'!AJ7</f>
        <v>952922</v>
      </c>
      <c r="CT9" s="439">
        <f>+CR9-CS9</f>
        <v>0.15009719308000058</v>
      </c>
      <c r="CV9" s="173">
        <v>0</v>
      </c>
      <c r="CW9" s="439">
        <f>BM9+BU9+BY9+CC9+CG9+CV9</f>
        <v>8462.5799850000003</v>
      </c>
      <c r="CX9" s="439">
        <f t="shared" ref="CX9:CY40" si="25">BN9+BV9+BZ9+CD9+CH9</f>
        <v>594.39</v>
      </c>
      <c r="CY9" s="439">
        <f t="shared" si="25"/>
        <v>324.98999999999995</v>
      </c>
      <c r="DA9" s="439">
        <f t="shared" ref="DA9:DC40" si="26">BQ9-CW9</f>
        <v>1.4999999621068127E-5</v>
      </c>
      <c r="DB9" s="439">
        <f t="shared" si="26"/>
        <v>0</v>
      </c>
      <c r="DC9" s="439">
        <f t="shared" si="26"/>
        <v>0</v>
      </c>
      <c r="DE9" s="371">
        <f t="shared" ref="DE9:DG40" si="27">BM9+BU9+BY9+CC9+CG9-CW9</f>
        <v>0</v>
      </c>
      <c r="DF9" s="371">
        <f t="shared" si="27"/>
        <v>0</v>
      </c>
      <c r="DG9" s="371">
        <f t="shared" si="27"/>
        <v>0</v>
      </c>
      <c r="DH9" s="439"/>
      <c r="DI9" s="371">
        <f t="shared" ref="DI9:DK40" si="28">BQ9-CW9-DA9</f>
        <v>0</v>
      </c>
      <c r="DJ9" s="371">
        <f t="shared" si="28"/>
        <v>0</v>
      </c>
      <c r="DK9" s="371">
        <f t="shared" si="28"/>
        <v>5.6843418860808015E-14</v>
      </c>
      <c r="DL9" s="144">
        <f>CW9*$BC$6</f>
        <v>39236691.627448313</v>
      </c>
      <c r="DM9" s="144">
        <f>CX9*$BD$6</f>
        <v>1657191.2015698494</v>
      </c>
      <c r="DN9" s="144">
        <f>CY9*$BE$6</f>
        <v>1066880.7668183867</v>
      </c>
      <c r="DO9" s="144">
        <f>'[1]PBF Run'!F9*(1+'[1]PBF Run'!$C$4)</f>
        <v>5622822.7713000001</v>
      </c>
      <c r="DP9" s="144">
        <f>'[1]PBF Run'!AA9+'[1]PBF Run'!AB9+'[1]PBF Run'!AC9+'[1]PBF Run'!AD9</f>
        <v>0</v>
      </c>
      <c r="DQ9" s="144">
        <f>'[1]PBF Run'!X9</f>
        <v>0</v>
      </c>
      <c r="DR9" s="144">
        <f>'[1]PBF Run'!L9*(1+'[1]PBF Run'!$C$4)</f>
        <v>0</v>
      </c>
      <c r="DS9" s="144">
        <f>'[1]PBF Run'!AE9</f>
        <v>47583587</v>
      </c>
      <c r="DT9" s="326">
        <f>DS9-DR9-DQ9-DP9-DO9-DN9-DM9-DL9</f>
        <v>0.63286344707012177</v>
      </c>
      <c r="DU9" s="144"/>
      <c r="DV9" s="144"/>
    </row>
    <row r="10" spans="1:126" ht="13.5" thickBot="1">
      <c r="A10" s="16" t="s">
        <v>399</v>
      </c>
      <c r="B10" s="16" t="s">
        <v>111</v>
      </c>
      <c r="C10" s="425">
        <f>[1]FTES!C10</f>
        <v>10619.170071999999</v>
      </c>
      <c r="D10" s="425">
        <f>[1]FTES!D10</f>
        <v>10619.170071999999</v>
      </c>
      <c r="E10" s="425">
        <f>[1]FTES!E10</f>
        <v>11140.49</v>
      </c>
      <c r="F10" s="425">
        <f>[1]FTES!H10</f>
        <v>0</v>
      </c>
      <c r="G10" s="425">
        <f>[1]FTES!I10</f>
        <v>0</v>
      </c>
      <c r="H10" s="425">
        <f>[1]FTES!J10</f>
        <v>10619.170072000001</v>
      </c>
      <c r="I10" s="425">
        <f>[1]FTES!K10</f>
        <v>0</v>
      </c>
      <c r="J10" s="425">
        <f>[1]FTES!L10</f>
        <v>521.319928</v>
      </c>
      <c r="K10" s="425">
        <f>[1]FTES!M10</f>
        <v>0</v>
      </c>
      <c r="L10" s="425">
        <f>[1]FTES!N10</f>
        <v>0</v>
      </c>
      <c r="M10" s="425">
        <f>[1]FTES!O10</f>
        <v>0</v>
      </c>
      <c r="N10" s="425">
        <f>[1]FTES!P10</f>
        <v>0</v>
      </c>
      <c r="O10" s="425">
        <f>[1]FTES!S10</f>
        <v>0</v>
      </c>
      <c r="P10" s="425">
        <f>[1]FTES!T10</f>
        <v>0</v>
      </c>
      <c r="Q10" s="425">
        <f>[1]FTES!U10</f>
        <v>0</v>
      </c>
      <c r="R10" s="425">
        <f>[1]FTES!V10</f>
        <v>0</v>
      </c>
      <c r="S10" s="425">
        <f>[1]FTES!W10</f>
        <v>0</v>
      </c>
      <c r="T10" s="425">
        <f>[1]FTES!X10</f>
        <v>0</v>
      </c>
      <c r="U10" s="425">
        <f>[1]FTES!Y10</f>
        <v>0</v>
      </c>
      <c r="V10" s="425">
        <f>[1]FTES!Z10</f>
        <v>0</v>
      </c>
      <c r="W10" s="425">
        <f>[1]FTES!AA10</f>
        <v>0</v>
      </c>
      <c r="X10" s="425">
        <f>[1]FTES!AD10</f>
        <v>0</v>
      </c>
      <c r="Y10" s="425">
        <f>[1]FTES!AE10</f>
        <v>0</v>
      </c>
      <c r="Z10" s="425">
        <f>[1]FTES!AF10</f>
        <v>0</v>
      </c>
      <c r="AA10" s="425">
        <f>[1]FTES!AG10</f>
        <v>0</v>
      </c>
      <c r="AB10" s="425">
        <f>[1]FTES!AH10</f>
        <v>0</v>
      </c>
      <c r="AC10" s="425">
        <f>[1]FTES!AI10</f>
        <v>0</v>
      </c>
      <c r="AD10" s="425"/>
      <c r="AE10" s="376">
        <f>'[1]13-14 $86M Workload Restore'!AJ8</f>
        <v>1302521</v>
      </c>
      <c r="AF10" s="375"/>
      <c r="AG10" s="122" t="str">
        <f>'[1]Restoration and Growth'!N10</f>
        <v>Growth</v>
      </c>
      <c r="AH10" s="122" t="str">
        <f>'[1]Restoration and Growth'!O10</f>
        <v>Grow</v>
      </c>
      <c r="AI10" s="122" t="str">
        <f>'[1]Restoration and Growth'!P10</f>
        <v>Stable</v>
      </c>
      <c r="AJ10" s="122" t="str">
        <f>'[1]Restoration and Growth'!Q10</f>
        <v>No CPCP</v>
      </c>
      <c r="AK10" s="139"/>
      <c r="AL10" s="139">
        <f>ROUND(J10*'[1]PBF Run'!$AS$4,3)</f>
        <v>2417096.1209999998</v>
      </c>
      <c r="AM10" s="139">
        <f>ROUND(S10*'[1]PBF Run'!$AF$4,3)</f>
        <v>0</v>
      </c>
      <c r="AN10" s="139">
        <f>ROUND(AB10*'[1]PBF Run'!$AJ$4,3)</f>
        <v>0</v>
      </c>
      <c r="AO10" s="139">
        <f t="shared" ref="AO10:AO73" si="29">SUM(AL10:AN10)</f>
        <v>2417096.1209999998</v>
      </c>
      <c r="AP10" s="139" t="str">
        <f>IF(AG10="decline","NA",IF(ROUND(AO10,0)-ROUND(AE10,0)&gt;=0,"Y","Not Enough"))</f>
        <v>Y</v>
      </c>
      <c r="AQ10" s="139"/>
      <c r="AR10" s="374">
        <f>IF(AP10="NA",0,IF(AH10="Decline",E10-D10,IF(U10&gt;=AL10,ROUND(AL10/$BC$6,6),IF(AU10&lt;0,ROUND(AL10/$BC$6,6),ROUND(AU10/$BC$6,6)))))</f>
        <v>280.92807199999999</v>
      </c>
      <c r="AS10" s="9">
        <f t="shared" si="0"/>
        <v>1302521</v>
      </c>
      <c r="AT10" s="9"/>
      <c r="AU10" s="373">
        <f t="shared" si="1"/>
        <v>1302521</v>
      </c>
      <c r="AV10" s="439">
        <f t="shared" si="2"/>
        <v>0</v>
      </c>
      <c r="AW10" s="9">
        <f t="shared" si="3"/>
        <v>0</v>
      </c>
      <c r="AX10" s="9"/>
      <c r="AY10" s="373">
        <f t="shared" si="4"/>
        <v>1302521</v>
      </c>
      <c r="AZ10" s="439">
        <f t="shared" ref="AZ10:AZ73" si="30">IF(AP10="NA",0,IF(AJ10="Decline",(W10-V10),ROUND(AN10/$BE$6,6)))</f>
        <v>0</v>
      </c>
      <c r="BA10" s="9">
        <f t="shared" ref="BA10:BA73" si="31">ROUND(AZ10*$BE$6,0)</f>
        <v>0</v>
      </c>
      <c r="BB10" s="439"/>
      <c r="BC10" s="171">
        <f t="shared" ref="BC10:BC73" si="32">ROUND(AR10*$BC$6,0)</f>
        <v>1302521</v>
      </c>
      <c r="BD10" s="171">
        <f t="shared" ref="BD10:BD73" si="33">ROUND(AV10*$BD$6,0)</f>
        <v>0</v>
      </c>
      <c r="BE10" s="171">
        <f t="shared" ref="BE10:BE73" si="34">ROUND(AZ10*$BE$6,0)</f>
        <v>0</v>
      </c>
      <c r="BF10" s="438">
        <f t="shared" ref="BF10:BF73" si="35">SUM(BC10:BE10)</f>
        <v>1302521</v>
      </c>
      <c r="BG10" s="389">
        <f t="shared" si="5"/>
        <v>0</v>
      </c>
      <c r="BH10" s="438"/>
      <c r="BI10" s="425">
        <f t="shared" si="6"/>
        <v>10619.170071999999</v>
      </c>
      <c r="BJ10" s="425">
        <f t="shared" si="7"/>
        <v>0</v>
      </c>
      <c r="BK10" s="425">
        <f t="shared" si="8"/>
        <v>0</v>
      </c>
      <c r="BL10" s="438"/>
      <c r="BM10" s="425">
        <f t="shared" si="9"/>
        <v>10619.170071999999</v>
      </c>
      <c r="BN10" s="425">
        <f t="shared" si="10"/>
        <v>0</v>
      </c>
      <c r="BO10" s="425">
        <f t="shared" si="11"/>
        <v>0</v>
      </c>
      <c r="BP10" s="438"/>
      <c r="BQ10" s="372">
        <f t="shared" si="12"/>
        <v>11140.49</v>
      </c>
      <c r="BR10" s="372">
        <f t="shared" si="13"/>
        <v>0</v>
      </c>
      <c r="BS10" s="372">
        <f t="shared" si="14"/>
        <v>0</v>
      </c>
      <c r="BU10" s="439">
        <f t="shared" si="15"/>
        <v>0</v>
      </c>
      <c r="BV10" s="439">
        <f t="shared" si="16"/>
        <v>0</v>
      </c>
      <c r="BW10" s="439">
        <f t="shared" si="17"/>
        <v>0</v>
      </c>
      <c r="BY10" s="439">
        <f t="shared" si="18"/>
        <v>0</v>
      </c>
      <c r="BZ10" s="439">
        <f t="shared" si="19"/>
        <v>0</v>
      </c>
      <c r="CA10" s="439">
        <f t="shared" si="20"/>
        <v>0</v>
      </c>
      <c r="CB10" s="439"/>
      <c r="CC10" s="439">
        <f t="shared" si="21"/>
        <v>0</v>
      </c>
      <c r="CD10" s="439">
        <f t="shared" si="22"/>
        <v>0</v>
      </c>
      <c r="CE10" s="374">
        <f t="shared" si="23"/>
        <v>0</v>
      </c>
      <c r="CF10" s="439"/>
      <c r="CG10" s="439">
        <f t="shared" ref="CG10:CG73" si="36">AR10</f>
        <v>280.92807199999999</v>
      </c>
      <c r="CH10" s="439">
        <f t="shared" ref="CH10:CH73" si="37">AV10</f>
        <v>0</v>
      </c>
      <c r="CI10" s="439">
        <f t="shared" ref="CI10:CI73" si="38">AZ10</f>
        <v>0</v>
      </c>
      <c r="CJ10" s="439"/>
      <c r="CK10" s="439">
        <v>4636.4928769999997</v>
      </c>
      <c r="CL10" s="439">
        <v>2788.0536374600001</v>
      </c>
      <c r="CM10" s="439">
        <v>3282.8110613200001</v>
      </c>
      <c r="CN10" s="439"/>
      <c r="CO10" s="439">
        <f t="shared" ref="CO10:CQ73" si="39">+CG10*CK10</f>
        <v>1302521.004777343</v>
      </c>
      <c r="CP10" s="439">
        <f t="shared" si="24"/>
        <v>0</v>
      </c>
      <c r="CQ10" s="439">
        <f t="shared" si="24"/>
        <v>0</v>
      </c>
      <c r="CR10" s="439">
        <f t="shared" ref="CR10:CR73" si="40">SUM(CO10:CQ10)</f>
        <v>1302521.004777343</v>
      </c>
      <c r="CS10" s="439">
        <f>+'[1]13-14 $86M Workload Restore'!AJ8</f>
        <v>1302521</v>
      </c>
      <c r="CT10" s="439">
        <f t="shared" ref="CT10:CT73" si="41">+CR10-CS10</f>
        <v>4.7773430123925209E-3</v>
      </c>
      <c r="CV10" s="173">
        <v>0</v>
      </c>
      <c r="CW10" s="439">
        <f t="shared" ref="CW10:CW73" si="42">BM10+BU10+BY10+CC10+CG10+CV10</f>
        <v>10900.098144</v>
      </c>
      <c r="CX10" s="439">
        <f t="shared" si="25"/>
        <v>0</v>
      </c>
      <c r="CY10" s="439">
        <f t="shared" si="25"/>
        <v>0</v>
      </c>
      <c r="DA10" s="439">
        <f t="shared" si="26"/>
        <v>240.39185600000019</v>
      </c>
      <c r="DB10" s="439">
        <f t="shared" si="26"/>
        <v>0</v>
      </c>
      <c r="DC10" s="439">
        <f t="shared" si="26"/>
        <v>0</v>
      </c>
      <c r="DE10" s="371">
        <f t="shared" si="27"/>
        <v>0</v>
      </c>
      <c r="DF10" s="371">
        <f t="shared" si="27"/>
        <v>0</v>
      </c>
      <c r="DG10" s="371">
        <f t="shared" si="27"/>
        <v>0</v>
      </c>
      <c r="DH10" s="439"/>
      <c r="DI10" s="371">
        <f t="shared" si="28"/>
        <v>0</v>
      </c>
      <c r="DJ10" s="371">
        <f t="shared" si="28"/>
        <v>0</v>
      </c>
      <c r="DK10" s="371">
        <f t="shared" si="28"/>
        <v>0</v>
      </c>
      <c r="DL10" s="144">
        <f t="shared" ref="DL10:DL73" si="43">CW10*$BC$6</f>
        <v>50538227.153317668</v>
      </c>
      <c r="DM10" s="144">
        <f t="shared" ref="DM10:DM73" si="44">CX10*$BD$6</f>
        <v>0</v>
      </c>
      <c r="DN10" s="144">
        <f t="shared" ref="DN10:DN73" si="45">CY10*$BE$6</f>
        <v>0</v>
      </c>
      <c r="DO10" s="144">
        <f>'[1]PBF Run'!F10*(1+'[1]PBF Run'!$C$4)</f>
        <v>5622822.7713000001</v>
      </c>
      <c r="DP10" s="144">
        <f>'[1]PBF Run'!AA10+'[1]PBF Run'!AB10+'[1]PBF Run'!AC10+'[1]PBF Run'!AD10</f>
        <v>0</v>
      </c>
      <c r="DQ10" s="144">
        <f>'[1]PBF Run'!X10</f>
        <v>0</v>
      </c>
      <c r="DR10" s="144">
        <f>'[1]PBF Run'!L10*(1+'[1]PBF Run'!$C$4)</f>
        <v>0</v>
      </c>
      <c r="DS10" s="144">
        <f>'[1]PBF Run'!AE10</f>
        <v>56161050</v>
      </c>
      <c r="DT10" s="326">
        <f>DS10-DR10-DQ10-DP10-DO10-DN10-DM10-DL10</f>
        <v>7.5382329523563385E-2</v>
      </c>
      <c r="DU10" s="144"/>
      <c r="DV10" s="144"/>
    </row>
    <row r="11" spans="1:126" ht="13.5" thickBot="1">
      <c r="A11" s="16" t="s">
        <v>397</v>
      </c>
      <c r="B11" s="16" t="s">
        <v>112</v>
      </c>
      <c r="C11" s="425">
        <f>[1]FTES!C11</f>
        <v>2336.2900059999997</v>
      </c>
      <c r="D11" s="425">
        <f>[1]FTES!D11</f>
        <v>2336.2900059999997</v>
      </c>
      <c r="E11" s="425">
        <f>[1]FTES!E11</f>
        <v>2562.27</v>
      </c>
      <c r="F11" s="425">
        <f>[1]FTES!H11</f>
        <v>0</v>
      </c>
      <c r="G11" s="425">
        <f>[1]FTES!I11</f>
        <v>0</v>
      </c>
      <c r="H11" s="425">
        <f>[1]FTES!J11</f>
        <v>2336.2900060000002</v>
      </c>
      <c r="I11" s="425">
        <f>[1]FTES!K11</f>
        <v>0</v>
      </c>
      <c r="J11" s="425">
        <f>[1]FTES!L11</f>
        <v>225.979994</v>
      </c>
      <c r="K11" s="425">
        <f>[1]FTES!M11</f>
        <v>0</v>
      </c>
      <c r="L11" s="425">
        <f>[1]FTES!N11</f>
        <v>57.43</v>
      </c>
      <c r="M11" s="425">
        <f>[1]FTES!O11</f>
        <v>57.43</v>
      </c>
      <c r="N11" s="425">
        <f>[1]FTES!P11</f>
        <v>34.6</v>
      </c>
      <c r="O11" s="425">
        <f>[1]FTES!S11</f>
        <v>0</v>
      </c>
      <c r="P11" s="425">
        <f>[1]FTES!T11</f>
        <v>0</v>
      </c>
      <c r="Q11" s="425">
        <f>[1]FTES!U11</f>
        <v>34.6</v>
      </c>
      <c r="R11" s="425">
        <f>[1]FTES!V11</f>
        <v>0</v>
      </c>
      <c r="S11" s="425">
        <f>[1]FTES!W11</f>
        <v>0</v>
      </c>
      <c r="T11" s="425">
        <f>[1]FTES!X11</f>
        <v>0</v>
      </c>
      <c r="U11" s="425">
        <f>[1]FTES!Y11</f>
        <v>0</v>
      </c>
      <c r="V11" s="425">
        <f>[1]FTES!Z11</f>
        <v>0</v>
      </c>
      <c r="W11" s="425">
        <f>[1]FTES!AA11</f>
        <v>0</v>
      </c>
      <c r="X11" s="425">
        <f>[1]FTES!AD11</f>
        <v>0</v>
      </c>
      <c r="Y11" s="425">
        <f>[1]FTES!AE11</f>
        <v>0</v>
      </c>
      <c r="Z11" s="425">
        <f>[1]FTES!AF11</f>
        <v>0</v>
      </c>
      <c r="AA11" s="425">
        <f>[1]FTES!AG11</f>
        <v>0</v>
      </c>
      <c r="AB11" s="425">
        <f>[1]FTES!AH11</f>
        <v>0</v>
      </c>
      <c r="AC11" s="425">
        <f>[1]FTES!AI11</f>
        <v>0</v>
      </c>
      <c r="AD11" s="425"/>
      <c r="AE11" s="376">
        <f>'[1]13-14 $86M Workload Restore'!AJ9</f>
        <v>0</v>
      </c>
      <c r="AF11" s="375"/>
      <c r="AG11" s="122" t="str">
        <f>'[1]Restoration and Growth'!N11</f>
        <v>Growth</v>
      </c>
      <c r="AH11" s="122" t="str">
        <f>'[1]Restoration and Growth'!O11</f>
        <v>Grow</v>
      </c>
      <c r="AI11" s="122" t="str">
        <f>'[1]Restoration and Growth'!P11</f>
        <v>Decline</v>
      </c>
      <c r="AJ11" s="122" t="str">
        <f>'[1]Restoration and Growth'!Q11</f>
        <v>No CPCP</v>
      </c>
      <c r="AK11" s="139"/>
      <c r="AL11" s="139">
        <f>ROUND(J11*'[1]PBF Run'!$AS$4,3)</f>
        <v>1047754.627</v>
      </c>
      <c r="AM11" s="139">
        <f>ROUND(S11*'[1]PBF Run'!$AF$4,3)</f>
        <v>0</v>
      </c>
      <c r="AN11" s="139">
        <f>ROUND(AB11*'[1]PBF Run'!$AJ$4,3)</f>
        <v>0</v>
      </c>
      <c r="AO11" s="139">
        <f t="shared" si="29"/>
        <v>1047754.627</v>
      </c>
      <c r="AP11" s="139" t="str">
        <f t="shared" ref="AP11:AP74" si="46">IF(AG11="decline","NA",IF(ROUND(AO11,0)-ROUND(AE11,0)&gt;=0,"Y","Not Enough"))</f>
        <v>Y</v>
      </c>
      <c r="AQ11" s="139"/>
      <c r="AR11" s="374">
        <f>IF(AP11="NA",0,IF(AH11="Decline",E11-D11,IF(U11&gt;=AL11,ROUND(AL11/$BC$6,6),IF(AU11&lt;0,ROUND(AL11/$BC$6,6),ROUND(AU11/$BC$6,6)))))</f>
        <v>13.728263999999999</v>
      </c>
      <c r="AS11" s="9">
        <f t="shared" si="0"/>
        <v>63651</v>
      </c>
      <c r="AT11" s="9"/>
      <c r="AU11" s="373">
        <f t="shared" si="1"/>
        <v>63651</v>
      </c>
      <c r="AV11" s="439">
        <f t="shared" si="2"/>
        <v>-22.83</v>
      </c>
      <c r="AW11" s="9">
        <f t="shared" si="3"/>
        <v>-63651</v>
      </c>
      <c r="AX11" s="9"/>
      <c r="AY11" s="373">
        <f t="shared" si="4"/>
        <v>0</v>
      </c>
      <c r="AZ11" s="439">
        <f t="shared" si="30"/>
        <v>0</v>
      </c>
      <c r="BA11" s="9">
        <f t="shared" si="31"/>
        <v>0</v>
      </c>
      <c r="BB11" s="439"/>
      <c r="BC11" s="171">
        <f t="shared" si="32"/>
        <v>63651</v>
      </c>
      <c r="BD11" s="171">
        <f t="shared" si="33"/>
        <v>-63651</v>
      </c>
      <c r="BE11" s="171">
        <f t="shared" si="34"/>
        <v>0</v>
      </c>
      <c r="BF11" s="438">
        <f t="shared" si="35"/>
        <v>0</v>
      </c>
      <c r="BG11" s="389">
        <f t="shared" si="5"/>
        <v>0</v>
      </c>
      <c r="BH11" s="438"/>
      <c r="BI11" s="425">
        <f t="shared" si="6"/>
        <v>2336.2900059999997</v>
      </c>
      <c r="BJ11" s="425">
        <f t="shared" si="7"/>
        <v>57.43</v>
      </c>
      <c r="BK11" s="425">
        <f t="shared" si="8"/>
        <v>0</v>
      </c>
      <c r="BL11" s="438"/>
      <c r="BM11" s="425">
        <f t="shared" si="9"/>
        <v>2336.2900059999997</v>
      </c>
      <c r="BN11" s="425">
        <f t="shared" si="10"/>
        <v>57.43</v>
      </c>
      <c r="BO11" s="425">
        <f t="shared" si="11"/>
        <v>0</v>
      </c>
      <c r="BP11" s="438"/>
      <c r="BQ11" s="372">
        <f t="shared" si="12"/>
        <v>2562.27</v>
      </c>
      <c r="BR11" s="372">
        <f t="shared" si="13"/>
        <v>34.6</v>
      </c>
      <c r="BS11" s="372">
        <f t="shared" si="14"/>
        <v>0</v>
      </c>
      <c r="BU11" s="439">
        <f t="shared" si="15"/>
        <v>0</v>
      </c>
      <c r="BV11" s="439">
        <f t="shared" si="16"/>
        <v>0</v>
      </c>
      <c r="BW11" s="439">
        <f t="shared" si="17"/>
        <v>0</v>
      </c>
      <c r="BY11" s="439">
        <f t="shared" si="18"/>
        <v>0</v>
      </c>
      <c r="BZ11" s="439">
        <f t="shared" si="19"/>
        <v>0</v>
      </c>
      <c r="CA11" s="439">
        <f t="shared" si="20"/>
        <v>0</v>
      </c>
      <c r="CB11" s="439"/>
      <c r="CC11" s="439">
        <f t="shared" si="21"/>
        <v>0</v>
      </c>
      <c r="CD11" s="439">
        <f t="shared" si="22"/>
        <v>0</v>
      </c>
      <c r="CE11" s="374">
        <f t="shared" si="23"/>
        <v>0</v>
      </c>
      <c r="CF11" s="439"/>
      <c r="CG11" s="439">
        <f t="shared" si="36"/>
        <v>13.728263999999999</v>
      </c>
      <c r="CH11" s="439">
        <f t="shared" si="37"/>
        <v>-22.83</v>
      </c>
      <c r="CI11" s="439">
        <f t="shared" si="38"/>
        <v>0</v>
      </c>
      <c r="CJ11" s="439"/>
      <c r="CK11" s="439">
        <v>4636.492741</v>
      </c>
      <c r="CL11" s="439">
        <v>2788.0536374600001</v>
      </c>
      <c r="CM11" s="439">
        <v>3282.8110613200001</v>
      </c>
      <c r="CN11" s="439"/>
      <c r="CO11" s="439">
        <f t="shared" si="39"/>
        <v>63650.996382531623</v>
      </c>
      <c r="CP11" s="439">
        <f t="shared" si="24"/>
        <v>-63651.264543211801</v>
      </c>
      <c r="CQ11" s="439">
        <f t="shared" si="24"/>
        <v>0</v>
      </c>
      <c r="CR11" s="439">
        <f t="shared" si="40"/>
        <v>-0.26816068017797079</v>
      </c>
      <c r="CS11" s="439">
        <f>+'[1]13-14 $86M Workload Restore'!AJ9</f>
        <v>0</v>
      </c>
      <c r="CT11" s="439">
        <f t="shared" si="41"/>
        <v>-0.26816068017797079</v>
      </c>
      <c r="CV11" s="173">
        <v>0</v>
      </c>
      <c r="CW11" s="439">
        <f t="shared" si="42"/>
        <v>2350.0182699999996</v>
      </c>
      <c r="CX11" s="439">
        <f t="shared" si="25"/>
        <v>34.6</v>
      </c>
      <c r="CY11" s="439">
        <f t="shared" si="25"/>
        <v>0</v>
      </c>
      <c r="DA11" s="439">
        <f t="shared" si="26"/>
        <v>212.25173000000041</v>
      </c>
      <c r="DB11" s="439">
        <f t="shared" si="26"/>
        <v>0</v>
      </c>
      <c r="DC11" s="439">
        <f t="shared" si="26"/>
        <v>0</v>
      </c>
      <c r="DE11" s="371">
        <f t="shared" si="27"/>
        <v>0</v>
      </c>
      <c r="DF11" s="371">
        <f t="shared" si="27"/>
        <v>0</v>
      </c>
      <c r="DG11" s="371">
        <f t="shared" si="27"/>
        <v>0</v>
      </c>
      <c r="DH11" s="439"/>
      <c r="DI11" s="371">
        <f t="shared" si="28"/>
        <v>0</v>
      </c>
      <c r="DJ11" s="371">
        <f t="shared" si="28"/>
        <v>0</v>
      </c>
      <c r="DK11" s="371">
        <f t="shared" si="28"/>
        <v>0</v>
      </c>
      <c r="DL11" s="144">
        <f t="shared" si="43"/>
        <v>10895842.915788943</v>
      </c>
      <c r="DM11" s="144">
        <f t="shared" si="44"/>
        <v>96466.655856116005</v>
      </c>
      <c r="DN11" s="144">
        <f t="shared" si="45"/>
        <v>0</v>
      </c>
      <c r="DO11" s="144">
        <f>'[1]PBF Run'!F11*(1+'[1]PBF Run'!$C$4)</f>
        <v>3935975.6352000004</v>
      </c>
      <c r="DP11" s="144">
        <f>'[1]PBF Run'!AA11+'[1]PBF Run'!AB11+'[1]PBF Run'!AC11+'[1]PBF Run'!AD11</f>
        <v>0</v>
      </c>
      <c r="DQ11" s="144">
        <f>'[1]PBF Run'!X11</f>
        <v>0</v>
      </c>
      <c r="DR11" s="144">
        <f>'[1]PBF Run'!L11*(1+'[1]PBF Run'!$C$4)</f>
        <v>0</v>
      </c>
      <c r="DS11" s="144">
        <f>'[1]PBF Run'!AE11</f>
        <v>14928285</v>
      </c>
      <c r="DT11" s="326">
        <f>DS11-DR11-DQ11-DP11-DO11-DN11-DM11-DL11</f>
        <v>-0.20684505999088287</v>
      </c>
      <c r="DU11" s="144"/>
      <c r="DV11" s="144"/>
    </row>
    <row r="12" spans="1:126" ht="13.5" thickBot="1">
      <c r="A12" s="16" t="s">
        <v>395</v>
      </c>
      <c r="B12" s="16" t="s">
        <v>113</v>
      </c>
      <c r="C12" s="425">
        <f>[1]FTES!C12</f>
        <v>9929.2332230000011</v>
      </c>
      <c r="D12" s="425">
        <f>[1]FTES!D12</f>
        <v>9929.2332230000011</v>
      </c>
      <c r="E12" s="425">
        <f>[1]FTES!E12</f>
        <v>10107.219999999999</v>
      </c>
      <c r="F12" s="425">
        <f>[1]FTES!H12</f>
        <v>0</v>
      </c>
      <c r="G12" s="425">
        <f>[1]FTES!I12</f>
        <v>0</v>
      </c>
      <c r="H12" s="425">
        <f>[1]FTES!J12</f>
        <v>9929.2332229999993</v>
      </c>
      <c r="I12" s="425">
        <f>[1]FTES!K12</f>
        <v>0</v>
      </c>
      <c r="J12" s="425">
        <f>[1]FTES!L12</f>
        <v>177.98677699999999</v>
      </c>
      <c r="K12" s="425">
        <f>[1]FTES!M12</f>
        <v>0</v>
      </c>
      <c r="L12" s="425">
        <f>[1]FTES!N12</f>
        <v>923.27</v>
      </c>
      <c r="M12" s="425">
        <f>[1]FTES!O12</f>
        <v>923.27</v>
      </c>
      <c r="N12" s="425">
        <f>[1]FTES!P12</f>
        <v>1012.38</v>
      </c>
      <c r="O12" s="425">
        <f>[1]FTES!S12</f>
        <v>0</v>
      </c>
      <c r="P12" s="425">
        <f>[1]FTES!T12</f>
        <v>0</v>
      </c>
      <c r="Q12" s="425">
        <f>[1]FTES!U12</f>
        <v>923.27</v>
      </c>
      <c r="R12" s="425">
        <f>[1]FTES!V12</f>
        <v>0</v>
      </c>
      <c r="S12" s="425">
        <f>[1]FTES!W12</f>
        <v>89.11</v>
      </c>
      <c r="T12" s="425">
        <f>[1]FTES!X12</f>
        <v>0</v>
      </c>
      <c r="U12" s="425">
        <f>[1]FTES!Y12</f>
        <v>25.11</v>
      </c>
      <c r="V12" s="425">
        <f>[1]FTES!Z12</f>
        <v>25.11</v>
      </c>
      <c r="W12" s="425">
        <f>[1]FTES!AA12</f>
        <v>23.35</v>
      </c>
      <c r="X12" s="425">
        <f>[1]FTES!AD12</f>
        <v>0</v>
      </c>
      <c r="Y12" s="425">
        <f>[1]FTES!AE12</f>
        <v>0</v>
      </c>
      <c r="Z12" s="425">
        <f>[1]FTES!AF12</f>
        <v>23.35</v>
      </c>
      <c r="AA12" s="425">
        <f>[1]FTES!AG12</f>
        <v>0</v>
      </c>
      <c r="AB12" s="425">
        <f>[1]FTES!AH12</f>
        <v>0</v>
      </c>
      <c r="AC12" s="425">
        <f>[1]FTES!AI12</f>
        <v>0</v>
      </c>
      <c r="AD12" s="425"/>
      <c r="AE12" s="376">
        <f>'[1]13-14 $86M Workload Restore'!AJ10</f>
        <v>1067899</v>
      </c>
      <c r="AF12" s="375"/>
      <c r="AG12" s="122" t="str">
        <f>'[1]Restoration and Growth'!N12</f>
        <v>Growth</v>
      </c>
      <c r="AH12" s="122" t="str">
        <f>'[1]Restoration and Growth'!O12</f>
        <v>Grow</v>
      </c>
      <c r="AI12" s="122" t="str">
        <f>'[1]Restoration and Growth'!P12</f>
        <v>Grow</v>
      </c>
      <c r="AJ12" s="122" t="str">
        <f>'[1]Restoration and Growth'!Q12</f>
        <v>Decline</v>
      </c>
      <c r="AK12" s="139"/>
      <c r="AL12" s="139">
        <f>ROUND(J12*'[1]PBF Run'!$AS$4,3)</f>
        <v>825234.42</v>
      </c>
      <c r="AM12" s="139">
        <f>ROUND(S12*'[1]PBF Run'!$AF$4,3)</f>
        <v>248443.46</v>
      </c>
      <c r="AN12" s="139">
        <f>ROUND(AB12*'[1]PBF Run'!$AJ$4,3)</f>
        <v>0</v>
      </c>
      <c r="AO12" s="139">
        <f t="shared" si="29"/>
        <v>1073677.8800000001</v>
      </c>
      <c r="AP12" s="139" t="str">
        <f t="shared" si="46"/>
        <v>Y</v>
      </c>
      <c r="AQ12" s="139"/>
      <c r="AR12" s="374">
        <f t="shared" ref="AR12:AR75" si="47">IF(AP12="NA",0,IF(AH12="Decline",E12-D12,IF(U12&gt;=AL12,ROUND(AL12/$BC$6,6),IF(AU12&lt;0,ROUND(AL12/$BC$6,6),ROUND(AU12/$BC$6,6)))))</f>
        <v>177.98668599999999</v>
      </c>
      <c r="AS12" s="9">
        <f t="shared" si="0"/>
        <v>825234</v>
      </c>
      <c r="AT12" s="9"/>
      <c r="AU12" s="373">
        <f t="shared" si="1"/>
        <v>825234</v>
      </c>
      <c r="AV12" s="439">
        <f t="shared" si="2"/>
        <v>89.11</v>
      </c>
      <c r="AW12" s="9">
        <f t="shared" si="3"/>
        <v>248443</v>
      </c>
      <c r="AX12" s="9"/>
      <c r="AY12" s="373">
        <f t="shared" si="4"/>
        <v>1073677</v>
      </c>
      <c r="AZ12" s="439">
        <f t="shared" si="30"/>
        <v>-1.759999999999998</v>
      </c>
      <c r="BA12" s="9">
        <f t="shared" si="31"/>
        <v>-5778</v>
      </c>
      <c r="BB12" s="439"/>
      <c r="BC12" s="171">
        <f t="shared" si="32"/>
        <v>825234</v>
      </c>
      <c r="BD12" s="171">
        <f t="shared" si="33"/>
        <v>248443</v>
      </c>
      <c r="BE12" s="171">
        <f t="shared" si="34"/>
        <v>-5778</v>
      </c>
      <c r="BF12" s="438">
        <f t="shared" si="35"/>
        <v>1067899</v>
      </c>
      <c r="BG12" s="389">
        <f t="shared" si="5"/>
        <v>0</v>
      </c>
      <c r="BH12" s="438"/>
      <c r="BI12" s="425">
        <f t="shared" si="6"/>
        <v>9929.2332230000011</v>
      </c>
      <c r="BJ12" s="425">
        <f t="shared" si="7"/>
        <v>923.27</v>
      </c>
      <c r="BK12" s="425">
        <f t="shared" si="8"/>
        <v>25.11</v>
      </c>
      <c r="BL12" s="438"/>
      <c r="BM12" s="425">
        <f t="shared" si="9"/>
        <v>9929.2332230000011</v>
      </c>
      <c r="BN12" s="425">
        <f t="shared" si="10"/>
        <v>923.27</v>
      </c>
      <c r="BO12" s="425">
        <f t="shared" si="11"/>
        <v>25.11</v>
      </c>
      <c r="BP12" s="438"/>
      <c r="BQ12" s="372">
        <f t="shared" si="12"/>
        <v>10107.219999999999</v>
      </c>
      <c r="BR12" s="372">
        <f t="shared" si="13"/>
        <v>1012.38</v>
      </c>
      <c r="BS12" s="372">
        <f t="shared" si="14"/>
        <v>23.35</v>
      </c>
      <c r="BU12" s="439">
        <f t="shared" si="15"/>
        <v>0</v>
      </c>
      <c r="BV12" s="439">
        <f t="shared" si="16"/>
        <v>0</v>
      </c>
      <c r="BW12" s="439">
        <f t="shared" si="17"/>
        <v>0</v>
      </c>
      <c r="BY12" s="439">
        <f t="shared" si="18"/>
        <v>0</v>
      </c>
      <c r="BZ12" s="439">
        <f t="shared" si="19"/>
        <v>0</v>
      </c>
      <c r="CA12" s="439">
        <f t="shared" si="20"/>
        <v>0</v>
      </c>
      <c r="CB12" s="439"/>
      <c r="CC12" s="439">
        <f t="shared" si="21"/>
        <v>0</v>
      </c>
      <c r="CD12" s="439">
        <f t="shared" si="22"/>
        <v>0</v>
      </c>
      <c r="CE12" s="374">
        <f t="shared" si="23"/>
        <v>0</v>
      </c>
      <c r="CF12" s="439"/>
      <c r="CG12" s="439">
        <f t="shared" si="36"/>
        <v>177.98668599999999</v>
      </c>
      <c r="CH12" s="439">
        <f t="shared" si="37"/>
        <v>89.11</v>
      </c>
      <c r="CI12" s="439">
        <f t="shared" si="38"/>
        <v>-1.759999999999998</v>
      </c>
      <c r="CJ12" s="439"/>
      <c r="CK12" s="439">
        <v>4636.4928499999996</v>
      </c>
      <c r="CL12" s="439">
        <v>2788.0536374600001</v>
      </c>
      <c r="CM12" s="439">
        <v>3282.8110613200001</v>
      </c>
      <c r="CN12" s="439"/>
      <c r="CO12" s="439">
        <f t="shared" si="39"/>
        <v>825233.997034195</v>
      </c>
      <c r="CP12" s="439">
        <f t="shared" si="24"/>
        <v>248443.45963406062</v>
      </c>
      <c r="CQ12" s="439">
        <f t="shared" si="24"/>
        <v>-5777.7474679231937</v>
      </c>
      <c r="CR12" s="439">
        <f t="shared" si="40"/>
        <v>1067899.7092003324</v>
      </c>
      <c r="CS12" s="439">
        <f>+'[1]13-14 $86M Workload Restore'!AJ10</f>
        <v>1067899</v>
      </c>
      <c r="CT12" s="439">
        <f t="shared" si="41"/>
        <v>0.70920033240690827</v>
      </c>
      <c r="CV12" s="173">
        <v>0</v>
      </c>
      <c r="CW12" s="439">
        <f t="shared" si="42"/>
        <v>10107.219909000001</v>
      </c>
      <c r="CX12" s="439">
        <f t="shared" si="25"/>
        <v>1012.38</v>
      </c>
      <c r="CY12" s="439">
        <f t="shared" si="25"/>
        <v>23.35</v>
      </c>
      <c r="DA12" s="439">
        <f t="shared" si="26"/>
        <v>9.0999998064944521E-5</v>
      </c>
      <c r="DB12" s="439">
        <f t="shared" si="26"/>
        <v>0</v>
      </c>
      <c r="DC12" s="439">
        <f t="shared" si="26"/>
        <v>0</v>
      </c>
      <c r="DE12" s="371">
        <f t="shared" si="27"/>
        <v>0</v>
      </c>
      <c r="DF12" s="371">
        <f t="shared" si="27"/>
        <v>0</v>
      </c>
      <c r="DG12" s="371">
        <f t="shared" si="27"/>
        <v>0</v>
      </c>
      <c r="DH12" s="439"/>
      <c r="DI12" s="371">
        <f t="shared" si="28"/>
        <v>0</v>
      </c>
      <c r="DJ12" s="371">
        <f t="shared" si="28"/>
        <v>0</v>
      </c>
      <c r="DK12" s="371">
        <f t="shared" si="28"/>
        <v>0</v>
      </c>
      <c r="DL12" s="144">
        <f t="shared" si="43"/>
        <v>46862052.882592544</v>
      </c>
      <c r="DM12" s="144">
        <f t="shared" si="44"/>
        <v>2822569.741491755</v>
      </c>
      <c r="DN12" s="144">
        <f t="shared" si="45"/>
        <v>76653.638281822001</v>
      </c>
      <c r="DO12" s="144">
        <f>'[1]PBF Run'!F12*(1+'[1]PBF Run'!$C$4)</f>
        <v>5622822.7713000001</v>
      </c>
      <c r="DP12" s="144">
        <f>'[1]PBF Run'!AA12+'[1]PBF Run'!AB12+'[1]PBF Run'!AC12+'[1]PBF Run'!AD12</f>
        <v>0</v>
      </c>
      <c r="DQ12" s="144">
        <f>'[1]PBF Run'!X12</f>
        <v>0</v>
      </c>
      <c r="DR12" s="144">
        <f>'[1]PBF Run'!L12*(1+'[1]PBF Run'!$C$4)</f>
        <v>0</v>
      </c>
      <c r="DS12" s="144">
        <f>'[1]PBF Run'!AE12</f>
        <v>55384098</v>
      </c>
      <c r="DT12" s="326">
        <f>DS12-DR12-DQ12-DP12-DO12-DN12-DM12-DL12</f>
        <v>-1.0336661264300346</v>
      </c>
      <c r="DU12" s="144"/>
      <c r="DV12" s="144"/>
    </row>
    <row r="13" spans="1:126" ht="13.5" thickBot="1">
      <c r="A13" s="16" t="s">
        <v>393</v>
      </c>
      <c r="B13" s="16" t="s">
        <v>114</v>
      </c>
      <c r="C13" s="425">
        <f>[1]FTES!C13</f>
        <v>10652.169977</v>
      </c>
      <c r="D13" s="425">
        <f>[1]FTES!D13</f>
        <v>10652.169977</v>
      </c>
      <c r="E13" s="425">
        <f>[1]FTES!E13</f>
        <v>9955.19</v>
      </c>
      <c r="F13" s="425">
        <f>[1]FTES!H13</f>
        <v>0</v>
      </c>
      <c r="G13" s="425">
        <f>[1]FTES!I13</f>
        <v>0</v>
      </c>
      <c r="H13" s="425">
        <f>[1]FTES!J13</f>
        <v>9955.19</v>
      </c>
      <c r="I13" s="425">
        <f>[1]FTES!K13</f>
        <v>-696.97997699999996</v>
      </c>
      <c r="J13" s="425">
        <f>[1]FTES!L13</f>
        <v>0</v>
      </c>
      <c r="K13" s="425">
        <f>[1]FTES!M13</f>
        <v>0</v>
      </c>
      <c r="L13" s="425">
        <f>[1]FTES!N13</f>
        <v>234.53</v>
      </c>
      <c r="M13" s="425">
        <f>[1]FTES!O13</f>
        <v>234.53</v>
      </c>
      <c r="N13" s="425">
        <f>[1]FTES!P13</f>
        <v>137.06</v>
      </c>
      <c r="O13" s="425">
        <f>[1]FTES!S13</f>
        <v>0</v>
      </c>
      <c r="P13" s="425">
        <f>[1]FTES!T13</f>
        <v>0</v>
      </c>
      <c r="Q13" s="425">
        <f>[1]FTES!U13</f>
        <v>137.06</v>
      </c>
      <c r="R13" s="425">
        <f>[1]FTES!V13</f>
        <v>-97.47</v>
      </c>
      <c r="S13" s="425">
        <f>[1]FTES!W13</f>
        <v>0</v>
      </c>
      <c r="T13" s="425">
        <f>[1]FTES!X13</f>
        <v>0</v>
      </c>
      <c r="U13" s="425">
        <f>[1]FTES!Y13</f>
        <v>0</v>
      </c>
      <c r="V13" s="425">
        <f>[1]FTES!Z13</f>
        <v>0</v>
      </c>
      <c r="W13" s="425">
        <f>[1]FTES!AA13</f>
        <v>0</v>
      </c>
      <c r="X13" s="425">
        <f>[1]FTES!AD13</f>
        <v>0</v>
      </c>
      <c r="Y13" s="425">
        <f>[1]FTES!AE13</f>
        <v>0</v>
      </c>
      <c r="Z13" s="425">
        <f>[1]FTES!AF13</f>
        <v>0</v>
      </c>
      <c r="AA13" s="425">
        <f>[1]FTES!AG13</f>
        <v>0</v>
      </c>
      <c r="AB13" s="425">
        <f>[1]FTES!AH13</f>
        <v>0</v>
      </c>
      <c r="AC13" s="425">
        <f>[1]FTES!AI13</f>
        <v>0</v>
      </c>
      <c r="AD13" s="425"/>
      <c r="AE13" s="376">
        <f>'[1]13-14 $86M Workload Restore'!AJ11</f>
        <v>0</v>
      </c>
      <c r="AF13" s="375"/>
      <c r="AG13" s="122" t="str">
        <f>'[1]Restoration and Growth'!N13</f>
        <v>Decline</v>
      </c>
      <c r="AH13" s="122" t="str">
        <f>'[1]Restoration and Growth'!O13</f>
        <v>Decline</v>
      </c>
      <c r="AI13" s="122" t="str">
        <f>'[1]Restoration and Growth'!P13</f>
        <v>Decline</v>
      </c>
      <c r="AJ13" s="122" t="str">
        <f>'[1]Restoration and Growth'!Q13</f>
        <v>No CPCP</v>
      </c>
      <c r="AK13" s="139"/>
      <c r="AL13" s="139">
        <f>ROUND(J13*'[1]PBF Run'!$AS$4,3)</f>
        <v>0</v>
      </c>
      <c r="AM13" s="139">
        <f>ROUND(S13*'[1]PBF Run'!$AF$4,3)</f>
        <v>0</v>
      </c>
      <c r="AN13" s="139">
        <f>ROUND(AB13*'[1]PBF Run'!$AJ$4,3)</f>
        <v>0</v>
      </c>
      <c r="AO13" s="139">
        <f t="shared" si="29"/>
        <v>0</v>
      </c>
      <c r="AP13" s="139" t="str">
        <f t="shared" si="46"/>
        <v>NA</v>
      </c>
      <c r="AQ13" s="139"/>
      <c r="AR13" s="374">
        <f t="shared" si="47"/>
        <v>0</v>
      </c>
      <c r="AS13" s="9">
        <f t="shared" si="0"/>
        <v>0</v>
      </c>
      <c r="AT13" s="9"/>
      <c r="AU13" s="373">
        <f t="shared" si="1"/>
        <v>0</v>
      </c>
      <c r="AV13" s="439">
        <f t="shared" si="2"/>
        <v>0</v>
      </c>
      <c r="AW13" s="9">
        <f t="shared" si="3"/>
        <v>0</v>
      </c>
      <c r="AX13" s="9"/>
      <c r="AY13" s="373">
        <f t="shared" si="4"/>
        <v>0</v>
      </c>
      <c r="AZ13" s="439">
        <f t="shared" si="30"/>
        <v>0</v>
      </c>
      <c r="BA13" s="9">
        <f t="shared" si="31"/>
        <v>0</v>
      </c>
      <c r="BB13" s="439"/>
      <c r="BC13" s="171">
        <f t="shared" si="32"/>
        <v>0</v>
      </c>
      <c r="BD13" s="171">
        <f t="shared" si="33"/>
        <v>0</v>
      </c>
      <c r="BE13" s="171">
        <f t="shared" si="34"/>
        <v>0</v>
      </c>
      <c r="BF13" s="438">
        <f t="shared" si="35"/>
        <v>0</v>
      </c>
      <c r="BG13" s="389">
        <f t="shared" si="5"/>
        <v>0</v>
      </c>
      <c r="BH13" s="438"/>
      <c r="BI13" s="425">
        <f t="shared" si="6"/>
        <v>10652.169977</v>
      </c>
      <c r="BJ13" s="425">
        <f t="shared" si="7"/>
        <v>234.53</v>
      </c>
      <c r="BK13" s="425">
        <f t="shared" si="8"/>
        <v>0</v>
      </c>
      <c r="BL13" s="438"/>
      <c r="BM13" s="425">
        <f t="shared" si="9"/>
        <v>10652.169977</v>
      </c>
      <c r="BN13" s="425">
        <f t="shared" si="10"/>
        <v>234.53</v>
      </c>
      <c r="BO13" s="425">
        <f t="shared" si="11"/>
        <v>0</v>
      </c>
      <c r="BP13" s="438"/>
      <c r="BQ13" s="372">
        <f t="shared" si="12"/>
        <v>9955.19</v>
      </c>
      <c r="BR13" s="372">
        <f t="shared" si="13"/>
        <v>137.06</v>
      </c>
      <c r="BS13" s="372">
        <f t="shared" si="14"/>
        <v>0</v>
      </c>
      <c r="BU13" s="439">
        <f t="shared" si="15"/>
        <v>0</v>
      </c>
      <c r="BV13" s="439">
        <f t="shared" si="16"/>
        <v>0</v>
      </c>
      <c r="BW13" s="439">
        <f t="shared" si="17"/>
        <v>0</v>
      </c>
      <c r="BY13" s="439">
        <f t="shared" si="18"/>
        <v>0</v>
      </c>
      <c r="BZ13" s="439">
        <f t="shared" si="19"/>
        <v>0</v>
      </c>
      <c r="CA13" s="439">
        <f t="shared" si="20"/>
        <v>0</v>
      </c>
      <c r="CB13" s="439"/>
      <c r="CC13" s="439">
        <f t="shared" si="21"/>
        <v>-696.97997699999996</v>
      </c>
      <c r="CD13" s="439">
        <f t="shared" si="22"/>
        <v>-97.47</v>
      </c>
      <c r="CE13" s="374">
        <f t="shared" si="23"/>
        <v>0</v>
      </c>
      <c r="CF13" s="439"/>
      <c r="CG13" s="439">
        <f t="shared" si="36"/>
        <v>0</v>
      </c>
      <c r="CH13" s="439">
        <f t="shared" si="37"/>
        <v>0</v>
      </c>
      <c r="CI13" s="439">
        <f t="shared" si="38"/>
        <v>0</v>
      </c>
      <c r="CJ13" s="439"/>
      <c r="CK13" s="439">
        <v>4636.4928090000003</v>
      </c>
      <c r="CL13" s="439">
        <v>2788.0536374600001</v>
      </c>
      <c r="CM13" s="439">
        <v>3282.8110613200001</v>
      </c>
      <c r="CN13" s="439"/>
      <c r="CO13" s="439">
        <f t="shared" si="39"/>
        <v>0</v>
      </c>
      <c r="CP13" s="439">
        <f t="shared" si="24"/>
        <v>0</v>
      </c>
      <c r="CQ13" s="439">
        <f t="shared" si="24"/>
        <v>0</v>
      </c>
      <c r="CR13" s="439">
        <f t="shared" si="40"/>
        <v>0</v>
      </c>
      <c r="CS13" s="439">
        <f>+'[1]13-14 $86M Workload Restore'!AJ11</f>
        <v>0</v>
      </c>
      <c r="CT13" s="439">
        <f t="shared" si="41"/>
        <v>0</v>
      </c>
      <c r="CV13" s="173">
        <v>0</v>
      </c>
      <c r="CW13" s="439">
        <f t="shared" si="42"/>
        <v>9955.1899999999987</v>
      </c>
      <c r="CX13" s="439">
        <f t="shared" si="25"/>
        <v>137.06</v>
      </c>
      <c r="CY13" s="439">
        <f t="shared" si="25"/>
        <v>0</v>
      </c>
      <c r="DA13" s="439">
        <f t="shared" si="26"/>
        <v>0</v>
      </c>
      <c r="DB13" s="439">
        <f t="shared" si="26"/>
        <v>0</v>
      </c>
      <c r="DC13" s="439">
        <f t="shared" si="26"/>
        <v>0</v>
      </c>
      <c r="DE13" s="371">
        <f t="shared" si="27"/>
        <v>0</v>
      </c>
      <c r="DF13" s="371">
        <f t="shared" si="27"/>
        <v>0</v>
      </c>
      <c r="DG13" s="371">
        <f t="shared" si="27"/>
        <v>0</v>
      </c>
      <c r="DH13" s="439"/>
      <c r="DI13" s="371">
        <f t="shared" si="28"/>
        <v>1.8189894035458565E-12</v>
      </c>
      <c r="DJ13" s="371">
        <f t="shared" si="28"/>
        <v>0</v>
      </c>
      <c r="DK13" s="371">
        <f t="shared" si="28"/>
        <v>0</v>
      </c>
      <c r="DL13" s="144">
        <f t="shared" si="43"/>
        <v>46157167.295909122</v>
      </c>
      <c r="DM13" s="144">
        <f t="shared" si="44"/>
        <v>382130.63155026763</v>
      </c>
      <c r="DN13" s="144">
        <f t="shared" si="45"/>
        <v>0</v>
      </c>
      <c r="DO13" s="144">
        <f>'[1]PBF Run'!F13*(1+'[1]PBF Run'!$C$4)</f>
        <v>5622822.7713000001</v>
      </c>
      <c r="DP13" s="144">
        <f>'[1]PBF Run'!AA13+'[1]PBF Run'!AB13+'[1]PBF Run'!AC13+'[1]PBF Run'!AD13</f>
        <v>0</v>
      </c>
      <c r="DQ13" s="144">
        <f>'[1]PBF Run'!X13</f>
        <v>3503295</v>
      </c>
      <c r="DR13" s="144">
        <f>'[1]PBF Run'!L13*(1+'[1]PBF Run'!$C$4)</f>
        <v>0</v>
      </c>
      <c r="DS13" s="144">
        <f>'[1]PBF Run'!AE13</f>
        <v>55665416</v>
      </c>
      <c r="DT13" s="326">
        <f t="shared" ref="DT13:DT76" si="48">DS13-DR13-DQ13-DP13-DO13-DN13-DM13-DL13</f>
        <v>0.30124060809612274</v>
      </c>
      <c r="DU13" s="144"/>
      <c r="DV13" s="144"/>
    </row>
    <row r="14" spans="1:126" ht="13.5" thickBot="1">
      <c r="A14" s="16" t="s">
        <v>391</v>
      </c>
      <c r="B14" s="16" t="s">
        <v>115</v>
      </c>
      <c r="C14" s="425">
        <f>[1]FTES!C14</f>
        <v>15680.699893000001</v>
      </c>
      <c r="D14" s="425">
        <f>[1]FTES!D14</f>
        <v>15680.699893000001</v>
      </c>
      <c r="E14" s="425">
        <f>[1]FTES!E14</f>
        <v>16446.13</v>
      </c>
      <c r="F14" s="425">
        <f>[1]FTES!H14</f>
        <v>0</v>
      </c>
      <c r="G14" s="425">
        <f>[1]FTES!I14</f>
        <v>0</v>
      </c>
      <c r="H14" s="425">
        <f>[1]FTES!J14</f>
        <v>15680.699893000001</v>
      </c>
      <c r="I14" s="425">
        <f>[1]FTES!K14</f>
        <v>0</v>
      </c>
      <c r="J14" s="425">
        <f>[1]FTES!L14</f>
        <v>765.43010700000002</v>
      </c>
      <c r="K14" s="425">
        <f>[1]FTES!M14</f>
        <v>0</v>
      </c>
      <c r="L14" s="425">
        <f>[1]FTES!N14</f>
        <v>137.18</v>
      </c>
      <c r="M14" s="425">
        <f>[1]FTES!O14</f>
        <v>137.18</v>
      </c>
      <c r="N14" s="425">
        <f>[1]FTES!P14</f>
        <v>219.29999999999998</v>
      </c>
      <c r="O14" s="425">
        <f>[1]FTES!S14</f>
        <v>0</v>
      </c>
      <c r="P14" s="425">
        <f>[1]FTES!T14</f>
        <v>0</v>
      </c>
      <c r="Q14" s="425">
        <f>[1]FTES!U14</f>
        <v>137.18</v>
      </c>
      <c r="R14" s="425">
        <f>[1]FTES!V14</f>
        <v>0</v>
      </c>
      <c r="S14" s="425">
        <f>[1]FTES!W14</f>
        <v>82.12</v>
      </c>
      <c r="T14" s="425">
        <f>[1]FTES!X14</f>
        <v>0</v>
      </c>
      <c r="U14" s="425">
        <f>[1]FTES!Y14</f>
        <v>209.59</v>
      </c>
      <c r="V14" s="425">
        <f>[1]FTES!Z14</f>
        <v>209.59</v>
      </c>
      <c r="W14" s="425">
        <f>[1]FTES!AA14</f>
        <v>198.1</v>
      </c>
      <c r="X14" s="425">
        <f>[1]FTES!AD14</f>
        <v>0</v>
      </c>
      <c r="Y14" s="425">
        <f>[1]FTES!AE14</f>
        <v>0</v>
      </c>
      <c r="Z14" s="425">
        <f>[1]FTES!AF14</f>
        <v>198.1</v>
      </c>
      <c r="AA14" s="425">
        <f>[1]FTES!AG14</f>
        <v>0</v>
      </c>
      <c r="AB14" s="425">
        <f>[1]FTES!AH14</f>
        <v>0</v>
      </c>
      <c r="AC14" s="425">
        <f>[1]FTES!AI14</f>
        <v>0</v>
      </c>
      <c r="AD14" s="425"/>
      <c r="AE14" s="376">
        <f>'[1]13-14 $86M Workload Restore'!AJ12</f>
        <v>1740214</v>
      </c>
      <c r="AF14" s="375"/>
      <c r="AG14" s="122" t="str">
        <f>'[1]Restoration and Growth'!N14</f>
        <v>Growth</v>
      </c>
      <c r="AH14" s="122" t="str">
        <f>'[1]Restoration and Growth'!O14</f>
        <v>Grow</v>
      </c>
      <c r="AI14" s="122" t="str">
        <f>'[1]Restoration and Growth'!P14</f>
        <v>Grow</v>
      </c>
      <c r="AJ14" s="122" t="str">
        <f>'[1]Restoration and Growth'!Q14</f>
        <v>Decline</v>
      </c>
      <c r="AK14" s="139"/>
      <c r="AL14" s="139">
        <f>ROUND(J14*'[1]PBF Run'!$AS$4,3)</f>
        <v>3548911.2209999999</v>
      </c>
      <c r="AM14" s="139">
        <f>ROUND(S14*'[1]PBF Run'!$AF$4,3)</f>
        <v>228954.965</v>
      </c>
      <c r="AN14" s="139">
        <f>ROUND(AB14*'[1]PBF Run'!$AJ$4,3)</f>
        <v>0</v>
      </c>
      <c r="AO14" s="139">
        <f t="shared" si="29"/>
        <v>3777866.1859999998</v>
      </c>
      <c r="AP14" s="139" t="str">
        <f t="shared" si="46"/>
        <v>Y</v>
      </c>
      <c r="AQ14" s="139"/>
      <c r="AR14" s="374">
        <f t="shared" si="47"/>
        <v>334.08398299999999</v>
      </c>
      <c r="AS14" s="9">
        <f t="shared" si="0"/>
        <v>1548978</v>
      </c>
      <c r="AT14" s="9"/>
      <c r="AU14" s="373">
        <f t="shared" si="1"/>
        <v>1548978</v>
      </c>
      <c r="AV14" s="439">
        <f t="shared" si="2"/>
        <v>82.12</v>
      </c>
      <c r="AW14" s="9">
        <f t="shared" si="3"/>
        <v>228955</v>
      </c>
      <c r="AX14" s="9"/>
      <c r="AY14" s="373">
        <f t="shared" si="4"/>
        <v>1777933</v>
      </c>
      <c r="AZ14" s="439">
        <f t="shared" si="30"/>
        <v>-11.490000000000009</v>
      </c>
      <c r="BA14" s="9">
        <f t="shared" si="31"/>
        <v>-37719</v>
      </c>
      <c r="BB14" s="439"/>
      <c r="BC14" s="171">
        <f t="shared" si="32"/>
        <v>1548978</v>
      </c>
      <c r="BD14" s="171">
        <f t="shared" si="33"/>
        <v>228955</v>
      </c>
      <c r="BE14" s="171">
        <f t="shared" si="34"/>
        <v>-37719</v>
      </c>
      <c r="BF14" s="438">
        <f t="shared" si="35"/>
        <v>1740214</v>
      </c>
      <c r="BG14" s="389">
        <f t="shared" si="5"/>
        <v>0</v>
      </c>
      <c r="BH14" s="438"/>
      <c r="BI14" s="425">
        <f t="shared" si="6"/>
        <v>15680.699893000001</v>
      </c>
      <c r="BJ14" s="425">
        <f t="shared" si="7"/>
        <v>137.18</v>
      </c>
      <c r="BK14" s="425">
        <f t="shared" si="8"/>
        <v>209.59</v>
      </c>
      <c r="BL14" s="438"/>
      <c r="BM14" s="425">
        <f t="shared" si="9"/>
        <v>15680.699893000001</v>
      </c>
      <c r="BN14" s="425">
        <f t="shared" si="10"/>
        <v>137.18</v>
      </c>
      <c r="BO14" s="425">
        <f t="shared" si="11"/>
        <v>209.59</v>
      </c>
      <c r="BP14" s="438"/>
      <c r="BQ14" s="372">
        <f t="shared" si="12"/>
        <v>16446.13</v>
      </c>
      <c r="BR14" s="372">
        <f t="shared" si="13"/>
        <v>219.29999999999998</v>
      </c>
      <c r="BS14" s="372">
        <f t="shared" si="14"/>
        <v>198.1</v>
      </c>
      <c r="BU14" s="439">
        <f t="shared" si="15"/>
        <v>0</v>
      </c>
      <c r="BV14" s="439">
        <f t="shared" si="16"/>
        <v>0</v>
      </c>
      <c r="BW14" s="439">
        <f t="shared" si="17"/>
        <v>0</v>
      </c>
      <c r="BY14" s="439">
        <f t="shared" si="18"/>
        <v>0</v>
      </c>
      <c r="BZ14" s="439">
        <f t="shared" si="19"/>
        <v>0</v>
      </c>
      <c r="CA14" s="439">
        <f t="shared" si="20"/>
        <v>0</v>
      </c>
      <c r="CB14" s="439"/>
      <c r="CC14" s="439">
        <f t="shared" si="21"/>
        <v>0</v>
      </c>
      <c r="CD14" s="439">
        <f t="shared" si="22"/>
        <v>0</v>
      </c>
      <c r="CE14" s="374">
        <f t="shared" si="23"/>
        <v>0</v>
      </c>
      <c r="CF14" s="439"/>
      <c r="CG14" s="439">
        <f t="shared" si="36"/>
        <v>334.08398299999999</v>
      </c>
      <c r="CH14" s="439">
        <f t="shared" si="37"/>
        <v>82.12</v>
      </c>
      <c r="CI14" s="439">
        <f t="shared" si="38"/>
        <v>-11.490000000000009</v>
      </c>
      <c r="CJ14" s="439"/>
      <c r="CK14" s="439">
        <v>4636.4928470000004</v>
      </c>
      <c r="CL14" s="439">
        <v>2788.0536374600001</v>
      </c>
      <c r="CM14" s="439">
        <v>3282.8110613200001</v>
      </c>
      <c r="CN14" s="439"/>
      <c r="CO14" s="439">
        <f t="shared" si="39"/>
        <v>1548977.9974767696</v>
      </c>
      <c r="CP14" s="439">
        <f t="shared" si="24"/>
        <v>228954.96470821524</v>
      </c>
      <c r="CQ14" s="439">
        <f t="shared" si="24"/>
        <v>-37719.499094566832</v>
      </c>
      <c r="CR14" s="439">
        <f t="shared" si="40"/>
        <v>1740213.4630904181</v>
      </c>
      <c r="CS14" s="439">
        <f>+'[1]13-14 $86M Workload Restore'!AJ12</f>
        <v>1740214</v>
      </c>
      <c r="CT14" s="439">
        <f t="shared" si="41"/>
        <v>-0.5369095818605274</v>
      </c>
      <c r="CV14" s="173">
        <v>0</v>
      </c>
      <c r="CW14" s="439">
        <f t="shared" si="42"/>
        <v>16014.783876000001</v>
      </c>
      <c r="CX14" s="439">
        <f t="shared" si="25"/>
        <v>219.3</v>
      </c>
      <c r="CY14" s="439">
        <f t="shared" si="25"/>
        <v>198.1</v>
      </c>
      <c r="DA14" s="439">
        <f t="shared" si="26"/>
        <v>431.34612399999969</v>
      </c>
      <c r="DB14" s="439">
        <f t="shared" si="26"/>
        <v>0</v>
      </c>
      <c r="DC14" s="439">
        <f t="shared" si="26"/>
        <v>0</v>
      </c>
      <c r="DE14" s="371">
        <f t="shared" si="27"/>
        <v>0</v>
      </c>
      <c r="DF14" s="371">
        <f t="shared" si="27"/>
        <v>0</v>
      </c>
      <c r="DG14" s="371">
        <f t="shared" si="27"/>
        <v>0</v>
      </c>
      <c r="DH14" s="439"/>
      <c r="DI14" s="371">
        <f t="shared" si="28"/>
        <v>0</v>
      </c>
      <c r="DJ14" s="371">
        <f t="shared" si="28"/>
        <v>-2.8421709430404007E-14</v>
      </c>
      <c r="DK14" s="371">
        <f t="shared" si="28"/>
        <v>0</v>
      </c>
      <c r="DL14" s="144">
        <f t="shared" si="43"/>
        <v>74252431.000549465</v>
      </c>
      <c r="DM14" s="144">
        <f t="shared" si="44"/>
        <v>611420.16269497806</v>
      </c>
      <c r="DN14" s="144">
        <f t="shared" si="45"/>
        <v>650324.87124749203</v>
      </c>
      <c r="DO14" s="144">
        <f>'[1]PBF Run'!F14*(1+'[1]PBF Run'!$C$4)</f>
        <v>4498258.0139000006</v>
      </c>
      <c r="DP14" s="144">
        <f>'[1]PBF Run'!AA14+'[1]PBF Run'!AB14+'[1]PBF Run'!AC14+'[1]PBF Run'!AD14</f>
        <v>0</v>
      </c>
      <c r="DQ14" s="144">
        <f>'[1]PBF Run'!X14</f>
        <v>0</v>
      </c>
      <c r="DR14" s="144">
        <f>'[1]PBF Run'!L14*(1+'[1]PBF Run'!$C$4)</f>
        <v>0</v>
      </c>
      <c r="DS14" s="144">
        <f>'[1]PBF Run'!AE14</f>
        <v>80012434</v>
      </c>
      <c r="DT14" s="326">
        <f t="shared" si="48"/>
        <v>-4.8391923308372498E-2</v>
      </c>
      <c r="DU14" s="144"/>
      <c r="DV14" s="144"/>
    </row>
    <row r="15" spans="1:126" ht="13.5" thickBot="1">
      <c r="A15" s="16" t="s">
        <v>389</v>
      </c>
      <c r="B15" s="16" t="s">
        <v>116</v>
      </c>
      <c r="C15" s="425">
        <f>[1]FTES!C15</f>
        <v>16017.399209000001</v>
      </c>
      <c r="D15" s="425">
        <f>[1]FTES!D15</f>
        <v>16017.399209000001</v>
      </c>
      <c r="E15" s="425">
        <f>[1]FTES!E15</f>
        <v>16355.73</v>
      </c>
      <c r="F15" s="425">
        <f>[1]FTES!H15</f>
        <v>0</v>
      </c>
      <c r="G15" s="425">
        <f>[1]FTES!I15</f>
        <v>0</v>
      </c>
      <c r="H15" s="425">
        <f>[1]FTES!J15</f>
        <v>16017.399208999999</v>
      </c>
      <c r="I15" s="425">
        <f>[1]FTES!K15</f>
        <v>0</v>
      </c>
      <c r="J15" s="425">
        <f>[1]FTES!L15</f>
        <v>338.33079099999998</v>
      </c>
      <c r="K15" s="425">
        <f>[1]FTES!M15</f>
        <v>0</v>
      </c>
      <c r="L15" s="425">
        <f>[1]FTES!N15</f>
        <v>126.32</v>
      </c>
      <c r="M15" s="425">
        <f>[1]FTES!O15</f>
        <v>126.32</v>
      </c>
      <c r="N15" s="425">
        <f>[1]FTES!P15</f>
        <v>100.65</v>
      </c>
      <c r="O15" s="425">
        <f>[1]FTES!S15</f>
        <v>0</v>
      </c>
      <c r="P15" s="425">
        <f>[1]FTES!T15</f>
        <v>0</v>
      </c>
      <c r="Q15" s="425">
        <f>[1]FTES!U15</f>
        <v>100.65</v>
      </c>
      <c r="R15" s="425">
        <f>[1]FTES!V15</f>
        <v>0</v>
      </c>
      <c r="S15" s="425">
        <f>[1]FTES!W15</f>
        <v>0</v>
      </c>
      <c r="T15" s="425">
        <f>[1]FTES!X15</f>
        <v>0</v>
      </c>
      <c r="U15" s="425">
        <f>[1]FTES!Y15</f>
        <v>0</v>
      </c>
      <c r="V15" s="425">
        <f>[1]FTES!Z15</f>
        <v>0</v>
      </c>
      <c r="W15" s="425">
        <f>[1]FTES!AA15</f>
        <v>0</v>
      </c>
      <c r="X15" s="425">
        <f>[1]FTES!AD15</f>
        <v>0</v>
      </c>
      <c r="Y15" s="425">
        <f>[1]FTES!AE15</f>
        <v>0</v>
      </c>
      <c r="Z15" s="425">
        <f>[1]FTES!AF15</f>
        <v>0</v>
      </c>
      <c r="AA15" s="425">
        <f>[1]FTES!AG15</f>
        <v>0</v>
      </c>
      <c r="AB15" s="425">
        <f>[1]FTES!AH15</f>
        <v>0</v>
      </c>
      <c r="AC15" s="425">
        <f>[1]FTES!AI15</f>
        <v>0</v>
      </c>
      <c r="AD15" s="425"/>
      <c r="AE15" s="376">
        <f>'[1]13-14 $86M Workload Restore'!AJ13</f>
        <v>1497099</v>
      </c>
      <c r="AF15" s="375"/>
      <c r="AG15" s="122" t="str">
        <f>'[1]Restoration and Growth'!N15</f>
        <v>Growth</v>
      </c>
      <c r="AH15" s="122" t="str">
        <f>'[1]Restoration and Growth'!O15</f>
        <v>Grow</v>
      </c>
      <c r="AI15" s="122" t="str">
        <f>'[1]Restoration and Growth'!P15</f>
        <v>Decline</v>
      </c>
      <c r="AJ15" s="122" t="str">
        <f>'[1]Restoration and Growth'!Q15</f>
        <v>No CPCP</v>
      </c>
      <c r="AK15" s="139"/>
      <c r="AL15" s="139">
        <f>ROUND(J15*'[1]PBF Run'!$AS$4,3)</f>
        <v>1568668.2949999999</v>
      </c>
      <c r="AM15" s="139">
        <f>ROUND(S15*'[1]PBF Run'!$AF$4,3)</f>
        <v>0</v>
      </c>
      <c r="AN15" s="139">
        <f>ROUND(AB15*'[1]PBF Run'!$AJ$4,3)</f>
        <v>0</v>
      </c>
      <c r="AO15" s="139">
        <f t="shared" si="29"/>
        <v>1568668.2949999999</v>
      </c>
      <c r="AP15" s="139" t="str">
        <f t="shared" si="46"/>
        <v>Y</v>
      </c>
      <c r="AQ15" s="139"/>
      <c r="AR15" s="374">
        <f t="shared" si="47"/>
        <v>338.33072700000002</v>
      </c>
      <c r="AS15" s="9">
        <f t="shared" si="0"/>
        <v>1568668</v>
      </c>
      <c r="AT15" s="9"/>
      <c r="AU15" s="373">
        <f t="shared" si="1"/>
        <v>1568668</v>
      </c>
      <c r="AV15" s="439">
        <f t="shared" si="2"/>
        <v>-25.669999999999987</v>
      </c>
      <c r="AW15" s="9">
        <f t="shared" si="3"/>
        <v>-71569</v>
      </c>
      <c r="AX15" s="9"/>
      <c r="AY15" s="373">
        <f t="shared" si="4"/>
        <v>1497099</v>
      </c>
      <c r="AZ15" s="439">
        <f t="shared" si="30"/>
        <v>0</v>
      </c>
      <c r="BA15" s="9">
        <f t="shared" si="31"/>
        <v>0</v>
      </c>
      <c r="BB15" s="439"/>
      <c r="BC15" s="171">
        <f t="shared" si="32"/>
        <v>1568668</v>
      </c>
      <c r="BD15" s="171">
        <f t="shared" si="33"/>
        <v>-71569</v>
      </c>
      <c r="BE15" s="171">
        <f t="shared" si="34"/>
        <v>0</v>
      </c>
      <c r="BF15" s="438">
        <f t="shared" si="35"/>
        <v>1497099</v>
      </c>
      <c r="BG15" s="389">
        <f t="shared" si="5"/>
        <v>0</v>
      </c>
      <c r="BH15" s="438"/>
      <c r="BI15" s="425">
        <f t="shared" si="6"/>
        <v>16017.399209000001</v>
      </c>
      <c r="BJ15" s="425">
        <f t="shared" si="7"/>
        <v>126.32</v>
      </c>
      <c r="BK15" s="425">
        <f t="shared" si="8"/>
        <v>0</v>
      </c>
      <c r="BL15" s="438"/>
      <c r="BM15" s="425">
        <f t="shared" si="9"/>
        <v>16017.399209000001</v>
      </c>
      <c r="BN15" s="425">
        <f t="shared" si="10"/>
        <v>126.32</v>
      </c>
      <c r="BO15" s="425">
        <f t="shared" si="11"/>
        <v>0</v>
      </c>
      <c r="BP15" s="438"/>
      <c r="BQ15" s="372">
        <f t="shared" si="12"/>
        <v>16355.73</v>
      </c>
      <c r="BR15" s="372">
        <f t="shared" si="13"/>
        <v>100.65</v>
      </c>
      <c r="BS15" s="372">
        <f t="shared" si="14"/>
        <v>0</v>
      </c>
      <c r="BU15" s="439">
        <f t="shared" si="15"/>
        <v>0</v>
      </c>
      <c r="BV15" s="439">
        <f t="shared" si="16"/>
        <v>0</v>
      </c>
      <c r="BW15" s="439">
        <f t="shared" si="17"/>
        <v>0</v>
      </c>
      <c r="BY15" s="439">
        <f t="shared" si="18"/>
        <v>0</v>
      </c>
      <c r="BZ15" s="439">
        <f t="shared" si="19"/>
        <v>0</v>
      </c>
      <c r="CA15" s="439">
        <f t="shared" si="20"/>
        <v>0</v>
      </c>
      <c r="CB15" s="439"/>
      <c r="CC15" s="439">
        <f t="shared" si="21"/>
        <v>0</v>
      </c>
      <c r="CD15" s="439">
        <f t="shared" si="22"/>
        <v>0</v>
      </c>
      <c r="CE15" s="374">
        <f t="shared" si="23"/>
        <v>0</v>
      </c>
      <c r="CF15" s="439"/>
      <c r="CG15" s="439">
        <f t="shared" si="36"/>
        <v>338.33072700000002</v>
      </c>
      <c r="CH15" s="439">
        <f t="shared" si="37"/>
        <v>-25.669999999999987</v>
      </c>
      <c r="CI15" s="439">
        <f t="shared" si="38"/>
        <v>0</v>
      </c>
      <c r="CJ15" s="439"/>
      <c r="CK15" s="439">
        <v>4636.4928620000001</v>
      </c>
      <c r="CL15" s="439">
        <v>2788.0536374600001</v>
      </c>
      <c r="CM15" s="439">
        <v>3282.8110613200001</v>
      </c>
      <c r="CN15" s="439"/>
      <c r="CO15" s="439">
        <f t="shared" si="39"/>
        <v>1568668.0007307709</v>
      </c>
      <c r="CP15" s="439">
        <f t="shared" si="24"/>
        <v>-71569.336873598164</v>
      </c>
      <c r="CQ15" s="439">
        <f t="shared" si="24"/>
        <v>0</v>
      </c>
      <c r="CR15" s="439">
        <f t="shared" si="40"/>
        <v>1497098.6638571727</v>
      </c>
      <c r="CS15" s="439">
        <f>+'[1]13-14 $86M Workload Restore'!AJ13</f>
        <v>1497099</v>
      </c>
      <c r="CT15" s="439">
        <f t="shared" si="41"/>
        <v>-0.33614282729104161</v>
      </c>
      <c r="CV15" s="173">
        <v>0</v>
      </c>
      <c r="CW15" s="439">
        <f t="shared" si="42"/>
        <v>16355.729936000002</v>
      </c>
      <c r="CX15" s="439">
        <f t="shared" si="25"/>
        <v>100.65</v>
      </c>
      <c r="CY15" s="439">
        <f t="shared" si="25"/>
        <v>0</v>
      </c>
      <c r="DA15" s="439">
        <f t="shared" si="26"/>
        <v>6.399999801942613E-5</v>
      </c>
      <c r="DB15" s="439">
        <f t="shared" si="26"/>
        <v>0</v>
      </c>
      <c r="DC15" s="439">
        <f t="shared" si="26"/>
        <v>0</v>
      </c>
      <c r="DE15" s="371">
        <f t="shared" si="27"/>
        <v>0</v>
      </c>
      <c r="DF15" s="371">
        <f t="shared" si="27"/>
        <v>0</v>
      </c>
      <c r="DG15" s="371">
        <f t="shared" si="27"/>
        <v>0</v>
      </c>
      <c r="DH15" s="439"/>
      <c r="DI15" s="371">
        <f t="shared" si="28"/>
        <v>0</v>
      </c>
      <c r="DJ15" s="371">
        <f t="shared" si="28"/>
        <v>0</v>
      </c>
      <c r="DK15" s="371">
        <f t="shared" si="28"/>
        <v>0</v>
      </c>
      <c r="DL15" s="144">
        <f t="shared" si="43"/>
        <v>75833224.971362785</v>
      </c>
      <c r="DM15" s="144">
        <f t="shared" si="44"/>
        <v>280617.598610349</v>
      </c>
      <c r="DN15" s="144">
        <f t="shared" si="45"/>
        <v>0</v>
      </c>
      <c r="DO15" s="144">
        <f>'[1]PBF Run'!F15*(1+'[1]PBF Run'!$C$4)</f>
        <v>7309668.8917000005</v>
      </c>
      <c r="DP15" s="144">
        <f>'[1]PBF Run'!AA15+'[1]PBF Run'!AB15+'[1]PBF Run'!AC15+'[1]PBF Run'!AD15</f>
        <v>0</v>
      </c>
      <c r="DQ15" s="144">
        <f>'[1]PBF Run'!X15</f>
        <v>0</v>
      </c>
      <c r="DR15" s="144">
        <f>'[1]PBF Run'!L15*(1+'[1]PBF Run'!$C$4)</f>
        <v>0</v>
      </c>
      <c r="DS15" s="144">
        <f>'[1]PBF Run'!AE15</f>
        <v>83423512</v>
      </c>
      <c r="DT15" s="326">
        <f t="shared" si="48"/>
        <v>0.53832687437534332</v>
      </c>
      <c r="DU15" s="144"/>
      <c r="DV15" s="144"/>
    </row>
    <row r="16" spans="1:126" ht="13.5" thickBot="1">
      <c r="A16" s="16" t="s">
        <v>387</v>
      </c>
      <c r="B16" s="16" t="s">
        <v>117</v>
      </c>
      <c r="C16" s="425">
        <f>[1]FTES!C16</f>
        <v>11953.8</v>
      </c>
      <c r="D16" s="425">
        <f>[1]FTES!D16</f>
        <v>11953.8</v>
      </c>
      <c r="E16" s="425">
        <f>[1]FTES!E16</f>
        <v>13982.47</v>
      </c>
      <c r="F16" s="425">
        <f>[1]FTES!H16</f>
        <v>1124.771927</v>
      </c>
      <c r="G16" s="425">
        <f>[1]FTES!I16</f>
        <v>0</v>
      </c>
      <c r="H16" s="425">
        <f>[1]FTES!J16</f>
        <v>13078.571927000001</v>
      </c>
      <c r="I16" s="425">
        <f>[1]FTES!K16</f>
        <v>0</v>
      </c>
      <c r="J16" s="425">
        <f>[1]FTES!L16</f>
        <v>903.89807299999995</v>
      </c>
      <c r="K16" s="425">
        <f>[1]FTES!M16</f>
        <v>0</v>
      </c>
      <c r="L16" s="425">
        <f>[1]FTES!N16</f>
        <v>313.42</v>
      </c>
      <c r="M16" s="425">
        <f>[1]FTES!O16</f>
        <v>313.42</v>
      </c>
      <c r="N16" s="425">
        <f>[1]FTES!P16</f>
        <v>336.87</v>
      </c>
      <c r="O16" s="425">
        <f>[1]FTES!S16</f>
        <v>0</v>
      </c>
      <c r="P16" s="425">
        <f>[1]FTES!T16</f>
        <v>0</v>
      </c>
      <c r="Q16" s="425">
        <f>[1]FTES!U16</f>
        <v>313.42</v>
      </c>
      <c r="R16" s="425">
        <f>[1]FTES!V16</f>
        <v>0</v>
      </c>
      <c r="S16" s="425">
        <f>[1]FTES!W16</f>
        <v>23.45</v>
      </c>
      <c r="T16" s="425">
        <f>[1]FTES!X16</f>
        <v>0</v>
      </c>
      <c r="U16" s="425">
        <f>[1]FTES!Y16</f>
        <v>0</v>
      </c>
      <c r="V16" s="425">
        <f>[1]FTES!Z16</f>
        <v>0</v>
      </c>
      <c r="W16" s="425">
        <f>[1]FTES!AA16</f>
        <v>0</v>
      </c>
      <c r="X16" s="425">
        <f>[1]FTES!AD16</f>
        <v>0</v>
      </c>
      <c r="Y16" s="425">
        <f>[1]FTES!AE16</f>
        <v>0</v>
      </c>
      <c r="Z16" s="425">
        <f>[1]FTES!AF16</f>
        <v>0</v>
      </c>
      <c r="AA16" s="425">
        <f>[1]FTES!AG16</f>
        <v>0</v>
      </c>
      <c r="AB16" s="425">
        <f>[1]FTES!AH16</f>
        <v>0</v>
      </c>
      <c r="AC16" s="425">
        <f>[1]FTES!AI16</f>
        <v>0</v>
      </c>
      <c r="AD16" s="425"/>
      <c r="AE16" s="376">
        <f>'[1]13-14 $86M Workload Restore'!AJ14</f>
        <v>2855980</v>
      </c>
      <c r="AF16" s="375"/>
      <c r="AG16" s="122" t="str">
        <f>'[1]Restoration and Growth'!N16</f>
        <v>Rest&amp;Grow</v>
      </c>
      <c r="AH16" s="122" t="str">
        <f>'[1]Restoration and Growth'!O16</f>
        <v>Grow</v>
      </c>
      <c r="AI16" s="122" t="str">
        <f>'[1]Restoration and Growth'!P16</f>
        <v>Grow</v>
      </c>
      <c r="AJ16" s="122" t="str">
        <f>'[1]Restoration and Growth'!Q16</f>
        <v>No CPCP</v>
      </c>
      <c r="AK16" s="139"/>
      <c r="AL16" s="139">
        <f>ROUND(J16*'[1]PBF Run'!$AS$4,3)</f>
        <v>4190916.9559999998</v>
      </c>
      <c r="AM16" s="139">
        <f>ROUND(S16*'[1]PBF Run'!$AF$4,3)</f>
        <v>65379.858</v>
      </c>
      <c r="AN16" s="139">
        <f>ROUND(AB16*'[1]PBF Run'!$AJ$4,3)</f>
        <v>0</v>
      </c>
      <c r="AO16" s="139">
        <f t="shared" si="29"/>
        <v>4256296.8139999993</v>
      </c>
      <c r="AP16" s="139" t="str">
        <f t="shared" si="46"/>
        <v>Y</v>
      </c>
      <c r="AQ16" s="139"/>
      <c r="AR16" s="374">
        <f t="shared" si="47"/>
        <v>601.877343</v>
      </c>
      <c r="AS16" s="9">
        <f t="shared" si="0"/>
        <v>2790600</v>
      </c>
      <c r="AT16" s="9"/>
      <c r="AU16" s="373">
        <f t="shared" si="1"/>
        <v>2790600</v>
      </c>
      <c r="AV16" s="439">
        <f t="shared" si="2"/>
        <v>23.45</v>
      </c>
      <c r="AW16" s="9">
        <f t="shared" si="3"/>
        <v>65380</v>
      </c>
      <c r="AX16" s="9"/>
      <c r="AY16" s="373">
        <f t="shared" si="4"/>
        <v>2855980</v>
      </c>
      <c r="AZ16" s="439">
        <f t="shared" si="30"/>
        <v>0</v>
      </c>
      <c r="BA16" s="9">
        <f t="shared" si="31"/>
        <v>0</v>
      </c>
      <c r="BB16" s="439"/>
      <c r="BC16" s="171">
        <f t="shared" si="32"/>
        <v>2790600</v>
      </c>
      <c r="BD16" s="171">
        <f t="shared" si="33"/>
        <v>65380</v>
      </c>
      <c r="BE16" s="171">
        <f t="shared" si="34"/>
        <v>0</v>
      </c>
      <c r="BF16" s="438">
        <f t="shared" si="35"/>
        <v>2855980</v>
      </c>
      <c r="BG16" s="389">
        <f t="shared" si="5"/>
        <v>0</v>
      </c>
      <c r="BH16" s="438"/>
      <c r="BI16" s="425">
        <f t="shared" si="6"/>
        <v>11953.8</v>
      </c>
      <c r="BJ16" s="425">
        <f t="shared" si="7"/>
        <v>313.42</v>
      </c>
      <c r="BK16" s="425">
        <f t="shared" si="8"/>
        <v>0</v>
      </c>
      <c r="BL16" s="438"/>
      <c r="BM16" s="425">
        <f t="shared" si="9"/>
        <v>11953.8</v>
      </c>
      <c r="BN16" s="425">
        <f t="shared" si="10"/>
        <v>313.42</v>
      </c>
      <c r="BO16" s="425">
        <f t="shared" si="11"/>
        <v>0</v>
      </c>
      <c r="BP16" s="438"/>
      <c r="BQ16" s="372">
        <f t="shared" si="12"/>
        <v>13982.47</v>
      </c>
      <c r="BR16" s="372">
        <f t="shared" si="13"/>
        <v>336.87</v>
      </c>
      <c r="BS16" s="372">
        <f t="shared" si="14"/>
        <v>0</v>
      </c>
      <c r="BU16" s="439">
        <f t="shared" si="15"/>
        <v>1124.771927</v>
      </c>
      <c r="BV16" s="439">
        <f t="shared" si="16"/>
        <v>0</v>
      </c>
      <c r="BW16" s="439">
        <f t="shared" si="17"/>
        <v>0</v>
      </c>
      <c r="BY16" s="439">
        <f t="shared" si="18"/>
        <v>0</v>
      </c>
      <c r="BZ16" s="439">
        <f t="shared" si="19"/>
        <v>0</v>
      </c>
      <c r="CA16" s="439">
        <f t="shared" si="20"/>
        <v>0</v>
      </c>
      <c r="CB16" s="439"/>
      <c r="CC16" s="439">
        <f t="shared" si="21"/>
        <v>0</v>
      </c>
      <c r="CD16" s="439">
        <f t="shared" si="22"/>
        <v>0</v>
      </c>
      <c r="CE16" s="374">
        <f t="shared" si="23"/>
        <v>0</v>
      </c>
      <c r="CF16" s="439"/>
      <c r="CG16" s="439">
        <f t="shared" si="36"/>
        <v>601.877343</v>
      </c>
      <c r="CH16" s="439">
        <f t="shared" si="37"/>
        <v>23.45</v>
      </c>
      <c r="CI16" s="439">
        <f t="shared" si="38"/>
        <v>0</v>
      </c>
      <c r="CJ16" s="439"/>
      <c r="CK16" s="439">
        <v>4636.4928920000002</v>
      </c>
      <c r="CL16" s="439">
        <v>2788.0536374600001</v>
      </c>
      <c r="CM16" s="439">
        <v>3282.8110613200001</v>
      </c>
      <c r="CN16" s="439"/>
      <c r="CO16" s="439">
        <f t="shared" si="39"/>
        <v>2790600.0226753461</v>
      </c>
      <c r="CP16" s="439">
        <f t="shared" si="24"/>
        <v>65379.857798436999</v>
      </c>
      <c r="CQ16" s="439">
        <f t="shared" si="24"/>
        <v>0</v>
      </c>
      <c r="CR16" s="439">
        <f t="shared" si="40"/>
        <v>2855979.8804737832</v>
      </c>
      <c r="CS16" s="439">
        <f>+'[1]13-14 $86M Workload Restore'!AJ14</f>
        <v>2855980</v>
      </c>
      <c r="CT16" s="439">
        <f t="shared" si="41"/>
        <v>-0.11952621676027775</v>
      </c>
      <c r="CV16" s="173">
        <v>0</v>
      </c>
      <c r="CW16" s="439">
        <f t="shared" si="42"/>
        <v>13680.449269999999</v>
      </c>
      <c r="CX16" s="439">
        <f t="shared" si="25"/>
        <v>336.87</v>
      </c>
      <c r="CY16" s="439">
        <f t="shared" si="25"/>
        <v>0</v>
      </c>
      <c r="DA16" s="439">
        <f t="shared" si="26"/>
        <v>302.02073000000019</v>
      </c>
      <c r="DB16" s="439">
        <f t="shared" si="26"/>
        <v>0</v>
      </c>
      <c r="DC16" s="439">
        <f t="shared" si="26"/>
        <v>0</v>
      </c>
      <c r="DE16" s="371">
        <f t="shared" si="27"/>
        <v>0</v>
      </c>
      <c r="DF16" s="371">
        <f t="shared" si="27"/>
        <v>0</v>
      </c>
      <c r="DG16" s="371">
        <f t="shared" si="27"/>
        <v>0</v>
      </c>
      <c r="DH16" s="439"/>
      <c r="DI16" s="371">
        <f t="shared" si="28"/>
        <v>0</v>
      </c>
      <c r="DJ16" s="371">
        <f t="shared" si="28"/>
        <v>0</v>
      </c>
      <c r="DK16" s="371">
        <f t="shared" si="28"/>
        <v>0</v>
      </c>
      <c r="DL16" s="144">
        <f t="shared" si="43"/>
        <v>63429305.28082215</v>
      </c>
      <c r="DM16" s="144">
        <f t="shared" si="44"/>
        <v>939211.62885115028</v>
      </c>
      <c r="DN16" s="144">
        <f t="shared" si="45"/>
        <v>0</v>
      </c>
      <c r="DO16" s="144">
        <f>'[1]PBF Run'!F16*(1+'[1]PBF Run'!$C$4)</f>
        <v>6747387.5287000006</v>
      </c>
      <c r="DP16" s="144">
        <f>'[1]PBF Run'!AA16+'[1]PBF Run'!AB16+'[1]PBF Run'!AC16+'[1]PBF Run'!AD16</f>
        <v>0</v>
      </c>
      <c r="DQ16" s="144">
        <f>'[1]PBF Run'!X16</f>
        <v>0</v>
      </c>
      <c r="DR16" s="144">
        <f>'[1]PBF Run'!L16*(1+'[1]PBF Run'!$C$4)</f>
        <v>0</v>
      </c>
      <c r="DS16" s="144">
        <f>'[1]PBF Run'!AE16</f>
        <v>71115905</v>
      </c>
      <c r="DT16" s="326">
        <f t="shared" si="48"/>
        <v>0.56162669509649277</v>
      </c>
      <c r="DU16" s="144"/>
      <c r="DV16" s="144"/>
    </row>
    <row r="17" spans="1:126" ht="13.5" thickBot="1">
      <c r="A17" s="16" t="s">
        <v>385</v>
      </c>
      <c r="B17" s="16" t="s">
        <v>118</v>
      </c>
      <c r="C17" s="425">
        <f>[1]FTES!C17</f>
        <v>10306.459893000001</v>
      </c>
      <c r="D17" s="425">
        <f>[1]FTES!D17</f>
        <v>10306.459893000001</v>
      </c>
      <c r="E17" s="425">
        <f>[1]FTES!E17</f>
        <v>11053.1</v>
      </c>
      <c r="F17" s="425">
        <f>[1]FTES!H17</f>
        <v>0</v>
      </c>
      <c r="G17" s="425">
        <f>[1]FTES!I17</f>
        <v>0</v>
      </c>
      <c r="H17" s="425">
        <f>[1]FTES!J17</f>
        <v>10306.459892999999</v>
      </c>
      <c r="I17" s="425">
        <f>[1]FTES!K17</f>
        <v>0</v>
      </c>
      <c r="J17" s="425">
        <f>[1]FTES!L17</f>
        <v>746.64010699999994</v>
      </c>
      <c r="K17" s="425">
        <f>[1]FTES!M17</f>
        <v>0</v>
      </c>
      <c r="L17" s="425">
        <f>[1]FTES!N17</f>
        <v>368.73</v>
      </c>
      <c r="M17" s="425">
        <f>[1]FTES!O17</f>
        <v>368.73</v>
      </c>
      <c r="N17" s="425">
        <f>[1]FTES!P17</f>
        <v>260.43</v>
      </c>
      <c r="O17" s="425">
        <f>[1]FTES!S17</f>
        <v>0</v>
      </c>
      <c r="P17" s="425">
        <f>[1]FTES!T17</f>
        <v>0</v>
      </c>
      <c r="Q17" s="425">
        <f>[1]FTES!U17</f>
        <v>260.43</v>
      </c>
      <c r="R17" s="425">
        <f>[1]FTES!V17</f>
        <v>0</v>
      </c>
      <c r="S17" s="425">
        <f>[1]FTES!W17</f>
        <v>0</v>
      </c>
      <c r="T17" s="425">
        <f>[1]FTES!X17</f>
        <v>0</v>
      </c>
      <c r="U17" s="425">
        <f>[1]FTES!Y17</f>
        <v>0</v>
      </c>
      <c r="V17" s="425">
        <f>[1]FTES!Z17</f>
        <v>0</v>
      </c>
      <c r="W17" s="425">
        <f>[1]FTES!AA17</f>
        <v>0</v>
      </c>
      <c r="X17" s="425">
        <f>[1]FTES!AD17</f>
        <v>0</v>
      </c>
      <c r="Y17" s="425">
        <f>[1]FTES!AE17</f>
        <v>0</v>
      </c>
      <c r="Z17" s="425">
        <f>[1]FTES!AF17</f>
        <v>0</v>
      </c>
      <c r="AA17" s="425">
        <f>[1]FTES!AG17</f>
        <v>0</v>
      </c>
      <c r="AB17" s="425">
        <f>[1]FTES!AH17</f>
        <v>0</v>
      </c>
      <c r="AC17" s="425">
        <f>[1]FTES!AI17</f>
        <v>0</v>
      </c>
      <c r="AD17" s="425"/>
      <c r="AE17" s="376">
        <f>'[1]13-14 $86M Workload Restore'!AJ15</f>
        <v>1332871</v>
      </c>
      <c r="AF17" s="375"/>
      <c r="AG17" s="122" t="str">
        <f>'[1]Restoration and Growth'!N17</f>
        <v>Growth</v>
      </c>
      <c r="AH17" s="122" t="str">
        <f>'[1]Restoration and Growth'!O17</f>
        <v>Grow</v>
      </c>
      <c r="AI17" s="122" t="str">
        <f>'[1]Restoration and Growth'!P17</f>
        <v>Decline</v>
      </c>
      <c r="AJ17" s="122" t="str">
        <f>'[1]Restoration and Growth'!Q17</f>
        <v>No CPCP</v>
      </c>
      <c r="AK17" s="139"/>
      <c r="AL17" s="139">
        <f>ROUND(J17*'[1]PBF Run'!$AS$4,3)</f>
        <v>3461791.5210000002</v>
      </c>
      <c r="AM17" s="139">
        <f>ROUND(S17*'[1]PBF Run'!$AF$4,3)</f>
        <v>0</v>
      </c>
      <c r="AN17" s="139">
        <f>ROUND(AB17*'[1]PBF Run'!$AJ$4,3)</f>
        <v>0</v>
      </c>
      <c r="AO17" s="139">
        <f t="shared" si="29"/>
        <v>3461791.5210000002</v>
      </c>
      <c r="AP17" s="139" t="str">
        <f t="shared" si="46"/>
        <v>Y</v>
      </c>
      <c r="AQ17" s="139"/>
      <c r="AR17" s="374">
        <f t="shared" si="47"/>
        <v>352.59776099999999</v>
      </c>
      <c r="AS17" s="9">
        <f t="shared" si="0"/>
        <v>1634817</v>
      </c>
      <c r="AT17" s="9"/>
      <c r="AU17" s="373">
        <f t="shared" si="1"/>
        <v>1634817</v>
      </c>
      <c r="AV17" s="439">
        <f t="shared" si="2"/>
        <v>-108.30000000000001</v>
      </c>
      <c r="AW17" s="9">
        <f t="shared" si="3"/>
        <v>-301946</v>
      </c>
      <c r="AX17" s="9"/>
      <c r="AY17" s="373">
        <f t="shared" si="4"/>
        <v>1332871</v>
      </c>
      <c r="AZ17" s="439">
        <f t="shared" si="30"/>
        <v>0</v>
      </c>
      <c r="BA17" s="9">
        <f t="shared" si="31"/>
        <v>0</v>
      </c>
      <c r="BB17" s="439"/>
      <c r="BC17" s="171">
        <f t="shared" si="32"/>
        <v>1634817</v>
      </c>
      <c r="BD17" s="171">
        <f t="shared" si="33"/>
        <v>-301946</v>
      </c>
      <c r="BE17" s="171">
        <f t="shared" si="34"/>
        <v>0</v>
      </c>
      <c r="BF17" s="438">
        <f t="shared" si="35"/>
        <v>1332871</v>
      </c>
      <c r="BG17" s="389">
        <f t="shared" si="5"/>
        <v>0</v>
      </c>
      <c r="BH17" s="438"/>
      <c r="BI17" s="425">
        <f t="shared" si="6"/>
        <v>10306.459893000001</v>
      </c>
      <c r="BJ17" s="425">
        <f t="shared" si="7"/>
        <v>368.73</v>
      </c>
      <c r="BK17" s="425">
        <f t="shared" si="8"/>
        <v>0</v>
      </c>
      <c r="BL17" s="438"/>
      <c r="BM17" s="425">
        <f t="shared" si="9"/>
        <v>10306.459893000001</v>
      </c>
      <c r="BN17" s="425">
        <f t="shared" si="10"/>
        <v>368.73</v>
      </c>
      <c r="BO17" s="425">
        <f t="shared" si="11"/>
        <v>0</v>
      </c>
      <c r="BP17" s="438"/>
      <c r="BQ17" s="372">
        <f t="shared" si="12"/>
        <v>11053.1</v>
      </c>
      <c r="BR17" s="372">
        <f t="shared" si="13"/>
        <v>260.43</v>
      </c>
      <c r="BS17" s="372">
        <f t="shared" si="14"/>
        <v>0</v>
      </c>
      <c r="BU17" s="439">
        <f t="shared" si="15"/>
        <v>0</v>
      </c>
      <c r="BV17" s="439">
        <f t="shared" si="16"/>
        <v>0</v>
      </c>
      <c r="BW17" s="439">
        <f t="shared" si="17"/>
        <v>0</v>
      </c>
      <c r="BY17" s="439">
        <f t="shared" si="18"/>
        <v>0</v>
      </c>
      <c r="BZ17" s="439">
        <f t="shared" si="19"/>
        <v>0</v>
      </c>
      <c r="CA17" s="439">
        <f t="shared" si="20"/>
        <v>0</v>
      </c>
      <c r="CB17" s="439"/>
      <c r="CC17" s="439">
        <f t="shared" si="21"/>
        <v>0</v>
      </c>
      <c r="CD17" s="439">
        <f t="shared" si="22"/>
        <v>0</v>
      </c>
      <c r="CE17" s="374">
        <f t="shared" si="23"/>
        <v>0</v>
      </c>
      <c r="CF17" s="439"/>
      <c r="CG17" s="439">
        <f t="shared" si="36"/>
        <v>352.59776099999999</v>
      </c>
      <c r="CH17" s="439">
        <f t="shared" si="37"/>
        <v>-108.30000000000001</v>
      </c>
      <c r="CI17" s="439">
        <f t="shared" si="38"/>
        <v>0</v>
      </c>
      <c r="CJ17" s="439"/>
      <c r="CK17" s="439">
        <v>4636.4928730000001</v>
      </c>
      <c r="CL17" s="439">
        <v>2788.0536374600001</v>
      </c>
      <c r="CM17" s="439">
        <v>3282.8110613200001</v>
      </c>
      <c r="CN17" s="439"/>
      <c r="CO17" s="439">
        <f t="shared" si="39"/>
        <v>1634817.0059122574</v>
      </c>
      <c r="CP17" s="439">
        <f t="shared" si="24"/>
        <v>-301946.20893691806</v>
      </c>
      <c r="CQ17" s="439">
        <f t="shared" si="24"/>
        <v>0</v>
      </c>
      <c r="CR17" s="439">
        <f t="shared" si="40"/>
        <v>1332870.7969753393</v>
      </c>
      <c r="CS17" s="439">
        <f>+'[1]13-14 $86M Workload Restore'!AJ15</f>
        <v>1332871</v>
      </c>
      <c r="CT17" s="439">
        <f t="shared" si="41"/>
        <v>-0.20302466070279479</v>
      </c>
      <c r="CV17" s="173">
        <v>0</v>
      </c>
      <c r="CW17" s="439">
        <f t="shared" si="42"/>
        <v>10659.057654</v>
      </c>
      <c r="CX17" s="439">
        <f t="shared" si="25"/>
        <v>260.43</v>
      </c>
      <c r="CY17" s="439">
        <f t="shared" si="25"/>
        <v>0</v>
      </c>
      <c r="DA17" s="439">
        <f t="shared" si="26"/>
        <v>394.04234600000018</v>
      </c>
      <c r="DB17" s="439">
        <f t="shared" si="26"/>
        <v>0</v>
      </c>
      <c r="DC17" s="439">
        <f t="shared" si="26"/>
        <v>0</v>
      </c>
      <c r="DE17" s="371">
        <f t="shared" si="27"/>
        <v>0</v>
      </c>
      <c r="DF17" s="371">
        <f t="shared" si="27"/>
        <v>0</v>
      </c>
      <c r="DG17" s="371">
        <f t="shared" si="27"/>
        <v>0</v>
      </c>
      <c r="DH17" s="439"/>
      <c r="DI17" s="371">
        <f t="shared" si="28"/>
        <v>0</v>
      </c>
      <c r="DJ17" s="371">
        <f t="shared" si="28"/>
        <v>0</v>
      </c>
      <c r="DK17" s="371">
        <f t="shared" si="28"/>
        <v>0</v>
      </c>
      <c r="DL17" s="144">
        <f t="shared" si="43"/>
        <v>49420644.643891141</v>
      </c>
      <c r="DM17" s="144">
        <f t="shared" si="44"/>
        <v>726092.80880370783</v>
      </c>
      <c r="DN17" s="144">
        <f t="shared" si="45"/>
        <v>0</v>
      </c>
      <c r="DO17" s="144">
        <f>'[1]PBF Run'!F17*(1+'[1]PBF Run'!$C$4)</f>
        <v>4498258.0139000006</v>
      </c>
      <c r="DP17" s="144">
        <f>'[1]PBF Run'!AA17+'[1]PBF Run'!AB17+'[1]PBF Run'!AC17+'[1]PBF Run'!AD17</f>
        <v>0</v>
      </c>
      <c r="DQ17" s="144">
        <f>'[1]PBF Run'!X17</f>
        <v>0</v>
      </c>
      <c r="DR17" s="144">
        <f>'[1]PBF Run'!L17*(1+'[1]PBF Run'!$C$4)</f>
        <v>0</v>
      </c>
      <c r="DS17" s="144">
        <f>'[1]PBF Run'!AE17</f>
        <v>54644996</v>
      </c>
      <c r="DT17" s="326">
        <f t="shared" si="48"/>
        <v>0.53340515494346619</v>
      </c>
      <c r="DU17" s="144"/>
      <c r="DV17" s="144"/>
    </row>
    <row r="18" spans="1:126" ht="13.5" thickBot="1">
      <c r="A18" s="16" t="s">
        <v>383</v>
      </c>
      <c r="B18" s="16" t="s">
        <v>119</v>
      </c>
      <c r="C18" s="425">
        <f>[1]FTES!C18</f>
        <v>29855.079999999998</v>
      </c>
      <c r="D18" s="425">
        <f>[1]FTES!D18</f>
        <v>29855.079999999998</v>
      </c>
      <c r="E18" s="425">
        <f>[1]FTES!E18</f>
        <v>32372.95</v>
      </c>
      <c r="F18" s="425">
        <f>[1]FTES!H18</f>
        <v>2315.953532</v>
      </c>
      <c r="G18" s="425">
        <f>[1]FTES!I18</f>
        <v>0</v>
      </c>
      <c r="H18" s="425">
        <f>[1]FTES!J18</f>
        <v>32171.033532000001</v>
      </c>
      <c r="I18" s="425">
        <f>[1]FTES!K18</f>
        <v>0</v>
      </c>
      <c r="J18" s="425">
        <f>[1]FTES!L18</f>
        <v>201.91646800000001</v>
      </c>
      <c r="K18" s="425">
        <f>[1]FTES!M18</f>
        <v>0</v>
      </c>
      <c r="L18" s="425">
        <f>[1]FTES!N18</f>
        <v>247.83</v>
      </c>
      <c r="M18" s="425">
        <f>[1]FTES!O18</f>
        <v>247.83</v>
      </c>
      <c r="N18" s="425">
        <f>[1]FTES!P18</f>
        <v>249.49</v>
      </c>
      <c r="O18" s="425">
        <f>[1]FTES!S18</f>
        <v>0</v>
      </c>
      <c r="P18" s="425">
        <f>[1]FTES!T18</f>
        <v>0</v>
      </c>
      <c r="Q18" s="425">
        <f>[1]FTES!U18</f>
        <v>247.83</v>
      </c>
      <c r="R18" s="425">
        <f>[1]FTES!V18</f>
        <v>0</v>
      </c>
      <c r="S18" s="425">
        <f>[1]FTES!W18</f>
        <v>1.66</v>
      </c>
      <c r="T18" s="425">
        <f>[1]FTES!X18</f>
        <v>0</v>
      </c>
      <c r="U18" s="425">
        <f>[1]FTES!Y18</f>
        <v>0</v>
      </c>
      <c r="V18" s="425">
        <f>[1]FTES!Z18</f>
        <v>0</v>
      </c>
      <c r="W18" s="425">
        <f>[1]FTES!AA18</f>
        <v>0</v>
      </c>
      <c r="X18" s="425">
        <f>[1]FTES!AD18</f>
        <v>0</v>
      </c>
      <c r="Y18" s="425">
        <f>[1]FTES!AE18</f>
        <v>0</v>
      </c>
      <c r="Z18" s="425">
        <f>[1]FTES!AF18</f>
        <v>0</v>
      </c>
      <c r="AA18" s="425">
        <f>[1]FTES!AG18</f>
        <v>0</v>
      </c>
      <c r="AB18" s="425">
        <f>[1]FTES!AH18</f>
        <v>0</v>
      </c>
      <c r="AC18" s="425">
        <f>[1]FTES!AI18</f>
        <v>0</v>
      </c>
      <c r="AD18" s="425"/>
      <c r="AE18" s="376">
        <f>'[1]13-14 $86M Workload Restore'!AJ16</f>
        <v>940812</v>
      </c>
      <c r="AF18" s="375"/>
      <c r="AG18" s="122" t="str">
        <f>'[1]Restoration and Growth'!N18</f>
        <v>Rest&amp;Grow</v>
      </c>
      <c r="AH18" s="122" t="str">
        <f>'[1]Restoration and Growth'!O18</f>
        <v>Grow</v>
      </c>
      <c r="AI18" s="122" t="str">
        <f>'[1]Restoration and Growth'!P18</f>
        <v>Grow</v>
      </c>
      <c r="AJ18" s="122" t="str">
        <f>'[1]Restoration and Growth'!Q18</f>
        <v>No CPCP</v>
      </c>
      <c r="AK18" s="139"/>
      <c r="AL18" s="139">
        <f>ROUND(J18*'[1]PBF Run'!$AS$4,3)</f>
        <v>936184.26100000006</v>
      </c>
      <c r="AM18" s="139">
        <f>ROUND(S18*'[1]PBF Run'!$AF$4,3)</f>
        <v>4628.1689999999999</v>
      </c>
      <c r="AN18" s="139">
        <f>ROUND(AB18*'[1]PBF Run'!$AJ$4,3)</f>
        <v>0</v>
      </c>
      <c r="AO18" s="139">
        <f t="shared" si="29"/>
        <v>940812.43</v>
      </c>
      <c r="AP18" s="139" t="str">
        <f t="shared" si="46"/>
        <v>Y</v>
      </c>
      <c r="AQ18" s="139"/>
      <c r="AR18" s="374">
        <f t="shared" si="47"/>
        <v>201.91641200000001</v>
      </c>
      <c r="AS18" s="9">
        <f t="shared" si="0"/>
        <v>936184</v>
      </c>
      <c r="AT18" s="9"/>
      <c r="AU18" s="373">
        <f t="shared" si="1"/>
        <v>936184</v>
      </c>
      <c r="AV18" s="439">
        <f t="shared" si="2"/>
        <v>1.66</v>
      </c>
      <c r="AW18" s="9">
        <f t="shared" si="3"/>
        <v>4628</v>
      </c>
      <c r="AX18" s="9"/>
      <c r="AY18" s="373">
        <f t="shared" si="4"/>
        <v>940812</v>
      </c>
      <c r="AZ18" s="439">
        <f t="shared" si="30"/>
        <v>0</v>
      </c>
      <c r="BA18" s="9">
        <f t="shared" si="31"/>
        <v>0</v>
      </c>
      <c r="BB18" s="439"/>
      <c r="BC18" s="171">
        <f t="shared" si="32"/>
        <v>936184</v>
      </c>
      <c r="BD18" s="171">
        <f t="shared" si="33"/>
        <v>4628</v>
      </c>
      <c r="BE18" s="171">
        <f t="shared" si="34"/>
        <v>0</v>
      </c>
      <c r="BF18" s="438">
        <f t="shared" si="35"/>
        <v>940812</v>
      </c>
      <c r="BG18" s="389">
        <f t="shared" si="5"/>
        <v>0</v>
      </c>
      <c r="BH18" s="438"/>
      <c r="BI18" s="425">
        <f t="shared" si="6"/>
        <v>29855.079999999998</v>
      </c>
      <c r="BJ18" s="425">
        <f t="shared" si="7"/>
        <v>247.83</v>
      </c>
      <c r="BK18" s="425">
        <f t="shared" si="8"/>
        <v>0</v>
      </c>
      <c r="BL18" s="438"/>
      <c r="BM18" s="425">
        <f t="shared" si="9"/>
        <v>29855.079999999998</v>
      </c>
      <c r="BN18" s="425">
        <f t="shared" si="10"/>
        <v>247.83</v>
      </c>
      <c r="BO18" s="425">
        <f t="shared" si="11"/>
        <v>0</v>
      </c>
      <c r="BP18" s="438"/>
      <c r="BQ18" s="372">
        <f t="shared" si="12"/>
        <v>32372.95</v>
      </c>
      <c r="BR18" s="372">
        <f t="shared" si="13"/>
        <v>249.49</v>
      </c>
      <c r="BS18" s="372">
        <f t="shared" si="14"/>
        <v>0</v>
      </c>
      <c r="BU18" s="439">
        <f t="shared" si="15"/>
        <v>2315.953532</v>
      </c>
      <c r="BV18" s="439">
        <f t="shared" si="16"/>
        <v>0</v>
      </c>
      <c r="BW18" s="439">
        <f t="shared" si="17"/>
        <v>0</v>
      </c>
      <c r="BY18" s="439">
        <f t="shared" si="18"/>
        <v>0</v>
      </c>
      <c r="BZ18" s="439">
        <f t="shared" si="19"/>
        <v>0</v>
      </c>
      <c r="CA18" s="439">
        <f t="shared" si="20"/>
        <v>0</v>
      </c>
      <c r="CB18" s="439"/>
      <c r="CC18" s="439">
        <f t="shared" si="21"/>
        <v>0</v>
      </c>
      <c r="CD18" s="439">
        <f t="shared" si="22"/>
        <v>0</v>
      </c>
      <c r="CE18" s="374">
        <f t="shared" si="23"/>
        <v>0</v>
      </c>
      <c r="CF18" s="439"/>
      <c r="CG18" s="439">
        <f t="shared" si="36"/>
        <v>201.91641200000001</v>
      </c>
      <c r="CH18" s="439">
        <f t="shared" si="37"/>
        <v>1.66</v>
      </c>
      <c r="CI18" s="439">
        <f t="shared" si="38"/>
        <v>0</v>
      </c>
      <c r="CJ18" s="439"/>
      <c r="CK18" s="439">
        <v>4636.4928689999997</v>
      </c>
      <c r="CL18" s="439">
        <v>2788.0536374600001</v>
      </c>
      <c r="CM18" s="439">
        <v>3282.8110613200001</v>
      </c>
      <c r="CN18" s="439"/>
      <c r="CO18" s="439">
        <f t="shared" si="39"/>
        <v>936184.004372066</v>
      </c>
      <c r="CP18" s="439">
        <f t="shared" si="24"/>
        <v>4628.1690381835997</v>
      </c>
      <c r="CQ18" s="439">
        <f t="shared" si="24"/>
        <v>0</v>
      </c>
      <c r="CR18" s="439">
        <f t="shared" si="40"/>
        <v>940812.17341024964</v>
      </c>
      <c r="CS18" s="439">
        <f>+'[1]13-14 $86M Workload Restore'!AJ16</f>
        <v>940812</v>
      </c>
      <c r="CT18" s="439">
        <f t="shared" si="41"/>
        <v>0.17341024964116514</v>
      </c>
      <c r="CV18" s="173">
        <v>0</v>
      </c>
      <c r="CW18" s="439">
        <f t="shared" si="42"/>
        <v>32372.949943999996</v>
      </c>
      <c r="CX18" s="439">
        <f t="shared" si="25"/>
        <v>249.49</v>
      </c>
      <c r="CY18" s="439">
        <f t="shared" si="25"/>
        <v>0</v>
      </c>
      <c r="DA18" s="439">
        <f t="shared" si="26"/>
        <v>5.6000004406087101E-5</v>
      </c>
      <c r="DB18" s="439">
        <f t="shared" si="26"/>
        <v>0</v>
      </c>
      <c r="DC18" s="439">
        <f t="shared" si="26"/>
        <v>0</v>
      </c>
      <c r="DE18" s="371">
        <f t="shared" si="27"/>
        <v>0</v>
      </c>
      <c r="DF18" s="371">
        <f t="shared" si="27"/>
        <v>0</v>
      </c>
      <c r="DG18" s="371">
        <f t="shared" si="27"/>
        <v>0</v>
      </c>
      <c r="DH18" s="439"/>
      <c r="DI18" s="371">
        <f t="shared" si="28"/>
        <v>0</v>
      </c>
      <c r="DJ18" s="371">
        <f t="shared" si="28"/>
        <v>0</v>
      </c>
      <c r="DK18" s="371">
        <f t="shared" si="28"/>
        <v>0</v>
      </c>
      <c r="DL18" s="144">
        <f t="shared" si="43"/>
        <v>150096951.08052179</v>
      </c>
      <c r="DM18" s="144">
        <f t="shared" si="44"/>
        <v>695591.5020098954</v>
      </c>
      <c r="DN18" s="144">
        <f t="shared" si="45"/>
        <v>0</v>
      </c>
      <c r="DO18" s="144">
        <f>'[1]PBF Run'!F18*(1+'[1]PBF Run'!$C$4)</f>
        <v>11245644.526900001</v>
      </c>
      <c r="DP18" s="144">
        <f>'[1]PBF Run'!AA18+'[1]PBF Run'!AB18+'[1]PBF Run'!AC18+'[1]PBF Run'!AD18</f>
        <v>0</v>
      </c>
      <c r="DQ18" s="144">
        <f>'[1]PBF Run'!X18</f>
        <v>0</v>
      </c>
      <c r="DR18" s="144">
        <f>'[1]PBF Run'!L18*(1+'[1]PBF Run'!$C$4)</f>
        <v>0</v>
      </c>
      <c r="DS18" s="144">
        <f>'[1]PBF Run'!AE18</f>
        <v>162038188</v>
      </c>
      <c r="DT18" s="326">
        <f t="shared" si="48"/>
        <v>0.8905683159828186</v>
      </c>
      <c r="DU18" s="144"/>
      <c r="DV18" s="144"/>
    </row>
    <row r="19" spans="1:126" ht="13.5" thickBot="1">
      <c r="A19" s="16" t="s">
        <v>381</v>
      </c>
      <c r="B19" s="16" t="s">
        <v>120</v>
      </c>
      <c r="C19" s="425">
        <f>[1]FTES!C19</f>
        <v>5982.3999360000007</v>
      </c>
      <c r="D19" s="425">
        <f>[1]FTES!D19</f>
        <v>5982.3999360000007</v>
      </c>
      <c r="E19" s="425">
        <f>[1]FTES!E19</f>
        <v>6037.2</v>
      </c>
      <c r="F19" s="425">
        <f>[1]FTES!H19</f>
        <v>0</v>
      </c>
      <c r="G19" s="425">
        <f>[1]FTES!I19</f>
        <v>0</v>
      </c>
      <c r="H19" s="425">
        <f>[1]FTES!J19</f>
        <v>5982.3999359999998</v>
      </c>
      <c r="I19" s="425">
        <f>[1]FTES!K19</f>
        <v>0</v>
      </c>
      <c r="J19" s="425">
        <f>[1]FTES!L19</f>
        <v>54.800063999999999</v>
      </c>
      <c r="K19" s="425">
        <f>[1]FTES!M19</f>
        <v>0</v>
      </c>
      <c r="L19" s="425">
        <f>[1]FTES!N19</f>
        <v>17.600000000000001</v>
      </c>
      <c r="M19" s="425">
        <f>[1]FTES!O19</f>
        <v>17.600000000000001</v>
      </c>
      <c r="N19" s="425">
        <f>[1]FTES!P19</f>
        <v>22.8</v>
      </c>
      <c r="O19" s="425">
        <f>[1]FTES!S19</f>
        <v>0</v>
      </c>
      <c r="P19" s="425">
        <f>[1]FTES!T19</f>
        <v>0</v>
      </c>
      <c r="Q19" s="425">
        <f>[1]FTES!U19</f>
        <v>17.600000000000001</v>
      </c>
      <c r="R19" s="425">
        <f>[1]FTES!V19</f>
        <v>0</v>
      </c>
      <c r="S19" s="425">
        <f>[1]FTES!W19</f>
        <v>5.2</v>
      </c>
      <c r="T19" s="425">
        <f>[1]FTES!X19</f>
        <v>0</v>
      </c>
      <c r="U19" s="425">
        <f>[1]FTES!Y19</f>
        <v>0</v>
      </c>
      <c r="V19" s="425">
        <f>[1]FTES!Z19</f>
        <v>0</v>
      </c>
      <c r="W19" s="425">
        <f>[1]FTES!AA19</f>
        <v>0</v>
      </c>
      <c r="X19" s="425">
        <f>[1]FTES!AD19</f>
        <v>0</v>
      </c>
      <c r="Y19" s="425">
        <f>[1]FTES!AE19</f>
        <v>0</v>
      </c>
      <c r="Z19" s="425">
        <f>[1]FTES!AF19</f>
        <v>0</v>
      </c>
      <c r="AA19" s="425">
        <f>[1]FTES!AG19</f>
        <v>0</v>
      </c>
      <c r="AB19" s="425">
        <f>[1]FTES!AH19</f>
        <v>0</v>
      </c>
      <c r="AC19" s="425">
        <f>[1]FTES!AI19</f>
        <v>0</v>
      </c>
      <c r="AD19" s="425"/>
      <c r="AE19" s="376">
        <f>'[1]13-14 $86M Workload Restore'!AJ17</f>
        <v>268578</v>
      </c>
      <c r="AF19" s="375"/>
      <c r="AG19" s="122" t="str">
        <f>'[1]Restoration and Growth'!N19</f>
        <v>Growth</v>
      </c>
      <c r="AH19" s="122" t="str">
        <f>'[1]Restoration and Growth'!O19</f>
        <v>Grow</v>
      </c>
      <c r="AI19" s="122" t="str">
        <f>'[1]Restoration and Growth'!P19</f>
        <v>Grow</v>
      </c>
      <c r="AJ19" s="122" t="str">
        <f>'[1]Restoration and Growth'!Q19</f>
        <v>No CPCP</v>
      </c>
      <c r="AK19" s="139"/>
      <c r="AL19" s="139">
        <f>ROUND(J19*'[1]PBF Run'!$AS$4,3)</f>
        <v>254080.10500000001</v>
      </c>
      <c r="AM19" s="139">
        <f>ROUND(S19*'[1]PBF Run'!$AF$4,3)</f>
        <v>14497.879000000001</v>
      </c>
      <c r="AN19" s="139">
        <f>ROUND(AB19*'[1]PBF Run'!$AJ$4,3)</f>
        <v>0</v>
      </c>
      <c r="AO19" s="139">
        <f t="shared" si="29"/>
        <v>268577.984</v>
      </c>
      <c r="AP19" s="139" t="str">
        <f t="shared" si="46"/>
        <v>Y</v>
      </c>
      <c r="AQ19" s="139"/>
      <c r="AR19" s="374">
        <f t="shared" si="47"/>
        <v>54.800041</v>
      </c>
      <c r="AS19" s="9">
        <f t="shared" si="0"/>
        <v>254080</v>
      </c>
      <c r="AT19" s="9"/>
      <c r="AU19" s="373">
        <f t="shared" si="1"/>
        <v>254080</v>
      </c>
      <c r="AV19" s="439">
        <f t="shared" si="2"/>
        <v>5.2</v>
      </c>
      <c r="AW19" s="9">
        <f t="shared" si="3"/>
        <v>14498</v>
      </c>
      <c r="AX19" s="9"/>
      <c r="AY19" s="373">
        <f t="shared" si="4"/>
        <v>268578</v>
      </c>
      <c r="AZ19" s="439">
        <f t="shared" si="30"/>
        <v>0</v>
      </c>
      <c r="BA19" s="9">
        <f t="shared" si="31"/>
        <v>0</v>
      </c>
      <c r="BB19" s="439"/>
      <c r="BC19" s="171">
        <f t="shared" si="32"/>
        <v>254080</v>
      </c>
      <c r="BD19" s="171">
        <f t="shared" si="33"/>
        <v>14498</v>
      </c>
      <c r="BE19" s="171">
        <f t="shared" si="34"/>
        <v>0</v>
      </c>
      <c r="BF19" s="438">
        <f t="shared" si="35"/>
        <v>268578</v>
      </c>
      <c r="BG19" s="389">
        <f t="shared" si="5"/>
        <v>0</v>
      </c>
      <c r="BH19" s="438"/>
      <c r="BI19" s="425">
        <f t="shared" si="6"/>
        <v>5982.3999360000007</v>
      </c>
      <c r="BJ19" s="425">
        <f t="shared" si="7"/>
        <v>17.600000000000001</v>
      </c>
      <c r="BK19" s="425">
        <f t="shared" si="8"/>
        <v>0</v>
      </c>
      <c r="BL19" s="438"/>
      <c r="BM19" s="425">
        <f t="shared" si="9"/>
        <v>5982.3999360000007</v>
      </c>
      <c r="BN19" s="425">
        <f t="shared" si="10"/>
        <v>17.600000000000001</v>
      </c>
      <c r="BO19" s="425">
        <f t="shared" si="11"/>
        <v>0</v>
      </c>
      <c r="BP19" s="438"/>
      <c r="BQ19" s="372">
        <f t="shared" si="12"/>
        <v>6037.2</v>
      </c>
      <c r="BR19" s="372">
        <f t="shared" si="13"/>
        <v>22.8</v>
      </c>
      <c r="BS19" s="372">
        <f t="shared" si="14"/>
        <v>0</v>
      </c>
      <c r="BU19" s="439">
        <f t="shared" si="15"/>
        <v>0</v>
      </c>
      <c r="BV19" s="439">
        <f t="shared" si="16"/>
        <v>0</v>
      </c>
      <c r="BW19" s="439">
        <f t="shared" si="17"/>
        <v>0</v>
      </c>
      <c r="BY19" s="439">
        <f t="shared" si="18"/>
        <v>0</v>
      </c>
      <c r="BZ19" s="439">
        <f t="shared" si="19"/>
        <v>0</v>
      </c>
      <c r="CA19" s="439">
        <f t="shared" si="20"/>
        <v>0</v>
      </c>
      <c r="CB19" s="439"/>
      <c r="CC19" s="439">
        <f t="shared" si="21"/>
        <v>0</v>
      </c>
      <c r="CD19" s="439">
        <f t="shared" si="22"/>
        <v>0</v>
      </c>
      <c r="CE19" s="374">
        <f t="shared" si="23"/>
        <v>0</v>
      </c>
      <c r="CF19" s="439"/>
      <c r="CG19" s="439">
        <f t="shared" si="36"/>
        <v>54.800041</v>
      </c>
      <c r="CH19" s="439">
        <f t="shared" si="37"/>
        <v>5.2</v>
      </c>
      <c r="CI19" s="439">
        <f t="shared" si="38"/>
        <v>0</v>
      </c>
      <c r="CJ19" s="439"/>
      <c r="CK19" s="439">
        <v>4636.4929089999996</v>
      </c>
      <c r="CL19" s="439">
        <v>2788.0536374600001</v>
      </c>
      <c r="CM19" s="439">
        <v>3282.8110613200001</v>
      </c>
      <c r="CN19" s="439"/>
      <c r="CO19" s="439">
        <f t="shared" si="39"/>
        <v>254080.00150940925</v>
      </c>
      <c r="CP19" s="439">
        <f t="shared" si="24"/>
        <v>14497.878914792002</v>
      </c>
      <c r="CQ19" s="439">
        <f t="shared" si="24"/>
        <v>0</v>
      </c>
      <c r="CR19" s="439">
        <f t="shared" si="40"/>
        <v>268577.88042420126</v>
      </c>
      <c r="CS19" s="439">
        <f>+'[1]13-14 $86M Workload Restore'!AJ17</f>
        <v>268578</v>
      </c>
      <c r="CT19" s="439">
        <f t="shared" si="41"/>
        <v>-0.11957579874433577</v>
      </c>
      <c r="CV19" s="173">
        <v>0</v>
      </c>
      <c r="CW19" s="439">
        <f t="shared" si="42"/>
        <v>6037.1999770000011</v>
      </c>
      <c r="CX19" s="439">
        <f t="shared" si="25"/>
        <v>22.8</v>
      </c>
      <c r="CY19" s="439">
        <f t="shared" si="25"/>
        <v>0</v>
      </c>
      <c r="DA19" s="439">
        <f t="shared" si="26"/>
        <v>2.2999998691375367E-5</v>
      </c>
      <c r="DB19" s="439">
        <f t="shared" si="26"/>
        <v>0</v>
      </c>
      <c r="DC19" s="439">
        <f t="shared" si="26"/>
        <v>0</v>
      </c>
      <c r="DE19" s="371">
        <f t="shared" si="27"/>
        <v>0</v>
      </c>
      <c r="DF19" s="371">
        <f t="shared" si="27"/>
        <v>0</v>
      </c>
      <c r="DG19" s="371">
        <f t="shared" si="27"/>
        <v>0</v>
      </c>
      <c r="DH19" s="439"/>
      <c r="DI19" s="371">
        <f t="shared" si="28"/>
        <v>0</v>
      </c>
      <c r="DJ19" s="371">
        <f t="shared" si="28"/>
        <v>0</v>
      </c>
      <c r="DK19" s="371">
        <f t="shared" si="28"/>
        <v>0</v>
      </c>
      <c r="DL19" s="144">
        <f t="shared" si="43"/>
        <v>27991434.551952075</v>
      </c>
      <c r="DM19" s="144">
        <f t="shared" si="44"/>
        <v>63567.622934088002</v>
      </c>
      <c r="DN19" s="144">
        <f t="shared" si="45"/>
        <v>0</v>
      </c>
      <c r="DO19" s="144">
        <f>'[1]PBF Run'!F19*(1+'[1]PBF Run'!$C$4)</f>
        <v>3373693.2565000001</v>
      </c>
      <c r="DP19" s="144">
        <f>'[1]PBF Run'!AA19+'[1]PBF Run'!AB19+'[1]PBF Run'!AC19+'[1]PBF Run'!AD19</f>
        <v>0</v>
      </c>
      <c r="DQ19" s="144">
        <f>'[1]PBF Run'!X19</f>
        <v>0</v>
      </c>
      <c r="DR19" s="144">
        <f>'[1]PBF Run'!L19*(1+'[1]PBF Run'!$C$4)</f>
        <v>0</v>
      </c>
      <c r="DS19" s="144">
        <f>'[1]PBF Run'!AE19</f>
        <v>31428695</v>
      </c>
      <c r="DT19" s="326">
        <f t="shared" si="48"/>
        <v>-0.43138616159558296</v>
      </c>
      <c r="DU19" s="144"/>
      <c r="DV19" s="144"/>
    </row>
    <row r="20" spans="1:126" ht="13.5" thickBot="1">
      <c r="A20" s="16" t="s">
        <v>379</v>
      </c>
      <c r="B20" s="16" t="s">
        <v>121</v>
      </c>
      <c r="C20" s="425">
        <f>[1]FTES!C20</f>
        <v>27073.670000000002</v>
      </c>
      <c r="D20" s="425">
        <f>[1]FTES!D20</f>
        <v>27073.670000000002</v>
      </c>
      <c r="E20" s="425">
        <f>[1]FTES!E20</f>
        <v>29812.05</v>
      </c>
      <c r="F20" s="425">
        <f>[1]FTES!H20</f>
        <v>610.24530600000003</v>
      </c>
      <c r="G20" s="425">
        <f>[1]FTES!I20</f>
        <v>0</v>
      </c>
      <c r="H20" s="425">
        <f>[1]FTES!J20</f>
        <v>27683.915305999999</v>
      </c>
      <c r="I20" s="425">
        <f>[1]FTES!K20</f>
        <v>0</v>
      </c>
      <c r="J20" s="425">
        <f>[1]FTES!L20</f>
        <v>2128.1346939999999</v>
      </c>
      <c r="K20" s="425">
        <f>[1]FTES!M20</f>
        <v>0</v>
      </c>
      <c r="L20" s="425">
        <f>[1]FTES!N20</f>
        <v>92.67</v>
      </c>
      <c r="M20" s="425">
        <f>[1]FTES!O20</f>
        <v>92.67</v>
      </c>
      <c r="N20" s="425">
        <f>[1]FTES!P20</f>
        <v>71.05</v>
      </c>
      <c r="O20" s="425">
        <f>[1]FTES!S20</f>
        <v>0</v>
      </c>
      <c r="P20" s="425">
        <f>[1]FTES!T20</f>
        <v>0</v>
      </c>
      <c r="Q20" s="425">
        <f>[1]FTES!U20</f>
        <v>71.05</v>
      </c>
      <c r="R20" s="425">
        <f>[1]FTES!V20</f>
        <v>0</v>
      </c>
      <c r="S20" s="425">
        <f>[1]FTES!W20</f>
        <v>0</v>
      </c>
      <c r="T20" s="425">
        <f>[1]FTES!X20</f>
        <v>0</v>
      </c>
      <c r="U20" s="425">
        <f>[1]FTES!Y20</f>
        <v>0</v>
      </c>
      <c r="V20" s="425">
        <f>[1]FTES!Z20</f>
        <v>0</v>
      </c>
      <c r="W20" s="425">
        <f>[1]FTES!AA20</f>
        <v>0</v>
      </c>
      <c r="X20" s="425">
        <f>[1]FTES!AD20</f>
        <v>0</v>
      </c>
      <c r="Y20" s="425">
        <f>[1]FTES!AE20</f>
        <v>0</v>
      </c>
      <c r="Z20" s="425">
        <f>[1]FTES!AF20</f>
        <v>0</v>
      </c>
      <c r="AA20" s="425">
        <f>[1]FTES!AG20</f>
        <v>0</v>
      </c>
      <c r="AB20" s="425">
        <f>[1]FTES!AH20</f>
        <v>0</v>
      </c>
      <c r="AC20" s="425">
        <f>[1]FTES!AI20</f>
        <v>0</v>
      </c>
      <c r="AD20" s="425"/>
      <c r="AE20" s="376">
        <f>'[1]13-14 $86M Workload Restore'!AJ18</f>
        <v>4660633</v>
      </c>
      <c r="AF20" s="375"/>
      <c r="AG20" s="122" t="str">
        <f>'[1]Restoration and Growth'!N20</f>
        <v>Rest&amp;Grow</v>
      </c>
      <c r="AH20" s="122" t="str">
        <f>'[1]Restoration and Growth'!O20</f>
        <v>Grow</v>
      </c>
      <c r="AI20" s="122" t="str">
        <f>'[1]Restoration and Growth'!P20</f>
        <v>Decline</v>
      </c>
      <c r="AJ20" s="122" t="str">
        <f>'[1]Restoration and Growth'!Q20</f>
        <v>No CPCP</v>
      </c>
      <c r="AK20" s="139"/>
      <c r="AL20" s="139">
        <f>ROUND(J20*'[1]PBF Run'!$AS$4,3)</f>
        <v>9867081.3010000009</v>
      </c>
      <c r="AM20" s="139">
        <f>ROUND(S20*'[1]PBF Run'!$AF$4,3)</f>
        <v>0</v>
      </c>
      <c r="AN20" s="139">
        <f>ROUND(AB20*'[1]PBF Run'!$AJ$4,3)</f>
        <v>0</v>
      </c>
      <c r="AO20" s="139">
        <f t="shared" si="29"/>
        <v>9867081.3010000009</v>
      </c>
      <c r="AP20" s="139" t="str">
        <f t="shared" si="46"/>
        <v>Y</v>
      </c>
      <c r="AQ20" s="139"/>
      <c r="AR20" s="374">
        <f t="shared" si="47"/>
        <v>1018.207328</v>
      </c>
      <c r="AS20" s="9">
        <f t="shared" si="0"/>
        <v>4720911</v>
      </c>
      <c r="AT20" s="9"/>
      <c r="AU20" s="373">
        <f t="shared" si="1"/>
        <v>4720911</v>
      </c>
      <c r="AV20" s="439">
        <f t="shared" si="2"/>
        <v>-21.620000000000005</v>
      </c>
      <c r="AW20" s="9">
        <f t="shared" si="3"/>
        <v>-60278</v>
      </c>
      <c r="AX20" s="9"/>
      <c r="AY20" s="373">
        <f t="shared" si="4"/>
        <v>4660633</v>
      </c>
      <c r="AZ20" s="439">
        <f t="shared" si="30"/>
        <v>0</v>
      </c>
      <c r="BA20" s="9">
        <f t="shared" si="31"/>
        <v>0</v>
      </c>
      <c r="BB20" s="439"/>
      <c r="BC20" s="171">
        <f t="shared" si="32"/>
        <v>4720911</v>
      </c>
      <c r="BD20" s="171">
        <f t="shared" si="33"/>
        <v>-60278</v>
      </c>
      <c r="BE20" s="171">
        <f t="shared" si="34"/>
        <v>0</v>
      </c>
      <c r="BF20" s="438">
        <f t="shared" si="35"/>
        <v>4660633</v>
      </c>
      <c r="BG20" s="389">
        <f t="shared" si="5"/>
        <v>0</v>
      </c>
      <c r="BH20" s="438"/>
      <c r="BI20" s="425">
        <f t="shared" si="6"/>
        <v>27073.670000000002</v>
      </c>
      <c r="BJ20" s="425">
        <f t="shared" si="7"/>
        <v>92.67</v>
      </c>
      <c r="BK20" s="425">
        <f t="shared" si="8"/>
        <v>0</v>
      </c>
      <c r="BL20" s="438"/>
      <c r="BM20" s="425">
        <f t="shared" si="9"/>
        <v>27073.670000000002</v>
      </c>
      <c r="BN20" s="425">
        <f t="shared" si="10"/>
        <v>92.67</v>
      </c>
      <c r="BO20" s="425">
        <f t="shared" si="11"/>
        <v>0</v>
      </c>
      <c r="BP20" s="438"/>
      <c r="BQ20" s="372">
        <f t="shared" si="12"/>
        <v>29812.05</v>
      </c>
      <c r="BR20" s="372">
        <f t="shared" si="13"/>
        <v>71.05</v>
      </c>
      <c r="BS20" s="372">
        <f t="shared" si="14"/>
        <v>0</v>
      </c>
      <c r="BU20" s="439">
        <f t="shared" si="15"/>
        <v>610.24530600000003</v>
      </c>
      <c r="BV20" s="439">
        <f t="shared" si="16"/>
        <v>0</v>
      </c>
      <c r="BW20" s="439">
        <f t="shared" si="17"/>
        <v>0</v>
      </c>
      <c r="BY20" s="439">
        <f t="shared" si="18"/>
        <v>0</v>
      </c>
      <c r="BZ20" s="439">
        <f t="shared" si="19"/>
        <v>0</v>
      </c>
      <c r="CA20" s="439">
        <f t="shared" si="20"/>
        <v>0</v>
      </c>
      <c r="CB20" s="439"/>
      <c r="CC20" s="439">
        <f t="shared" si="21"/>
        <v>0</v>
      </c>
      <c r="CD20" s="439">
        <f t="shared" si="22"/>
        <v>0</v>
      </c>
      <c r="CE20" s="374">
        <f t="shared" si="23"/>
        <v>0</v>
      </c>
      <c r="CF20" s="439"/>
      <c r="CG20" s="439">
        <f t="shared" si="36"/>
        <v>1018.207328</v>
      </c>
      <c r="CH20" s="439">
        <f t="shared" si="37"/>
        <v>-21.620000000000005</v>
      </c>
      <c r="CI20" s="439">
        <f t="shared" si="38"/>
        <v>0</v>
      </c>
      <c r="CJ20" s="439"/>
      <c r="CK20" s="439">
        <v>4636.4928399999999</v>
      </c>
      <c r="CL20" s="439">
        <v>2788.0536374600001</v>
      </c>
      <c r="CM20" s="439">
        <v>3282.8110613200001</v>
      </c>
      <c r="CN20" s="439"/>
      <c r="CO20" s="439">
        <f t="shared" si="39"/>
        <v>4720910.9859075313</v>
      </c>
      <c r="CP20" s="439">
        <f t="shared" si="24"/>
        <v>-60277.719641885218</v>
      </c>
      <c r="CQ20" s="439">
        <f t="shared" si="24"/>
        <v>0</v>
      </c>
      <c r="CR20" s="439">
        <f t="shared" si="40"/>
        <v>4660633.2662656466</v>
      </c>
      <c r="CS20" s="439">
        <f>+'[1]13-14 $86M Workload Restore'!AJ18</f>
        <v>4660633</v>
      </c>
      <c r="CT20" s="439">
        <f t="shared" si="41"/>
        <v>0.26626564655452967</v>
      </c>
      <c r="CV20" s="173">
        <v>0</v>
      </c>
      <c r="CW20" s="439">
        <f t="shared" si="42"/>
        <v>28702.122634000003</v>
      </c>
      <c r="CX20" s="439">
        <f t="shared" si="25"/>
        <v>71.05</v>
      </c>
      <c r="CY20" s="439">
        <f t="shared" si="25"/>
        <v>0</v>
      </c>
      <c r="DA20" s="439">
        <f t="shared" si="26"/>
        <v>1109.9273659999963</v>
      </c>
      <c r="DB20" s="439">
        <f t="shared" si="26"/>
        <v>0</v>
      </c>
      <c r="DC20" s="439">
        <f t="shared" si="26"/>
        <v>0</v>
      </c>
      <c r="DE20" s="371">
        <f t="shared" si="27"/>
        <v>0</v>
      </c>
      <c r="DF20" s="371">
        <f t="shared" si="27"/>
        <v>0</v>
      </c>
      <c r="DG20" s="371">
        <f t="shared" si="27"/>
        <v>0</v>
      </c>
      <c r="DH20" s="439"/>
      <c r="DI20" s="371">
        <f t="shared" si="28"/>
        <v>0</v>
      </c>
      <c r="DJ20" s="371">
        <f t="shared" si="28"/>
        <v>0</v>
      </c>
      <c r="DK20" s="371">
        <f t="shared" si="28"/>
        <v>0</v>
      </c>
      <c r="DL20" s="144">
        <f t="shared" si="43"/>
        <v>133077186.48918183</v>
      </c>
      <c r="DM20" s="144">
        <f t="shared" si="44"/>
        <v>198091.21094153301</v>
      </c>
      <c r="DN20" s="144">
        <f t="shared" si="45"/>
        <v>0</v>
      </c>
      <c r="DO20" s="144">
        <f>'[1]PBF Run'!F20*(1+'[1]PBF Run'!$C$4)</f>
        <v>12932491.663000001</v>
      </c>
      <c r="DP20" s="144">
        <f>'[1]PBF Run'!AA20+'[1]PBF Run'!AB20+'[1]PBF Run'!AC20+'[1]PBF Run'!AD20</f>
        <v>-1499329</v>
      </c>
      <c r="DQ20" s="144">
        <f>'[1]PBF Run'!X20</f>
        <v>0</v>
      </c>
      <c r="DR20" s="144">
        <f>'[1]PBF Run'!L20*(1+'[1]PBF Run'!$C$4)</f>
        <v>0</v>
      </c>
      <c r="DS20" s="144">
        <f>'[1]PBF Run'!AE20</f>
        <v>144708439</v>
      </c>
      <c r="DT20" s="326">
        <f t="shared" si="48"/>
        <v>-1.3631233721971512</v>
      </c>
      <c r="DU20" s="144"/>
      <c r="DV20" s="144"/>
    </row>
    <row r="21" spans="1:126" ht="13.5" thickBot="1">
      <c r="A21" s="16" t="s">
        <v>377</v>
      </c>
      <c r="B21" s="16" t="s">
        <v>122</v>
      </c>
      <c r="C21" s="425">
        <f>[1]FTES!C21</f>
        <v>1508.0759420000002</v>
      </c>
      <c r="D21" s="425">
        <f>[1]FTES!D21</f>
        <v>1508.0759420000002</v>
      </c>
      <c r="E21" s="425">
        <f>[1]FTES!E21</f>
        <v>1410.78</v>
      </c>
      <c r="F21" s="425">
        <f>[1]FTES!H21</f>
        <v>0</v>
      </c>
      <c r="G21" s="425">
        <f>[1]FTES!I21</f>
        <v>0</v>
      </c>
      <c r="H21" s="425">
        <f>[1]FTES!J21</f>
        <v>1410.78</v>
      </c>
      <c r="I21" s="425">
        <f>[1]FTES!K21</f>
        <v>-97.295941999999997</v>
      </c>
      <c r="J21" s="425">
        <f>[1]FTES!L21</f>
        <v>0</v>
      </c>
      <c r="K21" s="425">
        <f>[1]FTES!M21</f>
        <v>0</v>
      </c>
      <c r="L21" s="425">
        <f>[1]FTES!N21</f>
        <v>66.56</v>
      </c>
      <c r="M21" s="425">
        <f>[1]FTES!O21</f>
        <v>66.56</v>
      </c>
      <c r="N21" s="425">
        <f>[1]FTES!P21</f>
        <v>60.620000000000005</v>
      </c>
      <c r="O21" s="425">
        <f>[1]FTES!S21</f>
        <v>0</v>
      </c>
      <c r="P21" s="425">
        <f>[1]FTES!T21</f>
        <v>0</v>
      </c>
      <c r="Q21" s="425">
        <f>[1]FTES!U21</f>
        <v>60.620000000000005</v>
      </c>
      <c r="R21" s="425">
        <f>[1]FTES!V21</f>
        <v>-5.94</v>
      </c>
      <c r="S21" s="425">
        <f>[1]FTES!W21</f>
        <v>0</v>
      </c>
      <c r="T21" s="425">
        <f>[1]FTES!X21</f>
        <v>0</v>
      </c>
      <c r="U21" s="425">
        <f>[1]FTES!Y21</f>
        <v>3.5300000000000002</v>
      </c>
      <c r="V21" s="425">
        <f>[1]FTES!Z21</f>
        <v>3.5300000000000002</v>
      </c>
      <c r="W21" s="425">
        <f>[1]FTES!AA21</f>
        <v>3.81</v>
      </c>
      <c r="X21" s="425">
        <f>[1]FTES!AD21</f>
        <v>0</v>
      </c>
      <c r="Y21" s="425">
        <f>[1]FTES!AE21</f>
        <v>0</v>
      </c>
      <c r="Z21" s="425">
        <f>[1]FTES!AF21</f>
        <v>3.81</v>
      </c>
      <c r="AA21" s="425">
        <f>[1]FTES!AG21</f>
        <v>0.28000000000000003</v>
      </c>
      <c r="AB21" s="425">
        <f>[1]FTES!AH21</f>
        <v>0</v>
      </c>
      <c r="AC21" s="425">
        <f>[1]FTES!AI21</f>
        <v>0</v>
      </c>
      <c r="AD21" s="425"/>
      <c r="AE21" s="376">
        <f>'[1]13-14 $86M Workload Restore'!AJ19</f>
        <v>0</v>
      </c>
      <c r="AF21" s="375"/>
      <c r="AG21" s="122" t="str">
        <f>'[1]Restoration and Growth'!N21</f>
        <v>Decline</v>
      </c>
      <c r="AH21" s="122" t="str">
        <f>'[1]Restoration and Growth'!O21</f>
        <v>Decline</v>
      </c>
      <c r="AI21" s="122" t="str">
        <f>'[1]Restoration and Growth'!P21</f>
        <v>Decline</v>
      </c>
      <c r="AJ21" s="122" t="str">
        <f>'[1]Restoration and Growth'!Q21</f>
        <v>Grow</v>
      </c>
      <c r="AK21" s="139"/>
      <c r="AL21" s="139">
        <f>ROUND(J21*'[1]PBF Run'!$AS$4,3)</f>
        <v>0</v>
      </c>
      <c r="AM21" s="139">
        <f>ROUND(S21*'[1]PBF Run'!$AF$4,3)</f>
        <v>0</v>
      </c>
      <c r="AN21" s="139">
        <f>ROUND(AB21*'[1]PBF Run'!$AJ$4,3)</f>
        <v>0</v>
      </c>
      <c r="AO21" s="139">
        <f t="shared" si="29"/>
        <v>0</v>
      </c>
      <c r="AP21" s="139" t="str">
        <f t="shared" si="46"/>
        <v>NA</v>
      </c>
      <c r="AQ21" s="139"/>
      <c r="AR21" s="374">
        <f t="shared" si="47"/>
        <v>0</v>
      </c>
      <c r="AS21" s="9">
        <f t="shared" si="0"/>
        <v>0</v>
      </c>
      <c r="AT21" s="9"/>
      <c r="AU21" s="373">
        <f t="shared" si="1"/>
        <v>0</v>
      </c>
      <c r="AV21" s="439">
        <f t="shared" si="2"/>
        <v>0</v>
      </c>
      <c r="AW21" s="9">
        <f t="shared" si="3"/>
        <v>0</v>
      </c>
      <c r="AX21" s="9"/>
      <c r="AY21" s="373">
        <f t="shared" si="4"/>
        <v>0</v>
      </c>
      <c r="AZ21" s="439">
        <f t="shared" si="30"/>
        <v>0</v>
      </c>
      <c r="BA21" s="9">
        <f t="shared" si="31"/>
        <v>0</v>
      </c>
      <c r="BB21" s="439"/>
      <c r="BC21" s="171">
        <f t="shared" si="32"/>
        <v>0</v>
      </c>
      <c r="BD21" s="171">
        <f t="shared" si="33"/>
        <v>0</v>
      </c>
      <c r="BE21" s="171">
        <f t="shared" si="34"/>
        <v>0</v>
      </c>
      <c r="BF21" s="438">
        <f t="shared" si="35"/>
        <v>0</v>
      </c>
      <c r="BG21" s="389">
        <f t="shared" si="5"/>
        <v>0</v>
      </c>
      <c r="BH21" s="438"/>
      <c r="BI21" s="425">
        <f t="shared" si="6"/>
        <v>1508.0759420000002</v>
      </c>
      <c r="BJ21" s="425">
        <f t="shared" si="7"/>
        <v>66.56</v>
      </c>
      <c r="BK21" s="425">
        <f t="shared" si="8"/>
        <v>3.5300000000000002</v>
      </c>
      <c r="BL21" s="438"/>
      <c r="BM21" s="425">
        <f t="shared" si="9"/>
        <v>1508.0759420000002</v>
      </c>
      <c r="BN21" s="425">
        <f t="shared" si="10"/>
        <v>66.56</v>
      </c>
      <c r="BO21" s="425">
        <f t="shared" si="11"/>
        <v>3.5300000000000002</v>
      </c>
      <c r="BP21" s="438"/>
      <c r="BQ21" s="372">
        <f t="shared" si="12"/>
        <v>1410.78</v>
      </c>
      <c r="BR21" s="372">
        <f t="shared" si="13"/>
        <v>60.620000000000005</v>
      </c>
      <c r="BS21" s="372">
        <f t="shared" si="14"/>
        <v>3.81</v>
      </c>
      <c r="BU21" s="439">
        <f t="shared" si="15"/>
        <v>0</v>
      </c>
      <c r="BV21" s="439">
        <f t="shared" si="16"/>
        <v>0</v>
      </c>
      <c r="BW21" s="439">
        <f t="shared" si="17"/>
        <v>0</v>
      </c>
      <c r="BY21" s="439">
        <f t="shared" si="18"/>
        <v>0</v>
      </c>
      <c r="BZ21" s="439">
        <f t="shared" si="19"/>
        <v>0</v>
      </c>
      <c r="CA21" s="439">
        <f t="shared" si="20"/>
        <v>0</v>
      </c>
      <c r="CB21" s="439"/>
      <c r="CC21" s="439">
        <f t="shared" si="21"/>
        <v>-97.295941999999997</v>
      </c>
      <c r="CD21" s="439">
        <f t="shared" si="22"/>
        <v>-5.94</v>
      </c>
      <c r="CE21" s="374">
        <f t="shared" si="23"/>
        <v>0.28000000000000003</v>
      </c>
      <c r="CF21" s="439"/>
      <c r="CG21" s="439">
        <f t="shared" si="36"/>
        <v>0</v>
      </c>
      <c r="CH21" s="439">
        <f t="shared" si="37"/>
        <v>0</v>
      </c>
      <c r="CI21" s="439">
        <f t="shared" si="38"/>
        <v>0</v>
      </c>
      <c r="CJ21" s="439"/>
      <c r="CK21" s="439">
        <v>4636.4930729999996</v>
      </c>
      <c r="CL21" s="439">
        <v>2788.0536374600001</v>
      </c>
      <c r="CM21" s="439">
        <v>3282.8110613200001</v>
      </c>
      <c r="CN21" s="439"/>
      <c r="CO21" s="439">
        <f t="shared" si="39"/>
        <v>0</v>
      </c>
      <c r="CP21" s="439">
        <f t="shared" si="24"/>
        <v>0</v>
      </c>
      <c r="CQ21" s="439">
        <f t="shared" si="24"/>
        <v>0</v>
      </c>
      <c r="CR21" s="439">
        <f t="shared" si="40"/>
        <v>0</v>
      </c>
      <c r="CS21" s="439">
        <f>+'[1]13-14 $86M Workload Restore'!AJ19</f>
        <v>0</v>
      </c>
      <c r="CT21" s="439">
        <f t="shared" si="41"/>
        <v>0</v>
      </c>
      <c r="CV21" s="173">
        <v>0</v>
      </c>
      <c r="CW21" s="439">
        <f t="shared" si="42"/>
        <v>1410.7800000000002</v>
      </c>
      <c r="CX21" s="439">
        <f t="shared" si="25"/>
        <v>60.620000000000005</v>
      </c>
      <c r="CY21" s="439">
        <f t="shared" si="25"/>
        <v>3.8100000000000005</v>
      </c>
      <c r="DA21" s="439">
        <f t="shared" si="26"/>
        <v>0</v>
      </c>
      <c r="DB21" s="439">
        <f t="shared" si="26"/>
        <v>0</v>
      </c>
      <c r="DC21" s="439">
        <f t="shared" si="26"/>
        <v>0</v>
      </c>
      <c r="DE21" s="371">
        <f t="shared" si="27"/>
        <v>0</v>
      </c>
      <c r="DF21" s="371">
        <f t="shared" si="27"/>
        <v>0</v>
      </c>
      <c r="DG21" s="371">
        <f t="shared" si="27"/>
        <v>0</v>
      </c>
      <c r="DH21" s="439"/>
      <c r="DI21" s="371">
        <f t="shared" si="28"/>
        <v>-2.2737367544323206E-13</v>
      </c>
      <c r="DJ21" s="371">
        <f t="shared" si="28"/>
        <v>0</v>
      </c>
      <c r="DK21" s="371">
        <f t="shared" si="28"/>
        <v>-4.4408920985006262E-16</v>
      </c>
      <c r="DL21" s="144">
        <f t="shared" si="43"/>
        <v>6541071.3886648761</v>
      </c>
      <c r="DM21" s="144">
        <f t="shared" si="44"/>
        <v>169011.81150282521</v>
      </c>
      <c r="DN21" s="144">
        <f t="shared" si="45"/>
        <v>12507.510143629203</v>
      </c>
      <c r="DO21" s="144">
        <f>'[1]PBF Run'!F21*(1+'[1]PBF Run'!$C$4)</f>
        <v>3935975.6352000004</v>
      </c>
      <c r="DP21" s="144">
        <f>'[1]PBF Run'!AA21+'[1]PBF Run'!AB21+'[1]PBF Run'!AC21+'[1]PBF Run'!AD21</f>
        <v>0</v>
      </c>
      <c r="DQ21" s="144">
        <f>'[1]PBF Run'!X21</f>
        <v>466754</v>
      </c>
      <c r="DR21" s="144">
        <f>'[1]PBF Run'!L21*(1+'[1]PBF Run'!$C$4)</f>
        <v>0</v>
      </c>
      <c r="DS21" s="144">
        <f>'[1]PBF Run'!AE21</f>
        <v>11125320</v>
      </c>
      <c r="DT21" s="326">
        <f t="shared" si="48"/>
        <v>-0.34551133122295141</v>
      </c>
      <c r="DU21" s="144"/>
      <c r="DV21" s="144"/>
    </row>
    <row r="22" spans="1:126" ht="13.5" thickBot="1">
      <c r="A22" s="16" t="s">
        <v>375</v>
      </c>
      <c r="B22" s="16" t="s">
        <v>123</v>
      </c>
      <c r="C22" s="425">
        <f>[1]FTES!C22</f>
        <v>6721.2188150000002</v>
      </c>
      <c r="D22" s="425">
        <f>[1]FTES!D22</f>
        <v>6721.2188150000002</v>
      </c>
      <c r="E22" s="425">
        <f>[1]FTES!E22</f>
        <v>6983.62</v>
      </c>
      <c r="F22" s="425">
        <f>[1]FTES!H22</f>
        <v>0</v>
      </c>
      <c r="G22" s="425">
        <f>[1]FTES!I22</f>
        <v>0</v>
      </c>
      <c r="H22" s="425">
        <f>[1]FTES!J22</f>
        <v>6721.2188150000002</v>
      </c>
      <c r="I22" s="425">
        <f>[1]FTES!K22</f>
        <v>0</v>
      </c>
      <c r="J22" s="425">
        <f>[1]FTES!L22</f>
        <v>262.401185</v>
      </c>
      <c r="K22" s="425">
        <f>[1]FTES!M22</f>
        <v>0</v>
      </c>
      <c r="L22" s="425">
        <f>[1]FTES!N22</f>
        <v>103.40000000000003</v>
      </c>
      <c r="M22" s="425">
        <f>[1]FTES!O22</f>
        <v>103.40000000000003</v>
      </c>
      <c r="N22" s="425">
        <f>[1]FTES!P22</f>
        <v>25.620000000000005</v>
      </c>
      <c r="O22" s="425">
        <f>[1]FTES!S22</f>
        <v>0</v>
      </c>
      <c r="P22" s="425">
        <f>[1]FTES!T22</f>
        <v>0</v>
      </c>
      <c r="Q22" s="425">
        <f>[1]FTES!U22</f>
        <v>25.620000000000005</v>
      </c>
      <c r="R22" s="425">
        <f>[1]FTES!V22</f>
        <v>0</v>
      </c>
      <c r="S22" s="425">
        <f>[1]FTES!W22</f>
        <v>0</v>
      </c>
      <c r="T22" s="425">
        <f>[1]FTES!X22</f>
        <v>0</v>
      </c>
      <c r="U22" s="425">
        <f>[1]FTES!Y22</f>
        <v>313.52</v>
      </c>
      <c r="V22" s="425">
        <f>[1]FTES!Z22</f>
        <v>313.52</v>
      </c>
      <c r="W22" s="425">
        <f>[1]FTES!AA22</f>
        <v>577.73</v>
      </c>
      <c r="X22" s="425">
        <f>[1]FTES!AD22</f>
        <v>0</v>
      </c>
      <c r="Y22" s="425">
        <f>[1]FTES!AE22</f>
        <v>0</v>
      </c>
      <c r="Z22" s="425">
        <f>[1]FTES!AF22</f>
        <v>313.52</v>
      </c>
      <c r="AA22" s="425">
        <f>[1]FTES!AG22</f>
        <v>0</v>
      </c>
      <c r="AB22" s="425">
        <f>[1]FTES!AH22</f>
        <v>264.20999999999998</v>
      </c>
      <c r="AC22" s="425">
        <f>[1]FTES!AI22</f>
        <v>0</v>
      </c>
      <c r="AD22" s="425"/>
      <c r="AE22" s="376">
        <f>'[1]13-14 $86M Workload Restore'!AJ20</f>
        <v>783951</v>
      </c>
      <c r="AF22" s="375"/>
      <c r="AG22" s="122" t="str">
        <f>'[1]Restoration and Growth'!N22</f>
        <v>Growth</v>
      </c>
      <c r="AH22" s="122" t="str">
        <f>'[1]Restoration and Growth'!O22</f>
        <v>Grow</v>
      </c>
      <c r="AI22" s="122" t="str">
        <f>'[1]Restoration and Growth'!P22</f>
        <v>Decline</v>
      </c>
      <c r="AJ22" s="122" t="str">
        <f>'[1]Restoration and Growth'!Q22</f>
        <v>Grow</v>
      </c>
      <c r="AK22" s="139"/>
      <c r="AL22" s="139">
        <f>ROUND(J22*'[1]PBF Run'!$AS$4,3)</f>
        <v>1216621.219</v>
      </c>
      <c r="AM22" s="139">
        <f>ROUND(S22*'[1]PBF Run'!$AF$4,3)</f>
        <v>0</v>
      </c>
      <c r="AN22" s="139">
        <f>ROUND(AB22*'[1]PBF Run'!$AJ$4,3)</f>
        <v>867351.51100000006</v>
      </c>
      <c r="AO22" s="139">
        <f t="shared" si="29"/>
        <v>2083972.73</v>
      </c>
      <c r="AP22" s="139" t="str">
        <f t="shared" si="46"/>
        <v>Y</v>
      </c>
      <c r="AQ22" s="139"/>
      <c r="AR22" s="374">
        <f t="shared" si="47"/>
        <v>28.783394000000001</v>
      </c>
      <c r="AS22" s="9">
        <f t="shared" si="0"/>
        <v>133454</v>
      </c>
      <c r="AT22" s="9"/>
      <c r="AU22" s="373">
        <f t="shared" si="1"/>
        <v>133454</v>
      </c>
      <c r="AV22" s="439">
        <f t="shared" si="2"/>
        <v>-77.78000000000003</v>
      </c>
      <c r="AW22" s="9">
        <f t="shared" si="3"/>
        <v>-216855</v>
      </c>
      <c r="AX22" s="9"/>
      <c r="AY22" s="373">
        <f t="shared" si="4"/>
        <v>-83401</v>
      </c>
      <c r="AZ22" s="439">
        <f t="shared" si="30"/>
        <v>264.20999999999998</v>
      </c>
      <c r="BA22" s="9">
        <f t="shared" si="31"/>
        <v>867352</v>
      </c>
      <c r="BB22" s="439"/>
      <c r="BC22" s="171">
        <f t="shared" si="32"/>
        <v>133454</v>
      </c>
      <c r="BD22" s="171">
        <f t="shared" si="33"/>
        <v>-216855</v>
      </c>
      <c r="BE22" s="171">
        <f t="shared" si="34"/>
        <v>867352</v>
      </c>
      <c r="BF22" s="438">
        <f t="shared" si="35"/>
        <v>783951</v>
      </c>
      <c r="BG22" s="389">
        <f t="shared" si="5"/>
        <v>0</v>
      </c>
      <c r="BH22" s="438"/>
      <c r="BI22" s="425">
        <f t="shared" si="6"/>
        <v>6721.2188150000002</v>
      </c>
      <c r="BJ22" s="425">
        <f t="shared" si="7"/>
        <v>103.40000000000003</v>
      </c>
      <c r="BK22" s="425">
        <f t="shared" si="8"/>
        <v>313.52</v>
      </c>
      <c r="BL22" s="438"/>
      <c r="BM22" s="425">
        <f t="shared" si="9"/>
        <v>6721.2188150000002</v>
      </c>
      <c r="BN22" s="425">
        <f t="shared" si="10"/>
        <v>103.40000000000003</v>
      </c>
      <c r="BO22" s="425">
        <f t="shared" si="11"/>
        <v>313.52</v>
      </c>
      <c r="BP22" s="438"/>
      <c r="BQ22" s="372">
        <f t="shared" si="12"/>
        <v>6983.62</v>
      </c>
      <c r="BR22" s="372">
        <f t="shared" si="13"/>
        <v>25.620000000000005</v>
      </c>
      <c r="BS22" s="372">
        <f t="shared" si="14"/>
        <v>577.73</v>
      </c>
      <c r="BU22" s="439">
        <f t="shared" si="15"/>
        <v>0</v>
      </c>
      <c r="BV22" s="439">
        <f t="shared" si="16"/>
        <v>0</v>
      </c>
      <c r="BW22" s="439">
        <f t="shared" si="17"/>
        <v>0</v>
      </c>
      <c r="BY22" s="439">
        <f t="shared" si="18"/>
        <v>0</v>
      </c>
      <c r="BZ22" s="439">
        <f t="shared" si="19"/>
        <v>0</v>
      </c>
      <c r="CA22" s="439">
        <f t="shared" si="20"/>
        <v>0</v>
      </c>
      <c r="CB22" s="439"/>
      <c r="CC22" s="439">
        <f t="shared" si="21"/>
        <v>0</v>
      </c>
      <c r="CD22" s="439">
        <f t="shared" si="22"/>
        <v>0</v>
      </c>
      <c r="CE22" s="374">
        <f t="shared" si="23"/>
        <v>0</v>
      </c>
      <c r="CF22" s="439"/>
      <c r="CG22" s="439">
        <f t="shared" si="36"/>
        <v>28.783394000000001</v>
      </c>
      <c r="CH22" s="439">
        <f t="shared" si="37"/>
        <v>-77.78000000000003</v>
      </c>
      <c r="CI22" s="439">
        <f t="shared" si="38"/>
        <v>264.20999999999998</v>
      </c>
      <c r="CJ22" s="439"/>
      <c r="CK22" s="439">
        <v>4636.4928630000004</v>
      </c>
      <c r="CL22" s="439">
        <v>2788.0536374600001</v>
      </c>
      <c r="CM22" s="439">
        <v>3282.8110613200001</v>
      </c>
      <c r="CN22" s="439"/>
      <c r="CO22" s="439">
        <f t="shared" si="39"/>
        <v>133454.00085391704</v>
      </c>
      <c r="CP22" s="439">
        <f t="shared" si="24"/>
        <v>-216854.8119216389</v>
      </c>
      <c r="CQ22" s="439">
        <f t="shared" si="24"/>
        <v>867351.51051135722</v>
      </c>
      <c r="CR22" s="439">
        <f t="shared" si="40"/>
        <v>783950.6994436353</v>
      </c>
      <c r="CS22" s="439">
        <f>+'[1]13-14 $86M Workload Restore'!AJ20</f>
        <v>783951</v>
      </c>
      <c r="CT22" s="439">
        <f t="shared" si="41"/>
        <v>-0.30055636470206082</v>
      </c>
      <c r="CV22" s="173">
        <v>0</v>
      </c>
      <c r="CW22" s="439">
        <f t="shared" si="42"/>
        <v>6750.0022090000002</v>
      </c>
      <c r="CX22" s="439">
        <f t="shared" si="25"/>
        <v>25.620000000000005</v>
      </c>
      <c r="CY22" s="439">
        <f t="shared" si="25"/>
        <v>577.73</v>
      </c>
      <c r="DA22" s="439">
        <f t="shared" si="26"/>
        <v>233.61779099999967</v>
      </c>
      <c r="DB22" s="439">
        <f t="shared" si="26"/>
        <v>0</v>
      </c>
      <c r="DC22" s="439">
        <f t="shared" si="26"/>
        <v>0</v>
      </c>
      <c r="DE22" s="371">
        <f t="shared" si="27"/>
        <v>0</v>
      </c>
      <c r="DF22" s="371">
        <f t="shared" si="27"/>
        <v>0</v>
      </c>
      <c r="DG22" s="371">
        <f t="shared" si="27"/>
        <v>0</v>
      </c>
      <c r="DH22" s="439"/>
      <c r="DI22" s="371">
        <f t="shared" si="28"/>
        <v>0</v>
      </c>
      <c r="DJ22" s="371">
        <f t="shared" si="28"/>
        <v>0</v>
      </c>
      <c r="DK22" s="371">
        <f t="shared" si="28"/>
        <v>0</v>
      </c>
      <c r="DL22" s="144">
        <f t="shared" si="43"/>
        <v>31296337.006985217</v>
      </c>
      <c r="DM22" s="144">
        <f t="shared" si="44"/>
        <v>71429.934191725217</v>
      </c>
      <c r="DN22" s="144">
        <f t="shared" si="45"/>
        <v>1896578.4344564038</v>
      </c>
      <c r="DO22" s="144">
        <f>'[1]PBF Run'!F22*(1+'[1]PBF Run'!$C$4)</f>
        <v>3373693.2565000001</v>
      </c>
      <c r="DP22" s="144">
        <f>'[1]PBF Run'!AA22+'[1]PBF Run'!AB22+'[1]PBF Run'!AC22+'[1]PBF Run'!AD22</f>
        <v>0</v>
      </c>
      <c r="DQ22" s="144">
        <f>'[1]PBF Run'!X22</f>
        <v>0</v>
      </c>
      <c r="DR22" s="144">
        <f>'[1]PBF Run'!L22*(1+'[1]PBF Run'!$C$4)</f>
        <v>0</v>
      </c>
      <c r="DS22" s="144">
        <f>'[1]PBF Run'!AE22</f>
        <v>36638039</v>
      </c>
      <c r="DT22" s="326">
        <f t="shared" si="48"/>
        <v>0.36786665394902229</v>
      </c>
      <c r="DU22" s="144"/>
      <c r="DV22" s="144"/>
    </row>
    <row r="23" spans="1:126" ht="13.5" thickBot="1">
      <c r="A23" s="16" t="s">
        <v>373</v>
      </c>
      <c r="B23" s="16" t="s">
        <v>124</v>
      </c>
      <c r="C23" s="425">
        <f>[1]FTES!C23</f>
        <v>18145.600068</v>
      </c>
      <c r="D23" s="425">
        <f>[1]FTES!D23</f>
        <v>18145.600068</v>
      </c>
      <c r="E23" s="425">
        <f>[1]FTES!E23</f>
        <v>18461.86</v>
      </c>
      <c r="F23" s="425">
        <f>[1]FTES!H23</f>
        <v>0</v>
      </c>
      <c r="G23" s="425">
        <f>[1]FTES!I23</f>
        <v>0</v>
      </c>
      <c r="H23" s="425">
        <f>[1]FTES!J23</f>
        <v>18145.600068</v>
      </c>
      <c r="I23" s="425">
        <f>[1]FTES!K23</f>
        <v>0</v>
      </c>
      <c r="J23" s="425">
        <f>[1]FTES!L23</f>
        <v>316.25993199999999</v>
      </c>
      <c r="K23" s="425">
        <f>[1]FTES!M23</f>
        <v>0</v>
      </c>
      <c r="L23" s="425">
        <f>[1]FTES!N23</f>
        <v>14.4</v>
      </c>
      <c r="M23" s="425">
        <f>[1]FTES!O23</f>
        <v>14.4</v>
      </c>
      <c r="N23" s="425">
        <f>[1]FTES!P23</f>
        <v>8.14</v>
      </c>
      <c r="O23" s="425">
        <f>[1]FTES!S23</f>
        <v>0</v>
      </c>
      <c r="P23" s="425">
        <f>[1]FTES!T23</f>
        <v>0</v>
      </c>
      <c r="Q23" s="425">
        <f>[1]FTES!U23</f>
        <v>8.14</v>
      </c>
      <c r="R23" s="425">
        <f>[1]FTES!V23</f>
        <v>0</v>
      </c>
      <c r="S23" s="425">
        <f>[1]FTES!W23</f>
        <v>0</v>
      </c>
      <c r="T23" s="425">
        <f>[1]FTES!X23</f>
        <v>0</v>
      </c>
      <c r="U23" s="425">
        <f>[1]FTES!Y23</f>
        <v>0</v>
      </c>
      <c r="V23" s="425">
        <f>[1]FTES!Z23</f>
        <v>0</v>
      </c>
      <c r="W23" s="425">
        <f>[1]FTES!AA23</f>
        <v>0</v>
      </c>
      <c r="X23" s="425">
        <f>[1]FTES!AD23</f>
        <v>0</v>
      </c>
      <c r="Y23" s="425">
        <f>[1]FTES!AE23</f>
        <v>0</v>
      </c>
      <c r="Z23" s="425">
        <f>[1]FTES!AF23</f>
        <v>0</v>
      </c>
      <c r="AA23" s="425">
        <f>[1]FTES!AG23</f>
        <v>0</v>
      </c>
      <c r="AB23" s="425">
        <f>[1]FTES!AH23</f>
        <v>0</v>
      </c>
      <c r="AC23" s="425">
        <f>[1]FTES!AI23</f>
        <v>0</v>
      </c>
      <c r="AD23" s="425"/>
      <c r="AE23" s="376">
        <f>'[1]13-14 $86M Workload Restore'!AJ21</f>
        <v>1448884</v>
      </c>
      <c r="AF23" s="375"/>
      <c r="AG23" s="122" t="str">
        <f>'[1]Restoration and Growth'!N23</f>
        <v>Growth</v>
      </c>
      <c r="AH23" s="122" t="str">
        <f>'[1]Restoration and Growth'!O23</f>
        <v>Grow</v>
      </c>
      <c r="AI23" s="122" t="str">
        <f>'[1]Restoration and Growth'!P23</f>
        <v>Decline</v>
      </c>
      <c r="AJ23" s="122" t="str">
        <f>'[1]Restoration and Growth'!Q23</f>
        <v>No CPCP</v>
      </c>
      <c r="AK23" s="139"/>
      <c r="AL23" s="139">
        <f>ROUND(J23*'[1]PBF Run'!$AS$4,3)</f>
        <v>1466336.915</v>
      </c>
      <c r="AM23" s="139">
        <f>ROUND(S23*'[1]PBF Run'!$AF$4,3)</f>
        <v>0</v>
      </c>
      <c r="AN23" s="139">
        <f>ROUND(AB23*'[1]PBF Run'!$AJ$4,3)</f>
        <v>0</v>
      </c>
      <c r="AO23" s="139">
        <f t="shared" si="29"/>
        <v>1466336.915</v>
      </c>
      <c r="AP23" s="139" t="str">
        <f t="shared" si="46"/>
        <v>Y</v>
      </c>
      <c r="AQ23" s="139"/>
      <c r="AR23" s="374">
        <f t="shared" si="47"/>
        <v>316.25995</v>
      </c>
      <c r="AS23" s="9">
        <f t="shared" si="0"/>
        <v>1466337</v>
      </c>
      <c r="AT23" s="9"/>
      <c r="AU23" s="373">
        <f t="shared" si="1"/>
        <v>1466337</v>
      </c>
      <c r="AV23" s="439">
        <f t="shared" si="2"/>
        <v>-6.26</v>
      </c>
      <c r="AW23" s="9">
        <f t="shared" si="3"/>
        <v>-17453</v>
      </c>
      <c r="AX23" s="9"/>
      <c r="AY23" s="373">
        <f t="shared" si="4"/>
        <v>1448884</v>
      </c>
      <c r="AZ23" s="439">
        <f t="shared" si="30"/>
        <v>0</v>
      </c>
      <c r="BA23" s="9">
        <f t="shared" si="31"/>
        <v>0</v>
      </c>
      <c r="BB23" s="439"/>
      <c r="BC23" s="171">
        <f t="shared" si="32"/>
        <v>1466337</v>
      </c>
      <c r="BD23" s="171">
        <f t="shared" si="33"/>
        <v>-17453</v>
      </c>
      <c r="BE23" s="171">
        <f t="shared" si="34"/>
        <v>0</v>
      </c>
      <c r="BF23" s="438">
        <f t="shared" si="35"/>
        <v>1448884</v>
      </c>
      <c r="BG23" s="389">
        <f t="shared" si="5"/>
        <v>0</v>
      </c>
      <c r="BH23" s="438"/>
      <c r="BI23" s="425">
        <f t="shared" si="6"/>
        <v>18145.600068</v>
      </c>
      <c r="BJ23" s="425">
        <f t="shared" si="7"/>
        <v>14.4</v>
      </c>
      <c r="BK23" s="425">
        <f t="shared" si="8"/>
        <v>0</v>
      </c>
      <c r="BL23" s="438"/>
      <c r="BM23" s="425">
        <f t="shared" si="9"/>
        <v>18145.600068</v>
      </c>
      <c r="BN23" s="425">
        <f t="shared" si="10"/>
        <v>14.4</v>
      </c>
      <c r="BO23" s="425">
        <f t="shared" si="11"/>
        <v>0</v>
      </c>
      <c r="BP23" s="438"/>
      <c r="BQ23" s="372">
        <f t="shared" si="12"/>
        <v>18461.86</v>
      </c>
      <c r="BR23" s="372">
        <f t="shared" si="13"/>
        <v>8.14</v>
      </c>
      <c r="BS23" s="372">
        <f t="shared" si="14"/>
        <v>0</v>
      </c>
      <c r="BU23" s="439">
        <f t="shared" si="15"/>
        <v>0</v>
      </c>
      <c r="BV23" s="439">
        <f t="shared" si="16"/>
        <v>0</v>
      </c>
      <c r="BW23" s="439">
        <f t="shared" si="17"/>
        <v>0</v>
      </c>
      <c r="BY23" s="439">
        <f t="shared" si="18"/>
        <v>0</v>
      </c>
      <c r="BZ23" s="439">
        <f t="shared" si="19"/>
        <v>0</v>
      </c>
      <c r="CA23" s="439">
        <f t="shared" si="20"/>
        <v>0</v>
      </c>
      <c r="CB23" s="439"/>
      <c r="CC23" s="439">
        <f t="shared" si="21"/>
        <v>0</v>
      </c>
      <c r="CD23" s="439">
        <f t="shared" si="22"/>
        <v>0</v>
      </c>
      <c r="CE23" s="374">
        <f t="shared" si="23"/>
        <v>0</v>
      </c>
      <c r="CF23" s="439"/>
      <c r="CG23" s="439">
        <f t="shared" si="36"/>
        <v>316.25995</v>
      </c>
      <c r="CH23" s="439">
        <f t="shared" si="37"/>
        <v>-6.26</v>
      </c>
      <c r="CI23" s="439">
        <f t="shared" si="38"/>
        <v>0</v>
      </c>
      <c r="CJ23" s="439"/>
      <c r="CK23" s="439">
        <v>4636.4928659999996</v>
      </c>
      <c r="CL23" s="439">
        <v>2788.0536374600001</v>
      </c>
      <c r="CM23" s="439">
        <v>3282.8110613200001</v>
      </c>
      <c r="CN23" s="439"/>
      <c r="CO23" s="439">
        <f t="shared" si="39"/>
        <v>1466337.0019765166</v>
      </c>
      <c r="CP23" s="439">
        <f t="shared" si="24"/>
        <v>-17453.215770499599</v>
      </c>
      <c r="CQ23" s="439">
        <f t="shared" si="24"/>
        <v>0</v>
      </c>
      <c r="CR23" s="439">
        <f t="shared" si="40"/>
        <v>1448883.786206017</v>
      </c>
      <c r="CS23" s="439">
        <f>+'[1]13-14 $86M Workload Restore'!AJ21</f>
        <v>1448884</v>
      </c>
      <c r="CT23" s="439">
        <f t="shared" si="41"/>
        <v>-0.21379398298449814</v>
      </c>
      <c r="CV23" s="173">
        <v>0</v>
      </c>
      <c r="CW23" s="439">
        <f t="shared" si="42"/>
        <v>18461.860017999999</v>
      </c>
      <c r="CX23" s="439">
        <f t="shared" si="25"/>
        <v>8.14</v>
      </c>
      <c r="CY23" s="439">
        <f t="shared" si="25"/>
        <v>0</v>
      </c>
      <c r="DA23" s="439">
        <f t="shared" si="26"/>
        <v>-1.7999998817685992E-5</v>
      </c>
      <c r="DB23" s="439">
        <f t="shared" si="26"/>
        <v>0</v>
      </c>
      <c r="DC23" s="439">
        <f t="shared" si="26"/>
        <v>0</v>
      </c>
      <c r="DE23" s="371">
        <f t="shared" si="27"/>
        <v>0</v>
      </c>
      <c r="DF23" s="371">
        <f t="shared" si="27"/>
        <v>0</v>
      </c>
      <c r="DG23" s="371">
        <f t="shared" si="27"/>
        <v>0</v>
      </c>
      <c r="DH23" s="439"/>
      <c r="DI23" s="371">
        <f t="shared" si="28"/>
        <v>0</v>
      </c>
      <c r="DJ23" s="371">
        <f t="shared" si="28"/>
        <v>0</v>
      </c>
      <c r="DK23" s="371">
        <f t="shared" si="28"/>
        <v>0</v>
      </c>
      <c r="DL23" s="144">
        <f t="shared" si="43"/>
        <v>85598282.04629764</v>
      </c>
      <c r="DM23" s="144">
        <f t="shared" si="44"/>
        <v>22694.756608924403</v>
      </c>
      <c r="DN23" s="144">
        <f t="shared" si="45"/>
        <v>0</v>
      </c>
      <c r="DO23" s="144">
        <f>'[1]PBF Run'!F23*(1+'[1]PBF Run'!$C$4)</f>
        <v>8996516.0278000012</v>
      </c>
      <c r="DP23" s="144">
        <f>'[1]PBF Run'!AA23+'[1]PBF Run'!AB23+'[1]PBF Run'!AC23+'[1]PBF Run'!AD23</f>
        <v>-17383</v>
      </c>
      <c r="DQ23" s="144">
        <f>'[1]PBF Run'!X23</f>
        <v>0</v>
      </c>
      <c r="DR23" s="144">
        <f>'[1]PBF Run'!L23*(1+'[1]PBF Run'!$C$4)</f>
        <v>0</v>
      </c>
      <c r="DS23" s="144">
        <f>'[1]PBF Run'!AE23</f>
        <v>94600110</v>
      </c>
      <c r="DT23" s="326">
        <f t="shared" si="48"/>
        <v>0.16929344832897186</v>
      </c>
      <c r="DU23" s="144"/>
      <c r="DV23" s="144"/>
    </row>
    <row r="24" spans="1:126" ht="13.5" thickBot="1">
      <c r="A24" s="16" t="s">
        <v>371</v>
      </c>
      <c r="B24" s="16" t="s">
        <v>125</v>
      </c>
      <c r="C24" s="425">
        <f>[1]FTES!C24</f>
        <v>1410.58</v>
      </c>
      <c r="D24" s="425">
        <f>[1]FTES!D24</f>
        <v>1410.58</v>
      </c>
      <c r="E24" s="425">
        <f>[1]FTES!E24</f>
        <v>1449.39</v>
      </c>
      <c r="F24" s="425">
        <f>[1]FTES!H24</f>
        <v>38.809938000000002</v>
      </c>
      <c r="G24" s="425">
        <f>[1]FTES!I24</f>
        <v>0</v>
      </c>
      <c r="H24" s="425">
        <f>[1]FTES!J24</f>
        <v>1449.389938</v>
      </c>
      <c r="I24" s="425">
        <f>[1]FTES!K24</f>
        <v>0</v>
      </c>
      <c r="J24" s="425">
        <f>[1]FTES!L24</f>
        <v>6.2000000000000003E-5</v>
      </c>
      <c r="K24" s="425">
        <f>[1]FTES!M24</f>
        <v>0</v>
      </c>
      <c r="L24" s="425">
        <f>[1]FTES!N24</f>
        <v>23.099999999999998</v>
      </c>
      <c r="M24" s="425">
        <f>[1]FTES!O24</f>
        <v>23.099999999999998</v>
      </c>
      <c r="N24" s="425">
        <f>[1]FTES!P24</f>
        <v>107.77</v>
      </c>
      <c r="O24" s="425">
        <f>[1]FTES!S24</f>
        <v>84.670179000000005</v>
      </c>
      <c r="P24" s="425">
        <f>[1]FTES!T24</f>
        <v>0</v>
      </c>
      <c r="Q24" s="425">
        <f>[1]FTES!U24</f>
        <v>107.770179</v>
      </c>
      <c r="R24" s="425">
        <f>[1]FTES!V24</f>
        <v>0</v>
      </c>
      <c r="S24" s="425">
        <f>[1]FTES!W24</f>
        <v>0</v>
      </c>
      <c r="T24" s="425">
        <f>[1]FTES!X24</f>
        <v>0</v>
      </c>
      <c r="U24" s="425">
        <f>[1]FTES!Y24</f>
        <v>0</v>
      </c>
      <c r="V24" s="425">
        <f>[1]FTES!Z24</f>
        <v>0</v>
      </c>
      <c r="W24" s="425">
        <f>[1]FTES!AA24</f>
        <v>0</v>
      </c>
      <c r="X24" s="425">
        <f>[1]FTES!AD24</f>
        <v>0</v>
      </c>
      <c r="Y24" s="425">
        <f>[1]FTES!AE24</f>
        <v>0</v>
      </c>
      <c r="Z24" s="425">
        <f>[1]FTES!AF24</f>
        <v>0</v>
      </c>
      <c r="AA24" s="425">
        <f>[1]FTES!AG24</f>
        <v>0</v>
      </c>
      <c r="AB24" s="425">
        <f>[1]FTES!AH24</f>
        <v>0</v>
      </c>
      <c r="AC24" s="425">
        <f>[1]FTES!AI24</f>
        <v>0</v>
      </c>
      <c r="AD24" s="425"/>
      <c r="AE24" s="376">
        <f>'[1]13-14 $86M Workload Restore'!AJ22</f>
        <v>0</v>
      </c>
      <c r="AF24" s="375"/>
      <c r="AG24" s="122" t="str">
        <f>'[1]Restoration and Growth'!N24</f>
        <v>Restore</v>
      </c>
      <c r="AH24" s="122" t="str">
        <f>'[1]Restoration and Growth'!O24</f>
        <v>Grow</v>
      </c>
      <c r="AI24" s="122" t="str">
        <f>'[1]Restoration and Growth'!P24</f>
        <v>Grow</v>
      </c>
      <c r="AJ24" s="122" t="str">
        <f>'[1]Restoration and Growth'!Q24</f>
        <v>No CPCP</v>
      </c>
      <c r="AK24" s="139"/>
      <c r="AL24" s="139">
        <f>ROUND(J24*'[1]PBF Run'!$AS$4,3)</f>
        <v>0.28699999999999998</v>
      </c>
      <c r="AM24" s="139">
        <f>ROUND(S24*'[1]PBF Run'!$AF$4,3)</f>
        <v>0</v>
      </c>
      <c r="AN24" s="139">
        <f>ROUND(AB24*'[1]PBF Run'!$AJ$4,3)</f>
        <v>0</v>
      </c>
      <c r="AO24" s="139">
        <f t="shared" si="29"/>
        <v>0.28699999999999998</v>
      </c>
      <c r="AP24" s="139" t="str">
        <f t="shared" si="46"/>
        <v>Y</v>
      </c>
      <c r="AQ24" s="139"/>
      <c r="AR24" s="374">
        <f t="shared" si="47"/>
        <v>0</v>
      </c>
      <c r="AS24" s="9">
        <f t="shared" si="0"/>
        <v>0</v>
      </c>
      <c r="AT24" s="9"/>
      <c r="AU24" s="373">
        <f t="shared" si="1"/>
        <v>0</v>
      </c>
      <c r="AV24" s="439">
        <f t="shared" si="2"/>
        <v>0</v>
      </c>
      <c r="AW24" s="9">
        <f t="shared" si="3"/>
        <v>0</v>
      </c>
      <c r="AX24" s="9"/>
      <c r="AY24" s="373">
        <f t="shared" si="4"/>
        <v>0</v>
      </c>
      <c r="AZ24" s="439">
        <f t="shared" si="30"/>
        <v>0</v>
      </c>
      <c r="BA24" s="9">
        <f t="shared" si="31"/>
        <v>0</v>
      </c>
      <c r="BB24" s="439"/>
      <c r="BC24" s="171">
        <f t="shared" si="32"/>
        <v>0</v>
      </c>
      <c r="BD24" s="171">
        <f t="shared" si="33"/>
        <v>0</v>
      </c>
      <c r="BE24" s="171">
        <f t="shared" si="34"/>
        <v>0</v>
      </c>
      <c r="BF24" s="438">
        <f t="shared" si="35"/>
        <v>0</v>
      </c>
      <c r="BG24" s="389">
        <f t="shared" si="5"/>
        <v>0</v>
      </c>
      <c r="BH24" s="438"/>
      <c r="BI24" s="425">
        <f t="shared" si="6"/>
        <v>1410.58</v>
      </c>
      <c r="BJ24" s="425">
        <f t="shared" si="7"/>
        <v>23.099999999999998</v>
      </c>
      <c r="BK24" s="425">
        <f t="shared" si="8"/>
        <v>0</v>
      </c>
      <c r="BL24" s="438"/>
      <c r="BM24" s="425">
        <f t="shared" si="9"/>
        <v>1410.58</v>
      </c>
      <c r="BN24" s="425">
        <f t="shared" si="10"/>
        <v>23.099999999999998</v>
      </c>
      <c r="BO24" s="425">
        <f t="shared" si="11"/>
        <v>0</v>
      </c>
      <c r="BP24" s="438"/>
      <c r="BQ24" s="372">
        <f t="shared" si="12"/>
        <v>1449.39</v>
      </c>
      <c r="BR24" s="372">
        <f t="shared" si="13"/>
        <v>107.77</v>
      </c>
      <c r="BS24" s="372">
        <f t="shared" si="14"/>
        <v>0</v>
      </c>
      <c r="BU24" s="439">
        <f t="shared" si="15"/>
        <v>38.809938000000002</v>
      </c>
      <c r="BV24" s="439">
        <f t="shared" si="16"/>
        <v>84.670179000000005</v>
      </c>
      <c r="BW24" s="439">
        <f t="shared" si="17"/>
        <v>0</v>
      </c>
      <c r="BY24" s="439">
        <f t="shared" si="18"/>
        <v>0</v>
      </c>
      <c r="BZ24" s="439">
        <f t="shared" si="19"/>
        <v>0</v>
      </c>
      <c r="CA24" s="439">
        <f t="shared" si="20"/>
        <v>0</v>
      </c>
      <c r="CB24" s="439"/>
      <c r="CC24" s="439">
        <f t="shared" si="21"/>
        <v>0</v>
      </c>
      <c r="CD24" s="439">
        <f t="shared" si="22"/>
        <v>0</v>
      </c>
      <c r="CE24" s="374">
        <f t="shared" si="23"/>
        <v>0</v>
      </c>
      <c r="CF24" s="439"/>
      <c r="CG24" s="439">
        <f t="shared" si="36"/>
        <v>0</v>
      </c>
      <c r="CH24" s="439">
        <f t="shared" si="37"/>
        <v>0</v>
      </c>
      <c r="CI24" s="439">
        <f t="shared" si="38"/>
        <v>0</v>
      </c>
      <c r="CJ24" s="439"/>
      <c r="CK24" s="439">
        <v>4636.4931280000001</v>
      </c>
      <c r="CL24" s="439">
        <v>2788.0536374600001</v>
      </c>
      <c r="CM24" s="439">
        <v>3282.8110613200001</v>
      </c>
      <c r="CN24" s="439"/>
      <c r="CO24" s="439">
        <f t="shared" si="39"/>
        <v>0</v>
      </c>
      <c r="CP24" s="439">
        <f t="shared" si="24"/>
        <v>0</v>
      </c>
      <c r="CQ24" s="439">
        <f t="shared" si="24"/>
        <v>0</v>
      </c>
      <c r="CR24" s="439">
        <f t="shared" si="40"/>
        <v>0</v>
      </c>
      <c r="CS24" s="439">
        <f>+'[1]13-14 $86M Workload Restore'!AJ22</f>
        <v>0</v>
      </c>
      <c r="CT24" s="439">
        <f t="shared" si="41"/>
        <v>0</v>
      </c>
      <c r="CV24" s="173">
        <v>0</v>
      </c>
      <c r="CW24" s="439">
        <f t="shared" si="42"/>
        <v>1449.389938</v>
      </c>
      <c r="CX24" s="439">
        <f t="shared" si="25"/>
        <v>107.770179</v>
      </c>
      <c r="CY24" s="439">
        <f t="shared" si="25"/>
        <v>0</v>
      </c>
      <c r="DA24" s="439">
        <f t="shared" si="26"/>
        <v>6.2000000070838723E-5</v>
      </c>
      <c r="DB24" s="439">
        <f t="shared" si="26"/>
        <v>-1.790000000028158E-4</v>
      </c>
      <c r="DC24" s="439">
        <f t="shared" si="26"/>
        <v>0</v>
      </c>
      <c r="DE24" s="371">
        <f t="shared" si="27"/>
        <v>0</v>
      </c>
      <c r="DF24" s="371">
        <f t="shared" si="27"/>
        <v>0</v>
      </c>
      <c r="DG24" s="371">
        <f t="shared" si="27"/>
        <v>0</v>
      </c>
      <c r="DH24" s="439"/>
      <c r="DI24" s="371">
        <f t="shared" si="28"/>
        <v>0</v>
      </c>
      <c r="DJ24" s="371">
        <f t="shared" si="28"/>
        <v>0</v>
      </c>
      <c r="DK24" s="371">
        <f t="shared" si="28"/>
        <v>0</v>
      </c>
      <c r="DL24" s="144">
        <f t="shared" si="43"/>
        <v>6720086.0902979607</v>
      </c>
      <c r="DM24" s="144">
        <f t="shared" si="44"/>
        <v>300469.03957066534</v>
      </c>
      <c r="DN24" s="144">
        <f t="shared" si="45"/>
        <v>0</v>
      </c>
      <c r="DO24" s="144">
        <f>'[1]PBF Run'!F24*(1+'[1]PBF Run'!$C$4)</f>
        <v>3935975.6352000004</v>
      </c>
      <c r="DP24" s="144">
        <f>'[1]PBF Run'!AA24+'[1]PBF Run'!AB24+'[1]PBF Run'!AC24+'[1]PBF Run'!AD24</f>
        <v>0</v>
      </c>
      <c r="DQ24" s="144">
        <f>'[1]PBF Run'!X24</f>
        <v>0</v>
      </c>
      <c r="DR24" s="144">
        <f>'[1]PBF Run'!L24*(1+'[1]PBF Run'!$C$4)</f>
        <v>0</v>
      </c>
      <c r="DS24" s="144">
        <f>'[1]PBF Run'!AE24</f>
        <v>10956531</v>
      </c>
      <c r="DT24" s="326">
        <f t="shared" si="48"/>
        <v>0.23493137396872044</v>
      </c>
      <c r="DU24" s="144"/>
      <c r="DV24" s="144"/>
    </row>
    <row r="25" spans="1:126" ht="13.5" thickBot="1">
      <c r="A25" s="16" t="s">
        <v>369</v>
      </c>
      <c r="B25" s="16" t="s">
        <v>126</v>
      </c>
      <c r="C25" s="425">
        <f>[1]FTES!C25</f>
        <v>27552.649999999998</v>
      </c>
      <c r="D25" s="425">
        <f>[1]FTES!D25</f>
        <v>27552.649999999998</v>
      </c>
      <c r="E25" s="425">
        <f>[1]FTES!E25</f>
        <v>27115.14</v>
      </c>
      <c r="F25" s="425">
        <f>[1]FTES!H25</f>
        <v>0</v>
      </c>
      <c r="G25" s="425">
        <f>[1]FTES!I25</f>
        <v>0</v>
      </c>
      <c r="H25" s="425">
        <f>[1]FTES!J25</f>
        <v>27115.14</v>
      </c>
      <c r="I25" s="425">
        <f>[1]FTES!K25</f>
        <v>-437.51</v>
      </c>
      <c r="J25" s="425">
        <f>[1]FTES!L25</f>
        <v>0</v>
      </c>
      <c r="K25" s="425">
        <f>[1]FTES!M25</f>
        <v>0</v>
      </c>
      <c r="L25" s="425">
        <f>[1]FTES!N25</f>
        <v>201.04</v>
      </c>
      <c r="M25" s="425">
        <f>[1]FTES!O25</f>
        <v>201.04</v>
      </c>
      <c r="N25" s="425">
        <f>[1]FTES!P25</f>
        <v>200.10999999999999</v>
      </c>
      <c r="O25" s="425">
        <f>[1]FTES!S25</f>
        <v>0</v>
      </c>
      <c r="P25" s="425">
        <f>[1]FTES!T25</f>
        <v>0</v>
      </c>
      <c r="Q25" s="425">
        <f>[1]FTES!U25</f>
        <v>200.10999999999999</v>
      </c>
      <c r="R25" s="425">
        <f>[1]FTES!V25</f>
        <v>-0.93</v>
      </c>
      <c r="S25" s="425">
        <f>[1]FTES!W25</f>
        <v>0</v>
      </c>
      <c r="T25" s="425">
        <f>[1]FTES!X25</f>
        <v>0</v>
      </c>
      <c r="U25" s="425">
        <f>[1]FTES!Y25</f>
        <v>18</v>
      </c>
      <c r="V25" s="425">
        <f>[1]FTES!Z25</f>
        <v>18</v>
      </c>
      <c r="W25" s="425">
        <f>[1]FTES!AA25</f>
        <v>126.03</v>
      </c>
      <c r="X25" s="425">
        <f>[1]FTES!AD25</f>
        <v>0</v>
      </c>
      <c r="Y25" s="425">
        <f>[1]FTES!AE25</f>
        <v>0</v>
      </c>
      <c r="Z25" s="425">
        <f>[1]FTES!AF25</f>
        <v>126.03</v>
      </c>
      <c r="AA25" s="425">
        <f>[1]FTES!AG25</f>
        <v>108.03</v>
      </c>
      <c r="AB25" s="425">
        <f>[1]FTES!AH25</f>
        <v>0</v>
      </c>
      <c r="AC25" s="425">
        <f>[1]FTES!AI25</f>
        <v>0</v>
      </c>
      <c r="AD25" s="425"/>
      <c r="AE25" s="376">
        <f>'[1]13-14 $86M Workload Restore'!AJ23</f>
        <v>0</v>
      </c>
      <c r="AF25" s="375"/>
      <c r="AG25" s="122" t="str">
        <f>'[1]Restoration and Growth'!N25</f>
        <v>Decline</v>
      </c>
      <c r="AH25" s="122" t="str">
        <f>'[1]Restoration and Growth'!O25</f>
        <v>Decline</v>
      </c>
      <c r="AI25" s="122" t="str">
        <f>'[1]Restoration and Growth'!P25</f>
        <v>Decline</v>
      </c>
      <c r="AJ25" s="122" t="str">
        <f>'[1]Restoration and Growth'!Q25</f>
        <v>Grow</v>
      </c>
      <c r="AK25" s="139"/>
      <c r="AL25" s="139">
        <f>ROUND(J25*'[1]PBF Run'!$AS$4,3)</f>
        <v>0</v>
      </c>
      <c r="AM25" s="139">
        <f>ROUND(S25*'[1]PBF Run'!$AF$4,3)</f>
        <v>0</v>
      </c>
      <c r="AN25" s="139">
        <f>ROUND(AB25*'[1]PBF Run'!$AJ$4,3)</f>
        <v>0</v>
      </c>
      <c r="AO25" s="139">
        <f t="shared" si="29"/>
        <v>0</v>
      </c>
      <c r="AP25" s="139" t="str">
        <f t="shared" si="46"/>
        <v>NA</v>
      </c>
      <c r="AQ25" s="139"/>
      <c r="AR25" s="374">
        <f t="shared" si="47"/>
        <v>0</v>
      </c>
      <c r="AS25" s="9">
        <f t="shared" si="0"/>
        <v>0</v>
      </c>
      <c r="AT25" s="9"/>
      <c r="AU25" s="373">
        <f t="shared" si="1"/>
        <v>0</v>
      </c>
      <c r="AV25" s="439">
        <f t="shared" si="2"/>
        <v>0</v>
      </c>
      <c r="AW25" s="9">
        <f t="shared" si="3"/>
        <v>0</v>
      </c>
      <c r="AX25" s="9"/>
      <c r="AY25" s="373">
        <f t="shared" si="4"/>
        <v>0</v>
      </c>
      <c r="AZ25" s="439">
        <f t="shared" si="30"/>
        <v>0</v>
      </c>
      <c r="BA25" s="9">
        <f t="shared" si="31"/>
        <v>0</v>
      </c>
      <c r="BB25" s="439"/>
      <c r="BC25" s="171">
        <f t="shared" si="32"/>
        <v>0</v>
      </c>
      <c r="BD25" s="171">
        <f t="shared" si="33"/>
        <v>0</v>
      </c>
      <c r="BE25" s="171">
        <f t="shared" si="34"/>
        <v>0</v>
      </c>
      <c r="BF25" s="438">
        <f t="shared" si="35"/>
        <v>0</v>
      </c>
      <c r="BG25" s="389">
        <f t="shared" si="5"/>
        <v>0</v>
      </c>
      <c r="BH25" s="438"/>
      <c r="BI25" s="425">
        <f t="shared" si="6"/>
        <v>27552.649999999998</v>
      </c>
      <c r="BJ25" s="425">
        <f t="shared" si="7"/>
        <v>201.04</v>
      </c>
      <c r="BK25" s="425">
        <f t="shared" si="8"/>
        <v>18</v>
      </c>
      <c r="BL25" s="438"/>
      <c r="BM25" s="425">
        <f t="shared" si="9"/>
        <v>27552.649999999998</v>
      </c>
      <c r="BN25" s="425">
        <f t="shared" si="10"/>
        <v>201.04</v>
      </c>
      <c r="BO25" s="425">
        <f t="shared" si="11"/>
        <v>18</v>
      </c>
      <c r="BP25" s="438"/>
      <c r="BQ25" s="372">
        <f t="shared" si="12"/>
        <v>27115.14</v>
      </c>
      <c r="BR25" s="372">
        <f t="shared" si="13"/>
        <v>200.10999999999999</v>
      </c>
      <c r="BS25" s="372">
        <f t="shared" si="14"/>
        <v>126.03</v>
      </c>
      <c r="BU25" s="439">
        <f t="shared" si="15"/>
        <v>0</v>
      </c>
      <c r="BV25" s="439">
        <f t="shared" si="16"/>
        <v>0</v>
      </c>
      <c r="BW25" s="439">
        <f t="shared" si="17"/>
        <v>0</v>
      </c>
      <c r="BY25" s="439">
        <f t="shared" si="18"/>
        <v>0</v>
      </c>
      <c r="BZ25" s="439">
        <f t="shared" si="19"/>
        <v>0</v>
      </c>
      <c r="CA25" s="439">
        <f t="shared" si="20"/>
        <v>0</v>
      </c>
      <c r="CB25" s="439"/>
      <c r="CC25" s="439">
        <f t="shared" si="21"/>
        <v>-437.51</v>
      </c>
      <c r="CD25" s="439">
        <f t="shared" si="22"/>
        <v>-0.93</v>
      </c>
      <c r="CE25" s="374">
        <f t="shared" si="23"/>
        <v>108.03</v>
      </c>
      <c r="CF25" s="439"/>
      <c r="CG25" s="439">
        <f t="shared" si="36"/>
        <v>0</v>
      </c>
      <c r="CH25" s="439">
        <f t="shared" si="37"/>
        <v>0</v>
      </c>
      <c r="CI25" s="439">
        <f t="shared" si="38"/>
        <v>0</v>
      </c>
      <c r="CJ25" s="439"/>
      <c r="CK25" s="439">
        <v>4659.3517469999997</v>
      </c>
      <c r="CL25" s="439">
        <v>2788.0536374600001</v>
      </c>
      <c r="CM25" s="439">
        <v>3282.8110613200001</v>
      </c>
      <c r="CN25" s="439"/>
      <c r="CO25" s="439">
        <f t="shared" si="39"/>
        <v>0</v>
      </c>
      <c r="CP25" s="439">
        <f t="shared" si="24"/>
        <v>0</v>
      </c>
      <c r="CQ25" s="439">
        <f t="shared" si="24"/>
        <v>0</v>
      </c>
      <c r="CR25" s="439">
        <f t="shared" si="40"/>
        <v>0</v>
      </c>
      <c r="CS25" s="439">
        <f>+'[1]13-14 $86M Workload Restore'!AJ23</f>
        <v>0</v>
      </c>
      <c r="CT25" s="439">
        <f t="shared" si="41"/>
        <v>0</v>
      </c>
      <c r="CV25" s="173">
        <v>0</v>
      </c>
      <c r="CW25" s="439">
        <f t="shared" si="42"/>
        <v>27115.14</v>
      </c>
      <c r="CX25" s="439">
        <f t="shared" si="25"/>
        <v>200.10999999999999</v>
      </c>
      <c r="CY25" s="439">
        <f t="shared" si="25"/>
        <v>126.03</v>
      </c>
      <c r="DA25" s="439">
        <f t="shared" si="26"/>
        <v>0</v>
      </c>
      <c r="DB25" s="439">
        <f t="shared" si="26"/>
        <v>0</v>
      </c>
      <c r="DC25" s="439">
        <f t="shared" si="26"/>
        <v>0</v>
      </c>
      <c r="DE25" s="371">
        <f t="shared" si="27"/>
        <v>0</v>
      </c>
      <c r="DF25" s="371">
        <f t="shared" si="27"/>
        <v>0</v>
      </c>
      <c r="DG25" s="371">
        <f t="shared" si="27"/>
        <v>0</v>
      </c>
      <c r="DH25" s="439"/>
      <c r="DI25" s="371">
        <f t="shared" si="28"/>
        <v>0</v>
      </c>
      <c r="DJ25" s="371">
        <f t="shared" si="28"/>
        <v>0</v>
      </c>
      <c r="DK25" s="371">
        <f t="shared" si="28"/>
        <v>0</v>
      </c>
      <c r="DL25" s="144">
        <f t="shared" si="43"/>
        <v>125719152.84710762</v>
      </c>
      <c r="DM25" s="144">
        <f t="shared" si="44"/>
        <v>557917.41339212062</v>
      </c>
      <c r="DN25" s="144">
        <f t="shared" si="45"/>
        <v>413732.6780581596</v>
      </c>
      <c r="DO25" s="144">
        <f>'[1]PBF Run'!F25*(1+'[1]PBF Run'!$C$4)</f>
        <v>8996516.0278000012</v>
      </c>
      <c r="DP25" s="144">
        <f>'[1]PBF Run'!AA25+'[1]PBF Run'!AB25+'[1]PBF Run'!AC25+'[1]PBF Run'!AD25</f>
        <v>0</v>
      </c>
      <c r="DQ25" s="144">
        <f>'[1]PBF Run'!X25</f>
        <v>1676463</v>
      </c>
      <c r="DR25" s="144">
        <f>'[1]PBF Run'!L25*(1+'[1]PBF Run'!$C$4)</f>
        <v>629823.38160000008</v>
      </c>
      <c r="DS25" s="144">
        <f>'[1]PBF Run'!AE25</f>
        <v>137993605</v>
      </c>
      <c r="DT25" s="326">
        <f t="shared" si="48"/>
        <v>-0.34795789420604706</v>
      </c>
      <c r="DU25" s="144"/>
      <c r="DV25" s="144"/>
    </row>
    <row r="26" spans="1:126" ht="13.5" thickBot="1">
      <c r="A26" s="16" t="s">
        <v>367</v>
      </c>
      <c r="B26" s="16" t="s">
        <v>127</v>
      </c>
      <c r="C26" s="425">
        <f>[1]FTES!C26</f>
        <v>4495.1656420000008</v>
      </c>
      <c r="D26" s="425">
        <f>[1]FTES!D26</f>
        <v>4495.1656420000008</v>
      </c>
      <c r="E26" s="425">
        <f>[1]FTES!E26</f>
        <v>4646.62</v>
      </c>
      <c r="F26" s="425">
        <f>[1]FTES!H26</f>
        <v>0</v>
      </c>
      <c r="G26" s="425">
        <f>[1]FTES!I26</f>
        <v>0</v>
      </c>
      <c r="H26" s="425">
        <f>[1]FTES!J26</f>
        <v>4495.1656419999999</v>
      </c>
      <c r="I26" s="425">
        <f>[1]FTES!K26</f>
        <v>0</v>
      </c>
      <c r="J26" s="425">
        <f>[1]FTES!L26</f>
        <v>151.45435800000001</v>
      </c>
      <c r="K26" s="425">
        <f>[1]FTES!M26</f>
        <v>0</v>
      </c>
      <c r="L26" s="425">
        <f>[1]FTES!N26</f>
        <v>483.62999999999994</v>
      </c>
      <c r="M26" s="425">
        <f>[1]FTES!O26</f>
        <v>483.62999999999994</v>
      </c>
      <c r="N26" s="425">
        <f>[1]FTES!P26</f>
        <v>516.5</v>
      </c>
      <c r="O26" s="425">
        <f>[1]FTES!S26</f>
        <v>0</v>
      </c>
      <c r="P26" s="425">
        <f>[1]FTES!T26</f>
        <v>0</v>
      </c>
      <c r="Q26" s="425">
        <f>[1]FTES!U26</f>
        <v>483.63</v>
      </c>
      <c r="R26" s="425">
        <f>[1]FTES!V26</f>
        <v>0</v>
      </c>
      <c r="S26" s="425">
        <f>[1]FTES!W26</f>
        <v>32.869999999999997</v>
      </c>
      <c r="T26" s="425">
        <f>[1]FTES!X26</f>
        <v>0</v>
      </c>
      <c r="U26" s="425">
        <f>[1]FTES!Y26</f>
        <v>74.039999999999992</v>
      </c>
      <c r="V26" s="425">
        <f>[1]FTES!Z26</f>
        <v>74.039999999999992</v>
      </c>
      <c r="W26" s="425">
        <f>[1]FTES!AA26</f>
        <v>59.71</v>
      </c>
      <c r="X26" s="425">
        <f>[1]FTES!AD26</f>
        <v>0</v>
      </c>
      <c r="Y26" s="425">
        <f>[1]FTES!AE26</f>
        <v>0</v>
      </c>
      <c r="Z26" s="425">
        <f>[1]FTES!AF26</f>
        <v>59.71</v>
      </c>
      <c r="AA26" s="425">
        <f>[1]FTES!AG26</f>
        <v>0</v>
      </c>
      <c r="AB26" s="425">
        <f>[1]FTES!AH26</f>
        <v>0</v>
      </c>
      <c r="AC26" s="425">
        <f>[1]FTES!AI26</f>
        <v>0</v>
      </c>
      <c r="AD26" s="425"/>
      <c r="AE26" s="376">
        <f>'[1]13-14 $86M Workload Restore'!AJ24</f>
        <v>525019</v>
      </c>
      <c r="AF26" s="375"/>
      <c r="AG26" s="122" t="str">
        <f>'[1]Restoration and Growth'!N26</f>
        <v>Growth</v>
      </c>
      <c r="AH26" s="122" t="str">
        <f>'[1]Restoration and Growth'!O26</f>
        <v>Grow</v>
      </c>
      <c r="AI26" s="122" t="str">
        <f>'[1]Restoration and Growth'!P26</f>
        <v>Grow</v>
      </c>
      <c r="AJ26" s="122" t="str">
        <f>'[1]Restoration and Growth'!Q26</f>
        <v>Decline</v>
      </c>
      <c r="AK26" s="139"/>
      <c r="AL26" s="139">
        <f>ROUND(J26*'[1]PBF Run'!$AS$4,3)</f>
        <v>702217.049</v>
      </c>
      <c r="AM26" s="139">
        <f>ROUND(S26*'[1]PBF Run'!$AF$4,3)</f>
        <v>91643.323000000004</v>
      </c>
      <c r="AN26" s="139">
        <f>ROUND(AB26*'[1]PBF Run'!$AJ$4,3)</f>
        <v>0</v>
      </c>
      <c r="AO26" s="139">
        <f t="shared" si="29"/>
        <v>793860.37199999997</v>
      </c>
      <c r="AP26" s="139" t="str">
        <f t="shared" si="46"/>
        <v>Y</v>
      </c>
      <c r="AQ26" s="139"/>
      <c r="AR26" s="374">
        <f t="shared" si="47"/>
        <v>103.616896</v>
      </c>
      <c r="AS26" s="9">
        <f t="shared" si="0"/>
        <v>480419</v>
      </c>
      <c r="AT26" s="9"/>
      <c r="AU26" s="373">
        <f t="shared" si="1"/>
        <v>480419</v>
      </c>
      <c r="AV26" s="439">
        <f t="shared" si="2"/>
        <v>32.869999999999997</v>
      </c>
      <c r="AW26" s="9">
        <f t="shared" si="3"/>
        <v>91643</v>
      </c>
      <c r="AX26" s="9"/>
      <c r="AY26" s="373">
        <f t="shared" si="4"/>
        <v>572062</v>
      </c>
      <c r="AZ26" s="439">
        <f t="shared" si="30"/>
        <v>-14.329999999999991</v>
      </c>
      <c r="BA26" s="9">
        <f t="shared" si="31"/>
        <v>-47043</v>
      </c>
      <c r="BB26" s="439"/>
      <c r="BC26" s="171">
        <f t="shared" si="32"/>
        <v>480419</v>
      </c>
      <c r="BD26" s="171">
        <f t="shared" si="33"/>
        <v>91643</v>
      </c>
      <c r="BE26" s="171">
        <f t="shared" si="34"/>
        <v>-47043</v>
      </c>
      <c r="BF26" s="438">
        <f t="shared" si="35"/>
        <v>525019</v>
      </c>
      <c r="BG26" s="389">
        <f t="shared" si="5"/>
        <v>0</v>
      </c>
      <c r="BH26" s="438"/>
      <c r="BI26" s="425">
        <f t="shared" si="6"/>
        <v>4495.1656420000008</v>
      </c>
      <c r="BJ26" s="425">
        <f t="shared" si="7"/>
        <v>483.62999999999994</v>
      </c>
      <c r="BK26" s="425">
        <f t="shared" si="8"/>
        <v>74.039999999999992</v>
      </c>
      <c r="BL26" s="438"/>
      <c r="BM26" s="425">
        <f t="shared" si="9"/>
        <v>4495.1656420000008</v>
      </c>
      <c r="BN26" s="425">
        <f t="shared" si="10"/>
        <v>483.62999999999994</v>
      </c>
      <c r="BO26" s="425">
        <f t="shared" si="11"/>
        <v>74.039999999999992</v>
      </c>
      <c r="BP26" s="438"/>
      <c r="BQ26" s="372">
        <f t="shared" si="12"/>
        <v>4646.62</v>
      </c>
      <c r="BR26" s="372">
        <f t="shared" si="13"/>
        <v>516.5</v>
      </c>
      <c r="BS26" s="372">
        <f t="shared" si="14"/>
        <v>59.71</v>
      </c>
      <c r="BU26" s="439">
        <f t="shared" si="15"/>
        <v>0</v>
      </c>
      <c r="BV26" s="439">
        <f t="shared" si="16"/>
        <v>0</v>
      </c>
      <c r="BW26" s="439">
        <f t="shared" si="17"/>
        <v>0</v>
      </c>
      <c r="BY26" s="439">
        <f t="shared" si="18"/>
        <v>0</v>
      </c>
      <c r="BZ26" s="439">
        <f t="shared" si="19"/>
        <v>0</v>
      </c>
      <c r="CA26" s="439">
        <f t="shared" si="20"/>
        <v>0</v>
      </c>
      <c r="CB26" s="439"/>
      <c r="CC26" s="439">
        <f t="shared" si="21"/>
        <v>0</v>
      </c>
      <c r="CD26" s="439">
        <f t="shared" si="22"/>
        <v>0</v>
      </c>
      <c r="CE26" s="374">
        <f t="shared" si="23"/>
        <v>0</v>
      </c>
      <c r="CF26" s="439"/>
      <c r="CG26" s="439">
        <f t="shared" si="36"/>
        <v>103.616896</v>
      </c>
      <c r="CH26" s="439">
        <f t="shared" si="37"/>
        <v>32.869999999999997</v>
      </c>
      <c r="CI26" s="439">
        <f t="shared" si="38"/>
        <v>-14.329999999999991</v>
      </c>
      <c r="CJ26" s="439"/>
      <c r="CK26" s="439">
        <v>4636.4928550000004</v>
      </c>
      <c r="CL26" s="439">
        <v>2788.0536374600001</v>
      </c>
      <c r="CM26" s="439">
        <v>3282.8110613200001</v>
      </c>
      <c r="CN26" s="439"/>
      <c r="CO26" s="439">
        <f t="shared" si="39"/>
        <v>480418.99796127813</v>
      </c>
      <c r="CP26" s="439">
        <f t="shared" si="24"/>
        <v>91643.323063310192</v>
      </c>
      <c r="CQ26" s="439">
        <f t="shared" si="24"/>
        <v>-47042.682508715574</v>
      </c>
      <c r="CR26" s="439">
        <f t="shared" si="40"/>
        <v>525019.63851587276</v>
      </c>
      <c r="CS26" s="439">
        <f>+'[1]13-14 $86M Workload Restore'!AJ24</f>
        <v>525019</v>
      </c>
      <c r="CT26" s="439">
        <f t="shared" si="41"/>
        <v>0.63851587276440114</v>
      </c>
      <c r="CV26" s="173">
        <v>0</v>
      </c>
      <c r="CW26" s="439">
        <f t="shared" si="42"/>
        <v>4598.7825380000013</v>
      </c>
      <c r="CX26" s="439">
        <f t="shared" si="25"/>
        <v>516.49999999999989</v>
      </c>
      <c r="CY26" s="439">
        <f t="shared" si="25"/>
        <v>59.71</v>
      </c>
      <c r="DA26" s="439">
        <f t="shared" si="26"/>
        <v>47.837461999998595</v>
      </c>
      <c r="DB26" s="439">
        <f t="shared" si="26"/>
        <v>0</v>
      </c>
      <c r="DC26" s="439">
        <f t="shared" si="26"/>
        <v>0</v>
      </c>
      <c r="DE26" s="371">
        <f t="shared" si="27"/>
        <v>0</v>
      </c>
      <c r="DF26" s="371">
        <f t="shared" si="27"/>
        <v>0</v>
      </c>
      <c r="DG26" s="371">
        <f t="shared" si="27"/>
        <v>0</v>
      </c>
      <c r="DH26" s="439"/>
      <c r="DI26" s="371">
        <f t="shared" si="28"/>
        <v>0</v>
      </c>
      <c r="DJ26" s="371">
        <f t="shared" si="28"/>
        <v>1.1368683772161603E-13</v>
      </c>
      <c r="DK26" s="371">
        <f t="shared" si="28"/>
        <v>0</v>
      </c>
      <c r="DL26" s="144">
        <f t="shared" si="43"/>
        <v>21322222.374858905</v>
      </c>
      <c r="DM26" s="144">
        <f t="shared" si="44"/>
        <v>1440029.7037480897</v>
      </c>
      <c r="DN26" s="144">
        <f t="shared" si="45"/>
        <v>196016.6484714172</v>
      </c>
      <c r="DO26" s="144">
        <f>'[1]PBF Run'!F26*(1+'[1]PBF Run'!$C$4)</f>
        <v>3935975.6352000004</v>
      </c>
      <c r="DP26" s="144">
        <f>'[1]PBF Run'!AA26+'[1]PBF Run'!AB26+'[1]PBF Run'!AC26+'[1]PBF Run'!AD26</f>
        <v>0</v>
      </c>
      <c r="DQ26" s="144">
        <f>'[1]PBF Run'!X26</f>
        <v>0</v>
      </c>
      <c r="DR26" s="144">
        <f>'[1]PBF Run'!L26*(1+'[1]PBF Run'!$C$4)</f>
        <v>0</v>
      </c>
      <c r="DS26" s="144">
        <f>'[1]PBF Run'!AE26</f>
        <v>26894244</v>
      </c>
      <c r="DT26" s="326">
        <f t="shared" si="48"/>
        <v>-0.36227841302752495</v>
      </c>
      <c r="DU26" s="144"/>
      <c r="DV26" s="144"/>
    </row>
    <row r="27" spans="1:126" ht="13.5" thickBot="1">
      <c r="A27" s="16" t="s">
        <v>365</v>
      </c>
      <c r="B27" s="16" t="s">
        <v>128</v>
      </c>
      <c r="C27" s="425">
        <f>[1]FTES!C27</f>
        <v>12280.350060999999</v>
      </c>
      <c r="D27" s="425">
        <f>[1]FTES!D27</f>
        <v>12280.350060999999</v>
      </c>
      <c r="E27" s="425">
        <f>[1]FTES!E27</f>
        <v>12507.87</v>
      </c>
      <c r="F27" s="425">
        <f>[1]FTES!H27</f>
        <v>0</v>
      </c>
      <c r="G27" s="425">
        <f>[1]FTES!I27</f>
        <v>0</v>
      </c>
      <c r="H27" s="425">
        <f>[1]FTES!J27</f>
        <v>12280.350060999999</v>
      </c>
      <c r="I27" s="425">
        <f>[1]FTES!K27</f>
        <v>0</v>
      </c>
      <c r="J27" s="425">
        <f>[1]FTES!L27</f>
        <v>227.51993899999999</v>
      </c>
      <c r="K27" s="425">
        <f>[1]FTES!M27</f>
        <v>0</v>
      </c>
      <c r="L27" s="425">
        <f>[1]FTES!N27</f>
        <v>343.2800000000002</v>
      </c>
      <c r="M27" s="425">
        <f>[1]FTES!O27</f>
        <v>343.2800000000002</v>
      </c>
      <c r="N27" s="425">
        <f>[1]FTES!P27</f>
        <v>361.36000000000013</v>
      </c>
      <c r="O27" s="425">
        <f>[1]FTES!S27</f>
        <v>0</v>
      </c>
      <c r="P27" s="425">
        <f>[1]FTES!T27</f>
        <v>0</v>
      </c>
      <c r="Q27" s="425">
        <f>[1]FTES!U27</f>
        <v>343.28</v>
      </c>
      <c r="R27" s="425">
        <f>[1]FTES!V27</f>
        <v>0</v>
      </c>
      <c r="S27" s="425">
        <f>[1]FTES!W27</f>
        <v>18.079999999999998</v>
      </c>
      <c r="T27" s="425">
        <f>[1]FTES!X27</f>
        <v>0</v>
      </c>
      <c r="U27" s="425">
        <f>[1]FTES!Y27</f>
        <v>2331.08</v>
      </c>
      <c r="V27" s="425">
        <f>[1]FTES!Z27</f>
        <v>2331.08</v>
      </c>
      <c r="W27" s="425">
        <f>[1]FTES!AA27</f>
        <v>2422.29</v>
      </c>
      <c r="X27" s="425">
        <f>[1]FTES!AD27</f>
        <v>0</v>
      </c>
      <c r="Y27" s="425">
        <f>[1]FTES!AE27</f>
        <v>0</v>
      </c>
      <c r="Z27" s="425">
        <f>[1]FTES!AF27</f>
        <v>2331.08</v>
      </c>
      <c r="AA27" s="425">
        <f>[1]FTES!AG27</f>
        <v>0</v>
      </c>
      <c r="AB27" s="425">
        <f>[1]FTES!AH27</f>
        <v>91.21</v>
      </c>
      <c r="AC27" s="425">
        <f>[1]FTES!AI27</f>
        <v>0</v>
      </c>
      <c r="AD27" s="425"/>
      <c r="AE27" s="376">
        <f>'[1]13-14 $86M Workload Restore'!AJ25</f>
        <v>1404728</v>
      </c>
      <c r="AF27" s="375"/>
      <c r="AG27" s="122" t="str">
        <f>'[1]Restoration and Growth'!N27</f>
        <v>Growth</v>
      </c>
      <c r="AH27" s="122" t="str">
        <f>'[1]Restoration and Growth'!O27</f>
        <v>Grow</v>
      </c>
      <c r="AI27" s="122" t="str">
        <f>'[1]Restoration and Growth'!P27</f>
        <v>Grow</v>
      </c>
      <c r="AJ27" s="122" t="str">
        <f>'[1]Restoration and Growth'!Q27</f>
        <v>Grow</v>
      </c>
      <c r="AK27" s="139"/>
      <c r="AL27" s="139">
        <f>ROUND(J27*'[1]PBF Run'!$AS$4,3)</f>
        <v>1054894.571</v>
      </c>
      <c r="AM27" s="139">
        <f>ROUND(S27*'[1]PBF Run'!$AF$4,3)</f>
        <v>50408.01</v>
      </c>
      <c r="AN27" s="139">
        <f>ROUND(AB27*'[1]PBF Run'!$AJ$4,3)</f>
        <v>299425.19699999999</v>
      </c>
      <c r="AO27" s="139">
        <f t="shared" si="29"/>
        <v>1404727.7779999999</v>
      </c>
      <c r="AP27" s="139" t="str">
        <f t="shared" si="46"/>
        <v>Y</v>
      </c>
      <c r="AQ27" s="139"/>
      <c r="AR27" s="374">
        <f t="shared" si="47"/>
        <v>227.52003099999999</v>
      </c>
      <c r="AS27" s="9">
        <f t="shared" si="0"/>
        <v>1054895</v>
      </c>
      <c r="AT27" s="9"/>
      <c r="AU27" s="373">
        <f t="shared" si="1"/>
        <v>1054895</v>
      </c>
      <c r="AV27" s="439">
        <f t="shared" si="2"/>
        <v>18.079999999999998</v>
      </c>
      <c r="AW27" s="9">
        <f t="shared" si="3"/>
        <v>50408</v>
      </c>
      <c r="AX27" s="9"/>
      <c r="AY27" s="373">
        <f t="shared" si="4"/>
        <v>1105303</v>
      </c>
      <c r="AZ27" s="439">
        <f t="shared" si="30"/>
        <v>91.21</v>
      </c>
      <c r="BA27" s="9">
        <f t="shared" si="31"/>
        <v>299425</v>
      </c>
      <c r="BB27" s="439"/>
      <c r="BC27" s="171">
        <f t="shared" si="32"/>
        <v>1054895</v>
      </c>
      <c r="BD27" s="171">
        <f t="shared" si="33"/>
        <v>50408</v>
      </c>
      <c r="BE27" s="171">
        <f t="shared" si="34"/>
        <v>299425</v>
      </c>
      <c r="BF27" s="438">
        <f t="shared" si="35"/>
        <v>1404728</v>
      </c>
      <c r="BG27" s="389">
        <f t="shared" si="5"/>
        <v>0</v>
      </c>
      <c r="BH27" s="438"/>
      <c r="BI27" s="425">
        <f t="shared" si="6"/>
        <v>12280.350060999999</v>
      </c>
      <c r="BJ27" s="425">
        <f t="shared" si="7"/>
        <v>343.2800000000002</v>
      </c>
      <c r="BK27" s="425">
        <f t="shared" si="8"/>
        <v>2331.08</v>
      </c>
      <c r="BL27" s="438"/>
      <c r="BM27" s="425">
        <f t="shared" si="9"/>
        <v>12280.350060999999</v>
      </c>
      <c r="BN27" s="425">
        <f t="shared" si="10"/>
        <v>343.2800000000002</v>
      </c>
      <c r="BO27" s="425">
        <f t="shared" si="11"/>
        <v>2331.08</v>
      </c>
      <c r="BP27" s="438"/>
      <c r="BQ27" s="372">
        <f t="shared" si="12"/>
        <v>12507.87</v>
      </c>
      <c r="BR27" s="372">
        <f t="shared" si="13"/>
        <v>361.36000000000013</v>
      </c>
      <c r="BS27" s="372">
        <f t="shared" si="14"/>
        <v>2422.29</v>
      </c>
      <c r="BU27" s="439">
        <f t="shared" si="15"/>
        <v>0</v>
      </c>
      <c r="BV27" s="439">
        <f t="shared" si="16"/>
        <v>0</v>
      </c>
      <c r="BW27" s="439">
        <f t="shared" si="17"/>
        <v>0</v>
      </c>
      <c r="BY27" s="439">
        <f t="shared" si="18"/>
        <v>0</v>
      </c>
      <c r="BZ27" s="439">
        <f t="shared" si="19"/>
        <v>0</v>
      </c>
      <c r="CA27" s="439">
        <f t="shared" si="20"/>
        <v>0</v>
      </c>
      <c r="CB27" s="439"/>
      <c r="CC27" s="439">
        <f t="shared" si="21"/>
        <v>0</v>
      </c>
      <c r="CD27" s="439">
        <f t="shared" si="22"/>
        <v>0</v>
      </c>
      <c r="CE27" s="374">
        <f t="shared" si="23"/>
        <v>0</v>
      </c>
      <c r="CF27" s="439"/>
      <c r="CG27" s="439">
        <f t="shared" si="36"/>
        <v>227.52003099999999</v>
      </c>
      <c r="CH27" s="439">
        <f t="shared" si="37"/>
        <v>18.079999999999998</v>
      </c>
      <c r="CI27" s="439">
        <f t="shared" si="38"/>
        <v>91.21</v>
      </c>
      <c r="CJ27" s="439"/>
      <c r="CK27" s="439">
        <v>4636.4928499999996</v>
      </c>
      <c r="CL27" s="439">
        <v>2788.0536374600001</v>
      </c>
      <c r="CM27" s="439">
        <v>3282.8110613200001</v>
      </c>
      <c r="CN27" s="439"/>
      <c r="CO27" s="439">
        <f t="shared" si="39"/>
        <v>1054894.9969632782</v>
      </c>
      <c r="CP27" s="439">
        <f t="shared" si="24"/>
        <v>50408.009765276794</v>
      </c>
      <c r="CQ27" s="439">
        <f t="shared" si="24"/>
        <v>299425.19690299721</v>
      </c>
      <c r="CR27" s="439">
        <f t="shared" si="40"/>
        <v>1404728.2036315519</v>
      </c>
      <c r="CS27" s="439">
        <f>+'[1]13-14 $86M Workload Restore'!AJ25</f>
        <v>1404728</v>
      </c>
      <c r="CT27" s="439">
        <f t="shared" si="41"/>
        <v>0.20363155193626881</v>
      </c>
      <c r="CV27" s="173">
        <v>0</v>
      </c>
      <c r="CW27" s="439">
        <f t="shared" si="42"/>
        <v>12507.870091999999</v>
      </c>
      <c r="CX27" s="439">
        <f t="shared" si="25"/>
        <v>361.36000000000018</v>
      </c>
      <c r="CY27" s="439">
        <f t="shared" si="25"/>
        <v>2422.29</v>
      </c>
      <c r="DA27" s="439">
        <f t="shared" si="26"/>
        <v>-9.1999998403480276E-5</v>
      </c>
      <c r="DB27" s="439">
        <f t="shared" si="26"/>
        <v>0</v>
      </c>
      <c r="DC27" s="439">
        <f t="shared" si="26"/>
        <v>0</v>
      </c>
      <c r="DE27" s="371">
        <f t="shared" si="27"/>
        <v>0</v>
      </c>
      <c r="DF27" s="371">
        <f t="shared" si="27"/>
        <v>0</v>
      </c>
      <c r="DG27" s="371">
        <f t="shared" si="27"/>
        <v>0</v>
      </c>
      <c r="DH27" s="439"/>
      <c r="DI27" s="371">
        <f t="shared" si="28"/>
        <v>0</v>
      </c>
      <c r="DJ27" s="371">
        <f t="shared" si="28"/>
        <v>-5.6843418860808015E-14</v>
      </c>
      <c r="DK27" s="371">
        <f t="shared" si="28"/>
        <v>0</v>
      </c>
      <c r="DL27" s="144">
        <f t="shared" si="43"/>
        <v>57992650.301193871</v>
      </c>
      <c r="DM27" s="144">
        <f t="shared" si="44"/>
        <v>1007491.0624325462</v>
      </c>
      <c r="DN27" s="144">
        <f t="shared" si="45"/>
        <v>7951920.4057248225</v>
      </c>
      <c r="DO27" s="144">
        <f>'[1]PBF Run'!F27*(1+'[1]PBF Run'!$C$4)</f>
        <v>5622822.7713000001</v>
      </c>
      <c r="DP27" s="144">
        <f>'[1]PBF Run'!AA27+'[1]PBF Run'!AB27+'[1]PBF Run'!AC27+'[1]PBF Run'!AD27</f>
        <v>0</v>
      </c>
      <c r="DQ27" s="144">
        <f>'[1]PBF Run'!X27</f>
        <v>0</v>
      </c>
      <c r="DR27" s="144">
        <f>'[1]PBF Run'!L27*(1+'[1]PBF Run'!$C$4)</f>
        <v>0</v>
      </c>
      <c r="DS27" s="144">
        <f>'[1]PBF Run'!AE27</f>
        <v>72574884</v>
      </c>
      <c r="DT27" s="326">
        <f t="shared" si="48"/>
        <v>-0.54065123945474625</v>
      </c>
      <c r="DU27" s="144"/>
      <c r="DV27" s="144"/>
    </row>
    <row r="28" spans="1:126" ht="13.5" thickBot="1">
      <c r="A28" s="16" t="s">
        <v>363</v>
      </c>
      <c r="B28" s="16" t="s">
        <v>129</v>
      </c>
      <c r="C28" s="425">
        <f>[1]FTES!C28</f>
        <v>16928.889962000005</v>
      </c>
      <c r="D28" s="425">
        <f>[1]FTES!D28</f>
        <v>16928.889962000005</v>
      </c>
      <c r="E28" s="425">
        <f>[1]FTES!E28</f>
        <v>17950.38</v>
      </c>
      <c r="F28" s="425">
        <f>[1]FTES!H28</f>
        <v>0</v>
      </c>
      <c r="G28" s="425">
        <f>[1]FTES!I28</f>
        <v>0</v>
      </c>
      <c r="H28" s="425">
        <f>[1]FTES!J28</f>
        <v>16928.889962000001</v>
      </c>
      <c r="I28" s="425">
        <f>[1]FTES!K28</f>
        <v>0</v>
      </c>
      <c r="J28" s="425">
        <f>[1]FTES!L28</f>
        <v>1021.490038</v>
      </c>
      <c r="K28" s="425">
        <f>[1]FTES!M28</f>
        <v>0</v>
      </c>
      <c r="L28" s="425">
        <f>[1]FTES!N28</f>
        <v>92.17</v>
      </c>
      <c r="M28" s="425">
        <f>[1]FTES!O28</f>
        <v>92.17</v>
      </c>
      <c r="N28" s="425">
        <f>[1]FTES!P28</f>
        <v>109.51</v>
      </c>
      <c r="O28" s="425">
        <f>[1]FTES!S28</f>
        <v>0</v>
      </c>
      <c r="P28" s="425">
        <f>[1]FTES!T28</f>
        <v>0</v>
      </c>
      <c r="Q28" s="425">
        <f>[1]FTES!U28</f>
        <v>92.17</v>
      </c>
      <c r="R28" s="425">
        <f>[1]FTES!V28</f>
        <v>0</v>
      </c>
      <c r="S28" s="425">
        <f>[1]FTES!W28</f>
        <v>17.34</v>
      </c>
      <c r="T28" s="425">
        <f>[1]FTES!X28</f>
        <v>0</v>
      </c>
      <c r="U28" s="425">
        <f>[1]FTES!Y28</f>
        <v>0</v>
      </c>
      <c r="V28" s="425">
        <f>[1]FTES!Z28</f>
        <v>0</v>
      </c>
      <c r="W28" s="425">
        <f>[1]FTES!AA28</f>
        <v>0</v>
      </c>
      <c r="X28" s="425">
        <f>[1]FTES!AD28</f>
        <v>0</v>
      </c>
      <c r="Y28" s="425">
        <f>[1]FTES!AE28</f>
        <v>0</v>
      </c>
      <c r="Z28" s="425">
        <f>[1]FTES!AF28</f>
        <v>0</v>
      </c>
      <c r="AA28" s="425">
        <f>[1]FTES!AG28</f>
        <v>0</v>
      </c>
      <c r="AB28" s="425">
        <f>[1]FTES!AH28</f>
        <v>0</v>
      </c>
      <c r="AC28" s="425">
        <f>[1]FTES!AI28</f>
        <v>0</v>
      </c>
      <c r="AD28" s="425"/>
      <c r="AE28" s="376">
        <f>'[1]13-14 $86M Workload Restore'!AJ26</f>
        <v>2066272</v>
      </c>
      <c r="AF28" s="375"/>
      <c r="AG28" s="122" t="str">
        <f>'[1]Restoration and Growth'!N28</f>
        <v>Growth</v>
      </c>
      <c r="AH28" s="122" t="str">
        <f>'[1]Restoration and Growth'!O28</f>
        <v>Grow</v>
      </c>
      <c r="AI28" s="122" t="str">
        <f>'[1]Restoration and Growth'!P28</f>
        <v>Grow</v>
      </c>
      <c r="AJ28" s="122" t="str">
        <f>'[1]Restoration and Growth'!Q28</f>
        <v>No CPCP</v>
      </c>
      <c r="AK28" s="139"/>
      <c r="AL28" s="139">
        <f>ROUND(J28*'[1]PBF Run'!$AS$4,3)</f>
        <v>4736131.2620000001</v>
      </c>
      <c r="AM28" s="139">
        <f>ROUND(S28*'[1]PBF Run'!$AF$4,3)</f>
        <v>48344.85</v>
      </c>
      <c r="AN28" s="139">
        <f>ROUND(AB28*'[1]PBF Run'!$AJ$4,3)</f>
        <v>0</v>
      </c>
      <c r="AO28" s="139">
        <f t="shared" si="29"/>
        <v>4784476.1119999997</v>
      </c>
      <c r="AP28" s="139" t="str">
        <f t="shared" si="46"/>
        <v>Y</v>
      </c>
      <c r="AQ28" s="139"/>
      <c r="AR28" s="374">
        <f t="shared" si="47"/>
        <v>435.22702700000002</v>
      </c>
      <c r="AS28" s="9">
        <f t="shared" si="0"/>
        <v>2017927</v>
      </c>
      <c r="AT28" s="9"/>
      <c r="AU28" s="373">
        <f t="shared" si="1"/>
        <v>2017927</v>
      </c>
      <c r="AV28" s="439">
        <f t="shared" ref="AV28:AV80" si="49">IF(AP28="NA",0,IF(AI28="Decline",N28-L28,IF(AY28&gt;=AM28,ROUND(AM28/$BD$6,6),IF(AY28&lt;0,ROUND(AM28/$BD$6,6),ROUND(AY28/$BD$6,6)))))</f>
        <v>17.34</v>
      </c>
      <c r="AW28" s="9">
        <f t="shared" si="3"/>
        <v>48345</v>
      </c>
      <c r="AX28" s="9"/>
      <c r="AY28" s="373">
        <f t="shared" si="4"/>
        <v>2066272</v>
      </c>
      <c r="AZ28" s="439">
        <f t="shared" si="30"/>
        <v>0</v>
      </c>
      <c r="BA28" s="9">
        <f t="shared" si="31"/>
        <v>0</v>
      </c>
      <c r="BB28" s="439"/>
      <c r="BC28" s="171">
        <f t="shared" si="32"/>
        <v>2017927</v>
      </c>
      <c r="BD28" s="171">
        <f t="shared" si="33"/>
        <v>48345</v>
      </c>
      <c r="BE28" s="171">
        <f t="shared" si="34"/>
        <v>0</v>
      </c>
      <c r="BF28" s="438">
        <f t="shared" si="35"/>
        <v>2066272</v>
      </c>
      <c r="BG28" s="389">
        <f t="shared" si="5"/>
        <v>0</v>
      </c>
      <c r="BH28" s="438"/>
      <c r="BI28" s="425">
        <f t="shared" si="6"/>
        <v>16928.889962000005</v>
      </c>
      <c r="BJ28" s="425">
        <f t="shared" si="7"/>
        <v>92.17</v>
      </c>
      <c r="BK28" s="425">
        <f t="shared" si="8"/>
        <v>0</v>
      </c>
      <c r="BL28" s="438"/>
      <c r="BM28" s="425">
        <f t="shared" si="9"/>
        <v>16928.889962000005</v>
      </c>
      <c r="BN28" s="425">
        <f t="shared" si="10"/>
        <v>92.17</v>
      </c>
      <c r="BO28" s="425">
        <f t="shared" si="11"/>
        <v>0</v>
      </c>
      <c r="BP28" s="438"/>
      <c r="BQ28" s="372">
        <f t="shared" si="12"/>
        <v>17950.38</v>
      </c>
      <c r="BR28" s="372">
        <f t="shared" si="13"/>
        <v>109.51</v>
      </c>
      <c r="BS28" s="372">
        <f t="shared" si="14"/>
        <v>0</v>
      </c>
      <c r="BU28" s="439">
        <f t="shared" si="15"/>
        <v>0</v>
      </c>
      <c r="BV28" s="439">
        <f t="shared" si="16"/>
        <v>0</v>
      </c>
      <c r="BW28" s="439">
        <f t="shared" si="17"/>
        <v>0</v>
      </c>
      <c r="BY28" s="439">
        <f t="shared" si="18"/>
        <v>0</v>
      </c>
      <c r="BZ28" s="439">
        <f t="shared" si="19"/>
        <v>0</v>
      </c>
      <c r="CA28" s="439">
        <f t="shared" si="20"/>
        <v>0</v>
      </c>
      <c r="CB28" s="439"/>
      <c r="CC28" s="439">
        <f t="shared" si="21"/>
        <v>0</v>
      </c>
      <c r="CD28" s="439">
        <f t="shared" si="22"/>
        <v>0</v>
      </c>
      <c r="CE28" s="374">
        <f t="shared" si="23"/>
        <v>0</v>
      </c>
      <c r="CF28" s="439"/>
      <c r="CG28" s="439">
        <f t="shared" si="36"/>
        <v>435.22702700000002</v>
      </c>
      <c r="CH28" s="439">
        <f t="shared" si="37"/>
        <v>17.34</v>
      </c>
      <c r="CI28" s="439">
        <f t="shared" si="38"/>
        <v>0</v>
      </c>
      <c r="CJ28" s="439"/>
      <c r="CK28" s="439">
        <v>4636.4928600000003</v>
      </c>
      <c r="CL28" s="439">
        <v>2788.0536374600001</v>
      </c>
      <c r="CM28" s="439">
        <v>3282.8110613200001</v>
      </c>
      <c r="CN28" s="439"/>
      <c r="CO28" s="439">
        <f t="shared" si="39"/>
        <v>2017927.0031645275</v>
      </c>
      <c r="CP28" s="439">
        <f t="shared" si="24"/>
        <v>48344.850073556401</v>
      </c>
      <c r="CQ28" s="439">
        <f t="shared" si="24"/>
        <v>0</v>
      </c>
      <c r="CR28" s="439">
        <f t="shared" si="40"/>
        <v>2066271.8532380839</v>
      </c>
      <c r="CS28" s="439">
        <f>+'[1]13-14 $86M Workload Restore'!AJ26</f>
        <v>2066272</v>
      </c>
      <c r="CT28" s="439">
        <f t="shared" si="41"/>
        <v>-0.14676191611215472</v>
      </c>
      <c r="CV28" s="173">
        <v>0</v>
      </c>
      <c r="CW28" s="439">
        <f t="shared" si="42"/>
        <v>17364.116989000006</v>
      </c>
      <c r="CX28" s="439">
        <f t="shared" si="25"/>
        <v>109.51</v>
      </c>
      <c r="CY28" s="439">
        <f t="shared" si="25"/>
        <v>0</v>
      </c>
      <c r="DA28" s="439">
        <f t="shared" si="26"/>
        <v>586.26301099999546</v>
      </c>
      <c r="DB28" s="439">
        <f t="shared" si="26"/>
        <v>0</v>
      </c>
      <c r="DC28" s="439">
        <f t="shared" si="26"/>
        <v>0</v>
      </c>
      <c r="DE28" s="371">
        <f t="shared" si="27"/>
        <v>0</v>
      </c>
      <c r="DF28" s="371">
        <f t="shared" si="27"/>
        <v>0</v>
      </c>
      <c r="DG28" s="371">
        <f t="shared" si="27"/>
        <v>0</v>
      </c>
      <c r="DH28" s="439"/>
      <c r="DI28" s="371">
        <f t="shared" si="28"/>
        <v>0</v>
      </c>
      <c r="DJ28" s="371">
        <f t="shared" si="28"/>
        <v>0</v>
      </c>
      <c r="DK28" s="371">
        <f t="shared" si="28"/>
        <v>0</v>
      </c>
      <c r="DL28" s="144">
        <f t="shared" si="43"/>
        <v>80508604.336734012</v>
      </c>
      <c r="DM28" s="144">
        <f t="shared" si="44"/>
        <v>305319.75383824465</v>
      </c>
      <c r="DN28" s="144">
        <f t="shared" si="45"/>
        <v>0</v>
      </c>
      <c r="DO28" s="144">
        <f>'[1]PBF Run'!F28*(1+'[1]PBF Run'!$C$4)</f>
        <v>7309668.8917000005</v>
      </c>
      <c r="DP28" s="144">
        <f>'[1]PBF Run'!AA28+'[1]PBF Run'!AB28+'[1]PBF Run'!AC28+'[1]PBF Run'!AD28</f>
        <v>0</v>
      </c>
      <c r="DQ28" s="144">
        <f>'[1]PBF Run'!X28</f>
        <v>0</v>
      </c>
      <c r="DR28" s="144">
        <f>'[1]PBF Run'!L28*(1+'[1]PBF Run'!$C$4)</f>
        <v>0</v>
      </c>
      <c r="DS28" s="144">
        <f>'[1]PBF Run'!AE28</f>
        <v>88123594</v>
      </c>
      <c r="DT28" s="326">
        <f t="shared" si="48"/>
        <v>1.0177277475595474</v>
      </c>
      <c r="DU28" s="144"/>
      <c r="DV28" s="144"/>
    </row>
    <row r="29" spans="1:126" ht="13.5" thickBot="1">
      <c r="A29" s="16" t="s">
        <v>361</v>
      </c>
      <c r="B29" s="16" t="s">
        <v>130</v>
      </c>
      <c r="C29" s="425">
        <f>[1]FTES!C29</f>
        <v>6554.2816790000006</v>
      </c>
      <c r="D29" s="425">
        <f>[1]FTES!D29</f>
        <v>6554.2816790000006</v>
      </c>
      <c r="E29" s="425">
        <f>[1]FTES!E29</f>
        <v>6848.95</v>
      </c>
      <c r="F29" s="425">
        <f>[1]FTES!H29</f>
        <v>0</v>
      </c>
      <c r="G29" s="425">
        <f>[1]FTES!I29</f>
        <v>0</v>
      </c>
      <c r="H29" s="425">
        <f>[1]FTES!J29</f>
        <v>6554.2816789999997</v>
      </c>
      <c r="I29" s="425">
        <f>[1]FTES!K29</f>
        <v>0</v>
      </c>
      <c r="J29" s="425">
        <f>[1]FTES!L29</f>
        <v>294.66832099999999</v>
      </c>
      <c r="K29" s="425">
        <f>[1]FTES!M29</f>
        <v>0</v>
      </c>
      <c r="L29" s="425">
        <f>[1]FTES!N29</f>
        <v>10.81</v>
      </c>
      <c r="M29" s="425">
        <f>[1]FTES!O29</f>
        <v>10.81</v>
      </c>
      <c r="N29" s="425">
        <f>[1]FTES!P29</f>
        <v>4.6500000000000004</v>
      </c>
      <c r="O29" s="425">
        <f>[1]FTES!S29</f>
        <v>0</v>
      </c>
      <c r="P29" s="425">
        <f>[1]FTES!T29</f>
        <v>0</v>
      </c>
      <c r="Q29" s="425">
        <f>[1]FTES!U29</f>
        <v>4.6500000000000004</v>
      </c>
      <c r="R29" s="425">
        <f>[1]FTES!V29</f>
        <v>0</v>
      </c>
      <c r="S29" s="425">
        <f>[1]FTES!W29</f>
        <v>0</v>
      </c>
      <c r="T29" s="425">
        <f>[1]FTES!X29</f>
        <v>0</v>
      </c>
      <c r="U29" s="425">
        <f>[1]FTES!Y29</f>
        <v>0</v>
      </c>
      <c r="V29" s="425">
        <f>[1]FTES!Z29</f>
        <v>0</v>
      </c>
      <c r="W29" s="425">
        <f>[1]FTES!AA29</f>
        <v>0</v>
      </c>
      <c r="X29" s="425">
        <f>[1]FTES!AD29</f>
        <v>0</v>
      </c>
      <c r="Y29" s="425">
        <f>[1]FTES!AE29</f>
        <v>0</v>
      </c>
      <c r="Z29" s="425">
        <f>[1]FTES!AF29</f>
        <v>0</v>
      </c>
      <c r="AA29" s="425">
        <f>[1]FTES!AG29</f>
        <v>0</v>
      </c>
      <c r="AB29" s="425">
        <f>[1]FTES!AH29</f>
        <v>0</v>
      </c>
      <c r="AC29" s="425">
        <f>[1]FTES!AI29</f>
        <v>0</v>
      </c>
      <c r="AD29" s="425"/>
      <c r="AE29" s="376">
        <f>'[1]13-14 $86M Workload Restore'!AJ27</f>
        <v>711729</v>
      </c>
      <c r="AF29" s="375"/>
      <c r="AG29" s="122" t="str">
        <f>'[1]Restoration and Growth'!N29</f>
        <v>Growth</v>
      </c>
      <c r="AH29" s="122" t="str">
        <f>'[1]Restoration and Growth'!O29</f>
        <v>Grow</v>
      </c>
      <c r="AI29" s="122" t="str">
        <f>'[1]Restoration and Growth'!P29</f>
        <v>Decline</v>
      </c>
      <c r="AJ29" s="122" t="str">
        <f>'[1]Restoration and Growth'!Q29</f>
        <v>No CPCP</v>
      </c>
      <c r="AK29" s="139"/>
      <c r="AL29" s="139">
        <f>ROUND(J29*'[1]PBF Run'!$AS$4,3)</f>
        <v>1366227.5649999999</v>
      </c>
      <c r="AM29" s="139">
        <f>ROUND(S29*'[1]PBF Run'!$AF$4,3)</f>
        <v>0</v>
      </c>
      <c r="AN29" s="139">
        <f>ROUND(AB29*'[1]PBF Run'!$AJ$4,3)</f>
        <v>0</v>
      </c>
      <c r="AO29" s="139">
        <f t="shared" si="29"/>
        <v>1366227.5649999999</v>
      </c>
      <c r="AP29" s="139" t="str">
        <f t="shared" si="46"/>
        <v>Y</v>
      </c>
      <c r="AQ29" s="139"/>
      <c r="AR29" s="374">
        <f t="shared" si="47"/>
        <v>157.209991</v>
      </c>
      <c r="AS29" s="9">
        <f t="shared" si="0"/>
        <v>728903</v>
      </c>
      <c r="AT29" s="9"/>
      <c r="AU29" s="373">
        <f t="shared" si="1"/>
        <v>728903</v>
      </c>
      <c r="AV29" s="439">
        <f t="shared" si="49"/>
        <v>-6.16</v>
      </c>
      <c r="AW29" s="9">
        <f t="shared" si="3"/>
        <v>-17174</v>
      </c>
      <c r="AX29" s="9"/>
      <c r="AY29" s="373">
        <f t="shared" si="4"/>
        <v>711729</v>
      </c>
      <c r="AZ29" s="439">
        <f t="shared" si="30"/>
        <v>0</v>
      </c>
      <c r="BA29" s="9">
        <f t="shared" si="31"/>
        <v>0</v>
      </c>
      <c r="BB29" s="439"/>
      <c r="BC29" s="171">
        <f t="shared" si="32"/>
        <v>728903</v>
      </c>
      <c r="BD29" s="171">
        <f t="shared" si="33"/>
        <v>-17174</v>
      </c>
      <c r="BE29" s="171">
        <f t="shared" si="34"/>
        <v>0</v>
      </c>
      <c r="BF29" s="438">
        <f t="shared" si="35"/>
        <v>711729</v>
      </c>
      <c r="BG29" s="389">
        <f t="shared" si="5"/>
        <v>0</v>
      </c>
      <c r="BH29" s="438"/>
      <c r="BI29" s="425">
        <f t="shared" si="6"/>
        <v>6554.2816790000006</v>
      </c>
      <c r="BJ29" s="425">
        <f t="shared" si="7"/>
        <v>10.81</v>
      </c>
      <c r="BK29" s="425">
        <f t="shared" si="8"/>
        <v>0</v>
      </c>
      <c r="BL29" s="438"/>
      <c r="BM29" s="425">
        <f t="shared" si="9"/>
        <v>6554.2816790000006</v>
      </c>
      <c r="BN29" s="425">
        <f t="shared" si="10"/>
        <v>10.81</v>
      </c>
      <c r="BO29" s="425">
        <f t="shared" si="11"/>
        <v>0</v>
      </c>
      <c r="BP29" s="438"/>
      <c r="BQ29" s="372">
        <f t="shared" si="12"/>
        <v>6848.95</v>
      </c>
      <c r="BR29" s="372">
        <f t="shared" si="13"/>
        <v>4.6500000000000004</v>
      </c>
      <c r="BS29" s="372">
        <f t="shared" si="14"/>
        <v>0</v>
      </c>
      <c r="BU29" s="439">
        <f t="shared" si="15"/>
        <v>0</v>
      </c>
      <c r="BV29" s="439">
        <f t="shared" si="16"/>
        <v>0</v>
      </c>
      <c r="BW29" s="439">
        <f t="shared" si="17"/>
        <v>0</v>
      </c>
      <c r="BY29" s="439">
        <f t="shared" si="18"/>
        <v>0</v>
      </c>
      <c r="BZ29" s="439">
        <f t="shared" si="19"/>
        <v>0</v>
      </c>
      <c r="CA29" s="439">
        <f t="shared" si="20"/>
        <v>0</v>
      </c>
      <c r="CB29" s="439"/>
      <c r="CC29" s="439">
        <f t="shared" si="21"/>
        <v>0</v>
      </c>
      <c r="CD29" s="439">
        <f t="shared" si="22"/>
        <v>0</v>
      </c>
      <c r="CE29" s="374">
        <f t="shared" si="23"/>
        <v>0</v>
      </c>
      <c r="CF29" s="439"/>
      <c r="CG29" s="439">
        <f t="shared" si="36"/>
        <v>157.209991</v>
      </c>
      <c r="CH29" s="439">
        <f t="shared" si="37"/>
        <v>-6.16</v>
      </c>
      <c r="CI29" s="439">
        <f t="shared" si="38"/>
        <v>0</v>
      </c>
      <c r="CJ29" s="439"/>
      <c r="CK29" s="439">
        <v>4636.4929279999997</v>
      </c>
      <c r="CL29" s="439">
        <v>2788.0536374600001</v>
      </c>
      <c r="CM29" s="439">
        <v>3282.8110613200001</v>
      </c>
      <c r="CN29" s="439"/>
      <c r="CO29" s="439">
        <f t="shared" si="39"/>
        <v>728903.01148244366</v>
      </c>
      <c r="CP29" s="439">
        <f t="shared" si="24"/>
        <v>-17174.410406753603</v>
      </c>
      <c r="CQ29" s="439">
        <f t="shared" si="24"/>
        <v>0</v>
      </c>
      <c r="CR29" s="439">
        <f t="shared" si="40"/>
        <v>711728.60107569001</v>
      </c>
      <c r="CS29" s="439">
        <f>+'[1]13-14 $86M Workload Restore'!AJ27</f>
        <v>711729</v>
      </c>
      <c r="CT29" s="439">
        <f t="shared" si="41"/>
        <v>-0.39892430999316275</v>
      </c>
      <c r="CV29" s="173">
        <v>0</v>
      </c>
      <c r="CW29" s="439">
        <f t="shared" si="42"/>
        <v>6711.4916700000003</v>
      </c>
      <c r="CX29" s="439">
        <f t="shared" si="25"/>
        <v>4.6500000000000004</v>
      </c>
      <c r="CY29" s="439">
        <f t="shared" si="25"/>
        <v>0</v>
      </c>
      <c r="DA29" s="439">
        <f t="shared" si="26"/>
        <v>137.45832999999948</v>
      </c>
      <c r="DB29" s="439">
        <f t="shared" si="26"/>
        <v>0</v>
      </c>
      <c r="DC29" s="439">
        <f t="shared" si="26"/>
        <v>0</v>
      </c>
      <c r="DE29" s="371">
        <f t="shared" si="27"/>
        <v>0</v>
      </c>
      <c r="DF29" s="371">
        <f t="shared" si="27"/>
        <v>0</v>
      </c>
      <c r="DG29" s="371">
        <f t="shared" si="27"/>
        <v>0</v>
      </c>
      <c r="DH29" s="439"/>
      <c r="DI29" s="371">
        <f t="shared" si="28"/>
        <v>0</v>
      </c>
      <c r="DJ29" s="371">
        <f t="shared" si="28"/>
        <v>0</v>
      </c>
      <c r="DK29" s="371">
        <f t="shared" si="28"/>
        <v>0</v>
      </c>
      <c r="DL29" s="144">
        <f t="shared" si="43"/>
        <v>31117783.168105334</v>
      </c>
      <c r="DM29" s="144">
        <f t="shared" si="44"/>
        <v>12964.449414189001</v>
      </c>
      <c r="DN29" s="144">
        <f t="shared" si="45"/>
        <v>0</v>
      </c>
      <c r="DO29" s="144">
        <f>'[1]PBF Run'!F29*(1+'[1]PBF Run'!$C$4)</f>
        <v>3654833.9380000001</v>
      </c>
      <c r="DP29" s="144">
        <f>'[1]PBF Run'!AA29+'[1]PBF Run'!AB29+'[1]PBF Run'!AC29+'[1]PBF Run'!AD29</f>
        <v>0</v>
      </c>
      <c r="DQ29" s="144">
        <f>'[1]PBF Run'!X29</f>
        <v>0</v>
      </c>
      <c r="DR29" s="144">
        <f>'[1]PBF Run'!L29*(1+'[1]PBF Run'!$C$4)</f>
        <v>0</v>
      </c>
      <c r="DS29" s="144">
        <f>'[1]PBF Run'!AE29</f>
        <v>34785582</v>
      </c>
      <c r="DT29" s="326">
        <f t="shared" si="48"/>
        <v>0.44448047503829002</v>
      </c>
      <c r="DU29" s="144"/>
      <c r="DV29" s="144"/>
    </row>
    <row r="30" spans="1:126" ht="13.5" thickBot="1">
      <c r="A30" s="16" t="s">
        <v>359</v>
      </c>
      <c r="B30" s="16" t="s">
        <v>131</v>
      </c>
      <c r="C30" s="425">
        <f>[1]FTES!C30</f>
        <v>6003.1600000000008</v>
      </c>
      <c r="D30" s="425">
        <f>[1]FTES!D30</f>
        <v>6003.1600000000008</v>
      </c>
      <c r="E30" s="425">
        <f>[1]FTES!E30</f>
        <v>6579.49</v>
      </c>
      <c r="F30" s="425">
        <f>[1]FTES!H30</f>
        <v>502.53113100000002</v>
      </c>
      <c r="G30" s="425">
        <f>[1]FTES!I30</f>
        <v>0</v>
      </c>
      <c r="H30" s="425">
        <f>[1]FTES!J30</f>
        <v>6505.6911309999996</v>
      </c>
      <c r="I30" s="425">
        <f>[1]FTES!K30</f>
        <v>0</v>
      </c>
      <c r="J30" s="425">
        <f>[1]FTES!L30</f>
        <v>73.798868999999996</v>
      </c>
      <c r="K30" s="425">
        <f>[1]FTES!M30</f>
        <v>0</v>
      </c>
      <c r="L30" s="425">
        <f>[1]FTES!N30</f>
        <v>39.99</v>
      </c>
      <c r="M30" s="425">
        <f>[1]FTES!O30</f>
        <v>39.99</v>
      </c>
      <c r="N30" s="425">
        <f>[1]FTES!P30</f>
        <v>33.299999999999997</v>
      </c>
      <c r="O30" s="425">
        <f>[1]FTES!S30</f>
        <v>0</v>
      </c>
      <c r="P30" s="425">
        <f>[1]FTES!T30</f>
        <v>0</v>
      </c>
      <c r="Q30" s="425">
        <f>[1]FTES!U30</f>
        <v>33.299999999999997</v>
      </c>
      <c r="R30" s="425">
        <f>[1]FTES!V30</f>
        <v>0</v>
      </c>
      <c r="S30" s="425">
        <f>[1]FTES!W30</f>
        <v>0</v>
      </c>
      <c r="T30" s="425">
        <f>[1]FTES!X30</f>
        <v>0</v>
      </c>
      <c r="U30" s="425">
        <f>[1]FTES!Y30</f>
        <v>9.59</v>
      </c>
      <c r="V30" s="425">
        <f>[1]FTES!Z30</f>
        <v>9.59</v>
      </c>
      <c r="W30" s="425">
        <f>[1]FTES!AA30</f>
        <v>12.21</v>
      </c>
      <c r="X30" s="425">
        <f>[1]FTES!AD30</f>
        <v>0</v>
      </c>
      <c r="Y30" s="425">
        <f>[1]FTES!AE30</f>
        <v>0</v>
      </c>
      <c r="Z30" s="425">
        <f>[1]FTES!AF30</f>
        <v>9.59</v>
      </c>
      <c r="AA30" s="425">
        <f>[1]FTES!AG30</f>
        <v>0</v>
      </c>
      <c r="AB30" s="425">
        <f>[1]FTES!AH30</f>
        <v>2.62</v>
      </c>
      <c r="AC30" s="425">
        <f>[1]FTES!AI30</f>
        <v>0</v>
      </c>
      <c r="AD30" s="425"/>
      <c r="AE30" s="376">
        <f>'[1]13-14 $86M Workload Restore'!AJ28</f>
        <v>332117</v>
      </c>
      <c r="AF30" s="375"/>
      <c r="AG30" s="122" t="str">
        <f>'[1]Restoration and Growth'!N30</f>
        <v>Rest&amp;Grow</v>
      </c>
      <c r="AH30" s="122" t="str">
        <f>'[1]Restoration and Growth'!O30</f>
        <v>Grow</v>
      </c>
      <c r="AI30" s="122" t="str">
        <f>'[1]Restoration and Growth'!P30</f>
        <v>Decline</v>
      </c>
      <c r="AJ30" s="122" t="str">
        <f>'[1]Restoration and Growth'!Q30</f>
        <v>Grow</v>
      </c>
      <c r="AK30" s="139"/>
      <c r="AL30" s="139">
        <f>ROUND(J30*'[1]PBF Run'!$AS$4,3)</f>
        <v>342167.929</v>
      </c>
      <c r="AM30" s="139">
        <f>ROUND(S30*'[1]PBF Run'!$AF$4,3)</f>
        <v>0</v>
      </c>
      <c r="AN30" s="139">
        <f>ROUND(AB30*'[1]PBF Run'!$AJ$4,3)</f>
        <v>8600.9650000000001</v>
      </c>
      <c r="AO30" s="139">
        <f t="shared" si="29"/>
        <v>350768.89400000003</v>
      </c>
      <c r="AP30" s="139" t="str">
        <f t="shared" si="46"/>
        <v>Y</v>
      </c>
      <c r="AQ30" s="139"/>
      <c r="AR30" s="374">
        <f t="shared" si="47"/>
        <v>73.798884000000001</v>
      </c>
      <c r="AS30" s="9">
        <f t="shared" si="0"/>
        <v>342168</v>
      </c>
      <c r="AT30" s="9"/>
      <c r="AU30" s="373">
        <f t="shared" si="1"/>
        <v>342168</v>
      </c>
      <c r="AV30" s="439">
        <f t="shared" si="49"/>
        <v>-6.6900000000000048</v>
      </c>
      <c r="AW30" s="9">
        <f t="shared" si="3"/>
        <v>-18652</v>
      </c>
      <c r="AX30" s="9"/>
      <c r="AY30" s="373">
        <f t="shared" si="4"/>
        <v>323516</v>
      </c>
      <c r="AZ30" s="439">
        <f t="shared" si="30"/>
        <v>2.62</v>
      </c>
      <c r="BA30" s="9">
        <f t="shared" si="31"/>
        <v>8601</v>
      </c>
      <c r="BB30" s="439"/>
      <c r="BC30" s="171">
        <f t="shared" si="32"/>
        <v>342168</v>
      </c>
      <c r="BD30" s="171">
        <f t="shared" si="33"/>
        <v>-18652</v>
      </c>
      <c r="BE30" s="171">
        <f t="shared" si="34"/>
        <v>8601</v>
      </c>
      <c r="BF30" s="438">
        <f t="shared" si="35"/>
        <v>332117</v>
      </c>
      <c r="BG30" s="389">
        <f t="shared" si="5"/>
        <v>0</v>
      </c>
      <c r="BH30" s="438"/>
      <c r="BI30" s="425">
        <f t="shared" si="6"/>
        <v>6003.1600000000008</v>
      </c>
      <c r="BJ30" s="425">
        <f t="shared" si="7"/>
        <v>39.99</v>
      </c>
      <c r="BK30" s="425">
        <f t="shared" si="8"/>
        <v>9.59</v>
      </c>
      <c r="BL30" s="438"/>
      <c r="BM30" s="425">
        <f t="shared" si="9"/>
        <v>6003.1600000000008</v>
      </c>
      <c r="BN30" s="425">
        <f t="shared" si="10"/>
        <v>39.99</v>
      </c>
      <c r="BO30" s="425">
        <f t="shared" si="11"/>
        <v>9.59</v>
      </c>
      <c r="BP30" s="438"/>
      <c r="BQ30" s="372">
        <f t="shared" si="12"/>
        <v>6579.49</v>
      </c>
      <c r="BR30" s="372">
        <f t="shared" si="13"/>
        <v>33.299999999999997</v>
      </c>
      <c r="BS30" s="372">
        <f t="shared" si="14"/>
        <v>12.21</v>
      </c>
      <c r="BU30" s="439">
        <f t="shared" si="15"/>
        <v>502.53113100000002</v>
      </c>
      <c r="BV30" s="439">
        <f t="shared" si="16"/>
        <v>0</v>
      </c>
      <c r="BW30" s="439">
        <f t="shared" si="17"/>
        <v>0</v>
      </c>
      <c r="BY30" s="439">
        <f t="shared" si="18"/>
        <v>0</v>
      </c>
      <c r="BZ30" s="439">
        <f t="shared" si="19"/>
        <v>0</v>
      </c>
      <c r="CA30" s="439">
        <f t="shared" si="20"/>
        <v>0</v>
      </c>
      <c r="CB30" s="439"/>
      <c r="CC30" s="439">
        <f t="shared" si="21"/>
        <v>0</v>
      </c>
      <c r="CD30" s="439">
        <f t="shared" si="22"/>
        <v>0</v>
      </c>
      <c r="CE30" s="374">
        <f t="shared" si="23"/>
        <v>0</v>
      </c>
      <c r="CF30" s="439"/>
      <c r="CG30" s="439">
        <f t="shared" si="36"/>
        <v>73.798884000000001</v>
      </c>
      <c r="CH30" s="439">
        <f t="shared" si="37"/>
        <v>-6.6900000000000048</v>
      </c>
      <c r="CI30" s="439">
        <f t="shared" si="38"/>
        <v>2.62</v>
      </c>
      <c r="CJ30" s="439"/>
      <c r="CK30" s="439">
        <v>4636.4927779999998</v>
      </c>
      <c r="CL30" s="439">
        <v>2788.0536374600001</v>
      </c>
      <c r="CM30" s="439">
        <v>3282.8110613200001</v>
      </c>
      <c r="CN30" s="439"/>
      <c r="CO30" s="439">
        <f t="shared" si="39"/>
        <v>342167.99269045977</v>
      </c>
      <c r="CP30" s="439">
        <f t="shared" si="24"/>
        <v>-18652.078834607415</v>
      </c>
      <c r="CQ30" s="439">
        <f t="shared" si="24"/>
        <v>8600.9649806584002</v>
      </c>
      <c r="CR30" s="439">
        <f t="shared" si="40"/>
        <v>332116.8788365107</v>
      </c>
      <c r="CS30" s="439">
        <f>+'[1]13-14 $86M Workload Restore'!AJ28</f>
        <v>332117</v>
      </c>
      <c r="CT30" s="439">
        <f t="shared" si="41"/>
        <v>-0.12116348929703236</v>
      </c>
      <c r="CV30" s="173">
        <v>0</v>
      </c>
      <c r="CW30" s="439">
        <f t="shared" si="42"/>
        <v>6579.4900150000003</v>
      </c>
      <c r="CX30" s="439">
        <f t="shared" si="25"/>
        <v>33.299999999999997</v>
      </c>
      <c r="CY30" s="439">
        <f t="shared" si="25"/>
        <v>12.21</v>
      </c>
      <c r="DA30" s="439">
        <f t="shared" si="26"/>
        <v>-1.5000000530562829E-5</v>
      </c>
      <c r="DB30" s="439">
        <f t="shared" si="26"/>
        <v>0</v>
      </c>
      <c r="DC30" s="439">
        <f t="shared" si="26"/>
        <v>0</v>
      </c>
      <c r="DE30" s="371">
        <f t="shared" si="27"/>
        <v>0</v>
      </c>
      <c r="DF30" s="371">
        <f t="shared" si="27"/>
        <v>0</v>
      </c>
      <c r="DG30" s="371">
        <f t="shared" si="27"/>
        <v>0</v>
      </c>
      <c r="DH30" s="439"/>
      <c r="DI30" s="371">
        <f t="shared" si="28"/>
        <v>0</v>
      </c>
      <c r="DJ30" s="371">
        <f t="shared" si="28"/>
        <v>0</v>
      </c>
      <c r="DK30" s="371">
        <f t="shared" si="28"/>
        <v>0</v>
      </c>
      <c r="DL30" s="144">
        <f t="shared" si="43"/>
        <v>30505758.437972419</v>
      </c>
      <c r="DM30" s="144">
        <f t="shared" si="44"/>
        <v>92842.186127417997</v>
      </c>
      <c r="DN30" s="144">
        <f t="shared" si="45"/>
        <v>40083.123058717203</v>
      </c>
      <c r="DO30" s="144">
        <f>'[1]PBF Run'!F30*(1+'[1]PBF Run'!$C$4)</f>
        <v>3373693.2565000001</v>
      </c>
      <c r="DP30" s="144">
        <f>'[1]PBF Run'!AA30+'[1]PBF Run'!AB30+'[1]PBF Run'!AC30+'[1]PBF Run'!AD30</f>
        <v>0</v>
      </c>
      <c r="DQ30" s="144">
        <f>'[1]PBF Run'!X30</f>
        <v>0</v>
      </c>
      <c r="DR30" s="144">
        <f>'[1]PBF Run'!L30*(1+'[1]PBF Run'!$C$4)</f>
        <v>0</v>
      </c>
      <c r="DS30" s="144">
        <f>'[1]PBF Run'!AE30</f>
        <v>34012377</v>
      </c>
      <c r="DT30" s="326">
        <f t="shared" si="48"/>
        <v>-3.6585517227649689E-3</v>
      </c>
      <c r="DU30" s="144"/>
      <c r="DV30" s="144"/>
    </row>
    <row r="31" spans="1:126" ht="13.5" thickBot="1">
      <c r="A31" s="16" t="s">
        <v>357</v>
      </c>
      <c r="B31" s="16" t="s">
        <v>132</v>
      </c>
      <c r="C31" s="425">
        <f>[1]FTES!C31</f>
        <v>18463.014979</v>
      </c>
      <c r="D31" s="425">
        <f>[1]FTES!D31</f>
        <v>18463.014979</v>
      </c>
      <c r="E31" s="425">
        <f>[1]FTES!E31</f>
        <v>19088.91</v>
      </c>
      <c r="F31" s="425">
        <f>[1]FTES!H31</f>
        <v>0</v>
      </c>
      <c r="G31" s="425">
        <f>[1]FTES!I31</f>
        <v>0</v>
      </c>
      <c r="H31" s="425">
        <f>[1]FTES!J31</f>
        <v>18463.014979</v>
      </c>
      <c r="I31" s="425">
        <f>[1]FTES!K31</f>
        <v>0</v>
      </c>
      <c r="J31" s="425">
        <f>[1]FTES!L31</f>
        <v>625.89502100000004</v>
      </c>
      <c r="K31" s="425">
        <f>[1]FTES!M31</f>
        <v>0</v>
      </c>
      <c r="L31" s="425">
        <f>[1]FTES!N31</f>
        <v>44.56</v>
      </c>
      <c r="M31" s="425">
        <f>[1]FTES!O31</f>
        <v>44.56</v>
      </c>
      <c r="N31" s="425">
        <f>[1]FTES!P31</f>
        <v>41.48</v>
      </c>
      <c r="O31" s="425">
        <f>[1]FTES!S31</f>
        <v>0</v>
      </c>
      <c r="P31" s="425">
        <f>[1]FTES!T31</f>
        <v>0</v>
      </c>
      <c r="Q31" s="425">
        <f>[1]FTES!U31</f>
        <v>41.48</v>
      </c>
      <c r="R31" s="425">
        <f>[1]FTES!V31</f>
        <v>0</v>
      </c>
      <c r="S31" s="425">
        <f>[1]FTES!W31</f>
        <v>0</v>
      </c>
      <c r="T31" s="425">
        <f>[1]FTES!X31</f>
        <v>0</v>
      </c>
      <c r="U31" s="425">
        <f>[1]FTES!Y31</f>
        <v>0</v>
      </c>
      <c r="V31" s="425">
        <f>[1]FTES!Z31</f>
        <v>0</v>
      </c>
      <c r="W31" s="425">
        <f>[1]FTES!AA31</f>
        <v>0</v>
      </c>
      <c r="X31" s="425">
        <f>[1]FTES!AD31</f>
        <v>0</v>
      </c>
      <c r="Y31" s="425">
        <f>[1]FTES!AE31</f>
        <v>0</v>
      </c>
      <c r="Z31" s="425">
        <f>[1]FTES!AF31</f>
        <v>0</v>
      </c>
      <c r="AA31" s="425">
        <f>[1]FTES!AG31</f>
        <v>0</v>
      </c>
      <c r="AB31" s="425">
        <f>[1]FTES!AH31</f>
        <v>0</v>
      </c>
      <c r="AC31" s="425">
        <f>[1]FTES!AI31</f>
        <v>0</v>
      </c>
      <c r="AD31" s="425"/>
      <c r="AE31" s="376">
        <f>'[1]13-14 $86M Workload Restore'!AJ29</f>
        <v>2006513</v>
      </c>
      <c r="AF31" s="375"/>
      <c r="AG31" s="122" t="str">
        <f>'[1]Restoration and Growth'!N31</f>
        <v>Growth</v>
      </c>
      <c r="AH31" s="122" t="str">
        <f>'[1]Restoration and Growth'!O31</f>
        <v>Grow</v>
      </c>
      <c r="AI31" s="122" t="str">
        <f>'[1]Restoration and Growth'!P31</f>
        <v>Decline</v>
      </c>
      <c r="AJ31" s="122" t="str">
        <f>'[1]Restoration and Growth'!Q31</f>
        <v>No CPCP</v>
      </c>
      <c r="AK31" s="139"/>
      <c r="AL31" s="139">
        <f>ROUND(J31*'[1]PBF Run'!$AS$4,3)</f>
        <v>2901957.7919999999</v>
      </c>
      <c r="AM31" s="139">
        <f>ROUND(S31*'[1]PBF Run'!$AF$4,3)</f>
        <v>0</v>
      </c>
      <c r="AN31" s="139">
        <f>ROUND(AB31*'[1]PBF Run'!$AJ$4,3)</f>
        <v>0</v>
      </c>
      <c r="AO31" s="139">
        <f t="shared" si="29"/>
        <v>2901957.7919999999</v>
      </c>
      <c r="AP31" s="139" t="str">
        <f t="shared" si="46"/>
        <v>Y</v>
      </c>
      <c r="AQ31" s="139"/>
      <c r="AR31" s="374">
        <f t="shared" si="47"/>
        <v>434.617299</v>
      </c>
      <c r="AS31" s="9">
        <f t="shared" si="0"/>
        <v>2015100</v>
      </c>
      <c r="AT31" s="9"/>
      <c r="AU31" s="373">
        <f t="shared" si="1"/>
        <v>2015100</v>
      </c>
      <c r="AV31" s="439">
        <f t="shared" si="49"/>
        <v>-3.0800000000000054</v>
      </c>
      <c r="AW31" s="9">
        <f t="shared" si="3"/>
        <v>-8587</v>
      </c>
      <c r="AX31" s="9"/>
      <c r="AY31" s="373">
        <f t="shared" si="4"/>
        <v>2006513</v>
      </c>
      <c r="AZ31" s="439">
        <f t="shared" si="30"/>
        <v>0</v>
      </c>
      <c r="BA31" s="9">
        <f t="shared" si="31"/>
        <v>0</v>
      </c>
      <c r="BB31" s="439"/>
      <c r="BC31" s="171">
        <f t="shared" si="32"/>
        <v>2015100</v>
      </c>
      <c r="BD31" s="171">
        <f t="shared" si="33"/>
        <v>-8587</v>
      </c>
      <c r="BE31" s="171">
        <f t="shared" si="34"/>
        <v>0</v>
      </c>
      <c r="BF31" s="438">
        <f t="shared" si="35"/>
        <v>2006513</v>
      </c>
      <c r="BG31" s="389">
        <f t="shared" si="5"/>
        <v>0</v>
      </c>
      <c r="BH31" s="438"/>
      <c r="BI31" s="425">
        <f t="shared" si="6"/>
        <v>18463.014979</v>
      </c>
      <c r="BJ31" s="425">
        <f t="shared" si="7"/>
        <v>44.56</v>
      </c>
      <c r="BK31" s="425">
        <f t="shared" si="8"/>
        <v>0</v>
      </c>
      <c r="BL31" s="438"/>
      <c r="BM31" s="425">
        <f t="shared" si="9"/>
        <v>18463.014979</v>
      </c>
      <c r="BN31" s="425">
        <f t="shared" si="10"/>
        <v>44.56</v>
      </c>
      <c r="BO31" s="425">
        <f t="shared" si="11"/>
        <v>0</v>
      </c>
      <c r="BP31" s="438"/>
      <c r="BQ31" s="372">
        <f t="shared" si="12"/>
        <v>19088.91</v>
      </c>
      <c r="BR31" s="372">
        <f t="shared" si="13"/>
        <v>41.48</v>
      </c>
      <c r="BS31" s="372">
        <f t="shared" si="14"/>
        <v>0</v>
      </c>
      <c r="BU31" s="439">
        <f t="shared" si="15"/>
        <v>0</v>
      </c>
      <c r="BV31" s="439">
        <f t="shared" si="16"/>
        <v>0</v>
      </c>
      <c r="BW31" s="439">
        <f t="shared" si="17"/>
        <v>0</v>
      </c>
      <c r="BY31" s="439">
        <f t="shared" si="18"/>
        <v>0</v>
      </c>
      <c r="BZ31" s="439">
        <f t="shared" si="19"/>
        <v>0</v>
      </c>
      <c r="CA31" s="439">
        <f t="shared" si="20"/>
        <v>0</v>
      </c>
      <c r="CB31" s="439"/>
      <c r="CC31" s="439">
        <f t="shared" si="21"/>
        <v>0</v>
      </c>
      <c r="CD31" s="439">
        <f t="shared" si="22"/>
        <v>0</v>
      </c>
      <c r="CE31" s="374">
        <f t="shared" si="23"/>
        <v>0</v>
      </c>
      <c r="CF31" s="439"/>
      <c r="CG31" s="439">
        <f t="shared" si="36"/>
        <v>434.617299</v>
      </c>
      <c r="CH31" s="439">
        <f t="shared" si="37"/>
        <v>-3.0800000000000054</v>
      </c>
      <c r="CI31" s="439">
        <f t="shared" si="38"/>
        <v>0</v>
      </c>
      <c r="CJ31" s="439"/>
      <c r="CK31" s="439">
        <v>4636.492843</v>
      </c>
      <c r="CL31" s="439">
        <v>2788.0536374600001</v>
      </c>
      <c r="CM31" s="439">
        <v>3282.8110613200001</v>
      </c>
      <c r="CN31" s="439"/>
      <c r="CO31" s="439">
        <f t="shared" si="39"/>
        <v>2015099.9962574912</v>
      </c>
      <c r="CP31" s="439">
        <f t="shared" si="24"/>
        <v>-8587.2052033768159</v>
      </c>
      <c r="CQ31" s="439">
        <f t="shared" si="24"/>
        <v>0</v>
      </c>
      <c r="CR31" s="439">
        <f t="shared" si="40"/>
        <v>2006512.7910541145</v>
      </c>
      <c r="CS31" s="439">
        <f>+'[1]13-14 $86M Workload Restore'!AJ29</f>
        <v>2006513</v>
      </c>
      <c r="CT31" s="439">
        <f t="shared" si="41"/>
        <v>-0.20894588553346694</v>
      </c>
      <c r="CV31" s="173">
        <v>0</v>
      </c>
      <c r="CW31" s="439">
        <f t="shared" si="42"/>
        <v>18897.632278000001</v>
      </c>
      <c r="CX31" s="439">
        <f t="shared" si="25"/>
        <v>41.48</v>
      </c>
      <c r="CY31" s="439">
        <f t="shared" si="25"/>
        <v>0</v>
      </c>
      <c r="DA31" s="439">
        <f t="shared" si="26"/>
        <v>191.2777219999989</v>
      </c>
      <c r="DB31" s="439">
        <f t="shared" si="26"/>
        <v>0</v>
      </c>
      <c r="DC31" s="439">
        <f t="shared" si="26"/>
        <v>0</v>
      </c>
      <c r="DE31" s="371">
        <f t="shared" si="27"/>
        <v>0</v>
      </c>
      <c r="DF31" s="371">
        <f t="shared" si="27"/>
        <v>0</v>
      </c>
      <c r="DG31" s="371">
        <f t="shared" si="27"/>
        <v>0</v>
      </c>
      <c r="DH31" s="439"/>
      <c r="DI31" s="371">
        <f t="shared" si="28"/>
        <v>0</v>
      </c>
      <c r="DJ31" s="371">
        <f t="shared" si="28"/>
        <v>0</v>
      </c>
      <c r="DK31" s="371">
        <f t="shared" si="28"/>
        <v>0</v>
      </c>
      <c r="DL31" s="144">
        <f t="shared" si="43"/>
        <v>87618737.015789583</v>
      </c>
      <c r="DM31" s="144">
        <f t="shared" si="44"/>
        <v>115648.4648818408</v>
      </c>
      <c r="DN31" s="144">
        <f t="shared" si="45"/>
        <v>0</v>
      </c>
      <c r="DO31" s="144">
        <f>'[1]PBF Run'!F31*(1+'[1]PBF Run'!$C$4)</f>
        <v>14338197.1019</v>
      </c>
      <c r="DP31" s="144">
        <f>'[1]PBF Run'!AA31+'[1]PBF Run'!AB31+'[1]PBF Run'!AC31+'[1]PBF Run'!AD31</f>
        <v>0</v>
      </c>
      <c r="DQ31" s="144">
        <f>'[1]PBF Run'!X31</f>
        <v>0</v>
      </c>
      <c r="DR31" s="144">
        <f>'[1]PBF Run'!L31*(1+'[1]PBF Run'!$C$4)</f>
        <v>0</v>
      </c>
      <c r="DS31" s="144">
        <f>'[1]PBF Run'!AE31</f>
        <v>102072582</v>
      </c>
      <c r="DT31" s="326">
        <f t="shared" si="48"/>
        <v>-0.58257141709327698</v>
      </c>
      <c r="DU31" s="144"/>
      <c r="DV31" s="144"/>
    </row>
    <row r="32" spans="1:126" ht="13.5" thickBot="1">
      <c r="A32" s="16" t="s">
        <v>355</v>
      </c>
      <c r="B32" s="16" t="s">
        <v>133</v>
      </c>
      <c r="C32" s="425">
        <f>[1]FTES!C32</f>
        <v>1383.57</v>
      </c>
      <c r="D32" s="425">
        <f>[1]FTES!D32</f>
        <v>1383.57</v>
      </c>
      <c r="E32" s="425">
        <f>[1]FTES!E32</f>
        <v>1574.02</v>
      </c>
      <c r="F32" s="425">
        <f>[1]FTES!H32</f>
        <v>190.449986</v>
      </c>
      <c r="G32" s="425">
        <f>[1]FTES!I32</f>
        <v>0</v>
      </c>
      <c r="H32" s="425">
        <f>[1]FTES!J32</f>
        <v>1574.019986</v>
      </c>
      <c r="I32" s="425">
        <f>[1]FTES!K32</f>
        <v>0</v>
      </c>
      <c r="J32" s="425">
        <f>[1]FTES!L32</f>
        <v>1.4E-5</v>
      </c>
      <c r="K32" s="425">
        <f>[1]FTES!M32</f>
        <v>0</v>
      </c>
      <c r="L32" s="425">
        <f>[1]FTES!N32</f>
        <v>49.64</v>
      </c>
      <c r="M32" s="425">
        <f>[1]FTES!O32</f>
        <v>49.64</v>
      </c>
      <c r="N32" s="425">
        <f>[1]FTES!P32</f>
        <v>61.670000000000009</v>
      </c>
      <c r="O32" s="425">
        <f>[1]FTES!S32</f>
        <v>12.029897999999999</v>
      </c>
      <c r="P32" s="425">
        <f>[1]FTES!T32</f>
        <v>0</v>
      </c>
      <c r="Q32" s="425">
        <f>[1]FTES!U32</f>
        <v>61.669898000000003</v>
      </c>
      <c r="R32" s="425">
        <f>[1]FTES!V32</f>
        <v>0</v>
      </c>
      <c r="S32" s="425">
        <f>[1]FTES!W32</f>
        <v>1.02E-4</v>
      </c>
      <c r="T32" s="425">
        <f>[1]FTES!X32</f>
        <v>0</v>
      </c>
      <c r="U32" s="425">
        <f>[1]FTES!Y32</f>
        <v>31.35</v>
      </c>
      <c r="V32" s="425">
        <f>[1]FTES!Z32</f>
        <v>31.35</v>
      </c>
      <c r="W32" s="425">
        <f>[1]FTES!AA32</f>
        <v>32.979999999999997</v>
      </c>
      <c r="X32" s="425">
        <f>[1]FTES!AD32</f>
        <v>1.6300049999999999</v>
      </c>
      <c r="Y32" s="425">
        <f>[1]FTES!AE32</f>
        <v>0</v>
      </c>
      <c r="Z32" s="425">
        <f>[1]FTES!AF32</f>
        <v>32.980004999999998</v>
      </c>
      <c r="AA32" s="425">
        <f>[1]FTES!AG32</f>
        <v>0</v>
      </c>
      <c r="AB32" s="425">
        <f>[1]FTES!AH32</f>
        <v>0</v>
      </c>
      <c r="AC32" s="425">
        <f>[1]FTES!AI32</f>
        <v>0</v>
      </c>
      <c r="AD32" s="425"/>
      <c r="AE32" s="376">
        <f>'[1]13-14 $86M Workload Restore'!AJ30</f>
        <v>0</v>
      </c>
      <c r="AF32" s="375"/>
      <c r="AG32" s="122" t="str">
        <f>'[1]Restoration and Growth'!N32</f>
        <v>Restore</v>
      </c>
      <c r="AH32" s="122" t="str">
        <f>'[1]Restoration and Growth'!O32</f>
        <v>Grow</v>
      </c>
      <c r="AI32" s="122" t="str">
        <f>'[1]Restoration and Growth'!P32</f>
        <v>Grow</v>
      </c>
      <c r="AJ32" s="122" t="str">
        <f>'[1]Restoration and Growth'!Q32</f>
        <v>Grow</v>
      </c>
      <c r="AK32" s="139"/>
      <c r="AL32" s="139">
        <f>ROUND(J32*'[1]PBF Run'!$AS$4,3)</f>
        <v>6.5000000000000002E-2</v>
      </c>
      <c r="AM32" s="139">
        <f>ROUND(S32*'[1]PBF Run'!$AF$4,3)</f>
        <v>0.28399999999999997</v>
      </c>
      <c r="AN32" s="139">
        <f>ROUND(AB32*'[1]PBF Run'!$AJ$4,3)</f>
        <v>0</v>
      </c>
      <c r="AO32" s="139">
        <f t="shared" si="29"/>
        <v>0.34899999999999998</v>
      </c>
      <c r="AP32" s="139" t="str">
        <f t="shared" si="46"/>
        <v>Y</v>
      </c>
      <c r="AQ32" s="139"/>
      <c r="AR32" s="374">
        <f t="shared" si="47"/>
        <v>1.4E-5</v>
      </c>
      <c r="AS32" s="9">
        <f t="shared" si="0"/>
        <v>0</v>
      </c>
      <c r="AT32" s="9"/>
      <c r="AU32" s="373">
        <f t="shared" si="1"/>
        <v>0</v>
      </c>
      <c r="AV32" s="439">
        <f t="shared" si="49"/>
        <v>0</v>
      </c>
      <c r="AW32" s="9">
        <f t="shared" si="3"/>
        <v>0</v>
      </c>
      <c r="AX32" s="9"/>
      <c r="AY32" s="373">
        <f t="shared" si="4"/>
        <v>0</v>
      </c>
      <c r="AZ32" s="439">
        <f t="shared" si="30"/>
        <v>0</v>
      </c>
      <c r="BA32" s="9">
        <f t="shared" si="31"/>
        <v>0</v>
      </c>
      <c r="BB32" s="439"/>
      <c r="BC32" s="171">
        <f t="shared" si="32"/>
        <v>0</v>
      </c>
      <c r="BD32" s="171">
        <f t="shared" si="33"/>
        <v>0</v>
      </c>
      <c r="BE32" s="171">
        <f t="shared" si="34"/>
        <v>0</v>
      </c>
      <c r="BF32" s="438">
        <f t="shared" si="35"/>
        <v>0</v>
      </c>
      <c r="BG32" s="389">
        <f t="shared" si="5"/>
        <v>0</v>
      </c>
      <c r="BH32" s="438"/>
      <c r="BI32" s="425">
        <f t="shared" si="6"/>
        <v>1383.57</v>
      </c>
      <c r="BJ32" s="425">
        <f t="shared" si="7"/>
        <v>49.64</v>
      </c>
      <c r="BK32" s="425">
        <f t="shared" si="8"/>
        <v>31.35</v>
      </c>
      <c r="BL32" s="438"/>
      <c r="BM32" s="425">
        <f t="shared" si="9"/>
        <v>1383.57</v>
      </c>
      <c r="BN32" s="425">
        <f t="shared" si="10"/>
        <v>49.64</v>
      </c>
      <c r="BO32" s="425">
        <f t="shared" si="11"/>
        <v>31.35</v>
      </c>
      <c r="BP32" s="438"/>
      <c r="BQ32" s="372">
        <f t="shared" si="12"/>
        <v>1574.02</v>
      </c>
      <c r="BR32" s="372">
        <f t="shared" si="13"/>
        <v>61.670000000000009</v>
      </c>
      <c r="BS32" s="372">
        <f t="shared" si="14"/>
        <v>32.979999999999997</v>
      </c>
      <c r="BU32" s="439">
        <f t="shared" si="15"/>
        <v>190.449986</v>
      </c>
      <c r="BV32" s="439">
        <f t="shared" si="16"/>
        <v>12.029897999999999</v>
      </c>
      <c r="BW32" s="439">
        <f t="shared" si="17"/>
        <v>1.6300049999999999</v>
      </c>
      <c r="BY32" s="439">
        <f t="shared" si="18"/>
        <v>0</v>
      </c>
      <c r="BZ32" s="439">
        <f t="shared" si="19"/>
        <v>0</v>
      </c>
      <c r="CA32" s="439">
        <f t="shared" si="20"/>
        <v>0</v>
      </c>
      <c r="CB32" s="439"/>
      <c r="CC32" s="439">
        <f t="shared" si="21"/>
        <v>0</v>
      </c>
      <c r="CD32" s="439">
        <f t="shared" si="22"/>
        <v>0</v>
      </c>
      <c r="CE32" s="374">
        <f t="shared" si="23"/>
        <v>0</v>
      </c>
      <c r="CF32" s="439"/>
      <c r="CG32" s="439">
        <f t="shared" si="36"/>
        <v>1.4E-5</v>
      </c>
      <c r="CH32" s="439">
        <f t="shared" si="37"/>
        <v>0</v>
      </c>
      <c r="CI32" s="439">
        <f t="shared" si="38"/>
        <v>0</v>
      </c>
      <c r="CJ32" s="439"/>
      <c r="CK32" s="439">
        <v>4785.7560810000004</v>
      </c>
      <c r="CL32" s="439">
        <v>2788.0536374600001</v>
      </c>
      <c r="CM32" s="439">
        <v>3282.8110613200001</v>
      </c>
      <c r="CN32" s="439"/>
      <c r="CO32" s="439">
        <f t="shared" si="39"/>
        <v>6.7000585134000007E-2</v>
      </c>
      <c r="CP32" s="439">
        <f t="shared" si="24"/>
        <v>0</v>
      </c>
      <c r="CQ32" s="439">
        <f t="shared" si="24"/>
        <v>0</v>
      </c>
      <c r="CR32" s="439">
        <f t="shared" si="40"/>
        <v>6.7000585134000007E-2</v>
      </c>
      <c r="CS32" s="439">
        <f>+'[1]13-14 $86M Workload Restore'!AJ30</f>
        <v>0</v>
      </c>
      <c r="CT32" s="439">
        <f t="shared" si="41"/>
        <v>6.7000585134000007E-2</v>
      </c>
      <c r="CV32" s="173">
        <v>0</v>
      </c>
      <c r="CW32" s="439">
        <f t="shared" si="42"/>
        <v>1574.02</v>
      </c>
      <c r="CX32" s="439">
        <f t="shared" si="25"/>
        <v>61.669898000000003</v>
      </c>
      <c r="CY32" s="439">
        <f t="shared" si="25"/>
        <v>32.980004999999998</v>
      </c>
      <c r="DA32" s="439">
        <f t="shared" si="26"/>
        <v>0</v>
      </c>
      <c r="DB32" s="439">
        <f t="shared" si="26"/>
        <v>1.0200000000537557E-4</v>
      </c>
      <c r="DC32" s="439">
        <f t="shared" si="26"/>
        <v>-5.0000000015870683E-6</v>
      </c>
      <c r="DE32" s="371">
        <f t="shared" si="27"/>
        <v>0</v>
      </c>
      <c r="DF32" s="371">
        <f t="shared" si="27"/>
        <v>0</v>
      </c>
      <c r="DG32" s="371">
        <f t="shared" si="27"/>
        <v>0</v>
      </c>
      <c r="DH32" s="439"/>
      <c r="DI32" s="371">
        <f t="shared" si="28"/>
        <v>0</v>
      </c>
      <c r="DJ32" s="371">
        <f t="shared" si="28"/>
        <v>0</v>
      </c>
      <c r="DK32" s="371">
        <f t="shared" si="28"/>
        <v>0</v>
      </c>
      <c r="DL32" s="144">
        <f t="shared" si="43"/>
        <v>7297932.4821632616</v>
      </c>
      <c r="DM32" s="144">
        <f t="shared" si="44"/>
        <v>171938.98344068718</v>
      </c>
      <c r="DN32" s="144">
        <f t="shared" si="45"/>
        <v>108267.1252163889</v>
      </c>
      <c r="DO32" s="144">
        <f>'[1]PBF Run'!F32*(1+'[1]PBF Run'!$C$4)</f>
        <v>3935975.6352000004</v>
      </c>
      <c r="DP32" s="144">
        <f>'[1]PBF Run'!AA32+'[1]PBF Run'!AB32+'[1]PBF Run'!AC32+'[1]PBF Run'!AD32</f>
        <v>0</v>
      </c>
      <c r="DQ32" s="144">
        <f>'[1]PBF Run'!X32</f>
        <v>0</v>
      </c>
      <c r="DR32" s="144">
        <f>'[1]PBF Run'!L32*(1+'[1]PBF Run'!$C$4)</f>
        <v>206516.1868</v>
      </c>
      <c r="DS32" s="144">
        <f>'[1]PBF Run'!AE32</f>
        <v>11720630</v>
      </c>
      <c r="DT32" s="326">
        <f t="shared" si="48"/>
        <v>-0.41282033734023571</v>
      </c>
      <c r="DU32" s="144"/>
      <c r="DV32" s="144"/>
    </row>
    <row r="33" spans="1:126" ht="13.5" thickBot="1">
      <c r="A33" s="16" t="s">
        <v>353</v>
      </c>
      <c r="B33" s="16" t="s">
        <v>134</v>
      </c>
      <c r="C33" s="425">
        <f>[1]FTES!C33</f>
        <v>1496.02</v>
      </c>
      <c r="D33" s="425">
        <f>[1]FTES!D33</f>
        <v>1496.02</v>
      </c>
      <c r="E33" s="425">
        <f>[1]FTES!E33</f>
        <v>1341.56</v>
      </c>
      <c r="F33" s="425">
        <f>[1]FTES!H33</f>
        <v>0</v>
      </c>
      <c r="G33" s="425">
        <f>[1]FTES!I33</f>
        <v>0</v>
      </c>
      <c r="H33" s="425">
        <f>[1]FTES!J33</f>
        <v>1341.56</v>
      </c>
      <c r="I33" s="425">
        <f>[1]FTES!K33</f>
        <v>-154.46</v>
      </c>
      <c r="J33" s="425">
        <f>[1]FTES!L33</f>
        <v>0</v>
      </c>
      <c r="K33" s="425">
        <f>[1]FTES!M33</f>
        <v>0</v>
      </c>
      <c r="L33" s="425">
        <f>[1]FTES!N33</f>
        <v>17.84</v>
      </c>
      <c r="M33" s="425">
        <f>[1]FTES!O33</f>
        <v>17.84</v>
      </c>
      <c r="N33" s="425">
        <f>[1]FTES!P33</f>
        <v>74.81</v>
      </c>
      <c r="O33" s="425">
        <f>[1]FTES!S33</f>
        <v>0</v>
      </c>
      <c r="P33" s="425">
        <f>[1]FTES!T33</f>
        <v>0</v>
      </c>
      <c r="Q33" s="425">
        <f>[1]FTES!U33</f>
        <v>74.81</v>
      </c>
      <c r="R33" s="425">
        <f>[1]FTES!V33</f>
        <v>56.97</v>
      </c>
      <c r="S33" s="425">
        <f>[1]FTES!W33</f>
        <v>0</v>
      </c>
      <c r="T33" s="425">
        <f>[1]FTES!X33</f>
        <v>0</v>
      </c>
      <c r="U33" s="425">
        <f>[1]FTES!Y33</f>
        <v>0</v>
      </c>
      <c r="V33" s="425">
        <f>[1]FTES!Z33</f>
        <v>0</v>
      </c>
      <c r="W33" s="425">
        <f>[1]FTES!AA33</f>
        <v>0</v>
      </c>
      <c r="X33" s="425">
        <f>[1]FTES!AD33</f>
        <v>0</v>
      </c>
      <c r="Y33" s="425">
        <f>[1]FTES!AE33</f>
        <v>0</v>
      </c>
      <c r="Z33" s="425">
        <f>[1]FTES!AF33</f>
        <v>0</v>
      </c>
      <c r="AA33" s="425">
        <f>[1]FTES!AG33</f>
        <v>0</v>
      </c>
      <c r="AB33" s="425">
        <f>[1]FTES!AH33</f>
        <v>0</v>
      </c>
      <c r="AC33" s="425">
        <f>[1]FTES!AI33</f>
        <v>0</v>
      </c>
      <c r="AD33" s="425"/>
      <c r="AE33" s="376">
        <f>'[1]13-14 $86M Workload Restore'!AJ31</f>
        <v>0</v>
      </c>
      <c r="AF33" s="375"/>
      <c r="AG33" s="122" t="str">
        <f>'[1]Restoration and Growth'!N33</f>
        <v>Decline</v>
      </c>
      <c r="AH33" s="122" t="str">
        <f>'[1]Restoration and Growth'!O33</f>
        <v>Decline</v>
      </c>
      <c r="AI33" s="122" t="str">
        <f>'[1]Restoration and Growth'!P33</f>
        <v>Grow</v>
      </c>
      <c r="AJ33" s="122" t="str">
        <f>'[1]Restoration and Growth'!Q33</f>
        <v>No CPCP</v>
      </c>
      <c r="AK33" s="139"/>
      <c r="AL33" s="139">
        <f>ROUND(J33*'[1]PBF Run'!$AS$4,3)</f>
        <v>0</v>
      </c>
      <c r="AM33" s="139">
        <f>ROUND(S33*'[1]PBF Run'!$AF$4,3)</f>
        <v>0</v>
      </c>
      <c r="AN33" s="139">
        <f>ROUND(AB33*'[1]PBF Run'!$AJ$4,3)</f>
        <v>0</v>
      </c>
      <c r="AO33" s="139">
        <f t="shared" si="29"/>
        <v>0</v>
      </c>
      <c r="AP33" s="139" t="str">
        <f t="shared" si="46"/>
        <v>NA</v>
      </c>
      <c r="AQ33" s="139"/>
      <c r="AR33" s="374">
        <f t="shared" si="47"/>
        <v>0</v>
      </c>
      <c r="AS33" s="9">
        <f t="shared" si="0"/>
        <v>0</v>
      </c>
      <c r="AT33" s="9"/>
      <c r="AU33" s="373">
        <f t="shared" si="1"/>
        <v>0</v>
      </c>
      <c r="AV33" s="439">
        <f>IF(AP33="NA",0,IF(AI33="Decline",N33-L33,IF(AY33&gt;=AM33,ROUND(AM33/$BD$6,6),IF(AY33&lt;=0,ROUND(AM33/$BD$6,6),ROUND(AY33/$BD$6,6)))))</f>
        <v>0</v>
      </c>
      <c r="AW33" s="9">
        <f t="shared" si="3"/>
        <v>0</v>
      </c>
      <c r="AX33" s="9"/>
      <c r="AY33" s="373">
        <f t="shared" si="4"/>
        <v>0</v>
      </c>
      <c r="AZ33" s="439">
        <f t="shared" si="30"/>
        <v>0</v>
      </c>
      <c r="BA33" s="9">
        <f t="shared" si="31"/>
        <v>0</v>
      </c>
      <c r="BB33" s="439"/>
      <c r="BC33" s="171">
        <f t="shared" si="32"/>
        <v>0</v>
      </c>
      <c r="BD33" s="171">
        <f t="shared" si="33"/>
        <v>0</v>
      </c>
      <c r="BE33" s="171">
        <f t="shared" si="34"/>
        <v>0</v>
      </c>
      <c r="BF33" s="438">
        <f t="shared" si="35"/>
        <v>0</v>
      </c>
      <c r="BG33" s="389">
        <f t="shared" si="5"/>
        <v>0</v>
      </c>
      <c r="BH33" s="438"/>
      <c r="BI33" s="425">
        <f t="shared" si="6"/>
        <v>1496.02</v>
      </c>
      <c r="BJ33" s="425">
        <f t="shared" si="7"/>
        <v>17.84</v>
      </c>
      <c r="BK33" s="425">
        <f t="shared" si="8"/>
        <v>0</v>
      </c>
      <c r="BL33" s="438"/>
      <c r="BM33" s="425">
        <f t="shared" si="9"/>
        <v>1496.02</v>
      </c>
      <c r="BN33" s="425">
        <f t="shared" si="10"/>
        <v>17.84</v>
      </c>
      <c r="BO33" s="425">
        <f t="shared" si="11"/>
        <v>0</v>
      </c>
      <c r="BP33" s="438"/>
      <c r="BQ33" s="372">
        <f t="shared" si="12"/>
        <v>1341.56</v>
      </c>
      <c r="BR33" s="372">
        <f t="shared" si="13"/>
        <v>74.81</v>
      </c>
      <c r="BS33" s="372">
        <f t="shared" si="14"/>
        <v>0</v>
      </c>
      <c r="BU33" s="439">
        <f t="shared" si="15"/>
        <v>0</v>
      </c>
      <c r="BV33" s="439">
        <f t="shared" si="16"/>
        <v>0</v>
      </c>
      <c r="BW33" s="439">
        <f t="shared" si="17"/>
        <v>0</v>
      </c>
      <c r="BY33" s="439">
        <f t="shared" si="18"/>
        <v>0</v>
      </c>
      <c r="BZ33" s="439">
        <f t="shared" si="19"/>
        <v>0</v>
      </c>
      <c r="CA33" s="439">
        <f t="shared" si="20"/>
        <v>0</v>
      </c>
      <c r="CB33" s="439"/>
      <c r="CC33" s="439">
        <f t="shared" si="21"/>
        <v>-154.46</v>
      </c>
      <c r="CD33" s="439">
        <f t="shared" si="22"/>
        <v>56.97</v>
      </c>
      <c r="CE33" s="374">
        <f t="shared" si="23"/>
        <v>0</v>
      </c>
      <c r="CF33" s="439"/>
      <c r="CG33" s="439">
        <f t="shared" si="36"/>
        <v>0</v>
      </c>
      <c r="CH33" s="439">
        <f t="shared" si="37"/>
        <v>0</v>
      </c>
      <c r="CI33" s="439">
        <f t="shared" si="38"/>
        <v>0</v>
      </c>
      <c r="CJ33" s="439"/>
      <c r="CK33" s="439">
        <v>4732.9076720000003</v>
      </c>
      <c r="CL33" s="439">
        <v>2788.0536374600001</v>
      </c>
      <c r="CM33" s="439">
        <v>3282.8110613200001</v>
      </c>
      <c r="CN33" s="439"/>
      <c r="CO33" s="439">
        <f t="shared" si="39"/>
        <v>0</v>
      </c>
      <c r="CP33" s="439">
        <f t="shared" si="24"/>
        <v>0</v>
      </c>
      <c r="CQ33" s="439">
        <f t="shared" si="24"/>
        <v>0</v>
      </c>
      <c r="CR33" s="439">
        <f t="shared" si="40"/>
        <v>0</v>
      </c>
      <c r="CS33" s="439">
        <f>+'[1]13-14 $86M Workload Restore'!AJ31</f>
        <v>0</v>
      </c>
      <c r="CT33" s="439">
        <f t="shared" si="41"/>
        <v>0</v>
      </c>
      <c r="CV33" s="173">
        <v>0</v>
      </c>
      <c r="CW33" s="439">
        <f t="shared" si="42"/>
        <v>1341.56</v>
      </c>
      <c r="CX33" s="439">
        <f t="shared" si="25"/>
        <v>74.81</v>
      </c>
      <c r="CY33" s="439">
        <f t="shared" si="25"/>
        <v>0</v>
      </c>
      <c r="DA33" s="439">
        <f t="shared" si="26"/>
        <v>0</v>
      </c>
      <c r="DB33" s="439">
        <f t="shared" si="26"/>
        <v>0</v>
      </c>
      <c r="DC33" s="439">
        <f t="shared" si="26"/>
        <v>0</v>
      </c>
      <c r="DE33" s="371">
        <f t="shared" si="27"/>
        <v>0</v>
      </c>
      <c r="DF33" s="371">
        <f t="shared" si="27"/>
        <v>0</v>
      </c>
      <c r="DG33" s="371">
        <f t="shared" si="27"/>
        <v>0</v>
      </c>
      <c r="DH33" s="439"/>
      <c r="DI33" s="371">
        <f t="shared" si="28"/>
        <v>0</v>
      </c>
      <c r="DJ33" s="371">
        <f t="shared" si="28"/>
        <v>0</v>
      </c>
      <c r="DK33" s="371">
        <f t="shared" si="28"/>
        <v>0</v>
      </c>
      <c r="DL33" s="144">
        <f t="shared" si="43"/>
        <v>6220133.3533061491</v>
      </c>
      <c r="DM33" s="144">
        <f t="shared" si="44"/>
        <v>208574.29261838261</v>
      </c>
      <c r="DN33" s="144">
        <f t="shared" si="45"/>
        <v>0</v>
      </c>
      <c r="DO33" s="144">
        <f>'[1]PBF Run'!F33*(1+'[1]PBF Run'!$C$4)</f>
        <v>3935975.6352000004</v>
      </c>
      <c r="DP33" s="144">
        <f>'[1]PBF Run'!AA33+'[1]PBF Run'!AB33+'[1]PBF Run'!AC33+'[1]PBF Run'!AD33</f>
        <v>-162047</v>
      </c>
      <c r="DQ33" s="144">
        <f>'[1]PBF Run'!X33</f>
        <v>557318</v>
      </c>
      <c r="DR33" s="144">
        <f>'[1]PBF Run'!L33*(1+'[1]PBF Run'!$C$4)</f>
        <v>144239.557</v>
      </c>
      <c r="DS33" s="144">
        <f>'[1]PBF Run'!AE33</f>
        <v>10904194</v>
      </c>
      <c r="DT33" s="326">
        <f t="shared" si="48"/>
        <v>0.16187546774744987</v>
      </c>
      <c r="DU33" s="144"/>
      <c r="DV33" s="144"/>
    </row>
    <row r="34" spans="1:126" ht="13.5" thickBot="1">
      <c r="A34" s="16" t="s">
        <v>351</v>
      </c>
      <c r="B34" s="16" t="s">
        <v>135</v>
      </c>
      <c r="C34" s="425">
        <f>[1]FTES!C34</f>
        <v>19326.299900000002</v>
      </c>
      <c r="D34" s="425">
        <f>[1]FTES!D34</f>
        <v>19326.299900000002</v>
      </c>
      <c r="E34" s="425">
        <f>[1]FTES!E34</f>
        <v>19675.759999999998</v>
      </c>
      <c r="F34" s="425">
        <f>[1]FTES!H34</f>
        <v>0</v>
      </c>
      <c r="G34" s="425">
        <f>[1]FTES!I34</f>
        <v>0</v>
      </c>
      <c r="H34" s="425">
        <f>[1]FTES!J34</f>
        <v>19326.299900000002</v>
      </c>
      <c r="I34" s="425">
        <f>[1]FTES!K34</f>
        <v>0</v>
      </c>
      <c r="J34" s="425">
        <f>[1]FTES!L34</f>
        <v>349.46010000000001</v>
      </c>
      <c r="K34" s="425">
        <f>[1]FTES!M34</f>
        <v>0</v>
      </c>
      <c r="L34" s="425">
        <f>[1]FTES!N34</f>
        <v>141.57</v>
      </c>
      <c r="M34" s="425">
        <f>[1]FTES!O34</f>
        <v>141.57</v>
      </c>
      <c r="N34" s="425">
        <f>[1]FTES!P34</f>
        <v>137.01</v>
      </c>
      <c r="O34" s="425">
        <f>[1]FTES!S34</f>
        <v>0</v>
      </c>
      <c r="P34" s="425">
        <f>[1]FTES!T34</f>
        <v>0</v>
      </c>
      <c r="Q34" s="425">
        <f>[1]FTES!U34</f>
        <v>137.01</v>
      </c>
      <c r="R34" s="425">
        <f>[1]FTES!V34</f>
        <v>0</v>
      </c>
      <c r="S34" s="425">
        <f>[1]FTES!W34</f>
        <v>0</v>
      </c>
      <c r="T34" s="425">
        <f>[1]FTES!X34</f>
        <v>0</v>
      </c>
      <c r="U34" s="425">
        <f>[1]FTES!Y34</f>
        <v>53.36</v>
      </c>
      <c r="V34" s="425">
        <f>[1]FTES!Z34</f>
        <v>53.36</v>
      </c>
      <c r="W34" s="425">
        <f>[1]FTES!AA34</f>
        <v>97.36</v>
      </c>
      <c r="X34" s="425">
        <f>[1]FTES!AD34</f>
        <v>0</v>
      </c>
      <c r="Y34" s="425">
        <f>[1]FTES!AE34</f>
        <v>0</v>
      </c>
      <c r="Z34" s="425">
        <f>[1]FTES!AF34</f>
        <v>53.36</v>
      </c>
      <c r="AA34" s="425">
        <f>[1]FTES!AG34</f>
        <v>0</v>
      </c>
      <c r="AB34" s="425">
        <f>[1]FTES!AH34</f>
        <v>44</v>
      </c>
      <c r="AC34" s="425">
        <f>[1]FTES!AI34</f>
        <v>0</v>
      </c>
      <c r="AD34" s="425"/>
      <c r="AE34" s="376">
        <f>'[1]13-14 $86M Workload Restore'!AJ32</f>
        <v>1751999</v>
      </c>
      <c r="AF34" s="375"/>
      <c r="AG34" s="122" t="str">
        <f>'[1]Restoration and Growth'!N34</f>
        <v>Growth</v>
      </c>
      <c r="AH34" s="122" t="str">
        <f>'[1]Restoration and Growth'!O34</f>
        <v>Grow</v>
      </c>
      <c r="AI34" s="122" t="str">
        <f>'[1]Restoration and Growth'!P34</f>
        <v>Decline</v>
      </c>
      <c r="AJ34" s="122" t="str">
        <f>'[1]Restoration and Growth'!Q34</f>
        <v>Grow</v>
      </c>
      <c r="AK34" s="139"/>
      <c r="AL34" s="139">
        <f>ROUND(J34*'[1]PBF Run'!$AS$4,3)</f>
        <v>1620269.2560000001</v>
      </c>
      <c r="AM34" s="139">
        <f>ROUND(S34*'[1]PBF Run'!$AF$4,3)</f>
        <v>0</v>
      </c>
      <c r="AN34" s="139">
        <f>ROUND(AB34*'[1]PBF Run'!$AJ$4,3)</f>
        <v>144443.68700000001</v>
      </c>
      <c r="AO34" s="139">
        <f t="shared" si="29"/>
        <v>1764712.943</v>
      </c>
      <c r="AP34" s="139" t="str">
        <f t="shared" si="46"/>
        <v>Y</v>
      </c>
      <c r="AQ34" s="139"/>
      <c r="AR34" s="374">
        <f t="shared" si="47"/>
        <v>349.46004499999998</v>
      </c>
      <c r="AS34" s="9">
        <f t="shared" si="0"/>
        <v>1620269</v>
      </c>
      <c r="AT34" s="9"/>
      <c r="AU34" s="373">
        <f t="shared" si="1"/>
        <v>1620269</v>
      </c>
      <c r="AV34" s="439">
        <f t="shared" si="49"/>
        <v>-4.5600000000000023</v>
      </c>
      <c r="AW34" s="9">
        <f t="shared" si="3"/>
        <v>-12714</v>
      </c>
      <c r="AX34" s="9"/>
      <c r="AY34" s="373">
        <f t="shared" si="4"/>
        <v>1607555</v>
      </c>
      <c r="AZ34" s="439">
        <f t="shared" si="30"/>
        <v>44</v>
      </c>
      <c r="BA34" s="9">
        <f t="shared" si="31"/>
        <v>144444</v>
      </c>
      <c r="BB34" s="439"/>
      <c r="BC34" s="171">
        <f t="shared" si="32"/>
        <v>1620269</v>
      </c>
      <c r="BD34" s="171">
        <f t="shared" si="33"/>
        <v>-12714</v>
      </c>
      <c r="BE34" s="171">
        <f t="shared" si="34"/>
        <v>144444</v>
      </c>
      <c r="BF34" s="438">
        <f t="shared" si="35"/>
        <v>1751999</v>
      </c>
      <c r="BG34" s="389">
        <f t="shared" si="5"/>
        <v>0</v>
      </c>
      <c r="BH34" s="438"/>
      <c r="BI34" s="425">
        <f t="shared" si="6"/>
        <v>19326.299900000002</v>
      </c>
      <c r="BJ34" s="425">
        <f t="shared" si="7"/>
        <v>141.57</v>
      </c>
      <c r="BK34" s="425">
        <f t="shared" si="8"/>
        <v>53.36</v>
      </c>
      <c r="BL34" s="438"/>
      <c r="BM34" s="425">
        <f t="shared" si="9"/>
        <v>19326.299900000002</v>
      </c>
      <c r="BN34" s="425">
        <f t="shared" si="10"/>
        <v>141.57</v>
      </c>
      <c r="BO34" s="425">
        <f t="shared" si="11"/>
        <v>53.36</v>
      </c>
      <c r="BP34" s="438"/>
      <c r="BQ34" s="372">
        <f t="shared" si="12"/>
        <v>19675.759999999998</v>
      </c>
      <c r="BR34" s="372">
        <f t="shared" si="13"/>
        <v>137.01</v>
      </c>
      <c r="BS34" s="372">
        <f t="shared" si="14"/>
        <v>97.36</v>
      </c>
      <c r="BU34" s="439">
        <f t="shared" si="15"/>
        <v>0</v>
      </c>
      <c r="BV34" s="439">
        <f t="shared" si="16"/>
        <v>0</v>
      </c>
      <c r="BW34" s="439">
        <f t="shared" si="17"/>
        <v>0</v>
      </c>
      <c r="BY34" s="439">
        <f t="shared" si="18"/>
        <v>0</v>
      </c>
      <c r="BZ34" s="439">
        <f t="shared" si="19"/>
        <v>0</v>
      </c>
      <c r="CA34" s="439">
        <f t="shared" si="20"/>
        <v>0</v>
      </c>
      <c r="CB34" s="439"/>
      <c r="CC34" s="439">
        <f t="shared" si="21"/>
        <v>0</v>
      </c>
      <c r="CD34" s="439">
        <f t="shared" si="22"/>
        <v>0</v>
      </c>
      <c r="CE34" s="374">
        <f t="shared" si="23"/>
        <v>0</v>
      </c>
      <c r="CF34" s="439"/>
      <c r="CG34" s="439">
        <f t="shared" si="36"/>
        <v>349.46004499999998</v>
      </c>
      <c r="CH34" s="439">
        <f t="shared" si="37"/>
        <v>-4.5600000000000023</v>
      </c>
      <c r="CI34" s="439">
        <f t="shared" si="38"/>
        <v>44</v>
      </c>
      <c r="CJ34" s="439"/>
      <c r="CK34" s="439">
        <v>4636.4928749999999</v>
      </c>
      <c r="CL34" s="439">
        <v>2788.0536374600001</v>
      </c>
      <c r="CM34" s="439">
        <v>3282.8110613200001</v>
      </c>
      <c r="CN34" s="439"/>
      <c r="CO34" s="439">
        <f t="shared" si="39"/>
        <v>1620269.0087396794</v>
      </c>
      <c r="CP34" s="439">
        <f t="shared" si="24"/>
        <v>-12713.524586817606</v>
      </c>
      <c r="CQ34" s="439">
        <f t="shared" si="24"/>
        <v>144443.68669808001</v>
      </c>
      <c r="CR34" s="439">
        <f t="shared" si="40"/>
        <v>1751999.1708509417</v>
      </c>
      <c r="CS34" s="439">
        <f>+'[1]13-14 $86M Workload Restore'!AJ32</f>
        <v>1751999</v>
      </c>
      <c r="CT34" s="439">
        <f t="shared" si="41"/>
        <v>0.17085094167850912</v>
      </c>
      <c r="CV34" s="173">
        <v>0</v>
      </c>
      <c r="CW34" s="439">
        <f t="shared" si="42"/>
        <v>19675.759945000002</v>
      </c>
      <c r="CX34" s="439">
        <f t="shared" si="25"/>
        <v>137.01</v>
      </c>
      <c r="CY34" s="439">
        <f t="shared" si="25"/>
        <v>97.36</v>
      </c>
      <c r="DA34" s="439">
        <f t="shared" si="26"/>
        <v>5.499999679159373E-5</v>
      </c>
      <c r="DB34" s="439">
        <f t="shared" si="26"/>
        <v>0</v>
      </c>
      <c r="DC34" s="439">
        <f t="shared" si="26"/>
        <v>0</v>
      </c>
      <c r="DE34" s="371">
        <f t="shared" si="27"/>
        <v>0</v>
      </c>
      <c r="DF34" s="371">
        <f t="shared" si="27"/>
        <v>0</v>
      </c>
      <c r="DG34" s="371">
        <f t="shared" si="27"/>
        <v>0</v>
      </c>
      <c r="DH34" s="439"/>
      <c r="DI34" s="371">
        <f t="shared" si="28"/>
        <v>0</v>
      </c>
      <c r="DJ34" s="371">
        <f t="shared" si="28"/>
        <v>0</v>
      </c>
      <c r="DK34" s="371">
        <f t="shared" si="28"/>
        <v>0</v>
      </c>
      <c r="DL34" s="144">
        <f t="shared" si="43"/>
        <v>91226520.383389249</v>
      </c>
      <c r="DM34" s="144">
        <f t="shared" si="44"/>
        <v>381991.22886839457</v>
      </c>
      <c r="DN34" s="144">
        <f t="shared" si="45"/>
        <v>319614.48493011523</v>
      </c>
      <c r="DO34" s="144">
        <f>'[1]PBF Run'!F34*(1+'[1]PBF Run'!$C$4)</f>
        <v>6747387.5287000006</v>
      </c>
      <c r="DP34" s="144">
        <f>'[1]PBF Run'!AA34+'[1]PBF Run'!AB34+'[1]PBF Run'!AC34+'[1]PBF Run'!AD34</f>
        <v>0</v>
      </c>
      <c r="DQ34" s="144">
        <f>'[1]PBF Run'!X34</f>
        <v>0</v>
      </c>
      <c r="DR34" s="144">
        <f>'[1]PBF Run'!L34*(1+'[1]PBF Run'!$C$4)</f>
        <v>0</v>
      </c>
      <c r="DS34" s="144">
        <f>'[1]PBF Run'!AE34</f>
        <v>98675514</v>
      </c>
      <c r="DT34" s="326">
        <f t="shared" si="48"/>
        <v>0.37411224842071533</v>
      </c>
      <c r="DU34" s="144"/>
      <c r="DV34" s="144"/>
    </row>
    <row r="35" spans="1:126" ht="13.5" thickBot="1">
      <c r="A35" s="16" t="s">
        <v>349</v>
      </c>
      <c r="B35" s="16" t="s">
        <v>136</v>
      </c>
      <c r="C35" s="425">
        <f>[1]FTES!C35</f>
        <v>92539.682948999995</v>
      </c>
      <c r="D35" s="425">
        <f>[1]FTES!D35</f>
        <v>92539.682948999995</v>
      </c>
      <c r="E35" s="425">
        <f>[1]FTES!E35</f>
        <v>96539.27</v>
      </c>
      <c r="F35" s="425">
        <f>[1]FTES!H35</f>
        <v>0</v>
      </c>
      <c r="G35" s="425">
        <f>[1]FTES!I35</f>
        <v>0</v>
      </c>
      <c r="H35" s="425">
        <f>[1]FTES!J35</f>
        <v>92539.682948999995</v>
      </c>
      <c r="I35" s="425">
        <f>[1]FTES!K35</f>
        <v>0</v>
      </c>
      <c r="J35" s="425">
        <f>[1]FTES!L35</f>
        <v>3999.587051</v>
      </c>
      <c r="K35" s="425">
        <f>[1]FTES!M35</f>
        <v>0</v>
      </c>
      <c r="L35" s="425">
        <f>[1]FTES!N35</f>
        <v>1849.2699999999995</v>
      </c>
      <c r="M35" s="425">
        <f>[1]FTES!O35</f>
        <v>1849.2699999999995</v>
      </c>
      <c r="N35" s="425">
        <f>[1]FTES!P35</f>
        <v>1934.4199999999996</v>
      </c>
      <c r="O35" s="425">
        <f>[1]FTES!S35</f>
        <v>0</v>
      </c>
      <c r="P35" s="425">
        <f>[1]FTES!T35</f>
        <v>0</v>
      </c>
      <c r="Q35" s="425">
        <f>[1]FTES!U35</f>
        <v>1849.27</v>
      </c>
      <c r="R35" s="425">
        <f>[1]FTES!V35</f>
        <v>0</v>
      </c>
      <c r="S35" s="425">
        <f>[1]FTES!W35</f>
        <v>85.15</v>
      </c>
      <c r="T35" s="425">
        <f>[1]FTES!X35</f>
        <v>0</v>
      </c>
      <c r="U35" s="425">
        <f>[1]FTES!Y35</f>
        <v>2705.46</v>
      </c>
      <c r="V35" s="425">
        <f>[1]FTES!Z35</f>
        <v>2705.46</v>
      </c>
      <c r="W35" s="425">
        <f>[1]FTES!AA35</f>
        <v>2909.02</v>
      </c>
      <c r="X35" s="425">
        <f>[1]FTES!AD35</f>
        <v>0</v>
      </c>
      <c r="Y35" s="425">
        <f>[1]FTES!AE35</f>
        <v>0</v>
      </c>
      <c r="Z35" s="425">
        <f>[1]FTES!AF35</f>
        <v>2705.46</v>
      </c>
      <c r="AA35" s="425">
        <f>[1]FTES!AG35</f>
        <v>0</v>
      </c>
      <c r="AB35" s="425">
        <f>[1]FTES!AH35</f>
        <v>203.56</v>
      </c>
      <c r="AC35" s="425">
        <f>[1]FTES!AI35</f>
        <v>0</v>
      </c>
      <c r="AD35" s="425"/>
      <c r="AE35" s="376">
        <f>'[1]13-14 $86M Workload Restore'!AJ33</f>
        <v>10380678</v>
      </c>
      <c r="AF35" s="375"/>
      <c r="AG35" s="122" t="str">
        <f>'[1]Restoration and Growth'!N35</f>
        <v>Growth</v>
      </c>
      <c r="AH35" s="122" t="str">
        <f>'[1]Restoration and Growth'!O35</f>
        <v>Grow</v>
      </c>
      <c r="AI35" s="122" t="str">
        <f>'[1]Restoration and Growth'!P35</f>
        <v>Grow</v>
      </c>
      <c r="AJ35" s="122" t="str">
        <f>'[1]Restoration and Growth'!Q35</f>
        <v>Grow</v>
      </c>
      <c r="AK35" s="139"/>
      <c r="AL35" s="139">
        <f>ROUND(J35*'[1]PBF Run'!$AS$4,3)</f>
        <v>18544056.780999999</v>
      </c>
      <c r="AM35" s="139">
        <f>ROUND(S35*'[1]PBF Run'!$AF$4,3)</f>
        <v>237402.76699999999</v>
      </c>
      <c r="AN35" s="139">
        <f>ROUND(AB35*'[1]PBF Run'!$AJ$4,3)</f>
        <v>668249.02</v>
      </c>
      <c r="AO35" s="139">
        <f t="shared" si="29"/>
        <v>19449708.568</v>
      </c>
      <c r="AP35" s="139" t="str">
        <f t="shared" si="46"/>
        <v>Y</v>
      </c>
      <c r="AQ35" s="139"/>
      <c r="AR35" s="374">
        <f t="shared" si="47"/>
        <v>2043.5761030000001</v>
      </c>
      <c r="AS35" s="9">
        <f t="shared" si="0"/>
        <v>9475026</v>
      </c>
      <c r="AT35" s="9"/>
      <c r="AU35" s="373">
        <f t="shared" si="1"/>
        <v>9475026</v>
      </c>
      <c r="AV35" s="439">
        <f t="shared" si="49"/>
        <v>85.15</v>
      </c>
      <c r="AW35" s="9">
        <f t="shared" si="3"/>
        <v>237403</v>
      </c>
      <c r="AX35" s="9"/>
      <c r="AY35" s="373">
        <f t="shared" si="4"/>
        <v>9712429</v>
      </c>
      <c r="AZ35" s="439">
        <f t="shared" si="30"/>
        <v>203.56</v>
      </c>
      <c r="BA35" s="9">
        <f t="shared" si="31"/>
        <v>668249</v>
      </c>
      <c r="BB35" s="439"/>
      <c r="BC35" s="171">
        <f t="shared" si="32"/>
        <v>9475026</v>
      </c>
      <c r="BD35" s="171">
        <f t="shared" si="33"/>
        <v>237403</v>
      </c>
      <c r="BE35" s="171">
        <f t="shared" si="34"/>
        <v>668249</v>
      </c>
      <c r="BF35" s="438">
        <f t="shared" si="35"/>
        <v>10380678</v>
      </c>
      <c r="BG35" s="389">
        <f t="shared" si="5"/>
        <v>0</v>
      </c>
      <c r="BH35" s="438"/>
      <c r="BI35" s="425">
        <f t="shared" si="6"/>
        <v>92539.682948999995</v>
      </c>
      <c r="BJ35" s="425">
        <f t="shared" si="7"/>
        <v>1849.2699999999995</v>
      </c>
      <c r="BK35" s="425">
        <f t="shared" si="8"/>
        <v>2705.46</v>
      </c>
      <c r="BL35" s="438"/>
      <c r="BM35" s="425">
        <f t="shared" si="9"/>
        <v>92539.682948999995</v>
      </c>
      <c r="BN35" s="425">
        <f t="shared" si="10"/>
        <v>1849.2699999999995</v>
      </c>
      <c r="BO35" s="425">
        <f t="shared" si="11"/>
        <v>2705.46</v>
      </c>
      <c r="BP35" s="438"/>
      <c r="BQ35" s="372">
        <f t="shared" si="12"/>
        <v>96539.27</v>
      </c>
      <c r="BR35" s="372">
        <f t="shared" si="13"/>
        <v>1934.4199999999996</v>
      </c>
      <c r="BS35" s="372">
        <f t="shared" si="14"/>
        <v>2909.02</v>
      </c>
      <c r="BU35" s="439">
        <f t="shared" si="15"/>
        <v>0</v>
      </c>
      <c r="BV35" s="439">
        <f t="shared" si="16"/>
        <v>0</v>
      </c>
      <c r="BW35" s="439">
        <f t="shared" si="17"/>
        <v>0</v>
      </c>
      <c r="BY35" s="439">
        <f t="shared" si="18"/>
        <v>0</v>
      </c>
      <c r="BZ35" s="439">
        <f t="shared" si="19"/>
        <v>0</v>
      </c>
      <c r="CA35" s="439">
        <f t="shared" si="20"/>
        <v>0</v>
      </c>
      <c r="CB35" s="439"/>
      <c r="CC35" s="439">
        <f t="shared" si="21"/>
        <v>0</v>
      </c>
      <c r="CD35" s="439">
        <f t="shared" si="22"/>
        <v>0</v>
      </c>
      <c r="CE35" s="374">
        <f t="shared" si="23"/>
        <v>0</v>
      </c>
      <c r="CF35" s="439"/>
      <c r="CG35" s="439">
        <f t="shared" si="36"/>
        <v>2043.5761030000001</v>
      </c>
      <c r="CH35" s="439">
        <f t="shared" si="37"/>
        <v>85.15</v>
      </c>
      <c r="CI35" s="439">
        <f t="shared" si="38"/>
        <v>203.56</v>
      </c>
      <c r="CJ35" s="439"/>
      <c r="CK35" s="439">
        <v>4636.4928529999997</v>
      </c>
      <c r="CL35" s="439">
        <v>2788.0536374600001</v>
      </c>
      <c r="CM35" s="439">
        <v>3282.8110613200001</v>
      </c>
      <c r="CN35" s="439"/>
      <c r="CO35" s="439">
        <f t="shared" si="39"/>
        <v>9475025.9961210918</v>
      </c>
      <c r="CP35" s="439">
        <f t="shared" si="24"/>
        <v>237402.76722971903</v>
      </c>
      <c r="CQ35" s="439">
        <f t="shared" si="24"/>
        <v>668249.01964229927</v>
      </c>
      <c r="CR35" s="439">
        <f t="shared" si="40"/>
        <v>10380677.78299311</v>
      </c>
      <c r="CS35" s="439">
        <f>+'[1]13-14 $86M Workload Restore'!AJ33</f>
        <v>10380678</v>
      </c>
      <c r="CT35" s="439">
        <f t="shared" si="41"/>
        <v>-0.21700689010322094</v>
      </c>
      <c r="CV35" s="173">
        <v>0</v>
      </c>
      <c r="CW35" s="439">
        <f t="shared" si="42"/>
        <v>94583.259051999994</v>
      </c>
      <c r="CX35" s="439">
        <f t="shared" si="25"/>
        <v>1934.4199999999996</v>
      </c>
      <c r="CY35" s="439">
        <f t="shared" si="25"/>
        <v>2909.02</v>
      </c>
      <c r="DA35" s="439">
        <f t="shared" si="26"/>
        <v>1956.0109480000101</v>
      </c>
      <c r="DB35" s="439">
        <f t="shared" si="26"/>
        <v>0</v>
      </c>
      <c r="DC35" s="439">
        <f t="shared" si="26"/>
        <v>0</v>
      </c>
      <c r="DE35" s="371">
        <f t="shared" si="27"/>
        <v>0</v>
      </c>
      <c r="DF35" s="371">
        <f t="shared" si="27"/>
        <v>0</v>
      </c>
      <c r="DG35" s="371">
        <f t="shared" si="27"/>
        <v>0</v>
      </c>
      <c r="DH35" s="439"/>
      <c r="DI35" s="371">
        <f t="shared" si="28"/>
        <v>0</v>
      </c>
      <c r="DJ35" s="371">
        <f t="shared" si="28"/>
        <v>0</v>
      </c>
      <c r="DK35" s="371">
        <f t="shared" si="28"/>
        <v>0</v>
      </c>
      <c r="DL35" s="144">
        <f t="shared" si="43"/>
        <v>438534604.70924962</v>
      </c>
      <c r="DM35" s="144">
        <f t="shared" si="44"/>
        <v>5393266.7173753725</v>
      </c>
      <c r="DN35" s="144">
        <f t="shared" si="45"/>
        <v>9549763.0336011071</v>
      </c>
      <c r="DO35" s="144">
        <f>'[1]PBF Run'!F35*(1+'[1]PBF Run'!$C$4)</f>
        <v>33736933.580700003</v>
      </c>
      <c r="DP35" s="144">
        <f>'[1]PBF Run'!AA35+'[1]PBF Run'!AB35+'[1]PBF Run'!AC35+'[1]PBF Run'!AD35</f>
        <v>0</v>
      </c>
      <c r="DQ35" s="144">
        <f>'[1]PBF Run'!X35</f>
        <v>0</v>
      </c>
      <c r="DR35" s="144">
        <f>'[1]PBF Run'!L35*(1+'[1]PBF Run'!$C$4)</f>
        <v>0</v>
      </c>
      <c r="DS35" s="144">
        <f>'[1]PBF Run'!AE35</f>
        <v>487214568</v>
      </c>
      <c r="DT35" s="326">
        <f t="shared" si="48"/>
        <v>-4.0926098823547363E-2</v>
      </c>
      <c r="DU35" s="144"/>
      <c r="DV35" s="144"/>
    </row>
    <row r="36" spans="1:126" ht="13.5" thickBot="1">
      <c r="A36" s="16" t="s">
        <v>347</v>
      </c>
      <c r="B36" s="16" t="s">
        <v>137</v>
      </c>
      <c r="C36" s="425">
        <f>[1]FTES!C36</f>
        <v>48863.113313000002</v>
      </c>
      <c r="D36" s="425">
        <f>[1]FTES!D36</f>
        <v>48863.113313000002</v>
      </c>
      <c r="E36" s="425">
        <f>[1]FTES!E36</f>
        <v>50188.67</v>
      </c>
      <c r="F36" s="425">
        <f>[1]FTES!H36</f>
        <v>0</v>
      </c>
      <c r="G36" s="425">
        <f>[1]FTES!I36</f>
        <v>0</v>
      </c>
      <c r="H36" s="425">
        <f>[1]FTES!J36</f>
        <v>48863.113313000002</v>
      </c>
      <c r="I36" s="425">
        <f>[1]FTES!K36</f>
        <v>0</v>
      </c>
      <c r="J36" s="425">
        <f>[1]FTES!L36</f>
        <v>1325.556687</v>
      </c>
      <c r="K36" s="425">
        <f>[1]FTES!M36</f>
        <v>0</v>
      </c>
      <c r="L36" s="425">
        <f>[1]FTES!N36</f>
        <v>28.43</v>
      </c>
      <c r="M36" s="425">
        <f>[1]FTES!O36</f>
        <v>28.43</v>
      </c>
      <c r="N36" s="425">
        <f>[1]FTES!P36</f>
        <v>20.34</v>
      </c>
      <c r="O36" s="425">
        <f>[1]FTES!S36</f>
        <v>0</v>
      </c>
      <c r="P36" s="425">
        <f>[1]FTES!T36</f>
        <v>0</v>
      </c>
      <c r="Q36" s="425">
        <f>[1]FTES!U36</f>
        <v>20.34</v>
      </c>
      <c r="R36" s="425">
        <f>[1]FTES!V36</f>
        <v>0</v>
      </c>
      <c r="S36" s="425">
        <f>[1]FTES!W36</f>
        <v>0</v>
      </c>
      <c r="T36" s="425">
        <f>[1]FTES!X36</f>
        <v>0</v>
      </c>
      <c r="U36" s="425">
        <f>[1]FTES!Y36</f>
        <v>0</v>
      </c>
      <c r="V36" s="425">
        <f>[1]FTES!Z36</f>
        <v>0</v>
      </c>
      <c r="W36" s="425">
        <f>[1]FTES!AA36</f>
        <v>0</v>
      </c>
      <c r="X36" s="425">
        <f>[1]FTES!AD36</f>
        <v>0</v>
      </c>
      <c r="Y36" s="425">
        <f>[1]FTES!AE36</f>
        <v>0</v>
      </c>
      <c r="Z36" s="425">
        <f>[1]FTES!AF36</f>
        <v>0</v>
      </c>
      <c r="AA36" s="425">
        <f>[1]FTES!AG36</f>
        <v>0</v>
      </c>
      <c r="AB36" s="425">
        <f>[1]FTES!AH36</f>
        <v>0</v>
      </c>
      <c r="AC36" s="425">
        <f>[1]FTES!AI36</f>
        <v>0</v>
      </c>
      <c r="AD36" s="425"/>
      <c r="AE36" s="376">
        <f>'[1]13-14 $86M Workload Restore'!AJ34</f>
        <v>5309002</v>
      </c>
      <c r="AF36" s="375"/>
      <c r="AG36" s="122" t="str">
        <f>'[1]Restoration and Growth'!N36</f>
        <v>Growth</v>
      </c>
      <c r="AH36" s="122" t="str">
        <f>'[1]Restoration and Growth'!O36</f>
        <v>Grow</v>
      </c>
      <c r="AI36" s="122" t="str">
        <f>'[1]Restoration and Growth'!P36</f>
        <v>Decline</v>
      </c>
      <c r="AJ36" s="122" t="str">
        <f>'[1]Restoration and Growth'!Q36</f>
        <v>No CPCP</v>
      </c>
      <c r="AK36" s="139"/>
      <c r="AL36" s="139">
        <f>ROUND(J36*'[1]PBF Run'!$AS$4,3)</f>
        <v>6145934.1069999998</v>
      </c>
      <c r="AM36" s="139">
        <f>ROUND(S36*'[1]PBF Run'!$AF$4,3)</f>
        <v>0</v>
      </c>
      <c r="AN36" s="139">
        <f>ROUND(AB36*'[1]PBF Run'!$AJ$4,3)</f>
        <v>0</v>
      </c>
      <c r="AO36" s="139">
        <f t="shared" si="29"/>
        <v>6145934.1069999998</v>
      </c>
      <c r="AP36" s="139" t="str">
        <f t="shared" si="46"/>
        <v>Y</v>
      </c>
      <c r="AQ36" s="139"/>
      <c r="AR36" s="374">
        <f t="shared" si="47"/>
        <v>1149.9116180000001</v>
      </c>
      <c r="AS36" s="9">
        <f t="shared" si="0"/>
        <v>5331557</v>
      </c>
      <c r="AT36" s="9"/>
      <c r="AU36" s="373">
        <f t="shared" si="1"/>
        <v>5331557</v>
      </c>
      <c r="AV36" s="439">
        <f t="shared" si="49"/>
        <v>-8.09</v>
      </c>
      <c r="AW36" s="9">
        <f t="shared" si="3"/>
        <v>-22555</v>
      </c>
      <c r="AX36" s="9"/>
      <c r="AY36" s="373">
        <f t="shared" si="4"/>
        <v>5309002</v>
      </c>
      <c r="AZ36" s="439">
        <f t="shared" si="30"/>
        <v>0</v>
      </c>
      <c r="BA36" s="9">
        <f t="shared" si="31"/>
        <v>0</v>
      </c>
      <c r="BB36" s="439"/>
      <c r="BC36" s="171">
        <f t="shared" si="32"/>
        <v>5331557</v>
      </c>
      <c r="BD36" s="171">
        <f t="shared" si="33"/>
        <v>-22555</v>
      </c>
      <c r="BE36" s="171">
        <f t="shared" si="34"/>
        <v>0</v>
      </c>
      <c r="BF36" s="438">
        <f t="shared" si="35"/>
        <v>5309002</v>
      </c>
      <c r="BG36" s="389">
        <f t="shared" si="5"/>
        <v>0</v>
      </c>
      <c r="BH36" s="438"/>
      <c r="BI36" s="425">
        <f t="shared" si="6"/>
        <v>48863.113313000002</v>
      </c>
      <c r="BJ36" s="425">
        <f t="shared" si="7"/>
        <v>28.43</v>
      </c>
      <c r="BK36" s="425">
        <f t="shared" si="8"/>
        <v>0</v>
      </c>
      <c r="BL36" s="438"/>
      <c r="BM36" s="425">
        <f t="shared" si="9"/>
        <v>48863.113313000002</v>
      </c>
      <c r="BN36" s="425">
        <f t="shared" si="10"/>
        <v>28.43</v>
      </c>
      <c r="BO36" s="425">
        <f t="shared" si="11"/>
        <v>0</v>
      </c>
      <c r="BP36" s="438"/>
      <c r="BQ36" s="372">
        <f t="shared" si="12"/>
        <v>50188.67</v>
      </c>
      <c r="BR36" s="372">
        <f t="shared" si="13"/>
        <v>20.34</v>
      </c>
      <c r="BS36" s="372">
        <f t="shared" si="14"/>
        <v>0</v>
      </c>
      <c r="BU36" s="439">
        <f t="shared" si="15"/>
        <v>0</v>
      </c>
      <c r="BV36" s="439">
        <f t="shared" si="16"/>
        <v>0</v>
      </c>
      <c r="BW36" s="439">
        <f t="shared" si="17"/>
        <v>0</v>
      </c>
      <c r="BY36" s="439">
        <f t="shared" si="18"/>
        <v>0</v>
      </c>
      <c r="BZ36" s="439">
        <f t="shared" si="19"/>
        <v>0</v>
      </c>
      <c r="CA36" s="439">
        <f t="shared" si="20"/>
        <v>0</v>
      </c>
      <c r="CB36" s="439"/>
      <c r="CC36" s="439">
        <f t="shared" si="21"/>
        <v>0</v>
      </c>
      <c r="CD36" s="439">
        <f t="shared" si="22"/>
        <v>0</v>
      </c>
      <c r="CE36" s="374">
        <f t="shared" si="23"/>
        <v>0</v>
      </c>
      <c r="CF36" s="439"/>
      <c r="CG36" s="439">
        <f t="shared" si="36"/>
        <v>1149.9116180000001</v>
      </c>
      <c r="CH36" s="439">
        <f t="shared" si="37"/>
        <v>-8.09</v>
      </c>
      <c r="CI36" s="439">
        <f t="shared" si="38"/>
        <v>0</v>
      </c>
      <c r="CJ36" s="439"/>
      <c r="CK36" s="439">
        <v>4636.4928579999996</v>
      </c>
      <c r="CL36" s="439">
        <v>2788.0536374600001</v>
      </c>
      <c r="CM36" s="439">
        <v>3282.8110613200001</v>
      </c>
      <c r="CN36" s="439"/>
      <c r="CO36" s="439">
        <f t="shared" si="39"/>
        <v>5331557.0041882247</v>
      </c>
      <c r="CP36" s="439">
        <f t="shared" si="24"/>
        <v>-22555.353927051401</v>
      </c>
      <c r="CQ36" s="439">
        <f t="shared" si="24"/>
        <v>0</v>
      </c>
      <c r="CR36" s="439">
        <f t="shared" si="40"/>
        <v>5309001.650261173</v>
      </c>
      <c r="CS36" s="439">
        <f>+'[1]13-14 $86M Workload Restore'!AJ34</f>
        <v>5309002</v>
      </c>
      <c r="CT36" s="439">
        <f t="shared" si="41"/>
        <v>-0.3497388269752264</v>
      </c>
      <c r="CV36" s="173">
        <v>0</v>
      </c>
      <c r="CW36" s="439">
        <f t="shared" si="42"/>
        <v>50013.024931</v>
      </c>
      <c r="CX36" s="439">
        <f t="shared" si="25"/>
        <v>20.34</v>
      </c>
      <c r="CY36" s="439">
        <f t="shared" si="25"/>
        <v>0</v>
      </c>
      <c r="DA36" s="439">
        <f t="shared" si="26"/>
        <v>175.64506899999833</v>
      </c>
      <c r="DB36" s="439">
        <f t="shared" si="26"/>
        <v>0</v>
      </c>
      <c r="DC36" s="439">
        <f t="shared" si="26"/>
        <v>0</v>
      </c>
      <c r="DE36" s="371">
        <f t="shared" si="27"/>
        <v>0</v>
      </c>
      <c r="DF36" s="371">
        <f t="shared" si="27"/>
        <v>0</v>
      </c>
      <c r="DG36" s="371">
        <f t="shared" si="27"/>
        <v>0</v>
      </c>
      <c r="DH36" s="439"/>
      <c r="DI36" s="371">
        <f t="shared" si="28"/>
        <v>0</v>
      </c>
      <c r="DJ36" s="371">
        <f t="shared" si="28"/>
        <v>0</v>
      </c>
      <c r="DK36" s="371">
        <f t="shared" si="28"/>
        <v>0</v>
      </c>
      <c r="DL36" s="144">
        <f t="shared" si="43"/>
        <v>231885032.70300627</v>
      </c>
      <c r="DM36" s="144">
        <f t="shared" si="44"/>
        <v>56709.010985936402</v>
      </c>
      <c r="DN36" s="144">
        <f t="shared" si="45"/>
        <v>0</v>
      </c>
      <c r="DO36" s="144">
        <f>'[1]PBF Run'!F36*(1+'[1]PBF Run'!$C$4)</f>
        <v>19117596.813000001</v>
      </c>
      <c r="DP36" s="144">
        <f>'[1]PBF Run'!AA36+'[1]PBF Run'!AB36+'[1]PBF Run'!AC36+'[1]PBF Run'!AD36</f>
        <v>0</v>
      </c>
      <c r="DQ36" s="144">
        <f>'[1]PBF Run'!X36</f>
        <v>0</v>
      </c>
      <c r="DR36" s="144">
        <f>'[1]PBF Run'!L36*(1+'[1]PBF Run'!$C$4)</f>
        <v>0</v>
      </c>
      <c r="DS36" s="144">
        <f>'[1]PBF Run'!AE36</f>
        <v>251059339</v>
      </c>
      <c r="DT36" s="326">
        <f t="shared" si="48"/>
        <v>0.47300779819488525</v>
      </c>
      <c r="DU36" s="144"/>
      <c r="DV36" s="144"/>
    </row>
    <row r="37" spans="1:126" ht="13.5" thickBot="1">
      <c r="A37" s="16" t="s">
        <v>345</v>
      </c>
      <c r="B37" s="16" t="s">
        <v>138</v>
      </c>
      <c r="C37" s="425">
        <f>[1]FTES!C37</f>
        <v>4462.3099999999995</v>
      </c>
      <c r="D37" s="425">
        <f>[1]FTES!D37</f>
        <v>4462.3099999999995</v>
      </c>
      <c r="E37" s="425">
        <f>[1]FTES!E37</f>
        <v>4133.59</v>
      </c>
      <c r="F37" s="425">
        <f>[1]FTES!H37</f>
        <v>0</v>
      </c>
      <c r="G37" s="425">
        <f>[1]FTES!I37</f>
        <v>0</v>
      </c>
      <c r="H37" s="425">
        <f>[1]FTES!J37</f>
        <v>4133.59</v>
      </c>
      <c r="I37" s="425">
        <f>[1]FTES!K37</f>
        <v>-328.72</v>
      </c>
      <c r="J37" s="425">
        <f>[1]FTES!L37</f>
        <v>0</v>
      </c>
      <c r="K37" s="425">
        <f>[1]FTES!M37</f>
        <v>0</v>
      </c>
      <c r="L37" s="425">
        <f>[1]FTES!N37</f>
        <v>208.82999999999998</v>
      </c>
      <c r="M37" s="425">
        <f>[1]FTES!O37</f>
        <v>208.82999999999998</v>
      </c>
      <c r="N37" s="425">
        <f>[1]FTES!P37</f>
        <v>232.45</v>
      </c>
      <c r="O37" s="425">
        <f>[1]FTES!S37</f>
        <v>0</v>
      </c>
      <c r="P37" s="425">
        <f>[1]FTES!T37</f>
        <v>0</v>
      </c>
      <c r="Q37" s="425">
        <f>[1]FTES!U37</f>
        <v>232.45</v>
      </c>
      <c r="R37" s="425">
        <f>[1]FTES!V37</f>
        <v>23.62</v>
      </c>
      <c r="S37" s="425">
        <f>[1]FTES!W37</f>
        <v>0</v>
      </c>
      <c r="T37" s="425">
        <f>[1]FTES!X37</f>
        <v>0</v>
      </c>
      <c r="U37" s="425">
        <f>[1]FTES!Y37</f>
        <v>0</v>
      </c>
      <c r="V37" s="425">
        <f>[1]FTES!Z37</f>
        <v>0</v>
      </c>
      <c r="W37" s="425">
        <f>[1]FTES!AA37</f>
        <v>0</v>
      </c>
      <c r="X37" s="425">
        <f>[1]FTES!AD37</f>
        <v>0</v>
      </c>
      <c r="Y37" s="425">
        <f>[1]FTES!AE37</f>
        <v>0</v>
      </c>
      <c r="Z37" s="425">
        <f>[1]FTES!AF37</f>
        <v>0</v>
      </c>
      <c r="AA37" s="425">
        <f>[1]FTES!AG37</f>
        <v>0</v>
      </c>
      <c r="AB37" s="425">
        <f>[1]FTES!AH37</f>
        <v>0</v>
      </c>
      <c r="AC37" s="425">
        <f>[1]FTES!AI37</f>
        <v>0</v>
      </c>
      <c r="AD37" s="425"/>
      <c r="AE37" s="376">
        <f>'[1]13-14 $86M Workload Restore'!AJ35</f>
        <v>0</v>
      </c>
      <c r="AF37" s="375"/>
      <c r="AG37" s="122" t="str">
        <f>'[1]Restoration and Growth'!N37</f>
        <v>Decline</v>
      </c>
      <c r="AH37" s="122" t="str">
        <f>'[1]Restoration and Growth'!O37</f>
        <v>Decline</v>
      </c>
      <c r="AI37" s="122" t="str">
        <f>'[1]Restoration and Growth'!P37</f>
        <v>Grow</v>
      </c>
      <c r="AJ37" s="122" t="str">
        <f>'[1]Restoration and Growth'!Q37</f>
        <v>No CPCP</v>
      </c>
      <c r="AK37" s="139"/>
      <c r="AL37" s="139">
        <f>ROUND(J37*'[1]PBF Run'!$AS$4,3)</f>
        <v>0</v>
      </c>
      <c r="AM37" s="139">
        <f>ROUND(S37*'[1]PBF Run'!$AF$4,3)</f>
        <v>0</v>
      </c>
      <c r="AN37" s="139">
        <f>ROUND(AB37*'[1]PBF Run'!$AJ$4,3)</f>
        <v>0</v>
      </c>
      <c r="AO37" s="139">
        <f t="shared" si="29"/>
        <v>0</v>
      </c>
      <c r="AP37" s="139" t="str">
        <f t="shared" si="46"/>
        <v>NA</v>
      </c>
      <c r="AQ37" s="139"/>
      <c r="AR37" s="374">
        <f t="shared" si="47"/>
        <v>0</v>
      </c>
      <c r="AS37" s="9">
        <f t="shared" si="0"/>
        <v>0</v>
      </c>
      <c r="AT37" s="9"/>
      <c r="AU37" s="373">
        <f t="shared" si="1"/>
        <v>0</v>
      </c>
      <c r="AV37" s="439">
        <f t="shared" si="49"/>
        <v>0</v>
      </c>
      <c r="AW37" s="9">
        <f t="shared" si="3"/>
        <v>0</v>
      </c>
      <c r="AX37" s="9"/>
      <c r="AY37" s="373">
        <f t="shared" si="4"/>
        <v>0</v>
      </c>
      <c r="AZ37" s="439">
        <f t="shared" si="30"/>
        <v>0</v>
      </c>
      <c r="BA37" s="9">
        <f t="shared" si="31"/>
        <v>0</v>
      </c>
      <c r="BB37" s="439"/>
      <c r="BC37" s="171">
        <f t="shared" si="32"/>
        <v>0</v>
      </c>
      <c r="BD37" s="171">
        <f t="shared" si="33"/>
        <v>0</v>
      </c>
      <c r="BE37" s="171">
        <f t="shared" si="34"/>
        <v>0</v>
      </c>
      <c r="BF37" s="438">
        <f t="shared" si="35"/>
        <v>0</v>
      </c>
      <c r="BG37" s="389">
        <f t="shared" si="5"/>
        <v>0</v>
      </c>
      <c r="BH37" s="438"/>
      <c r="BI37" s="425">
        <f t="shared" si="6"/>
        <v>4462.3099999999995</v>
      </c>
      <c r="BJ37" s="425">
        <f t="shared" si="7"/>
        <v>208.82999999999998</v>
      </c>
      <c r="BK37" s="425">
        <f t="shared" si="8"/>
        <v>0</v>
      </c>
      <c r="BL37" s="438"/>
      <c r="BM37" s="425">
        <f t="shared" si="9"/>
        <v>4462.3099999999995</v>
      </c>
      <c r="BN37" s="425">
        <f t="shared" si="10"/>
        <v>208.82999999999998</v>
      </c>
      <c r="BO37" s="425">
        <f t="shared" si="11"/>
        <v>0</v>
      </c>
      <c r="BP37" s="438"/>
      <c r="BQ37" s="372">
        <f t="shared" si="12"/>
        <v>4133.59</v>
      </c>
      <c r="BR37" s="372">
        <f t="shared" si="13"/>
        <v>232.45</v>
      </c>
      <c r="BS37" s="372">
        <f t="shared" si="14"/>
        <v>0</v>
      </c>
      <c r="BU37" s="439">
        <f t="shared" si="15"/>
        <v>0</v>
      </c>
      <c r="BV37" s="439">
        <f t="shared" si="16"/>
        <v>0</v>
      </c>
      <c r="BW37" s="439">
        <f t="shared" si="17"/>
        <v>0</v>
      </c>
      <c r="BY37" s="439">
        <f t="shared" si="18"/>
        <v>0</v>
      </c>
      <c r="BZ37" s="439">
        <f t="shared" si="19"/>
        <v>0</v>
      </c>
      <c r="CA37" s="439">
        <f t="shared" si="20"/>
        <v>0</v>
      </c>
      <c r="CB37" s="439"/>
      <c r="CC37" s="439">
        <f t="shared" si="21"/>
        <v>-328.72</v>
      </c>
      <c r="CD37" s="439">
        <f t="shared" si="22"/>
        <v>23.62</v>
      </c>
      <c r="CE37" s="374">
        <f t="shared" si="23"/>
        <v>0</v>
      </c>
      <c r="CF37" s="439"/>
      <c r="CG37" s="439">
        <f t="shared" si="36"/>
        <v>0</v>
      </c>
      <c r="CH37" s="439">
        <f t="shared" si="37"/>
        <v>0</v>
      </c>
      <c r="CI37" s="439">
        <f t="shared" si="38"/>
        <v>0</v>
      </c>
      <c r="CJ37" s="439"/>
      <c r="CK37" s="439">
        <v>5205.6630880000002</v>
      </c>
      <c r="CL37" s="439">
        <v>2788.0536374600001</v>
      </c>
      <c r="CM37" s="439">
        <v>3282.8110613200001</v>
      </c>
      <c r="CN37" s="439"/>
      <c r="CO37" s="439">
        <f t="shared" si="39"/>
        <v>0</v>
      </c>
      <c r="CP37" s="439">
        <f t="shared" si="24"/>
        <v>0</v>
      </c>
      <c r="CQ37" s="439">
        <f t="shared" si="24"/>
        <v>0</v>
      </c>
      <c r="CR37" s="439">
        <f t="shared" si="40"/>
        <v>0</v>
      </c>
      <c r="CS37" s="439">
        <f>+'[1]13-14 $86M Workload Restore'!AJ35</f>
        <v>0</v>
      </c>
      <c r="CT37" s="439">
        <f t="shared" si="41"/>
        <v>0</v>
      </c>
      <c r="CV37" s="173">
        <v>0</v>
      </c>
      <c r="CW37" s="439">
        <f t="shared" si="42"/>
        <v>4133.5899999999992</v>
      </c>
      <c r="CX37" s="439">
        <f t="shared" si="25"/>
        <v>232.45</v>
      </c>
      <c r="CY37" s="439">
        <f t="shared" si="25"/>
        <v>0</v>
      </c>
      <c r="DA37" s="439">
        <f t="shared" si="26"/>
        <v>0</v>
      </c>
      <c r="DB37" s="439">
        <f t="shared" si="26"/>
        <v>0</v>
      </c>
      <c r="DC37" s="439">
        <f t="shared" si="26"/>
        <v>0</v>
      </c>
      <c r="DE37" s="371">
        <f t="shared" si="27"/>
        <v>0</v>
      </c>
      <c r="DF37" s="371">
        <f t="shared" si="27"/>
        <v>0</v>
      </c>
      <c r="DG37" s="371">
        <f t="shared" si="27"/>
        <v>0</v>
      </c>
      <c r="DH37" s="439"/>
      <c r="DI37" s="371">
        <f t="shared" si="28"/>
        <v>9.0949470177292824E-13</v>
      </c>
      <c r="DJ37" s="371">
        <f t="shared" si="28"/>
        <v>0</v>
      </c>
      <c r="DK37" s="371">
        <f t="shared" si="28"/>
        <v>0</v>
      </c>
      <c r="DL37" s="144">
        <f t="shared" si="43"/>
        <v>19165360.496655207</v>
      </c>
      <c r="DM37" s="144">
        <f t="shared" si="44"/>
        <v>648083.06802757701</v>
      </c>
      <c r="DN37" s="144">
        <f t="shared" si="45"/>
        <v>0</v>
      </c>
      <c r="DO37" s="144">
        <f>'[1]PBF Run'!F37*(1+'[1]PBF Run'!$C$4)</f>
        <v>3373693.2565000001</v>
      </c>
      <c r="DP37" s="144">
        <f>'[1]PBF Run'!AA37+'[1]PBF Run'!AB37+'[1]PBF Run'!AC37+'[1]PBF Run'!AD37</f>
        <v>0</v>
      </c>
      <c r="DQ37" s="144">
        <f>'[1]PBF Run'!X37</f>
        <v>1458254</v>
      </c>
      <c r="DR37" s="144">
        <f>'[1]PBF Run'!L37*(1+'[1]PBF Run'!$C$4)</f>
        <v>2539813.7135000001</v>
      </c>
      <c r="DS37" s="144">
        <f>'[1]PBF Run'!AE37</f>
        <v>27185206</v>
      </c>
      <c r="DT37" s="326">
        <f t="shared" si="48"/>
        <v>1.465317215770483</v>
      </c>
      <c r="DU37" s="144"/>
      <c r="DV37" s="144"/>
    </row>
    <row r="38" spans="1:126" ht="13.5" thickBot="1">
      <c r="A38" s="16" t="s">
        <v>343</v>
      </c>
      <c r="B38" s="16" t="s">
        <v>139</v>
      </c>
      <c r="C38" s="425">
        <f>[1]FTES!C38</f>
        <v>2965.8799240000003</v>
      </c>
      <c r="D38" s="425">
        <f>[1]FTES!D38</f>
        <v>2965.8799240000003</v>
      </c>
      <c r="E38" s="425">
        <f>[1]FTES!E38</f>
        <v>2254.23</v>
      </c>
      <c r="F38" s="425">
        <f>[1]FTES!H38</f>
        <v>0</v>
      </c>
      <c r="G38" s="425">
        <f>[1]FTES!I38</f>
        <v>0</v>
      </c>
      <c r="H38" s="425">
        <f>[1]FTES!J38</f>
        <v>2254.23</v>
      </c>
      <c r="I38" s="425">
        <f>[1]FTES!K38</f>
        <v>-711.64992400000006</v>
      </c>
      <c r="J38" s="425">
        <f>[1]FTES!L38</f>
        <v>0</v>
      </c>
      <c r="K38" s="425">
        <f>[1]FTES!M38</f>
        <v>0</v>
      </c>
      <c r="L38" s="425">
        <f>[1]FTES!N38</f>
        <v>30.759999999999998</v>
      </c>
      <c r="M38" s="425">
        <f>[1]FTES!O38</f>
        <v>30.759999999999998</v>
      </c>
      <c r="N38" s="425">
        <f>[1]FTES!P38</f>
        <v>35.139999999999993</v>
      </c>
      <c r="O38" s="425">
        <f>[1]FTES!S38</f>
        <v>0</v>
      </c>
      <c r="P38" s="425">
        <f>[1]FTES!T38</f>
        <v>0</v>
      </c>
      <c r="Q38" s="425">
        <f>[1]FTES!U38</f>
        <v>35.14</v>
      </c>
      <c r="R38" s="425">
        <f>[1]FTES!V38</f>
        <v>4.38</v>
      </c>
      <c r="S38" s="425">
        <f>[1]FTES!W38</f>
        <v>0</v>
      </c>
      <c r="T38" s="425">
        <f>[1]FTES!X38</f>
        <v>0</v>
      </c>
      <c r="U38" s="425">
        <f>[1]FTES!Y38</f>
        <v>46.68</v>
      </c>
      <c r="V38" s="425">
        <f>[1]FTES!Z38</f>
        <v>46.68</v>
      </c>
      <c r="W38" s="425">
        <f>[1]FTES!AA38</f>
        <v>54.6</v>
      </c>
      <c r="X38" s="425">
        <f>[1]FTES!AD38</f>
        <v>0</v>
      </c>
      <c r="Y38" s="425">
        <f>[1]FTES!AE38</f>
        <v>0</v>
      </c>
      <c r="Z38" s="425">
        <f>[1]FTES!AF38</f>
        <v>54.6</v>
      </c>
      <c r="AA38" s="425">
        <f>[1]FTES!AG38</f>
        <v>7.92</v>
      </c>
      <c r="AB38" s="425">
        <f>[1]FTES!AH38</f>
        <v>0</v>
      </c>
      <c r="AC38" s="425">
        <f>[1]FTES!AI38</f>
        <v>0</v>
      </c>
      <c r="AD38" s="425"/>
      <c r="AE38" s="376">
        <f>'[1]13-14 $86M Workload Restore'!AJ36</f>
        <v>0</v>
      </c>
      <c r="AF38" s="375"/>
      <c r="AG38" s="122" t="str">
        <f>'[1]Restoration and Growth'!N38</f>
        <v>Decline</v>
      </c>
      <c r="AH38" s="122" t="str">
        <f>'[1]Restoration and Growth'!O38</f>
        <v>Decline</v>
      </c>
      <c r="AI38" s="122" t="str">
        <f>'[1]Restoration and Growth'!P38</f>
        <v>Grow</v>
      </c>
      <c r="AJ38" s="122" t="str">
        <f>'[1]Restoration and Growth'!Q38</f>
        <v>Grow</v>
      </c>
      <c r="AK38" s="139"/>
      <c r="AL38" s="139">
        <f>ROUND(J38*'[1]PBF Run'!$AS$4,3)</f>
        <v>0</v>
      </c>
      <c r="AM38" s="139">
        <f>ROUND(S38*'[1]PBF Run'!$AF$4,3)</f>
        <v>0</v>
      </c>
      <c r="AN38" s="139">
        <f>ROUND(AB38*'[1]PBF Run'!$AJ$4,3)</f>
        <v>0</v>
      </c>
      <c r="AO38" s="139">
        <f t="shared" si="29"/>
        <v>0</v>
      </c>
      <c r="AP38" s="139" t="str">
        <f t="shared" si="46"/>
        <v>NA</v>
      </c>
      <c r="AQ38" s="139"/>
      <c r="AR38" s="374">
        <f t="shared" si="47"/>
        <v>0</v>
      </c>
      <c r="AS38" s="9">
        <f t="shared" si="0"/>
        <v>0</v>
      </c>
      <c r="AT38" s="9"/>
      <c r="AU38" s="373">
        <f t="shared" si="1"/>
        <v>0</v>
      </c>
      <c r="AV38" s="439">
        <f t="shared" si="49"/>
        <v>0</v>
      </c>
      <c r="AW38" s="9">
        <f t="shared" si="3"/>
        <v>0</v>
      </c>
      <c r="AX38" s="9"/>
      <c r="AY38" s="373">
        <f t="shared" si="4"/>
        <v>0</v>
      </c>
      <c r="AZ38" s="439">
        <f t="shared" si="30"/>
        <v>0</v>
      </c>
      <c r="BA38" s="9">
        <f t="shared" si="31"/>
        <v>0</v>
      </c>
      <c r="BB38" s="439"/>
      <c r="BC38" s="171">
        <f t="shared" si="32"/>
        <v>0</v>
      </c>
      <c r="BD38" s="171">
        <f t="shared" si="33"/>
        <v>0</v>
      </c>
      <c r="BE38" s="171">
        <f t="shared" si="34"/>
        <v>0</v>
      </c>
      <c r="BF38" s="438">
        <f t="shared" si="35"/>
        <v>0</v>
      </c>
      <c r="BG38" s="389">
        <f t="shared" si="5"/>
        <v>0</v>
      </c>
      <c r="BH38" s="438"/>
      <c r="BI38" s="425">
        <f t="shared" si="6"/>
        <v>2965.8799240000003</v>
      </c>
      <c r="BJ38" s="425">
        <f t="shared" si="7"/>
        <v>30.759999999999998</v>
      </c>
      <c r="BK38" s="425">
        <f t="shared" si="8"/>
        <v>46.68</v>
      </c>
      <c r="BL38" s="438"/>
      <c r="BM38" s="425">
        <f t="shared" si="9"/>
        <v>2965.8799240000003</v>
      </c>
      <c r="BN38" s="425">
        <f t="shared" si="10"/>
        <v>30.759999999999998</v>
      </c>
      <c r="BO38" s="425">
        <f t="shared" si="11"/>
        <v>46.68</v>
      </c>
      <c r="BP38" s="438"/>
      <c r="BQ38" s="372">
        <f t="shared" si="12"/>
        <v>2254.23</v>
      </c>
      <c r="BR38" s="372">
        <f t="shared" si="13"/>
        <v>35.139999999999993</v>
      </c>
      <c r="BS38" s="372">
        <f t="shared" si="14"/>
        <v>54.6</v>
      </c>
      <c r="BU38" s="439">
        <f t="shared" si="15"/>
        <v>0</v>
      </c>
      <c r="BV38" s="439">
        <f t="shared" si="16"/>
        <v>0</v>
      </c>
      <c r="BW38" s="439">
        <f t="shared" si="17"/>
        <v>0</v>
      </c>
      <c r="BY38" s="439">
        <f t="shared" si="18"/>
        <v>0</v>
      </c>
      <c r="BZ38" s="439">
        <f t="shared" si="19"/>
        <v>0</v>
      </c>
      <c r="CA38" s="439">
        <f t="shared" si="20"/>
        <v>0</v>
      </c>
      <c r="CB38" s="439"/>
      <c r="CC38" s="439">
        <f t="shared" si="21"/>
        <v>-711.64992400000006</v>
      </c>
      <c r="CD38" s="439">
        <f t="shared" si="22"/>
        <v>4.38</v>
      </c>
      <c r="CE38" s="374">
        <f t="shared" si="23"/>
        <v>7.92</v>
      </c>
      <c r="CF38" s="439"/>
      <c r="CG38" s="439">
        <f t="shared" si="36"/>
        <v>0</v>
      </c>
      <c r="CH38" s="439">
        <f t="shared" si="37"/>
        <v>0</v>
      </c>
      <c r="CI38" s="439">
        <f t="shared" si="38"/>
        <v>0</v>
      </c>
      <c r="CJ38" s="439"/>
      <c r="CK38" s="439">
        <v>4636.4928129999998</v>
      </c>
      <c r="CL38" s="439">
        <v>2788.0536374600001</v>
      </c>
      <c r="CM38" s="439">
        <v>3282.8110613200001</v>
      </c>
      <c r="CN38" s="439"/>
      <c r="CO38" s="439">
        <f t="shared" si="39"/>
        <v>0</v>
      </c>
      <c r="CP38" s="439">
        <f t="shared" si="24"/>
        <v>0</v>
      </c>
      <c r="CQ38" s="439">
        <f t="shared" si="24"/>
        <v>0</v>
      </c>
      <c r="CR38" s="439">
        <f t="shared" si="40"/>
        <v>0</v>
      </c>
      <c r="CS38" s="439">
        <f>+'[1]13-14 $86M Workload Restore'!AJ36</f>
        <v>0</v>
      </c>
      <c r="CT38" s="439">
        <f t="shared" si="41"/>
        <v>0</v>
      </c>
      <c r="CV38" s="173">
        <v>0</v>
      </c>
      <c r="CW38" s="439">
        <f t="shared" si="42"/>
        <v>2254.2300000000005</v>
      </c>
      <c r="CX38" s="439">
        <f t="shared" si="25"/>
        <v>35.14</v>
      </c>
      <c r="CY38" s="439">
        <f t="shared" si="25"/>
        <v>54.6</v>
      </c>
      <c r="DA38" s="439">
        <f t="shared" si="26"/>
        <v>0</v>
      </c>
      <c r="DB38" s="439">
        <f t="shared" si="26"/>
        <v>0</v>
      </c>
      <c r="DC38" s="439">
        <f t="shared" si="26"/>
        <v>0</v>
      </c>
      <c r="DE38" s="371">
        <f t="shared" si="27"/>
        <v>0</v>
      </c>
      <c r="DF38" s="371">
        <f t="shared" si="27"/>
        <v>0</v>
      </c>
      <c r="DG38" s="371">
        <f t="shared" si="27"/>
        <v>0</v>
      </c>
      <c r="DH38" s="439"/>
      <c r="DI38" s="371">
        <f t="shared" si="28"/>
        <v>-4.5474735088646412E-13</v>
      </c>
      <c r="DJ38" s="371">
        <f t="shared" si="28"/>
        <v>-7.1054273576010019E-15</v>
      </c>
      <c r="DK38" s="371">
        <f t="shared" si="28"/>
        <v>0</v>
      </c>
      <c r="DL38" s="144">
        <f t="shared" si="43"/>
        <v>10451721.286430219</v>
      </c>
      <c r="DM38" s="144">
        <f t="shared" si="44"/>
        <v>97972.204820344399</v>
      </c>
      <c r="DN38" s="144">
        <f t="shared" si="45"/>
        <v>179241.48394807201</v>
      </c>
      <c r="DO38" s="144">
        <f>'[1]PBF Run'!F38*(1+'[1]PBF Run'!$C$4)</f>
        <v>4498256.9982000003</v>
      </c>
      <c r="DP38" s="144">
        <f>'[1]PBF Run'!AA38+'[1]PBF Run'!AB38+'[1]PBF Run'!AC38+'[1]PBF Run'!AD38</f>
        <v>0</v>
      </c>
      <c r="DQ38" s="144">
        <f>'[1]PBF Run'!X38</f>
        <v>3261348</v>
      </c>
      <c r="DR38" s="144">
        <f>'[1]PBF Run'!L38*(1+'[1]PBF Run'!$C$4)</f>
        <v>0</v>
      </c>
      <c r="DS38" s="144">
        <f>'[1]PBF Run'!AE38</f>
        <v>18488541</v>
      </c>
      <c r="DT38" s="326">
        <f t="shared" si="48"/>
        <v>1.0266013648360968</v>
      </c>
      <c r="DU38" s="144"/>
      <c r="DV38" s="144"/>
    </row>
    <row r="39" spans="1:126" ht="13.5" thickBot="1">
      <c r="A39" s="16" t="s">
        <v>341</v>
      </c>
      <c r="B39" s="16" t="s">
        <v>140</v>
      </c>
      <c r="C39" s="425">
        <f>[1]FTES!C39</f>
        <v>8277.2298970000011</v>
      </c>
      <c r="D39" s="425">
        <f>[1]FTES!D39</f>
        <v>8277.2298970000011</v>
      </c>
      <c r="E39" s="425">
        <f>[1]FTES!E39</f>
        <v>8446.0499999999993</v>
      </c>
      <c r="F39" s="425">
        <f>[1]FTES!H39</f>
        <v>0</v>
      </c>
      <c r="G39" s="425">
        <f>[1]FTES!I39</f>
        <v>0</v>
      </c>
      <c r="H39" s="425">
        <f>[1]FTES!J39</f>
        <v>8277.2298969999993</v>
      </c>
      <c r="I39" s="425">
        <f>[1]FTES!K39</f>
        <v>0</v>
      </c>
      <c r="J39" s="425">
        <f>[1]FTES!L39</f>
        <v>168.82010299999999</v>
      </c>
      <c r="K39" s="425">
        <f>[1]FTES!M39</f>
        <v>0</v>
      </c>
      <c r="L39" s="425">
        <f>[1]FTES!N39</f>
        <v>323.58999999999997</v>
      </c>
      <c r="M39" s="425">
        <f>[1]FTES!O39</f>
        <v>323.58999999999997</v>
      </c>
      <c r="N39" s="425">
        <f>[1]FTES!P39</f>
        <v>313.08000000000004</v>
      </c>
      <c r="O39" s="425">
        <f>[1]FTES!S39</f>
        <v>0</v>
      </c>
      <c r="P39" s="425">
        <f>[1]FTES!T39</f>
        <v>0</v>
      </c>
      <c r="Q39" s="425">
        <f>[1]FTES!U39</f>
        <v>313.08000000000004</v>
      </c>
      <c r="R39" s="425">
        <f>[1]FTES!V39</f>
        <v>0</v>
      </c>
      <c r="S39" s="425">
        <f>[1]FTES!W39</f>
        <v>0</v>
      </c>
      <c r="T39" s="425">
        <f>[1]FTES!X39</f>
        <v>0</v>
      </c>
      <c r="U39" s="425">
        <f>[1]FTES!Y39</f>
        <v>640.30999999999995</v>
      </c>
      <c r="V39" s="425">
        <f>[1]FTES!Z39</f>
        <v>640.30999999999995</v>
      </c>
      <c r="W39" s="425">
        <f>[1]FTES!AA39</f>
        <v>641.54</v>
      </c>
      <c r="X39" s="425">
        <f>[1]FTES!AD39</f>
        <v>0</v>
      </c>
      <c r="Y39" s="425">
        <f>[1]FTES!AE39</f>
        <v>0</v>
      </c>
      <c r="Z39" s="425">
        <f>[1]FTES!AF39</f>
        <v>640.30999999999995</v>
      </c>
      <c r="AA39" s="425">
        <f>[1]FTES!AG39</f>
        <v>0</v>
      </c>
      <c r="AB39" s="425">
        <f>[1]FTES!AH39</f>
        <v>1.23</v>
      </c>
      <c r="AC39" s="425">
        <f>[1]FTES!AI39</f>
        <v>0</v>
      </c>
      <c r="AD39" s="425"/>
      <c r="AE39" s="376">
        <f>'[1]13-14 $86M Workload Restore'!AJ37</f>
        <v>757469</v>
      </c>
      <c r="AF39" s="375"/>
      <c r="AG39" s="122" t="str">
        <f>'[1]Restoration and Growth'!N39</f>
        <v>Growth</v>
      </c>
      <c r="AH39" s="122" t="str">
        <f>'[1]Restoration and Growth'!O39</f>
        <v>Grow</v>
      </c>
      <c r="AI39" s="122" t="str">
        <f>'[1]Restoration and Growth'!P39</f>
        <v>Decline</v>
      </c>
      <c r="AJ39" s="122" t="str">
        <f>'[1]Restoration and Growth'!Q39</f>
        <v>Grow</v>
      </c>
      <c r="AK39" s="139"/>
      <c r="AL39" s="139">
        <f>ROUND(J39*'[1]PBF Run'!$AS$4,3)</f>
        <v>782733.201</v>
      </c>
      <c r="AM39" s="139">
        <f>ROUND(S39*'[1]PBF Run'!$AF$4,3)</f>
        <v>0</v>
      </c>
      <c r="AN39" s="139">
        <f>ROUND(AB39*'[1]PBF Run'!$AJ$4,3)</f>
        <v>4037.8580000000002</v>
      </c>
      <c r="AO39" s="139">
        <f t="shared" si="29"/>
        <v>786771.05900000001</v>
      </c>
      <c r="AP39" s="139" t="str">
        <f t="shared" si="46"/>
        <v>Y</v>
      </c>
      <c r="AQ39" s="139"/>
      <c r="AR39" s="374">
        <f t="shared" si="47"/>
        <v>168.82006000000001</v>
      </c>
      <c r="AS39" s="9">
        <f t="shared" si="0"/>
        <v>782733</v>
      </c>
      <c r="AT39" s="9"/>
      <c r="AU39" s="373">
        <f t="shared" si="1"/>
        <v>782733</v>
      </c>
      <c r="AV39" s="439">
        <f t="shared" si="49"/>
        <v>-10.509999999999934</v>
      </c>
      <c r="AW39" s="9">
        <f t="shared" si="3"/>
        <v>-29302</v>
      </c>
      <c r="AX39" s="9"/>
      <c r="AY39" s="373">
        <f t="shared" si="4"/>
        <v>753431</v>
      </c>
      <c r="AZ39" s="439">
        <f t="shared" si="30"/>
        <v>1.23</v>
      </c>
      <c r="BA39" s="9">
        <f t="shared" si="31"/>
        <v>4038</v>
      </c>
      <c r="BB39" s="439"/>
      <c r="BC39" s="171">
        <f t="shared" si="32"/>
        <v>782733</v>
      </c>
      <c r="BD39" s="171">
        <f t="shared" si="33"/>
        <v>-29302</v>
      </c>
      <c r="BE39" s="171">
        <f t="shared" si="34"/>
        <v>4038</v>
      </c>
      <c r="BF39" s="438">
        <f t="shared" si="35"/>
        <v>757469</v>
      </c>
      <c r="BG39" s="389">
        <f t="shared" si="5"/>
        <v>0</v>
      </c>
      <c r="BH39" s="438"/>
      <c r="BI39" s="425">
        <f t="shared" si="6"/>
        <v>8277.2298970000011</v>
      </c>
      <c r="BJ39" s="425">
        <f t="shared" si="7"/>
        <v>323.58999999999997</v>
      </c>
      <c r="BK39" s="425">
        <f t="shared" si="8"/>
        <v>640.30999999999995</v>
      </c>
      <c r="BL39" s="438"/>
      <c r="BM39" s="425">
        <f t="shared" si="9"/>
        <v>8277.2298970000011</v>
      </c>
      <c r="BN39" s="425">
        <f t="shared" si="10"/>
        <v>323.58999999999997</v>
      </c>
      <c r="BO39" s="425">
        <f t="shared" si="11"/>
        <v>640.30999999999995</v>
      </c>
      <c r="BP39" s="438"/>
      <c r="BQ39" s="372">
        <f t="shared" si="12"/>
        <v>8446.0499999999993</v>
      </c>
      <c r="BR39" s="372">
        <f t="shared" si="13"/>
        <v>313.08000000000004</v>
      </c>
      <c r="BS39" s="372">
        <f t="shared" si="14"/>
        <v>641.54</v>
      </c>
      <c r="BU39" s="439">
        <f t="shared" si="15"/>
        <v>0</v>
      </c>
      <c r="BV39" s="439">
        <f t="shared" si="16"/>
        <v>0</v>
      </c>
      <c r="BW39" s="439">
        <f t="shared" si="17"/>
        <v>0</v>
      </c>
      <c r="BY39" s="439">
        <f t="shared" si="18"/>
        <v>0</v>
      </c>
      <c r="BZ39" s="439">
        <f t="shared" si="19"/>
        <v>0</v>
      </c>
      <c r="CA39" s="439">
        <f t="shared" si="20"/>
        <v>0</v>
      </c>
      <c r="CB39" s="439"/>
      <c r="CC39" s="439">
        <f t="shared" si="21"/>
        <v>0</v>
      </c>
      <c r="CD39" s="439">
        <f t="shared" si="22"/>
        <v>0</v>
      </c>
      <c r="CE39" s="374">
        <f t="shared" si="23"/>
        <v>0</v>
      </c>
      <c r="CF39" s="439"/>
      <c r="CG39" s="439">
        <f t="shared" si="36"/>
        <v>168.82006000000001</v>
      </c>
      <c r="CH39" s="439">
        <f t="shared" si="37"/>
        <v>-10.509999999999934</v>
      </c>
      <c r="CI39" s="439">
        <f t="shared" si="38"/>
        <v>1.23</v>
      </c>
      <c r="CJ39" s="439"/>
      <c r="CK39" s="439">
        <v>4636.4928540000001</v>
      </c>
      <c r="CL39" s="439">
        <v>2788.0536374600001</v>
      </c>
      <c r="CM39" s="439">
        <v>3282.8110613200001</v>
      </c>
      <c r="CN39" s="439"/>
      <c r="CO39" s="439">
        <f t="shared" si="39"/>
        <v>782733.00180185132</v>
      </c>
      <c r="CP39" s="439">
        <f t="shared" si="24"/>
        <v>-29302.443729704417</v>
      </c>
      <c r="CQ39" s="439">
        <f t="shared" si="24"/>
        <v>4037.8576054236</v>
      </c>
      <c r="CR39" s="439">
        <f t="shared" si="40"/>
        <v>757468.41567757051</v>
      </c>
      <c r="CS39" s="439">
        <f>+'[1]13-14 $86M Workload Restore'!AJ37</f>
        <v>757469</v>
      </c>
      <c r="CT39" s="439">
        <f t="shared" si="41"/>
        <v>-0.58432242949493229</v>
      </c>
      <c r="CV39" s="173">
        <v>0</v>
      </c>
      <c r="CW39" s="439">
        <f t="shared" si="42"/>
        <v>8446.0499570000011</v>
      </c>
      <c r="CX39" s="439">
        <f t="shared" si="25"/>
        <v>313.08000000000004</v>
      </c>
      <c r="CY39" s="439">
        <f t="shared" si="25"/>
        <v>641.54</v>
      </c>
      <c r="DA39" s="439">
        <f t="shared" si="26"/>
        <v>4.2999998186132871E-5</v>
      </c>
      <c r="DB39" s="439">
        <f t="shared" si="26"/>
        <v>0</v>
      </c>
      <c r="DC39" s="439">
        <f t="shared" si="26"/>
        <v>0</v>
      </c>
      <c r="DE39" s="371">
        <f t="shared" si="27"/>
        <v>0</v>
      </c>
      <c r="DF39" s="371">
        <f t="shared" si="27"/>
        <v>0</v>
      </c>
      <c r="DG39" s="371">
        <f t="shared" si="27"/>
        <v>0</v>
      </c>
      <c r="DH39" s="439"/>
      <c r="DI39" s="371">
        <f t="shared" si="28"/>
        <v>0</v>
      </c>
      <c r="DJ39" s="371">
        <f t="shared" si="28"/>
        <v>0</v>
      </c>
      <c r="DK39" s="371">
        <f t="shared" si="28"/>
        <v>0</v>
      </c>
      <c r="DL39" s="144">
        <f t="shared" si="43"/>
        <v>39160050.270748734</v>
      </c>
      <c r="DM39" s="144">
        <f t="shared" si="44"/>
        <v>872883.83281597693</v>
      </c>
      <c r="DN39" s="144">
        <f t="shared" si="45"/>
        <v>2106054.6082792329</v>
      </c>
      <c r="DO39" s="144">
        <f>'[1]PBF Run'!F39*(1+'[1]PBF Run'!$C$4)</f>
        <v>5622822.7713000001</v>
      </c>
      <c r="DP39" s="144">
        <f>'[1]PBF Run'!AA39+'[1]PBF Run'!AB39+'[1]PBF Run'!AC39+'[1]PBF Run'!AD39</f>
        <v>0</v>
      </c>
      <c r="DQ39" s="144">
        <f>'[1]PBF Run'!X39</f>
        <v>0</v>
      </c>
      <c r="DR39" s="144">
        <f>'[1]PBF Run'!L39*(1+'[1]PBF Run'!$C$4)</f>
        <v>0</v>
      </c>
      <c r="DS39" s="144">
        <f>'[1]PBF Run'!AE39</f>
        <v>47761812</v>
      </c>
      <c r="DT39" s="326">
        <f t="shared" si="48"/>
        <v>0.51685605198144913</v>
      </c>
      <c r="DU39" s="144"/>
      <c r="DV39" s="144"/>
    </row>
    <row r="40" spans="1:126" ht="13.5" thickBot="1">
      <c r="A40" s="16" t="s">
        <v>339</v>
      </c>
      <c r="B40" s="16" t="s">
        <v>141</v>
      </c>
      <c r="C40" s="425">
        <f>[1]FTES!C40</f>
        <v>9907.0865630000008</v>
      </c>
      <c r="D40" s="425">
        <f>[1]FTES!D40</f>
        <v>9907.0865630000008</v>
      </c>
      <c r="E40" s="425">
        <f>[1]FTES!E40</f>
        <v>10211.91</v>
      </c>
      <c r="F40" s="425">
        <f>[1]FTES!H40</f>
        <v>0</v>
      </c>
      <c r="G40" s="425">
        <f>[1]FTES!I40</f>
        <v>0</v>
      </c>
      <c r="H40" s="425">
        <f>[1]FTES!J40</f>
        <v>9907.0865630000008</v>
      </c>
      <c r="I40" s="425">
        <f>[1]FTES!K40</f>
        <v>0</v>
      </c>
      <c r="J40" s="425">
        <f>[1]FTES!L40</f>
        <v>304.82343700000001</v>
      </c>
      <c r="K40" s="425">
        <f>[1]FTES!M40</f>
        <v>0</v>
      </c>
      <c r="L40" s="425">
        <f>[1]FTES!N40</f>
        <v>740.84</v>
      </c>
      <c r="M40" s="425">
        <f>[1]FTES!O40</f>
        <v>740.84</v>
      </c>
      <c r="N40" s="425">
        <f>[1]FTES!P40</f>
        <v>736.46</v>
      </c>
      <c r="O40" s="425">
        <f>[1]FTES!S40</f>
        <v>0</v>
      </c>
      <c r="P40" s="425">
        <f>[1]FTES!T40</f>
        <v>0</v>
      </c>
      <c r="Q40" s="425">
        <f>[1]FTES!U40</f>
        <v>736.46</v>
      </c>
      <c r="R40" s="425">
        <f>[1]FTES!V40</f>
        <v>0</v>
      </c>
      <c r="S40" s="425">
        <f>[1]FTES!W40</f>
        <v>0</v>
      </c>
      <c r="T40" s="425">
        <f>[1]FTES!X40</f>
        <v>0</v>
      </c>
      <c r="U40" s="425">
        <f>[1]FTES!Y40</f>
        <v>0</v>
      </c>
      <c r="V40" s="425">
        <f>[1]FTES!Z40</f>
        <v>0</v>
      </c>
      <c r="W40" s="425">
        <f>[1]FTES!AA40</f>
        <v>0</v>
      </c>
      <c r="X40" s="425">
        <f>[1]FTES!AD40</f>
        <v>0</v>
      </c>
      <c r="Y40" s="425">
        <f>[1]FTES!AE40</f>
        <v>0</v>
      </c>
      <c r="Z40" s="425">
        <f>[1]FTES!AF40</f>
        <v>0</v>
      </c>
      <c r="AA40" s="425">
        <f>[1]FTES!AG40</f>
        <v>0</v>
      </c>
      <c r="AB40" s="425">
        <f>[1]FTES!AH40</f>
        <v>0</v>
      </c>
      <c r="AC40" s="425">
        <f>[1]FTES!AI40</f>
        <v>0</v>
      </c>
      <c r="AD40" s="425"/>
      <c r="AE40" s="376">
        <f>'[1]13-14 $86M Workload Restore'!AJ38</f>
        <v>0</v>
      </c>
      <c r="AF40" s="375"/>
      <c r="AG40" s="122" t="str">
        <f>'[1]Restoration and Growth'!N40</f>
        <v>Growth</v>
      </c>
      <c r="AH40" s="122" t="str">
        <f>'[1]Restoration and Growth'!O40</f>
        <v>Grow</v>
      </c>
      <c r="AI40" s="122" t="str">
        <f>'[1]Restoration and Growth'!P40</f>
        <v>Decline</v>
      </c>
      <c r="AJ40" s="122" t="str">
        <f>'[1]Restoration and Growth'!Q40</f>
        <v>No CPCP</v>
      </c>
      <c r="AK40" s="139"/>
      <c r="AL40" s="139">
        <f>ROUND(J40*'[1]PBF Run'!$AS$4,3)</f>
        <v>1413311.6869999999</v>
      </c>
      <c r="AM40" s="139">
        <f>ROUND(S40*'[1]PBF Run'!$AF$4,3)</f>
        <v>0</v>
      </c>
      <c r="AN40" s="139">
        <f>ROUND(AB40*'[1]PBF Run'!$AJ$4,3)</f>
        <v>0</v>
      </c>
      <c r="AO40" s="139">
        <f t="shared" si="29"/>
        <v>1413311.6869999999</v>
      </c>
      <c r="AP40" s="139" t="str">
        <f t="shared" si="46"/>
        <v>Y</v>
      </c>
      <c r="AQ40" s="139"/>
      <c r="AR40" s="374">
        <f t="shared" si="47"/>
        <v>2.6338870000000001</v>
      </c>
      <c r="AS40" s="9">
        <f t="shared" si="0"/>
        <v>12212</v>
      </c>
      <c r="AT40" s="9"/>
      <c r="AU40" s="373">
        <f t="shared" si="1"/>
        <v>12212</v>
      </c>
      <c r="AV40" s="439">
        <f t="shared" si="49"/>
        <v>-4.3799999999999955</v>
      </c>
      <c r="AW40" s="9">
        <f t="shared" si="3"/>
        <v>-12212</v>
      </c>
      <c r="AX40" s="9"/>
      <c r="AY40" s="373">
        <f t="shared" si="4"/>
        <v>0</v>
      </c>
      <c r="AZ40" s="439">
        <f t="shared" si="30"/>
        <v>0</v>
      </c>
      <c r="BA40" s="9">
        <f t="shared" si="31"/>
        <v>0</v>
      </c>
      <c r="BB40" s="439"/>
      <c r="BC40" s="171">
        <f t="shared" si="32"/>
        <v>12212</v>
      </c>
      <c r="BD40" s="171">
        <f t="shared" si="33"/>
        <v>-12212</v>
      </c>
      <c r="BE40" s="171">
        <f t="shared" si="34"/>
        <v>0</v>
      </c>
      <c r="BF40" s="438">
        <f t="shared" si="35"/>
        <v>0</v>
      </c>
      <c r="BG40" s="389">
        <f t="shared" si="5"/>
        <v>0</v>
      </c>
      <c r="BH40" s="438"/>
      <c r="BI40" s="425">
        <f t="shared" si="6"/>
        <v>9907.0865630000008</v>
      </c>
      <c r="BJ40" s="425">
        <f t="shared" si="7"/>
        <v>740.84</v>
      </c>
      <c r="BK40" s="425">
        <f t="shared" si="8"/>
        <v>0</v>
      </c>
      <c r="BL40" s="438"/>
      <c r="BM40" s="425">
        <f t="shared" si="9"/>
        <v>9907.0865630000008</v>
      </c>
      <c r="BN40" s="425">
        <f t="shared" si="10"/>
        <v>740.84</v>
      </c>
      <c r="BO40" s="425">
        <f t="shared" si="11"/>
        <v>0</v>
      </c>
      <c r="BP40" s="438"/>
      <c r="BQ40" s="372">
        <f t="shared" si="12"/>
        <v>10211.91</v>
      </c>
      <c r="BR40" s="372">
        <f t="shared" si="13"/>
        <v>736.46</v>
      </c>
      <c r="BS40" s="372">
        <f t="shared" si="14"/>
        <v>0</v>
      </c>
      <c r="BU40" s="439">
        <f t="shared" si="15"/>
        <v>0</v>
      </c>
      <c r="BV40" s="439">
        <f t="shared" si="16"/>
        <v>0</v>
      </c>
      <c r="BW40" s="439">
        <f t="shared" si="17"/>
        <v>0</v>
      </c>
      <c r="BY40" s="439">
        <f t="shared" si="18"/>
        <v>0</v>
      </c>
      <c r="BZ40" s="439">
        <f t="shared" si="19"/>
        <v>0</v>
      </c>
      <c r="CA40" s="439">
        <f t="shared" si="20"/>
        <v>0</v>
      </c>
      <c r="CB40" s="439"/>
      <c r="CC40" s="439">
        <f t="shared" si="21"/>
        <v>0</v>
      </c>
      <c r="CD40" s="439">
        <f t="shared" si="22"/>
        <v>0</v>
      </c>
      <c r="CE40" s="374">
        <f t="shared" si="23"/>
        <v>0</v>
      </c>
      <c r="CF40" s="439"/>
      <c r="CG40" s="439">
        <f t="shared" si="36"/>
        <v>2.6338870000000001</v>
      </c>
      <c r="CH40" s="439">
        <f t="shared" si="37"/>
        <v>-4.3799999999999955</v>
      </c>
      <c r="CI40" s="439">
        <f t="shared" si="38"/>
        <v>0</v>
      </c>
      <c r="CJ40" s="439"/>
      <c r="CK40" s="439">
        <v>4645.6995440000001</v>
      </c>
      <c r="CL40" s="439">
        <v>2788.0536374600001</v>
      </c>
      <c r="CM40" s="439">
        <v>3282.8110613200001</v>
      </c>
      <c r="CN40" s="439"/>
      <c r="CO40" s="439">
        <f t="shared" si="39"/>
        <v>12236.247634847528</v>
      </c>
      <c r="CP40" s="439">
        <f t="shared" si="24"/>
        <v>-12211.674932074788</v>
      </c>
      <c r="CQ40" s="439">
        <f t="shared" si="24"/>
        <v>0</v>
      </c>
      <c r="CR40" s="439">
        <f t="shared" si="40"/>
        <v>24.57270277274074</v>
      </c>
      <c r="CS40" s="439">
        <f>+'[1]13-14 $86M Workload Restore'!AJ38</f>
        <v>0</v>
      </c>
      <c r="CT40" s="439">
        <f t="shared" si="41"/>
        <v>24.57270277274074</v>
      </c>
      <c r="CV40" s="173">
        <v>0</v>
      </c>
      <c r="CW40" s="439">
        <f t="shared" si="42"/>
        <v>9909.7204500000007</v>
      </c>
      <c r="CX40" s="439">
        <f t="shared" si="25"/>
        <v>736.46</v>
      </c>
      <c r="CY40" s="439">
        <f t="shared" si="25"/>
        <v>0</v>
      </c>
      <c r="DA40" s="439">
        <f t="shared" si="26"/>
        <v>302.18954999999914</v>
      </c>
      <c r="DB40" s="439">
        <f t="shared" si="26"/>
        <v>0</v>
      </c>
      <c r="DC40" s="439">
        <f t="shared" si="26"/>
        <v>0</v>
      </c>
      <c r="DE40" s="371">
        <f t="shared" si="27"/>
        <v>0</v>
      </c>
      <c r="DF40" s="371">
        <f t="shared" si="27"/>
        <v>0</v>
      </c>
      <c r="DG40" s="371">
        <f t="shared" si="27"/>
        <v>0</v>
      </c>
      <c r="DH40" s="439"/>
      <c r="DI40" s="371">
        <f t="shared" si="28"/>
        <v>0</v>
      </c>
      <c r="DJ40" s="371">
        <f t="shared" si="28"/>
        <v>0</v>
      </c>
      <c r="DK40" s="371">
        <f t="shared" si="28"/>
        <v>0</v>
      </c>
      <c r="DL40" s="144">
        <f t="shared" si="43"/>
        <v>45946348.052256353</v>
      </c>
      <c r="DM40" s="144">
        <f t="shared" si="44"/>
        <v>2053289.9818437919</v>
      </c>
      <c r="DN40" s="144">
        <f t="shared" si="45"/>
        <v>0</v>
      </c>
      <c r="DO40" s="144">
        <f>'[1]PBF Run'!F40*(1+'[1]PBF Run'!$C$4)</f>
        <v>5622822.7713000001</v>
      </c>
      <c r="DP40" s="144">
        <f>'[1]PBF Run'!AA40+'[1]PBF Run'!AB40+'[1]PBF Run'!AC40+'[1]PBF Run'!AD40</f>
        <v>0</v>
      </c>
      <c r="DQ40" s="144">
        <f>'[1]PBF Run'!X40</f>
        <v>0</v>
      </c>
      <c r="DR40" s="144">
        <f>'[1]PBF Run'!L40*(1+'[1]PBF Run'!$C$4)</f>
        <v>91210.875700000004</v>
      </c>
      <c r="DS40" s="144">
        <f>'[1]PBF Run'!AE40</f>
        <v>53713671</v>
      </c>
      <c r="DT40" s="326">
        <f t="shared" si="48"/>
        <v>-0.68110014498233795</v>
      </c>
      <c r="DU40" s="144"/>
      <c r="DV40" s="144"/>
    </row>
    <row r="41" spans="1:126" ht="13.5" thickBot="1">
      <c r="A41" s="16" t="s">
        <v>337</v>
      </c>
      <c r="B41" s="16" t="s">
        <v>142</v>
      </c>
      <c r="C41" s="425">
        <f>[1]FTES!C41</f>
        <v>6186.39</v>
      </c>
      <c r="D41" s="425">
        <f>[1]FTES!D41</f>
        <v>6186.39</v>
      </c>
      <c r="E41" s="425">
        <f>[1]FTES!E41</f>
        <v>6032.03</v>
      </c>
      <c r="F41" s="425">
        <f>[1]FTES!H41</f>
        <v>0</v>
      </c>
      <c r="G41" s="425">
        <f>[1]FTES!I41</f>
        <v>0</v>
      </c>
      <c r="H41" s="425">
        <f>[1]FTES!J41</f>
        <v>6032.03</v>
      </c>
      <c r="I41" s="425">
        <f>[1]FTES!K41</f>
        <v>-154.36000000000001</v>
      </c>
      <c r="J41" s="425">
        <f>[1]FTES!L41</f>
        <v>0</v>
      </c>
      <c r="K41" s="425">
        <f>[1]FTES!M41</f>
        <v>0</v>
      </c>
      <c r="L41" s="425">
        <f>[1]FTES!N41</f>
        <v>651.56999999999994</v>
      </c>
      <c r="M41" s="425">
        <f>[1]FTES!O41</f>
        <v>651.56999999999994</v>
      </c>
      <c r="N41" s="425">
        <f>[1]FTES!P41</f>
        <v>381.21999999999997</v>
      </c>
      <c r="O41" s="425">
        <f>[1]FTES!S41</f>
        <v>0</v>
      </c>
      <c r="P41" s="425">
        <f>[1]FTES!T41</f>
        <v>0</v>
      </c>
      <c r="Q41" s="425">
        <f>[1]FTES!U41</f>
        <v>381.21999999999997</v>
      </c>
      <c r="R41" s="425">
        <f>[1]FTES!V41</f>
        <v>-270.35000000000002</v>
      </c>
      <c r="S41" s="425">
        <f>[1]FTES!W41</f>
        <v>0</v>
      </c>
      <c r="T41" s="425">
        <f>[1]FTES!X41</f>
        <v>0</v>
      </c>
      <c r="U41" s="425">
        <f>[1]FTES!Y41</f>
        <v>44.29</v>
      </c>
      <c r="V41" s="425">
        <f>[1]FTES!Z41</f>
        <v>44.29</v>
      </c>
      <c r="W41" s="425">
        <f>[1]FTES!AA41</f>
        <v>110.54</v>
      </c>
      <c r="X41" s="425">
        <f>[1]FTES!AD41</f>
        <v>0</v>
      </c>
      <c r="Y41" s="425">
        <f>[1]FTES!AE41</f>
        <v>0</v>
      </c>
      <c r="Z41" s="425">
        <f>[1]FTES!AF41</f>
        <v>110.54</v>
      </c>
      <c r="AA41" s="425">
        <f>[1]FTES!AG41</f>
        <v>66.25</v>
      </c>
      <c r="AB41" s="425">
        <f>[1]FTES!AH41</f>
        <v>0</v>
      </c>
      <c r="AC41" s="425">
        <f>[1]FTES!AI41</f>
        <v>0</v>
      </c>
      <c r="AD41" s="425"/>
      <c r="AE41" s="376">
        <f>'[1]13-14 $86M Workload Restore'!AJ39</f>
        <v>0</v>
      </c>
      <c r="AF41" s="375"/>
      <c r="AG41" s="122" t="str">
        <f>'[1]Restoration and Growth'!N41</f>
        <v>Decline</v>
      </c>
      <c r="AH41" s="122" t="str">
        <f>'[1]Restoration and Growth'!O41</f>
        <v>Decline</v>
      </c>
      <c r="AI41" s="122" t="str">
        <f>'[1]Restoration and Growth'!P41</f>
        <v>Decline</v>
      </c>
      <c r="AJ41" s="122" t="str">
        <f>'[1]Restoration and Growth'!Q41</f>
        <v>Grow</v>
      </c>
      <c r="AK41" s="139"/>
      <c r="AL41" s="139">
        <f>ROUND(J41*'[1]PBF Run'!$AS$4,3)</f>
        <v>0</v>
      </c>
      <c r="AM41" s="139">
        <f>ROUND(S41*'[1]PBF Run'!$AF$4,3)</f>
        <v>0</v>
      </c>
      <c r="AN41" s="139">
        <f>ROUND(AB41*'[1]PBF Run'!$AJ$4,3)</f>
        <v>0</v>
      </c>
      <c r="AO41" s="139">
        <f t="shared" si="29"/>
        <v>0</v>
      </c>
      <c r="AP41" s="139" t="str">
        <f t="shared" si="46"/>
        <v>NA</v>
      </c>
      <c r="AQ41" s="139"/>
      <c r="AR41" s="374">
        <f t="shared" si="47"/>
        <v>0</v>
      </c>
      <c r="AS41" s="9">
        <f t="shared" si="0"/>
        <v>0</v>
      </c>
      <c r="AT41" s="9"/>
      <c r="AU41" s="373">
        <f t="shared" si="1"/>
        <v>0</v>
      </c>
      <c r="AV41" s="439">
        <f t="shared" si="49"/>
        <v>0</v>
      </c>
      <c r="AW41" s="9">
        <f t="shared" si="3"/>
        <v>0</v>
      </c>
      <c r="AX41" s="9"/>
      <c r="AY41" s="373">
        <f t="shared" si="4"/>
        <v>0</v>
      </c>
      <c r="AZ41" s="439">
        <f t="shared" si="30"/>
        <v>0</v>
      </c>
      <c r="BA41" s="9">
        <f t="shared" si="31"/>
        <v>0</v>
      </c>
      <c r="BB41" s="439"/>
      <c r="BC41" s="171">
        <f t="shared" si="32"/>
        <v>0</v>
      </c>
      <c r="BD41" s="171">
        <f t="shared" si="33"/>
        <v>0</v>
      </c>
      <c r="BE41" s="171">
        <f t="shared" si="34"/>
        <v>0</v>
      </c>
      <c r="BF41" s="438">
        <f t="shared" si="35"/>
        <v>0</v>
      </c>
      <c r="BG41" s="389">
        <f t="shared" si="5"/>
        <v>0</v>
      </c>
      <c r="BH41" s="438"/>
      <c r="BI41" s="425">
        <f t="shared" si="6"/>
        <v>6186.39</v>
      </c>
      <c r="BJ41" s="425">
        <f t="shared" si="7"/>
        <v>651.56999999999994</v>
      </c>
      <c r="BK41" s="425">
        <f t="shared" si="8"/>
        <v>44.29</v>
      </c>
      <c r="BL41" s="438"/>
      <c r="BM41" s="425">
        <f t="shared" si="9"/>
        <v>6186.39</v>
      </c>
      <c r="BN41" s="425">
        <f t="shared" si="10"/>
        <v>651.56999999999994</v>
      </c>
      <c r="BO41" s="425">
        <f t="shared" si="11"/>
        <v>44.29</v>
      </c>
      <c r="BP41" s="438"/>
      <c r="BQ41" s="372">
        <f t="shared" si="12"/>
        <v>6032.03</v>
      </c>
      <c r="BR41" s="372">
        <f t="shared" si="13"/>
        <v>381.21999999999997</v>
      </c>
      <c r="BS41" s="372">
        <f t="shared" si="14"/>
        <v>110.54</v>
      </c>
      <c r="BU41" s="439">
        <f t="shared" si="15"/>
        <v>0</v>
      </c>
      <c r="BV41" s="439">
        <f t="shared" si="16"/>
        <v>0</v>
      </c>
      <c r="BW41" s="439">
        <f t="shared" si="17"/>
        <v>0</v>
      </c>
      <c r="BY41" s="439">
        <f t="shared" si="18"/>
        <v>0</v>
      </c>
      <c r="BZ41" s="439">
        <f t="shared" si="19"/>
        <v>0</v>
      </c>
      <c r="CA41" s="439">
        <f t="shared" si="20"/>
        <v>0</v>
      </c>
      <c r="CB41" s="439"/>
      <c r="CC41" s="439">
        <f t="shared" si="21"/>
        <v>-154.36000000000001</v>
      </c>
      <c r="CD41" s="439">
        <f t="shared" si="22"/>
        <v>-270.35000000000002</v>
      </c>
      <c r="CE41" s="374">
        <f t="shared" si="23"/>
        <v>66.25</v>
      </c>
      <c r="CF41" s="439"/>
      <c r="CG41" s="439">
        <f t="shared" si="36"/>
        <v>0</v>
      </c>
      <c r="CH41" s="439">
        <f t="shared" si="37"/>
        <v>0</v>
      </c>
      <c r="CI41" s="439">
        <f t="shared" si="38"/>
        <v>0</v>
      </c>
      <c r="CJ41" s="439"/>
      <c r="CK41" s="439">
        <v>4636.4929000000002</v>
      </c>
      <c r="CL41" s="439">
        <v>2788.0536374600001</v>
      </c>
      <c r="CM41" s="439">
        <v>3282.8110613200001</v>
      </c>
      <c r="CN41" s="439"/>
      <c r="CO41" s="439">
        <f t="shared" si="39"/>
        <v>0</v>
      </c>
      <c r="CP41" s="439">
        <f t="shared" si="24"/>
        <v>0</v>
      </c>
      <c r="CQ41" s="439">
        <f t="shared" si="24"/>
        <v>0</v>
      </c>
      <c r="CR41" s="439">
        <f t="shared" si="40"/>
        <v>0</v>
      </c>
      <c r="CS41" s="439">
        <f>+'[1]13-14 $86M Workload Restore'!AJ39</f>
        <v>0</v>
      </c>
      <c r="CT41" s="439">
        <f t="shared" si="41"/>
        <v>0</v>
      </c>
      <c r="CV41" s="173">
        <v>0</v>
      </c>
      <c r="CW41" s="439">
        <f t="shared" si="42"/>
        <v>6032.0300000000007</v>
      </c>
      <c r="CX41" s="439">
        <f t="shared" ref="CX41:CY72" si="50">BN41+BV41+BZ41+CD41+CH41</f>
        <v>381.21999999999991</v>
      </c>
      <c r="CY41" s="439">
        <f t="shared" si="50"/>
        <v>110.53999999999999</v>
      </c>
      <c r="DA41" s="439">
        <f t="shared" ref="DA41:DC72" si="51">BQ41-CW41</f>
        <v>0</v>
      </c>
      <c r="DB41" s="439">
        <f t="shared" si="51"/>
        <v>0</v>
      </c>
      <c r="DC41" s="439">
        <f t="shared" si="51"/>
        <v>0</v>
      </c>
      <c r="DE41" s="371">
        <f t="shared" ref="DE41:DG72" si="52">BM41+BU41+BY41+CC41+CG41-CW41</f>
        <v>0</v>
      </c>
      <c r="DF41" s="371">
        <f t="shared" si="52"/>
        <v>0</v>
      </c>
      <c r="DG41" s="371">
        <f t="shared" si="52"/>
        <v>0</v>
      </c>
      <c r="DH41" s="439"/>
      <c r="DI41" s="371">
        <f t="shared" ref="DI41:DK72" si="53">BQ41-CW41-DA41</f>
        <v>-9.0949470177292824E-13</v>
      </c>
      <c r="DJ41" s="371">
        <f t="shared" si="53"/>
        <v>5.6843418860808015E-14</v>
      </c>
      <c r="DK41" s="371">
        <f t="shared" si="53"/>
        <v>1.4210854715202004E-14</v>
      </c>
      <c r="DL41" s="144">
        <f t="shared" si="43"/>
        <v>27967463.990535866</v>
      </c>
      <c r="DM41" s="144">
        <f t="shared" si="44"/>
        <v>1062861.8076725011</v>
      </c>
      <c r="DN41" s="144">
        <f t="shared" si="45"/>
        <v>362881.93471831281</v>
      </c>
      <c r="DO41" s="144">
        <f>'[1]PBF Run'!F41*(1+'[1]PBF Run'!$C$4)</f>
        <v>3654833.9380000001</v>
      </c>
      <c r="DP41" s="144">
        <f>'[1]PBF Run'!AA41+'[1]PBF Run'!AB41+'[1]PBF Run'!AC41+'[1]PBF Run'!AD41</f>
        <v>0</v>
      </c>
      <c r="DQ41" s="144">
        <f>'[1]PBF Run'!X41</f>
        <v>1251953</v>
      </c>
      <c r="DR41" s="144">
        <f>'[1]PBF Run'!L41*(1+'[1]PBF Run'!$C$4)</f>
        <v>0</v>
      </c>
      <c r="DS41" s="144">
        <f>'[1]PBF Run'!AE41</f>
        <v>34299994</v>
      </c>
      <c r="DT41" s="326">
        <f t="shared" si="48"/>
        <v>-0.67092668265104294</v>
      </c>
      <c r="DU41" s="144"/>
      <c r="DV41" s="144"/>
    </row>
    <row r="42" spans="1:126" ht="13.5" thickBot="1">
      <c r="A42" s="16" t="s">
        <v>335</v>
      </c>
      <c r="B42" s="16" t="s">
        <v>143</v>
      </c>
      <c r="C42" s="425">
        <f>[1]FTES!C42</f>
        <v>22719.983691000001</v>
      </c>
      <c r="D42" s="425">
        <f>[1]FTES!D42</f>
        <v>22719.983691000001</v>
      </c>
      <c r="E42" s="425">
        <f>[1]FTES!E42</f>
        <v>24083.279999999999</v>
      </c>
      <c r="F42" s="425">
        <f>[1]FTES!H42</f>
        <v>0</v>
      </c>
      <c r="G42" s="425">
        <f>[1]FTES!I42</f>
        <v>0</v>
      </c>
      <c r="H42" s="425">
        <f>[1]FTES!J42</f>
        <v>22719.983691000001</v>
      </c>
      <c r="I42" s="425">
        <f>[1]FTES!K42</f>
        <v>0</v>
      </c>
      <c r="J42" s="425">
        <f>[1]FTES!L42</f>
        <v>1363.2963090000001</v>
      </c>
      <c r="K42" s="425">
        <f>[1]FTES!M42</f>
        <v>0</v>
      </c>
      <c r="L42" s="425">
        <f>[1]FTES!N42</f>
        <v>1934.3700000000003</v>
      </c>
      <c r="M42" s="425">
        <f>[1]FTES!O42</f>
        <v>1934.3700000000003</v>
      </c>
      <c r="N42" s="425">
        <f>[1]FTES!P42</f>
        <v>1902.6399999999999</v>
      </c>
      <c r="O42" s="425">
        <f>[1]FTES!S42</f>
        <v>0</v>
      </c>
      <c r="P42" s="425">
        <f>[1]FTES!T42</f>
        <v>0</v>
      </c>
      <c r="Q42" s="425">
        <f>[1]FTES!U42</f>
        <v>1902.6399999999999</v>
      </c>
      <c r="R42" s="425">
        <f>[1]FTES!V42</f>
        <v>0</v>
      </c>
      <c r="S42" s="425">
        <f>[1]FTES!W42</f>
        <v>0</v>
      </c>
      <c r="T42" s="425">
        <f>[1]FTES!X42</f>
        <v>0</v>
      </c>
      <c r="U42" s="425">
        <f>[1]FTES!Y42</f>
        <v>3577.06</v>
      </c>
      <c r="V42" s="425">
        <f>[1]FTES!Z42</f>
        <v>3577.06</v>
      </c>
      <c r="W42" s="425">
        <f>[1]FTES!AA42</f>
        <v>3696.35</v>
      </c>
      <c r="X42" s="425">
        <f>[1]FTES!AD42</f>
        <v>0</v>
      </c>
      <c r="Y42" s="425">
        <f>[1]FTES!AE42</f>
        <v>0</v>
      </c>
      <c r="Z42" s="425">
        <f>[1]FTES!AF42</f>
        <v>3577.06</v>
      </c>
      <c r="AA42" s="425">
        <f>[1]FTES!AG42</f>
        <v>0</v>
      </c>
      <c r="AB42" s="425">
        <f>[1]FTES!AH42</f>
        <v>119.29</v>
      </c>
      <c r="AC42" s="425">
        <f>[1]FTES!AI42</f>
        <v>0</v>
      </c>
      <c r="AD42" s="425"/>
      <c r="AE42" s="376">
        <f>'[1]13-14 $86M Workload Restore'!AJ40</f>
        <v>2870228</v>
      </c>
      <c r="AF42" s="375"/>
      <c r="AG42" s="122" t="str">
        <f>'[1]Restoration and Growth'!N42</f>
        <v>Growth</v>
      </c>
      <c r="AH42" s="122" t="str">
        <f>'[1]Restoration and Growth'!O42</f>
        <v>Grow</v>
      </c>
      <c r="AI42" s="122" t="str">
        <f>'[1]Restoration and Growth'!P42</f>
        <v>Decline</v>
      </c>
      <c r="AJ42" s="122" t="str">
        <f>'[1]Restoration and Growth'!Q42</f>
        <v>Grow</v>
      </c>
      <c r="AK42" s="139"/>
      <c r="AL42" s="139">
        <f>ROUND(J42*'[1]PBF Run'!$AS$4,3)</f>
        <v>6320913.5949999997</v>
      </c>
      <c r="AM42" s="139">
        <f>ROUND(S42*'[1]PBF Run'!$AF$4,3)</f>
        <v>0</v>
      </c>
      <c r="AN42" s="139">
        <f>ROUND(AB42*'[1]PBF Run'!$AJ$4,3)</f>
        <v>391606.53200000001</v>
      </c>
      <c r="AO42" s="139">
        <f t="shared" si="29"/>
        <v>6712520.1269999994</v>
      </c>
      <c r="AP42" s="139" t="str">
        <f t="shared" si="46"/>
        <v>Y</v>
      </c>
      <c r="AQ42" s="139"/>
      <c r="AR42" s="374">
        <f t="shared" si="47"/>
        <v>553.66978500000005</v>
      </c>
      <c r="AS42" s="9">
        <f t="shared" si="0"/>
        <v>2567086</v>
      </c>
      <c r="AT42" s="9"/>
      <c r="AU42" s="373">
        <f t="shared" si="1"/>
        <v>2567086</v>
      </c>
      <c r="AV42" s="439">
        <f t="shared" si="49"/>
        <v>-31.730000000000473</v>
      </c>
      <c r="AW42" s="9">
        <f t="shared" si="3"/>
        <v>-88465</v>
      </c>
      <c r="AX42" s="9"/>
      <c r="AY42" s="373">
        <f t="shared" si="4"/>
        <v>2478621</v>
      </c>
      <c r="AZ42" s="439">
        <f t="shared" si="30"/>
        <v>119.29</v>
      </c>
      <c r="BA42" s="9">
        <f t="shared" si="31"/>
        <v>391607</v>
      </c>
      <c r="BB42" s="439"/>
      <c r="BC42" s="171">
        <f t="shared" si="32"/>
        <v>2567086</v>
      </c>
      <c r="BD42" s="171">
        <f t="shared" si="33"/>
        <v>-88465</v>
      </c>
      <c r="BE42" s="171">
        <f t="shared" si="34"/>
        <v>391607</v>
      </c>
      <c r="BF42" s="438">
        <f t="shared" si="35"/>
        <v>2870228</v>
      </c>
      <c r="BG42" s="389">
        <f t="shared" si="5"/>
        <v>0</v>
      </c>
      <c r="BH42" s="438"/>
      <c r="BI42" s="425">
        <f t="shared" si="6"/>
        <v>22719.983691000001</v>
      </c>
      <c r="BJ42" s="425">
        <f t="shared" si="7"/>
        <v>1934.3700000000003</v>
      </c>
      <c r="BK42" s="425">
        <f t="shared" si="8"/>
        <v>3577.06</v>
      </c>
      <c r="BL42" s="438"/>
      <c r="BM42" s="425">
        <f t="shared" si="9"/>
        <v>22719.983691000001</v>
      </c>
      <c r="BN42" s="425">
        <f t="shared" si="10"/>
        <v>1934.3700000000003</v>
      </c>
      <c r="BO42" s="425">
        <f t="shared" si="11"/>
        <v>3577.06</v>
      </c>
      <c r="BP42" s="438"/>
      <c r="BQ42" s="372">
        <f t="shared" si="12"/>
        <v>24083.279999999999</v>
      </c>
      <c r="BR42" s="372">
        <f t="shared" si="13"/>
        <v>1902.6399999999999</v>
      </c>
      <c r="BS42" s="372">
        <f t="shared" si="14"/>
        <v>3696.35</v>
      </c>
      <c r="BU42" s="439">
        <f t="shared" si="15"/>
        <v>0</v>
      </c>
      <c r="BV42" s="439">
        <f t="shared" si="16"/>
        <v>0</v>
      </c>
      <c r="BW42" s="439">
        <f t="shared" si="17"/>
        <v>0</v>
      </c>
      <c r="BY42" s="439">
        <f t="shared" si="18"/>
        <v>0</v>
      </c>
      <c r="BZ42" s="439">
        <f t="shared" si="19"/>
        <v>0</v>
      </c>
      <c r="CA42" s="439">
        <f t="shared" si="20"/>
        <v>0</v>
      </c>
      <c r="CB42" s="439"/>
      <c r="CC42" s="439">
        <f t="shared" si="21"/>
        <v>0</v>
      </c>
      <c r="CD42" s="439">
        <f t="shared" si="22"/>
        <v>0</v>
      </c>
      <c r="CE42" s="374">
        <f t="shared" si="23"/>
        <v>0</v>
      </c>
      <c r="CF42" s="439"/>
      <c r="CG42" s="439">
        <f t="shared" si="36"/>
        <v>553.66978500000005</v>
      </c>
      <c r="CH42" s="439">
        <f t="shared" si="37"/>
        <v>-31.730000000000473</v>
      </c>
      <c r="CI42" s="439">
        <f t="shared" si="38"/>
        <v>119.29</v>
      </c>
      <c r="CJ42" s="439"/>
      <c r="CK42" s="439">
        <v>4636.4928609999997</v>
      </c>
      <c r="CL42" s="439">
        <v>2788.0536374600001</v>
      </c>
      <c r="CM42" s="439">
        <v>3282.8110613200001</v>
      </c>
      <c r="CN42" s="439"/>
      <c r="CO42" s="439">
        <f t="shared" si="39"/>
        <v>2567086.005503905</v>
      </c>
      <c r="CP42" s="439">
        <f t="shared" si="24"/>
        <v>-88464.941916607117</v>
      </c>
      <c r="CQ42" s="439">
        <f t="shared" si="24"/>
        <v>391606.53150486283</v>
      </c>
      <c r="CR42" s="439">
        <f t="shared" si="40"/>
        <v>2870227.5950921606</v>
      </c>
      <c r="CS42" s="439">
        <f>+'[1]13-14 $86M Workload Restore'!AJ40</f>
        <v>2870228</v>
      </c>
      <c r="CT42" s="439">
        <f t="shared" si="41"/>
        <v>-0.4049078393727541</v>
      </c>
      <c r="CV42" s="173">
        <v>0</v>
      </c>
      <c r="CW42" s="439">
        <f t="shared" si="42"/>
        <v>23273.653476</v>
      </c>
      <c r="CX42" s="439">
        <f t="shared" si="50"/>
        <v>1902.6399999999999</v>
      </c>
      <c r="CY42" s="439">
        <f t="shared" si="50"/>
        <v>3696.35</v>
      </c>
      <c r="DA42" s="439">
        <f t="shared" si="51"/>
        <v>809.62652399999934</v>
      </c>
      <c r="DB42" s="439">
        <f t="shared" si="51"/>
        <v>0</v>
      </c>
      <c r="DC42" s="439">
        <f t="shared" si="51"/>
        <v>0</v>
      </c>
      <c r="DE42" s="371">
        <f t="shared" si="52"/>
        <v>0</v>
      </c>
      <c r="DF42" s="371">
        <f t="shared" si="52"/>
        <v>0</v>
      </c>
      <c r="DG42" s="371">
        <f t="shared" si="52"/>
        <v>0</v>
      </c>
      <c r="DH42" s="439"/>
      <c r="DI42" s="371">
        <f t="shared" si="53"/>
        <v>0</v>
      </c>
      <c r="DJ42" s="371">
        <f t="shared" si="53"/>
        <v>0</v>
      </c>
      <c r="DK42" s="371">
        <f t="shared" si="53"/>
        <v>0</v>
      </c>
      <c r="DL42" s="144">
        <f t="shared" si="43"/>
        <v>107908128.02957542</v>
      </c>
      <c r="DM42" s="144">
        <f t="shared" si="44"/>
        <v>5304662.3727768939</v>
      </c>
      <c r="DN42" s="144">
        <f t="shared" si="45"/>
        <v>12134418.666510182</v>
      </c>
      <c r="DO42" s="144">
        <f>'[1]PBF Run'!F42*(1+'[1]PBF Run'!$C$4)</f>
        <v>5622822.7713000001</v>
      </c>
      <c r="DP42" s="144">
        <f>'[1]PBF Run'!AA42+'[1]PBF Run'!AB42+'[1]PBF Run'!AC42+'[1]PBF Run'!AD42</f>
        <v>0</v>
      </c>
      <c r="DQ42" s="144">
        <f>'[1]PBF Run'!X42</f>
        <v>0</v>
      </c>
      <c r="DR42" s="144">
        <f>'[1]PBF Run'!L42*(1+'[1]PBF Run'!$C$4)</f>
        <v>0</v>
      </c>
      <c r="DS42" s="144">
        <f>'[1]PBF Run'!AE42</f>
        <v>130970033</v>
      </c>
      <c r="DT42" s="326">
        <f t="shared" si="48"/>
        <v>1.1598374992609024</v>
      </c>
      <c r="DU42" s="144"/>
      <c r="DV42" s="144"/>
    </row>
    <row r="43" spans="1:126" ht="13.5" thickBot="1">
      <c r="A43" s="16" t="s">
        <v>333</v>
      </c>
      <c r="B43" s="16" t="s">
        <v>144</v>
      </c>
      <c r="C43" s="425">
        <f>[1]FTES!C43</f>
        <v>9345.0028579999998</v>
      </c>
      <c r="D43" s="425">
        <f>[1]FTES!D43</f>
        <v>9345.0028579999998</v>
      </c>
      <c r="E43" s="425">
        <f>[1]FTES!E43</f>
        <v>10056.01</v>
      </c>
      <c r="F43" s="425">
        <f>[1]FTES!H43</f>
        <v>0</v>
      </c>
      <c r="G43" s="425">
        <f>[1]FTES!I43</f>
        <v>0</v>
      </c>
      <c r="H43" s="425">
        <f>[1]FTES!J43</f>
        <v>9345.0028579999998</v>
      </c>
      <c r="I43" s="425">
        <f>[1]FTES!K43</f>
        <v>0</v>
      </c>
      <c r="J43" s="425">
        <f>[1]FTES!L43</f>
        <v>711.00714200000004</v>
      </c>
      <c r="K43" s="425">
        <f>[1]FTES!M43</f>
        <v>0</v>
      </c>
      <c r="L43" s="425">
        <f>[1]FTES!N43</f>
        <v>379.71000000000004</v>
      </c>
      <c r="M43" s="425">
        <f>[1]FTES!O43</f>
        <v>379.71000000000004</v>
      </c>
      <c r="N43" s="425">
        <f>[1]FTES!P43</f>
        <v>376</v>
      </c>
      <c r="O43" s="425">
        <f>[1]FTES!S43</f>
        <v>0</v>
      </c>
      <c r="P43" s="425">
        <f>[1]FTES!T43</f>
        <v>0</v>
      </c>
      <c r="Q43" s="425">
        <f>[1]FTES!U43</f>
        <v>376</v>
      </c>
      <c r="R43" s="425">
        <f>[1]FTES!V43</f>
        <v>0</v>
      </c>
      <c r="S43" s="425">
        <f>[1]FTES!W43</f>
        <v>0</v>
      </c>
      <c r="T43" s="425">
        <f>[1]FTES!X43</f>
        <v>0</v>
      </c>
      <c r="U43" s="425">
        <f>[1]FTES!Y43</f>
        <v>173.24</v>
      </c>
      <c r="V43" s="425">
        <f>[1]FTES!Z43</f>
        <v>173.24</v>
      </c>
      <c r="W43" s="425">
        <f>[1]FTES!AA43</f>
        <v>190.01</v>
      </c>
      <c r="X43" s="425">
        <f>[1]FTES!AD43</f>
        <v>0</v>
      </c>
      <c r="Y43" s="425">
        <f>[1]FTES!AE43</f>
        <v>0</v>
      </c>
      <c r="Z43" s="425">
        <f>[1]FTES!AF43</f>
        <v>173.24</v>
      </c>
      <c r="AA43" s="425">
        <f>[1]FTES!AG43</f>
        <v>0</v>
      </c>
      <c r="AB43" s="425">
        <f>[1]FTES!AH43</f>
        <v>16.77</v>
      </c>
      <c r="AC43" s="425">
        <f>[1]FTES!AI43</f>
        <v>0</v>
      </c>
      <c r="AD43" s="425"/>
      <c r="AE43" s="376">
        <f>'[1]13-14 $86M Workload Restore'!AJ41</f>
        <v>1052666</v>
      </c>
      <c r="AF43" s="375"/>
      <c r="AG43" s="122" t="str">
        <f>'[1]Restoration and Growth'!N43</f>
        <v>Growth</v>
      </c>
      <c r="AH43" s="122" t="str">
        <f>'[1]Restoration and Growth'!O43</f>
        <v>Grow</v>
      </c>
      <c r="AI43" s="122" t="str">
        <f>'[1]Restoration and Growth'!P43</f>
        <v>Decline</v>
      </c>
      <c r="AJ43" s="122" t="str">
        <f>'[1]Restoration and Growth'!Q43</f>
        <v>Grow</v>
      </c>
      <c r="AK43" s="139"/>
      <c r="AL43" s="139">
        <f>ROUND(J43*'[1]PBF Run'!$AS$4,3)</f>
        <v>3296579.5329999998</v>
      </c>
      <c r="AM43" s="139">
        <f>ROUND(S43*'[1]PBF Run'!$AF$4,3)</f>
        <v>0</v>
      </c>
      <c r="AN43" s="139">
        <f>ROUND(AB43*'[1]PBF Run'!$AJ$4,3)</f>
        <v>55052.741000000002</v>
      </c>
      <c r="AO43" s="139">
        <f t="shared" si="29"/>
        <v>3351632.2739999997</v>
      </c>
      <c r="AP43" s="139" t="str">
        <f t="shared" si="46"/>
        <v>Y</v>
      </c>
      <c r="AQ43" s="139"/>
      <c r="AR43" s="374">
        <f t="shared" si="47"/>
        <v>217.39643100000001</v>
      </c>
      <c r="AS43" s="9">
        <f t="shared" si="0"/>
        <v>1007957</v>
      </c>
      <c r="AT43" s="9"/>
      <c r="AU43" s="373">
        <f t="shared" si="1"/>
        <v>1007957</v>
      </c>
      <c r="AV43" s="439">
        <f t="shared" si="49"/>
        <v>-3.7100000000000364</v>
      </c>
      <c r="AW43" s="9">
        <f t="shared" si="3"/>
        <v>-10344</v>
      </c>
      <c r="AX43" s="9"/>
      <c r="AY43" s="373">
        <f t="shared" si="4"/>
        <v>997613</v>
      </c>
      <c r="AZ43" s="439">
        <f t="shared" si="30"/>
        <v>16.77</v>
      </c>
      <c r="BA43" s="9">
        <f t="shared" si="31"/>
        <v>55053</v>
      </c>
      <c r="BB43" s="439"/>
      <c r="BC43" s="171">
        <f t="shared" si="32"/>
        <v>1007957</v>
      </c>
      <c r="BD43" s="171">
        <f t="shared" si="33"/>
        <v>-10344</v>
      </c>
      <c r="BE43" s="171">
        <f t="shared" si="34"/>
        <v>55053</v>
      </c>
      <c r="BF43" s="438">
        <f t="shared" si="35"/>
        <v>1052666</v>
      </c>
      <c r="BG43" s="389">
        <f t="shared" si="5"/>
        <v>0</v>
      </c>
      <c r="BH43" s="438"/>
      <c r="BI43" s="425">
        <f t="shared" si="6"/>
        <v>9345.0028579999998</v>
      </c>
      <c r="BJ43" s="425">
        <f t="shared" si="7"/>
        <v>379.71000000000004</v>
      </c>
      <c r="BK43" s="425">
        <f t="shared" si="8"/>
        <v>173.24</v>
      </c>
      <c r="BL43" s="438"/>
      <c r="BM43" s="425">
        <f t="shared" si="9"/>
        <v>9345.0028579999998</v>
      </c>
      <c r="BN43" s="425">
        <f t="shared" si="10"/>
        <v>379.71000000000004</v>
      </c>
      <c r="BO43" s="425">
        <f t="shared" si="11"/>
        <v>173.24</v>
      </c>
      <c r="BP43" s="438"/>
      <c r="BQ43" s="372">
        <f t="shared" si="12"/>
        <v>10056.01</v>
      </c>
      <c r="BR43" s="372">
        <f t="shared" si="13"/>
        <v>376</v>
      </c>
      <c r="BS43" s="372">
        <f t="shared" si="14"/>
        <v>190.01</v>
      </c>
      <c r="BU43" s="439">
        <f t="shared" si="15"/>
        <v>0</v>
      </c>
      <c r="BV43" s="439">
        <f t="shared" si="16"/>
        <v>0</v>
      </c>
      <c r="BW43" s="439">
        <f t="shared" si="17"/>
        <v>0</v>
      </c>
      <c r="BY43" s="439">
        <f t="shared" si="18"/>
        <v>0</v>
      </c>
      <c r="BZ43" s="439">
        <f t="shared" si="19"/>
        <v>0</v>
      </c>
      <c r="CA43" s="439">
        <f t="shared" si="20"/>
        <v>0</v>
      </c>
      <c r="CB43" s="439"/>
      <c r="CC43" s="439">
        <f t="shared" si="21"/>
        <v>0</v>
      </c>
      <c r="CD43" s="439">
        <f t="shared" si="22"/>
        <v>0</v>
      </c>
      <c r="CE43" s="374">
        <f t="shared" si="23"/>
        <v>0</v>
      </c>
      <c r="CF43" s="439"/>
      <c r="CG43" s="439">
        <f t="shared" si="36"/>
        <v>217.39643100000001</v>
      </c>
      <c r="CH43" s="439">
        <f t="shared" si="37"/>
        <v>-3.7100000000000364</v>
      </c>
      <c r="CI43" s="439">
        <f t="shared" si="38"/>
        <v>16.77</v>
      </c>
      <c r="CJ43" s="439"/>
      <c r="CK43" s="439">
        <v>4636.4928309999996</v>
      </c>
      <c r="CL43" s="439">
        <v>2788.0536374600001</v>
      </c>
      <c r="CM43" s="439">
        <v>3282.8110613200001</v>
      </c>
      <c r="CN43" s="439"/>
      <c r="CO43" s="439">
        <f t="shared" si="39"/>
        <v>1007956.9938164861</v>
      </c>
      <c r="CP43" s="439">
        <f t="shared" si="24"/>
        <v>-10343.678994976703</v>
      </c>
      <c r="CQ43" s="439">
        <f t="shared" si="24"/>
        <v>55052.7414983364</v>
      </c>
      <c r="CR43" s="439">
        <f t="shared" si="40"/>
        <v>1052666.0563198458</v>
      </c>
      <c r="CS43" s="439">
        <f>+'[1]13-14 $86M Workload Restore'!AJ41</f>
        <v>1052666</v>
      </c>
      <c r="CT43" s="439">
        <f t="shared" si="41"/>
        <v>5.6319845840334892E-2</v>
      </c>
      <c r="CV43" s="173">
        <v>0</v>
      </c>
      <c r="CW43" s="439">
        <f t="shared" si="42"/>
        <v>9562.399288999999</v>
      </c>
      <c r="CX43" s="439">
        <f t="shared" si="50"/>
        <v>376</v>
      </c>
      <c r="CY43" s="439">
        <f t="shared" si="50"/>
        <v>190.01000000000002</v>
      </c>
      <c r="DA43" s="439">
        <f t="shared" si="51"/>
        <v>493.61071100000117</v>
      </c>
      <c r="DB43" s="439">
        <f t="shared" si="51"/>
        <v>0</v>
      </c>
      <c r="DC43" s="439">
        <f t="shared" si="51"/>
        <v>0</v>
      </c>
      <c r="DE43" s="371">
        <f t="shared" si="52"/>
        <v>0</v>
      </c>
      <c r="DF43" s="371">
        <f t="shared" si="52"/>
        <v>0</v>
      </c>
      <c r="DG43" s="371">
        <f t="shared" si="52"/>
        <v>0</v>
      </c>
      <c r="DH43" s="439"/>
      <c r="DI43" s="371">
        <f t="shared" si="53"/>
        <v>0</v>
      </c>
      <c r="DJ43" s="371">
        <f t="shared" si="53"/>
        <v>0</v>
      </c>
      <c r="DK43" s="371">
        <f t="shared" si="53"/>
        <v>-2.8421709430404007E-14</v>
      </c>
      <c r="DL43" s="144">
        <f t="shared" si="43"/>
        <v>44335995.971212544</v>
      </c>
      <c r="DM43" s="144">
        <f t="shared" si="44"/>
        <v>1048308.1676849601</v>
      </c>
      <c r="DN43" s="144">
        <f t="shared" si="45"/>
        <v>623766.92976141325</v>
      </c>
      <c r="DO43" s="144">
        <f>'[1]PBF Run'!F43*(1+'[1]PBF Run'!$C$4)</f>
        <v>5622822.7713000001</v>
      </c>
      <c r="DP43" s="144">
        <f>'[1]PBF Run'!AA43+'[1]PBF Run'!AB43+'[1]PBF Run'!AC43+'[1]PBF Run'!AD43</f>
        <v>0</v>
      </c>
      <c r="DQ43" s="144">
        <f>'[1]PBF Run'!X43</f>
        <v>0</v>
      </c>
      <c r="DR43" s="144">
        <f>'[1]PBF Run'!L43*(1+'[1]PBF Run'!$C$4)</f>
        <v>0</v>
      </c>
      <c r="DS43" s="144">
        <f>'[1]PBF Run'!AE43</f>
        <v>51630894</v>
      </c>
      <c r="DT43" s="326">
        <f t="shared" si="48"/>
        <v>0.16004108637571335</v>
      </c>
      <c r="DU43" s="144"/>
      <c r="DV43" s="144"/>
    </row>
    <row r="44" spans="1:126" ht="13.5" thickBot="1">
      <c r="A44" s="16" t="s">
        <v>331</v>
      </c>
      <c r="B44" s="16" t="s">
        <v>145</v>
      </c>
      <c r="C44" s="425">
        <f>[1]FTES!C44</f>
        <v>5129.6300249999995</v>
      </c>
      <c r="D44" s="425">
        <f>[1]FTES!D44</f>
        <v>5129.6300249999995</v>
      </c>
      <c r="E44" s="425">
        <f>[1]FTES!E44</f>
        <v>5031.88</v>
      </c>
      <c r="F44" s="425">
        <f>[1]FTES!H44</f>
        <v>0</v>
      </c>
      <c r="G44" s="425">
        <f>[1]FTES!I44</f>
        <v>0</v>
      </c>
      <c r="H44" s="425">
        <f>[1]FTES!J44</f>
        <v>5031.88</v>
      </c>
      <c r="I44" s="425">
        <f>[1]FTES!K44</f>
        <v>-97.750024999999994</v>
      </c>
      <c r="J44" s="425">
        <f>[1]FTES!L44</f>
        <v>0</v>
      </c>
      <c r="K44" s="425">
        <f>[1]FTES!M44</f>
        <v>0</v>
      </c>
      <c r="L44" s="425">
        <f>[1]FTES!N44</f>
        <v>268.84999999999997</v>
      </c>
      <c r="M44" s="425">
        <f>[1]FTES!O44</f>
        <v>268.84999999999997</v>
      </c>
      <c r="N44" s="425">
        <f>[1]FTES!P44</f>
        <v>399.38</v>
      </c>
      <c r="O44" s="425">
        <f>[1]FTES!S44</f>
        <v>0</v>
      </c>
      <c r="P44" s="425">
        <f>[1]FTES!T44</f>
        <v>0</v>
      </c>
      <c r="Q44" s="425">
        <f>[1]FTES!U44</f>
        <v>399.38</v>
      </c>
      <c r="R44" s="425">
        <f>[1]FTES!V44</f>
        <v>130.53</v>
      </c>
      <c r="S44" s="425">
        <f>[1]FTES!W44</f>
        <v>0</v>
      </c>
      <c r="T44" s="425">
        <f>[1]FTES!X44</f>
        <v>0</v>
      </c>
      <c r="U44" s="425">
        <f>[1]FTES!Y44</f>
        <v>20.84</v>
      </c>
      <c r="V44" s="425">
        <f>[1]FTES!Z44</f>
        <v>20.84</v>
      </c>
      <c r="W44" s="425">
        <f>[1]FTES!AA44</f>
        <v>16.25</v>
      </c>
      <c r="X44" s="425">
        <f>[1]FTES!AD44</f>
        <v>0</v>
      </c>
      <c r="Y44" s="425">
        <f>[1]FTES!AE44</f>
        <v>0</v>
      </c>
      <c r="Z44" s="425">
        <f>[1]FTES!AF44</f>
        <v>16.25</v>
      </c>
      <c r="AA44" s="425">
        <f>[1]FTES!AG44</f>
        <v>-4.59</v>
      </c>
      <c r="AB44" s="425">
        <f>[1]FTES!AH44</f>
        <v>0</v>
      </c>
      <c r="AC44" s="425">
        <f>[1]FTES!AI44</f>
        <v>0</v>
      </c>
      <c r="AD44" s="425"/>
      <c r="AE44" s="376">
        <f>'[1]13-14 $86M Workload Restore'!AJ42</f>
        <v>0</v>
      </c>
      <c r="AF44" s="375"/>
      <c r="AG44" s="122" t="str">
        <f>'[1]Restoration and Growth'!N44</f>
        <v>Decline</v>
      </c>
      <c r="AH44" s="122" t="str">
        <f>'[1]Restoration and Growth'!O44</f>
        <v>Decline</v>
      </c>
      <c r="AI44" s="122" t="str">
        <f>'[1]Restoration and Growth'!P44</f>
        <v>Grow</v>
      </c>
      <c r="AJ44" s="122" t="str">
        <f>'[1]Restoration and Growth'!Q44</f>
        <v>Decline</v>
      </c>
      <c r="AK44" s="139"/>
      <c r="AL44" s="139">
        <f>ROUND(J44*'[1]PBF Run'!$AS$4,3)</f>
        <v>0</v>
      </c>
      <c r="AM44" s="139">
        <f>ROUND(S44*'[1]PBF Run'!$AF$4,3)</f>
        <v>0</v>
      </c>
      <c r="AN44" s="139">
        <f>ROUND(AB44*'[1]PBF Run'!$AJ$4,3)</f>
        <v>0</v>
      </c>
      <c r="AO44" s="139">
        <f t="shared" si="29"/>
        <v>0</v>
      </c>
      <c r="AP44" s="139" t="str">
        <f t="shared" si="46"/>
        <v>NA</v>
      </c>
      <c r="AQ44" s="139"/>
      <c r="AR44" s="374">
        <f t="shared" si="47"/>
        <v>0</v>
      </c>
      <c r="AS44" s="9">
        <f t="shared" si="0"/>
        <v>0</v>
      </c>
      <c r="AT44" s="9"/>
      <c r="AU44" s="373">
        <f t="shared" si="1"/>
        <v>0</v>
      </c>
      <c r="AV44" s="439">
        <f t="shared" si="49"/>
        <v>0</v>
      </c>
      <c r="AW44" s="9">
        <f t="shared" si="3"/>
        <v>0</v>
      </c>
      <c r="AX44" s="9"/>
      <c r="AY44" s="373">
        <f t="shared" si="4"/>
        <v>0</v>
      </c>
      <c r="AZ44" s="439">
        <f t="shared" si="30"/>
        <v>0</v>
      </c>
      <c r="BA44" s="9">
        <f t="shared" si="31"/>
        <v>0</v>
      </c>
      <c r="BB44" s="439"/>
      <c r="BC44" s="171">
        <f t="shared" si="32"/>
        <v>0</v>
      </c>
      <c r="BD44" s="171">
        <f t="shared" si="33"/>
        <v>0</v>
      </c>
      <c r="BE44" s="171">
        <f t="shared" si="34"/>
        <v>0</v>
      </c>
      <c r="BF44" s="438">
        <f t="shared" si="35"/>
        <v>0</v>
      </c>
      <c r="BG44" s="389">
        <f t="shared" si="5"/>
        <v>0</v>
      </c>
      <c r="BH44" s="438"/>
      <c r="BI44" s="425">
        <f t="shared" si="6"/>
        <v>5129.6300249999995</v>
      </c>
      <c r="BJ44" s="425">
        <f t="shared" si="7"/>
        <v>268.84999999999997</v>
      </c>
      <c r="BK44" s="425">
        <f t="shared" si="8"/>
        <v>20.84</v>
      </c>
      <c r="BL44" s="438"/>
      <c r="BM44" s="425">
        <f t="shared" si="9"/>
        <v>5129.6300249999995</v>
      </c>
      <c r="BN44" s="425">
        <f t="shared" si="10"/>
        <v>268.84999999999997</v>
      </c>
      <c r="BO44" s="425">
        <f t="shared" si="11"/>
        <v>20.84</v>
      </c>
      <c r="BP44" s="438"/>
      <c r="BQ44" s="372">
        <f t="shared" si="12"/>
        <v>5031.88</v>
      </c>
      <c r="BR44" s="372">
        <f t="shared" si="13"/>
        <v>399.38</v>
      </c>
      <c r="BS44" s="372">
        <f t="shared" si="14"/>
        <v>16.25</v>
      </c>
      <c r="BU44" s="439">
        <f t="shared" si="15"/>
        <v>0</v>
      </c>
      <c r="BV44" s="439">
        <f t="shared" si="16"/>
        <v>0</v>
      </c>
      <c r="BW44" s="439">
        <f t="shared" si="17"/>
        <v>0</v>
      </c>
      <c r="BY44" s="439">
        <f t="shared" si="18"/>
        <v>0</v>
      </c>
      <c r="BZ44" s="439">
        <f t="shared" si="19"/>
        <v>0</v>
      </c>
      <c r="CA44" s="439">
        <f t="shared" si="20"/>
        <v>0</v>
      </c>
      <c r="CB44" s="439"/>
      <c r="CC44" s="439">
        <f t="shared" si="21"/>
        <v>-97.750024999999994</v>
      </c>
      <c r="CD44" s="439">
        <f t="shared" si="22"/>
        <v>130.53</v>
      </c>
      <c r="CE44" s="374">
        <f t="shared" si="23"/>
        <v>-4.59</v>
      </c>
      <c r="CF44" s="439"/>
      <c r="CG44" s="439">
        <f t="shared" si="36"/>
        <v>0</v>
      </c>
      <c r="CH44" s="439">
        <f t="shared" si="37"/>
        <v>0</v>
      </c>
      <c r="CI44" s="439">
        <f t="shared" si="38"/>
        <v>0</v>
      </c>
      <c r="CJ44" s="439"/>
      <c r="CK44" s="439">
        <v>4636.4928980000004</v>
      </c>
      <c r="CL44" s="439">
        <v>2788.0536374600001</v>
      </c>
      <c r="CM44" s="439">
        <v>3282.8110613200001</v>
      </c>
      <c r="CN44" s="439"/>
      <c r="CO44" s="439">
        <f t="shared" si="39"/>
        <v>0</v>
      </c>
      <c r="CP44" s="439">
        <f t="shared" si="24"/>
        <v>0</v>
      </c>
      <c r="CQ44" s="439">
        <f t="shared" si="24"/>
        <v>0</v>
      </c>
      <c r="CR44" s="439">
        <f t="shared" si="40"/>
        <v>0</v>
      </c>
      <c r="CS44" s="439">
        <f>+'[1]13-14 $86M Workload Restore'!AJ42</f>
        <v>0</v>
      </c>
      <c r="CT44" s="439">
        <f t="shared" si="41"/>
        <v>0</v>
      </c>
      <c r="CV44" s="173">
        <v>0</v>
      </c>
      <c r="CW44" s="439">
        <f t="shared" si="42"/>
        <v>5031.8799999999992</v>
      </c>
      <c r="CX44" s="439">
        <f t="shared" si="50"/>
        <v>399.38</v>
      </c>
      <c r="CY44" s="439">
        <f t="shared" si="50"/>
        <v>16.25</v>
      </c>
      <c r="DA44" s="439">
        <f t="shared" si="51"/>
        <v>0</v>
      </c>
      <c r="DB44" s="439">
        <f t="shared" si="51"/>
        <v>0</v>
      </c>
      <c r="DC44" s="439">
        <f t="shared" si="51"/>
        <v>0</v>
      </c>
      <c r="DE44" s="371">
        <f t="shared" si="52"/>
        <v>0</v>
      </c>
      <c r="DF44" s="371">
        <f t="shared" si="52"/>
        <v>0</v>
      </c>
      <c r="DG44" s="371">
        <f t="shared" si="52"/>
        <v>0</v>
      </c>
      <c r="DH44" s="439"/>
      <c r="DI44" s="371">
        <f t="shared" si="53"/>
        <v>9.0949470177292824E-13</v>
      </c>
      <c r="DJ44" s="371">
        <f t="shared" si="53"/>
        <v>0</v>
      </c>
      <c r="DK44" s="371">
        <f t="shared" si="53"/>
        <v>0</v>
      </c>
      <c r="DL44" s="144">
        <f t="shared" si="43"/>
        <v>23330275.66253775</v>
      </c>
      <c r="DM44" s="144">
        <f t="shared" si="44"/>
        <v>1113492.8617287748</v>
      </c>
      <c r="DN44" s="144">
        <f t="shared" si="45"/>
        <v>53345.679746450005</v>
      </c>
      <c r="DO44" s="144">
        <f>'[1]PBF Run'!F44*(1+'[1]PBF Run'!$C$4)</f>
        <v>4217116.3167000003</v>
      </c>
      <c r="DP44" s="144">
        <f>'[1]PBF Run'!AA44+'[1]PBF Run'!AB44+'[1]PBF Run'!AC44+'[1]PBF Run'!AD44</f>
        <v>-281141</v>
      </c>
      <c r="DQ44" s="144">
        <f>'[1]PBF Run'!X44</f>
        <v>104360</v>
      </c>
      <c r="DR44" s="144">
        <f>'[1]PBF Run'!L44*(1+'[1]PBF Run'!$C$4)</f>
        <v>0</v>
      </c>
      <c r="DS44" s="144">
        <f>'[1]PBF Run'!AE44</f>
        <v>28537450</v>
      </c>
      <c r="DT44" s="326">
        <f t="shared" si="48"/>
        <v>0.47928702458739281</v>
      </c>
      <c r="DU44" s="144"/>
      <c r="DV44" s="144"/>
    </row>
    <row r="45" spans="1:126" ht="13.5" thickBot="1">
      <c r="A45" s="16" t="s">
        <v>329</v>
      </c>
      <c r="B45" s="16" t="s">
        <v>146</v>
      </c>
      <c r="C45" s="425">
        <f>[1]FTES!C45</f>
        <v>26625.902371</v>
      </c>
      <c r="D45" s="425">
        <f>[1]FTES!D45</f>
        <v>26625.902371</v>
      </c>
      <c r="E45" s="425">
        <f>[1]FTES!E45</f>
        <v>29824.55</v>
      </c>
      <c r="F45" s="425">
        <f>[1]FTES!H45</f>
        <v>0</v>
      </c>
      <c r="G45" s="425">
        <f>[1]FTES!I45</f>
        <v>0</v>
      </c>
      <c r="H45" s="425">
        <f>[1]FTES!J45</f>
        <v>26625.902371</v>
      </c>
      <c r="I45" s="425">
        <f>[1]FTES!K45</f>
        <v>0</v>
      </c>
      <c r="J45" s="425">
        <f>[1]FTES!L45</f>
        <v>3198.6476290000001</v>
      </c>
      <c r="K45" s="425">
        <f>[1]FTES!M45</f>
        <v>0</v>
      </c>
      <c r="L45" s="425">
        <f>[1]FTES!N45</f>
        <v>2606.9899999999998</v>
      </c>
      <c r="M45" s="425">
        <f>[1]FTES!O45</f>
        <v>2606.9899999999998</v>
      </c>
      <c r="N45" s="425">
        <f>[1]FTES!P45</f>
        <v>2482.6499999999996</v>
      </c>
      <c r="O45" s="425">
        <f>[1]FTES!S45</f>
        <v>0</v>
      </c>
      <c r="P45" s="425">
        <f>[1]FTES!T45</f>
        <v>0</v>
      </c>
      <c r="Q45" s="425">
        <f>[1]FTES!U45</f>
        <v>2482.6499999999996</v>
      </c>
      <c r="R45" s="425">
        <f>[1]FTES!V45</f>
        <v>0</v>
      </c>
      <c r="S45" s="425">
        <f>[1]FTES!W45</f>
        <v>0</v>
      </c>
      <c r="T45" s="425">
        <f>[1]FTES!X45</f>
        <v>0</v>
      </c>
      <c r="U45" s="425">
        <f>[1]FTES!Y45</f>
        <v>3143.9100000000003</v>
      </c>
      <c r="V45" s="425">
        <f>[1]FTES!Z45</f>
        <v>3143.9100000000003</v>
      </c>
      <c r="W45" s="425">
        <f>[1]FTES!AA45</f>
        <v>3407.08</v>
      </c>
      <c r="X45" s="425">
        <f>[1]FTES!AD45</f>
        <v>0</v>
      </c>
      <c r="Y45" s="425">
        <f>[1]FTES!AE45</f>
        <v>0</v>
      </c>
      <c r="Z45" s="425">
        <f>[1]FTES!AF45</f>
        <v>3143.91</v>
      </c>
      <c r="AA45" s="425">
        <f>[1]FTES!AG45</f>
        <v>0</v>
      </c>
      <c r="AB45" s="425">
        <f>[1]FTES!AH45</f>
        <v>263.17</v>
      </c>
      <c r="AC45" s="425">
        <f>[1]FTES!AI45</f>
        <v>0</v>
      </c>
      <c r="AD45" s="425"/>
      <c r="AE45" s="376">
        <f>'[1]13-14 $86M Workload Restore'!AJ43</f>
        <v>3304645</v>
      </c>
      <c r="AF45" s="375"/>
      <c r="AG45" s="122" t="str">
        <f>'[1]Restoration and Growth'!N45</f>
        <v>Growth</v>
      </c>
      <c r="AH45" s="122" t="str">
        <f>'[1]Restoration and Growth'!O45</f>
        <v>Grow</v>
      </c>
      <c r="AI45" s="122" t="str">
        <f>'[1]Restoration and Growth'!P45</f>
        <v>Decline</v>
      </c>
      <c r="AJ45" s="122" t="str">
        <f>'[1]Restoration and Growth'!Q45</f>
        <v>Grow</v>
      </c>
      <c r="AK45" s="139"/>
      <c r="AL45" s="139">
        <f>ROUND(J45*'[1]PBF Run'!$AS$4,3)</f>
        <v>14830506.875</v>
      </c>
      <c r="AM45" s="139">
        <f>ROUND(S45*'[1]PBF Run'!$AF$4,3)</f>
        <v>0</v>
      </c>
      <c r="AN45" s="139">
        <f>ROUND(AB45*'[1]PBF Run'!$AJ$4,3)</f>
        <v>863937.38699999999</v>
      </c>
      <c r="AO45" s="139">
        <f t="shared" si="29"/>
        <v>15694444.262</v>
      </c>
      <c r="AP45" s="139" t="str">
        <f t="shared" si="46"/>
        <v>Y</v>
      </c>
      <c r="AQ45" s="139"/>
      <c r="AR45" s="374">
        <f t="shared" si="47"/>
        <v>601.18177400000002</v>
      </c>
      <c r="AS45" s="9">
        <f t="shared" si="0"/>
        <v>2787375</v>
      </c>
      <c r="AT45" s="9"/>
      <c r="AU45" s="373">
        <f t="shared" si="1"/>
        <v>2787375</v>
      </c>
      <c r="AV45" s="439">
        <f t="shared" si="49"/>
        <v>-124.34000000000015</v>
      </c>
      <c r="AW45" s="9">
        <f t="shared" si="3"/>
        <v>-346667</v>
      </c>
      <c r="AX45" s="9"/>
      <c r="AY45" s="373">
        <f t="shared" si="4"/>
        <v>2440708</v>
      </c>
      <c r="AZ45" s="439">
        <f t="shared" si="30"/>
        <v>263.17</v>
      </c>
      <c r="BA45" s="9">
        <f t="shared" si="31"/>
        <v>863937</v>
      </c>
      <c r="BB45" s="439"/>
      <c r="BC45" s="171">
        <f t="shared" si="32"/>
        <v>2787375</v>
      </c>
      <c r="BD45" s="171">
        <f t="shared" si="33"/>
        <v>-346667</v>
      </c>
      <c r="BE45" s="171">
        <f t="shared" si="34"/>
        <v>863937</v>
      </c>
      <c r="BF45" s="438">
        <f t="shared" si="35"/>
        <v>3304645</v>
      </c>
      <c r="BG45" s="389">
        <f t="shared" si="5"/>
        <v>0</v>
      </c>
      <c r="BH45" s="438"/>
      <c r="BI45" s="425">
        <f t="shared" si="6"/>
        <v>26625.902371</v>
      </c>
      <c r="BJ45" s="425">
        <f t="shared" si="7"/>
        <v>2606.9899999999998</v>
      </c>
      <c r="BK45" s="425">
        <f t="shared" si="8"/>
        <v>3143.9100000000003</v>
      </c>
      <c r="BL45" s="438"/>
      <c r="BM45" s="425">
        <f t="shared" si="9"/>
        <v>26625.902371</v>
      </c>
      <c r="BN45" s="425">
        <f t="shared" si="10"/>
        <v>2606.9899999999998</v>
      </c>
      <c r="BO45" s="425">
        <f t="shared" si="11"/>
        <v>3143.9100000000003</v>
      </c>
      <c r="BP45" s="438"/>
      <c r="BQ45" s="372">
        <f t="shared" si="12"/>
        <v>29824.55</v>
      </c>
      <c r="BR45" s="372">
        <f t="shared" si="13"/>
        <v>2482.6499999999996</v>
      </c>
      <c r="BS45" s="372">
        <f t="shared" si="14"/>
        <v>3407.08</v>
      </c>
      <c r="BU45" s="439">
        <f t="shared" si="15"/>
        <v>0</v>
      </c>
      <c r="BV45" s="439">
        <f t="shared" si="16"/>
        <v>0</v>
      </c>
      <c r="BW45" s="439">
        <f t="shared" si="17"/>
        <v>0</v>
      </c>
      <c r="BY45" s="439">
        <f t="shared" si="18"/>
        <v>0</v>
      </c>
      <c r="BZ45" s="439">
        <f t="shared" si="19"/>
        <v>0</v>
      </c>
      <c r="CA45" s="439">
        <f t="shared" si="20"/>
        <v>0</v>
      </c>
      <c r="CB45" s="439"/>
      <c r="CC45" s="439">
        <f t="shared" si="21"/>
        <v>0</v>
      </c>
      <c r="CD45" s="439">
        <f t="shared" si="22"/>
        <v>0</v>
      </c>
      <c r="CE45" s="374">
        <f t="shared" si="23"/>
        <v>0</v>
      </c>
      <c r="CF45" s="439"/>
      <c r="CG45" s="439">
        <f t="shared" si="36"/>
        <v>601.18177400000002</v>
      </c>
      <c r="CH45" s="439">
        <f t="shared" si="37"/>
        <v>-124.34000000000015</v>
      </c>
      <c r="CI45" s="439">
        <f t="shared" si="38"/>
        <v>263.17</v>
      </c>
      <c r="CJ45" s="439"/>
      <c r="CK45" s="439">
        <v>4636.4928389999995</v>
      </c>
      <c r="CL45" s="439">
        <v>2788.0536374600001</v>
      </c>
      <c r="CM45" s="439">
        <v>3282.8110613200001</v>
      </c>
      <c r="CN45" s="439"/>
      <c r="CO45" s="439">
        <f t="shared" si="39"/>
        <v>2787374.9900883161</v>
      </c>
      <c r="CP45" s="439">
        <f t="shared" si="24"/>
        <v>-346666.5892817768</v>
      </c>
      <c r="CQ45" s="439">
        <f t="shared" si="24"/>
        <v>863937.38700758445</v>
      </c>
      <c r="CR45" s="439">
        <f t="shared" si="40"/>
        <v>3304645.7878141236</v>
      </c>
      <c r="CS45" s="439">
        <f>+'[1]13-14 $86M Workload Restore'!AJ43</f>
        <v>3304645</v>
      </c>
      <c r="CT45" s="439">
        <f t="shared" si="41"/>
        <v>0.78781412355601788</v>
      </c>
      <c r="CV45" s="173">
        <v>0</v>
      </c>
      <c r="CW45" s="439">
        <f t="shared" si="42"/>
        <v>27227.084145000001</v>
      </c>
      <c r="CX45" s="439">
        <f t="shared" si="50"/>
        <v>2482.6499999999996</v>
      </c>
      <c r="CY45" s="439">
        <f t="shared" si="50"/>
        <v>3407.0800000000004</v>
      </c>
      <c r="DA45" s="439">
        <f t="shared" si="51"/>
        <v>2597.4658549999986</v>
      </c>
      <c r="DB45" s="439">
        <f t="shared" si="51"/>
        <v>0</v>
      </c>
      <c r="DC45" s="439">
        <f t="shared" si="51"/>
        <v>0</v>
      </c>
      <c r="DE45" s="371">
        <f t="shared" si="52"/>
        <v>0</v>
      </c>
      <c r="DF45" s="371">
        <f t="shared" si="52"/>
        <v>0</v>
      </c>
      <c r="DG45" s="371">
        <f t="shared" si="52"/>
        <v>0</v>
      </c>
      <c r="DH45" s="439"/>
      <c r="DI45" s="371">
        <f t="shared" si="53"/>
        <v>0</v>
      </c>
      <c r="DJ45" s="371">
        <f t="shared" si="53"/>
        <v>0</v>
      </c>
      <c r="DK45" s="371">
        <f t="shared" si="53"/>
        <v>-4.5474735088646412E-13</v>
      </c>
      <c r="DL45" s="144">
        <f t="shared" si="43"/>
        <v>126238181.0754551</v>
      </c>
      <c r="DM45" s="144">
        <f t="shared" si="44"/>
        <v>6921761.3630400682</v>
      </c>
      <c r="DN45" s="144">
        <f t="shared" si="45"/>
        <v>11184799.910802146</v>
      </c>
      <c r="DO45" s="144">
        <f>'[1]PBF Run'!F45*(1+'[1]PBF Run'!$C$4)</f>
        <v>8996516.0278000012</v>
      </c>
      <c r="DP45" s="144">
        <f>'[1]PBF Run'!AA45+'[1]PBF Run'!AB45+'[1]PBF Run'!AC45+'[1]PBF Run'!AD45</f>
        <v>0</v>
      </c>
      <c r="DQ45" s="144">
        <f>'[1]PBF Run'!X45</f>
        <v>0</v>
      </c>
      <c r="DR45" s="144">
        <f>'[1]PBF Run'!L45*(1+'[1]PBF Run'!$C$4)</f>
        <v>0</v>
      </c>
      <c r="DS45" s="144">
        <f>'[1]PBF Run'!AE45</f>
        <v>153341258</v>
      </c>
      <c r="DT45" s="326">
        <f t="shared" si="48"/>
        <v>-0.37709730863571167</v>
      </c>
      <c r="DU45" s="144"/>
      <c r="DV45" s="144"/>
    </row>
    <row r="46" spans="1:126" ht="13.5" thickBot="1">
      <c r="A46" s="16" t="s">
        <v>327</v>
      </c>
      <c r="B46" s="16" t="s">
        <v>147</v>
      </c>
      <c r="C46" s="425">
        <f>[1]FTES!C46</f>
        <v>7764.9498960000001</v>
      </c>
      <c r="D46" s="425">
        <f>[1]FTES!D46</f>
        <v>7764.9498960000001</v>
      </c>
      <c r="E46" s="425">
        <f>[1]FTES!E46</f>
        <v>7886.53</v>
      </c>
      <c r="F46" s="425">
        <f>[1]FTES!H46</f>
        <v>0</v>
      </c>
      <c r="G46" s="425">
        <f>[1]FTES!I46</f>
        <v>0</v>
      </c>
      <c r="H46" s="425">
        <f>[1]FTES!J46</f>
        <v>7764.9498960000001</v>
      </c>
      <c r="I46" s="425">
        <f>[1]FTES!K46</f>
        <v>0</v>
      </c>
      <c r="J46" s="425">
        <f>[1]FTES!L46</f>
        <v>121.58010400000001</v>
      </c>
      <c r="K46" s="425">
        <f>[1]FTES!M46</f>
        <v>0</v>
      </c>
      <c r="L46" s="425">
        <f>[1]FTES!N46</f>
        <v>0</v>
      </c>
      <c r="M46" s="425">
        <f>[1]FTES!O46</f>
        <v>0</v>
      </c>
      <c r="N46" s="425">
        <f>[1]FTES!P46</f>
        <v>1.71</v>
      </c>
      <c r="O46" s="425">
        <f>[1]FTES!S46</f>
        <v>0</v>
      </c>
      <c r="P46" s="425">
        <f>[1]FTES!T46</f>
        <v>0</v>
      </c>
      <c r="Q46" s="425">
        <f>[1]FTES!U46</f>
        <v>0</v>
      </c>
      <c r="R46" s="425">
        <f>[1]FTES!V46</f>
        <v>0</v>
      </c>
      <c r="S46" s="425">
        <f>[1]FTES!W46</f>
        <v>1.71</v>
      </c>
      <c r="T46" s="425">
        <f>[1]FTES!X46</f>
        <v>0</v>
      </c>
      <c r="U46" s="425">
        <f>[1]FTES!Y46</f>
        <v>0</v>
      </c>
      <c r="V46" s="425">
        <f>[1]FTES!Z46</f>
        <v>0</v>
      </c>
      <c r="W46" s="425">
        <f>[1]FTES!AA46</f>
        <v>0</v>
      </c>
      <c r="X46" s="425">
        <f>[1]FTES!AD46</f>
        <v>0</v>
      </c>
      <c r="Y46" s="425">
        <f>[1]FTES!AE46</f>
        <v>0</v>
      </c>
      <c r="Z46" s="425">
        <f>[1]FTES!AF46</f>
        <v>0</v>
      </c>
      <c r="AA46" s="425">
        <f>[1]FTES!AG46</f>
        <v>0</v>
      </c>
      <c r="AB46" s="425">
        <f>[1]FTES!AH46</f>
        <v>0</v>
      </c>
      <c r="AC46" s="425">
        <f>[1]FTES!AI46</f>
        <v>0</v>
      </c>
      <c r="AD46" s="425"/>
      <c r="AE46" s="376">
        <f>'[1]13-14 $86M Workload Restore'!AJ44</f>
        <v>568473</v>
      </c>
      <c r="AF46" s="375"/>
      <c r="AG46" s="122" t="str">
        <f>'[1]Restoration and Growth'!N46</f>
        <v>Growth</v>
      </c>
      <c r="AH46" s="122" t="str">
        <f>'[1]Restoration and Growth'!O46</f>
        <v>Grow</v>
      </c>
      <c r="AI46" s="122" t="str">
        <f>'[1]Restoration and Growth'!P46</f>
        <v>Grow</v>
      </c>
      <c r="AJ46" s="122" t="str">
        <f>'[1]Restoration and Growth'!Q46</f>
        <v>No CPCP</v>
      </c>
      <c r="AK46" s="139"/>
      <c r="AL46" s="139">
        <f>ROUND(J46*'[1]PBF Run'!$AS$4,3)</f>
        <v>563705.28300000005</v>
      </c>
      <c r="AM46" s="139">
        <f>ROUND(S46*'[1]PBF Run'!$AF$4,3)</f>
        <v>4767.5720000000001</v>
      </c>
      <c r="AN46" s="139">
        <f>ROUND(AB46*'[1]PBF Run'!$AJ$4,3)</f>
        <v>0</v>
      </c>
      <c r="AO46" s="139">
        <f t="shared" si="29"/>
        <v>568472.8550000001</v>
      </c>
      <c r="AP46" s="139" t="str">
        <f t="shared" si="46"/>
        <v>Y</v>
      </c>
      <c r="AQ46" s="139"/>
      <c r="AR46" s="374">
        <f t="shared" si="47"/>
        <v>121.580043</v>
      </c>
      <c r="AS46" s="9">
        <f t="shared" si="0"/>
        <v>563705</v>
      </c>
      <c r="AT46" s="9"/>
      <c r="AU46" s="373">
        <f t="shared" si="1"/>
        <v>563705</v>
      </c>
      <c r="AV46" s="439">
        <f t="shared" si="49"/>
        <v>1.71</v>
      </c>
      <c r="AW46" s="9">
        <f t="shared" si="3"/>
        <v>4768</v>
      </c>
      <c r="AX46" s="9"/>
      <c r="AY46" s="373">
        <f t="shared" si="4"/>
        <v>568473</v>
      </c>
      <c r="AZ46" s="439">
        <f t="shared" si="30"/>
        <v>0</v>
      </c>
      <c r="BA46" s="9">
        <f t="shared" si="31"/>
        <v>0</v>
      </c>
      <c r="BB46" s="439"/>
      <c r="BC46" s="171">
        <f t="shared" si="32"/>
        <v>563705</v>
      </c>
      <c r="BD46" s="171">
        <f t="shared" si="33"/>
        <v>4768</v>
      </c>
      <c r="BE46" s="171">
        <f t="shared" si="34"/>
        <v>0</v>
      </c>
      <c r="BF46" s="438">
        <f t="shared" si="35"/>
        <v>568473</v>
      </c>
      <c r="BG46" s="389">
        <f t="shared" si="5"/>
        <v>0</v>
      </c>
      <c r="BH46" s="438"/>
      <c r="BI46" s="425">
        <f t="shared" si="6"/>
        <v>7764.9498960000001</v>
      </c>
      <c r="BJ46" s="425">
        <f t="shared" si="7"/>
        <v>0</v>
      </c>
      <c r="BK46" s="425">
        <f t="shared" si="8"/>
        <v>0</v>
      </c>
      <c r="BL46" s="438"/>
      <c r="BM46" s="425">
        <f t="shared" si="9"/>
        <v>7764.9498960000001</v>
      </c>
      <c r="BN46" s="425">
        <f t="shared" si="10"/>
        <v>0</v>
      </c>
      <c r="BO46" s="425">
        <f t="shared" si="11"/>
        <v>0</v>
      </c>
      <c r="BP46" s="438"/>
      <c r="BQ46" s="372">
        <f t="shared" si="12"/>
        <v>7886.53</v>
      </c>
      <c r="BR46" s="372">
        <f t="shared" si="13"/>
        <v>1.71</v>
      </c>
      <c r="BS46" s="372">
        <f t="shared" si="14"/>
        <v>0</v>
      </c>
      <c r="BU46" s="439">
        <f t="shared" si="15"/>
        <v>0</v>
      </c>
      <c r="BV46" s="439">
        <f t="shared" si="16"/>
        <v>0</v>
      </c>
      <c r="BW46" s="439">
        <f t="shared" si="17"/>
        <v>0</v>
      </c>
      <c r="BY46" s="439">
        <f t="shared" si="18"/>
        <v>0</v>
      </c>
      <c r="BZ46" s="439">
        <f t="shared" si="19"/>
        <v>0</v>
      </c>
      <c r="CA46" s="439">
        <f t="shared" si="20"/>
        <v>0</v>
      </c>
      <c r="CB46" s="439"/>
      <c r="CC46" s="439">
        <f t="shared" si="21"/>
        <v>0</v>
      </c>
      <c r="CD46" s="439">
        <f t="shared" si="22"/>
        <v>0</v>
      </c>
      <c r="CE46" s="374">
        <f t="shared" si="23"/>
        <v>0</v>
      </c>
      <c r="CF46" s="439"/>
      <c r="CG46" s="439">
        <f t="shared" si="36"/>
        <v>121.580043</v>
      </c>
      <c r="CH46" s="439">
        <f t="shared" si="37"/>
        <v>1.71</v>
      </c>
      <c r="CI46" s="439">
        <f t="shared" si="38"/>
        <v>0</v>
      </c>
      <c r="CJ46" s="439"/>
      <c r="CK46" s="439">
        <v>4636.4928300000001</v>
      </c>
      <c r="CL46" s="439">
        <v>2788.0536374600001</v>
      </c>
      <c r="CM46" s="439">
        <v>3282.8110613200001</v>
      </c>
      <c r="CN46" s="439"/>
      <c r="CO46" s="439">
        <f t="shared" si="39"/>
        <v>563704.9976405917</v>
      </c>
      <c r="CP46" s="439">
        <f t="shared" si="24"/>
        <v>4767.5717200566005</v>
      </c>
      <c r="CQ46" s="439">
        <f t="shared" si="24"/>
        <v>0</v>
      </c>
      <c r="CR46" s="439">
        <f t="shared" si="40"/>
        <v>568472.56936064828</v>
      </c>
      <c r="CS46" s="439">
        <f>+'[1]13-14 $86M Workload Restore'!AJ44</f>
        <v>568473</v>
      </c>
      <c r="CT46" s="439">
        <f t="shared" si="41"/>
        <v>-0.43063935171812773</v>
      </c>
      <c r="CV46" s="173">
        <v>0</v>
      </c>
      <c r="CW46" s="439">
        <f t="shared" si="42"/>
        <v>7886.529939</v>
      </c>
      <c r="CX46" s="439">
        <f t="shared" si="50"/>
        <v>1.71</v>
      </c>
      <c r="CY46" s="439">
        <f t="shared" si="50"/>
        <v>0</v>
      </c>
      <c r="DA46" s="439">
        <f t="shared" si="51"/>
        <v>6.0999999732302967E-5</v>
      </c>
      <c r="DB46" s="439">
        <f t="shared" si="51"/>
        <v>0</v>
      </c>
      <c r="DC46" s="439">
        <f t="shared" si="51"/>
        <v>0</v>
      </c>
      <c r="DE46" s="371">
        <f t="shared" si="52"/>
        <v>0</v>
      </c>
      <c r="DF46" s="371">
        <f t="shared" si="52"/>
        <v>0</v>
      </c>
      <c r="DG46" s="371">
        <f t="shared" si="52"/>
        <v>0</v>
      </c>
      <c r="DH46" s="439"/>
      <c r="DI46" s="371">
        <f t="shared" si="53"/>
        <v>0</v>
      </c>
      <c r="DJ46" s="371">
        <f t="shared" si="53"/>
        <v>0</v>
      </c>
      <c r="DK46" s="371">
        <f t="shared" si="53"/>
        <v>0</v>
      </c>
      <c r="DL46" s="144">
        <f t="shared" si="43"/>
        <v>36565839.705582619</v>
      </c>
      <c r="DM46" s="144">
        <f t="shared" si="44"/>
        <v>4767.5717200566005</v>
      </c>
      <c r="DN46" s="144">
        <f t="shared" si="45"/>
        <v>0</v>
      </c>
      <c r="DO46" s="144">
        <f>'[1]PBF Run'!F46*(1+'[1]PBF Run'!$C$4)</f>
        <v>4498258.0139000006</v>
      </c>
      <c r="DP46" s="144">
        <f>'[1]PBF Run'!AA46+'[1]PBF Run'!AB46+'[1]PBF Run'!AC46+'[1]PBF Run'!AD46</f>
        <v>0</v>
      </c>
      <c r="DQ46" s="144">
        <f>'[1]PBF Run'!X46</f>
        <v>0</v>
      </c>
      <c r="DR46" s="144">
        <f>'[1]PBF Run'!L46*(1+'[1]PBF Run'!$C$4)</f>
        <v>0</v>
      </c>
      <c r="DS46" s="144">
        <f>'[1]PBF Run'!AE46</f>
        <v>41068866</v>
      </c>
      <c r="DT46" s="326">
        <f t="shared" si="48"/>
        <v>0.70879732817411423</v>
      </c>
      <c r="DU46" s="144"/>
      <c r="DV46" s="144"/>
    </row>
    <row r="47" spans="1:126" ht="13.5" thickBot="1">
      <c r="A47" s="16" t="s">
        <v>325</v>
      </c>
      <c r="B47" s="16" t="s">
        <v>148</v>
      </c>
      <c r="C47" s="425">
        <f>[1]FTES!C47</f>
        <v>1566.1399999999999</v>
      </c>
      <c r="D47" s="425">
        <f>[1]FTES!D47</f>
        <v>1566.1399999999999</v>
      </c>
      <c r="E47" s="425">
        <f>[1]FTES!E47</f>
        <v>1362.12</v>
      </c>
      <c r="F47" s="425">
        <f>[1]FTES!H47</f>
        <v>0</v>
      </c>
      <c r="G47" s="425">
        <f>[1]FTES!I47</f>
        <v>0</v>
      </c>
      <c r="H47" s="425">
        <f>[1]FTES!J47</f>
        <v>1362.12</v>
      </c>
      <c r="I47" s="425">
        <f>[1]FTES!K47</f>
        <v>-204.02</v>
      </c>
      <c r="J47" s="425">
        <f>[1]FTES!L47</f>
        <v>0</v>
      </c>
      <c r="K47" s="425">
        <f>[1]FTES!M47</f>
        <v>0</v>
      </c>
      <c r="L47" s="425">
        <f>[1]FTES!N47</f>
        <v>31.970112</v>
      </c>
      <c r="M47" s="425">
        <f>[1]FTES!O47</f>
        <v>31.970112</v>
      </c>
      <c r="N47" s="425">
        <f>[1]FTES!P47</f>
        <v>39.72</v>
      </c>
      <c r="O47" s="425">
        <f>[1]FTES!S47</f>
        <v>0</v>
      </c>
      <c r="P47" s="425">
        <f>[1]FTES!T47</f>
        <v>0</v>
      </c>
      <c r="Q47" s="425">
        <f>[1]FTES!U47</f>
        <v>39.72</v>
      </c>
      <c r="R47" s="425">
        <f>[1]FTES!V47</f>
        <v>7.7498880000000003</v>
      </c>
      <c r="S47" s="425">
        <f>[1]FTES!W47</f>
        <v>0</v>
      </c>
      <c r="T47" s="425">
        <f>[1]FTES!X47</f>
        <v>0</v>
      </c>
      <c r="U47" s="425">
        <f>[1]FTES!Y47</f>
        <v>0</v>
      </c>
      <c r="V47" s="425">
        <f>[1]FTES!Z47</f>
        <v>0</v>
      </c>
      <c r="W47" s="425">
        <f>[1]FTES!AA47</f>
        <v>0</v>
      </c>
      <c r="X47" s="425">
        <f>[1]FTES!AD47</f>
        <v>0</v>
      </c>
      <c r="Y47" s="425">
        <f>[1]FTES!AE47</f>
        <v>0</v>
      </c>
      <c r="Z47" s="425">
        <f>[1]FTES!AF47</f>
        <v>0</v>
      </c>
      <c r="AA47" s="425">
        <f>[1]FTES!AG47</f>
        <v>0</v>
      </c>
      <c r="AB47" s="425">
        <f>[1]FTES!AH47</f>
        <v>0</v>
      </c>
      <c r="AC47" s="425">
        <f>[1]FTES!AI47</f>
        <v>0</v>
      </c>
      <c r="AD47" s="425"/>
      <c r="AE47" s="376">
        <f>'[1]13-14 $86M Workload Restore'!AJ45</f>
        <v>0</v>
      </c>
      <c r="AF47" s="375"/>
      <c r="AG47" s="122" t="str">
        <f>'[1]Restoration and Growth'!N47</f>
        <v>Decline</v>
      </c>
      <c r="AH47" s="122" t="str">
        <f>'[1]Restoration and Growth'!O47</f>
        <v>Decline</v>
      </c>
      <c r="AI47" s="122" t="str">
        <f>'[1]Restoration and Growth'!P47</f>
        <v>Grow</v>
      </c>
      <c r="AJ47" s="122" t="str">
        <f>'[1]Restoration and Growth'!Q47</f>
        <v>No CPCP</v>
      </c>
      <c r="AK47" s="139"/>
      <c r="AL47" s="139">
        <f>ROUND(J47*'[1]PBF Run'!$AS$4,3)</f>
        <v>0</v>
      </c>
      <c r="AM47" s="139">
        <f>ROUND(S47*'[1]PBF Run'!$AF$4,3)</f>
        <v>0</v>
      </c>
      <c r="AN47" s="139">
        <f>ROUND(AB47*'[1]PBF Run'!$AJ$4,3)</f>
        <v>0</v>
      </c>
      <c r="AO47" s="139">
        <f t="shared" si="29"/>
        <v>0</v>
      </c>
      <c r="AP47" s="139" t="str">
        <f t="shared" si="46"/>
        <v>NA</v>
      </c>
      <c r="AQ47" s="139"/>
      <c r="AR47" s="374">
        <f t="shared" si="47"/>
        <v>0</v>
      </c>
      <c r="AS47" s="9">
        <f t="shared" si="0"/>
        <v>0</v>
      </c>
      <c r="AT47" s="9"/>
      <c r="AU47" s="373">
        <f t="shared" si="1"/>
        <v>0</v>
      </c>
      <c r="AV47" s="439">
        <f t="shared" si="49"/>
        <v>0</v>
      </c>
      <c r="AW47" s="9">
        <f t="shared" si="3"/>
        <v>0</v>
      </c>
      <c r="AX47" s="9"/>
      <c r="AY47" s="373">
        <f t="shared" si="4"/>
        <v>0</v>
      </c>
      <c r="AZ47" s="439">
        <f t="shared" si="30"/>
        <v>0</v>
      </c>
      <c r="BA47" s="9">
        <f t="shared" si="31"/>
        <v>0</v>
      </c>
      <c r="BB47" s="439"/>
      <c r="BC47" s="171">
        <f t="shared" si="32"/>
        <v>0</v>
      </c>
      <c r="BD47" s="171">
        <f t="shared" si="33"/>
        <v>0</v>
      </c>
      <c r="BE47" s="171">
        <f t="shared" si="34"/>
        <v>0</v>
      </c>
      <c r="BF47" s="438">
        <f t="shared" si="35"/>
        <v>0</v>
      </c>
      <c r="BG47" s="389">
        <f t="shared" si="5"/>
        <v>0</v>
      </c>
      <c r="BH47" s="438"/>
      <c r="BI47" s="425">
        <f t="shared" si="6"/>
        <v>1566.1399999999999</v>
      </c>
      <c r="BJ47" s="425">
        <f t="shared" si="7"/>
        <v>31.970112</v>
      </c>
      <c r="BK47" s="425">
        <f t="shared" si="8"/>
        <v>0</v>
      </c>
      <c r="BL47" s="438"/>
      <c r="BM47" s="425">
        <f t="shared" si="9"/>
        <v>1566.1399999999999</v>
      </c>
      <c r="BN47" s="425">
        <f t="shared" si="10"/>
        <v>31.970112</v>
      </c>
      <c r="BO47" s="425">
        <f t="shared" si="11"/>
        <v>0</v>
      </c>
      <c r="BP47" s="438"/>
      <c r="BQ47" s="372">
        <f t="shared" si="12"/>
        <v>1362.12</v>
      </c>
      <c r="BR47" s="372">
        <f t="shared" si="13"/>
        <v>39.72</v>
      </c>
      <c r="BS47" s="372">
        <f t="shared" si="14"/>
        <v>0</v>
      </c>
      <c r="BU47" s="439">
        <f t="shared" si="15"/>
        <v>0</v>
      </c>
      <c r="BV47" s="439">
        <f t="shared" si="16"/>
        <v>0</v>
      </c>
      <c r="BW47" s="439">
        <f t="shared" si="17"/>
        <v>0</v>
      </c>
      <c r="BY47" s="439">
        <f t="shared" si="18"/>
        <v>0</v>
      </c>
      <c r="BZ47" s="439">
        <f t="shared" si="19"/>
        <v>0</v>
      </c>
      <c r="CA47" s="439">
        <f t="shared" si="20"/>
        <v>0</v>
      </c>
      <c r="CB47" s="439"/>
      <c r="CC47" s="439">
        <f t="shared" si="21"/>
        <v>-204.02</v>
      </c>
      <c r="CD47" s="439">
        <f t="shared" si="22"/>
        <v>7.7498880000000003</v>
      </c>
      <c r="CE47" s="374">
        <f t="shared" si="23"/>
        <v>0</v>
      </c>
      <c r="CF47" s="439"/>
      <c r="CG47" s="439">
        <f t="shared" si="36"/>
        <v>0</v>
      </c>
      <c r="CH47" s="439">
        <f t="shared" si="37"/>
        <v>0</v>
      </c>
      <c r="CI47" s="439">
        <f t="shared" si="38"/>
        <v>0</v>
      </c>
      <c r="CJ47" s="439"/>
      <c r="CK47" s="439">
        <v>4636.4927360000001</v>
      </c>
      <c r="CL47" s="439">
        <v>2788.0536374600001</v>
      </c>
      <c r="CM47" s="439">
        <v>3282.8110613200001</v>
      </c>
      <c r="CN47" s="439"/>
      <c r="CO47" s="439">
        <f t="shared" si="39"/>
        <v>0</v>
      </c>
      <c r="CP47" s="439">
        <f t="shared" si="24"/>
        <v>0</v>
      </c>
      <c r="CQ47" s="439">
        <f t="shared" si="24"/>
        <v>0</v>
      </c>
      <c r="CR47" s="439">
        <f t="shared" si="40"/>
        <v>0</v>
      </c>
      <c r="CS47" s="439">
        <f>+'[1]13-14 $86M Workload Restore'!AJ45</f>
        <v>0</v>
      </c>
      <c r="CT47" s="439">
        <f t="shared" si="41"/>
        <v>0</v>
      </c>
      <c r="CV47" s="173">
        <v>0</v>
      </c>
      <c r="CW47" s="439">
        <f t="shared" si="42"/>
        <v>1362.12</v>
      </c>
      <c r="CX47" s="439">
        <f t="shared" si="50"/>
        <v>39.72</v>
      </c>
      <c r="CY47" s="439">
        <f t="shared" si="50"/>
        <v>0</v>
      </c>
      <c r="DA47" s="439">
        <f t="shared" si="51"/>
        <v>0</v>
      </c>
      <c r="DB47" s="439">
        <f t="shared" si="51"/>
        <v>0</v>
      </c>
      <c r="DC47" s="439">
        <f t="shared" si="51"/>
        <v>0</v>
      </c>
      <c r="DE47" s="371">
        <f t="shared" si="52"/>
        <v>0</v>
      </c>
      <c r="DF47" s="371">
        <f t="shared" si="52"/>
        <v>0</v>
      </c>
      <c r="DG47" s="371">
        <f t="shared" si="52"/>
        <v>0</v>
      </c>
      <c r="DH47" s="439"/>
      <c r="DI47" s="371">
        <f t="shared" si="53"/>
        <v>0</v>
      </c>
      <c r="DJ47" s="371">
        <f t="shared" si="53"/>
        <v>0</v>
      </c>
      <c r="DK47" s="371">
        <f t="shared" si="53"/>
        <v>0</v>
      </c>
      <c r="DL47" s="144">
        <f t="shared" si="43"/>
        <v>6315459.646385828</v>
      </c>
      <c r="DM47" s="144">
        <f t="shared" si="44"/>
        <v>110741.4904799112</v>
      </c>
      <c r="DN47" s="144">
        <f t="shared" si="45"/>
        <v>0</v>
      </c>
      <c r="DO47" s="144">
        <f>'[1]PBF Run'!F47*(1+'[1]PBF Run'!$C$4)</f>
        <v>3935975.6352000004</v>
      </c>
      <c r="DP47" s="144">
        <f>'[1]PBF Run'!AA47+'[1]PBF Run'!AB47+'[1]PBF Run'!AC47+'[1]PBF Run'!AD47</f>
        <v>140571</v>
      </c>
      <c r="DQ47" s="144">
        <f>'[1]PBF Run'!X47</f>
        <v>924330</v>
      </c>
      <c r="DR47" s="144">
        <f>'[1]PBF Run'!L47*(1+'[1]PBF Run'!$C$4)</f>
        <v>0</v>
      </c>
      <c r="DS47" s="144">
        <f>'[1]PBF Run'!AE47</f>
        <v>11427078</v>
      </c>
      <c r="DT47" s="326">
        <f t="shared" si="48"/>
        <v>0.22793426085263491</v>
      </c>
      <c r="DU47" s="144"/>
      <c r="DV47" s="144"/>
    </row>
    <row r="48" spans="1:126" ht="13.5" thickBot="1">
      <c r="A48" s="16" t="s">
        <v>323</v>
      </c>
      <c r="B48" s="16" t="s">
        <v>149</v>
      </c>
      <c r="C48" s="425">
        <f>[1]FTES!C48</f>
        <v>17666.460000000003</v>
      </c>
      <c r="D48" s="425">
        <f>[1]FTES!D48</f>
        <v>17666.460000000003</v>
      </c>
      <c r="E48" s="425">
        <f>[1]FTES!E48</f>
        <v>17940.3</v>
      </c>
      <c r="F48" s="425">
        <f>[1]FTES!H48</f>
        <v>0</v>
      </c>
      <c r="G48" s="425">
        <f>[1]FTES!I48</f>
        <v>0</v>
      </c>
      <c r="H48" s="425">
        <f>[1]FTES!J48</f>
        <v>17666.46</v>
      </c>
      <c r="I48" s="425">
        <f>[1]FTES!K48</f>
        <v>0</v>
      </c>
      <c r="J48" s="425">
        <f>[1]FTES!L48</f>
        <v>273.83999999999997</v>
      </c>
      <c r="K48" s="425">
        <f>[1]FTES!M48</f>
        <v>0</v>
      </c>
      <c r="L48" s="425">
        <f>[1]FTES!N48</f>
        <v>330.2</v>
      </c>
      <c r="M48" s="425">
        <f>[1]FTES!O48</f>
        <v>330.2</v>
      </c>
      <c r="N48" s="425">
        <f>[1]FTES!P48</f>
        <v>331.44000000000005</v>
      </c>
      <c r="O48" s="425">
        <f>[1]FTES!S48</f>
        <v>0</v>
      </c>
      <c r="P48" s="425">
        <f>[1]FTES!T48</f>
        <v>0</v>
      </c>
      <c r="Q48" s="425">
        <f>[1]FTES!U48</f>
        <v>330.2</v>
      </c>
      <c r="R48" s="425">
        <f>[1]FTES!V48</f>
        <v>0</v>
      </c>
      <c r="S48" s="425">
        <f>[1]FTES!W48</f>
        <v>1.24</v>
      </c>
      <c r="T48" s="425">
        <f>[1]FTES!X48</f>
        <v>0</v>
      </c>
      <c r="U48" s="425">
        <f>[1]FTES!Y48</f>
        <v>534.14</v>
      </c>
      <c r="V48" s="425">
        <f>[1]FTES!Z48</f>
        <v>534.14</v>
      </c>
      <c r="W48" s="425">
        <f>[1]FTES!AA48</f>
        <v>530.63</v>
      </c>
      <c r="X48" s="425">
        <f>[1]FTES!AD48</f>
        <v>0</v>
      </c>
      <c r="Y48" s="425">
        <f>[1]FTES!AE48</f>
        <v>0</v>
      </c>
      <c r="Z48" s="425">
        <f>[1]FTES!AF48</f>
        <v>530.63</v>
      </c>
      <c r="AA48" s="425">
        <f>[1]FTES!AG48</f>
        <v>0</v>
      </c>
      <c r="AB48" s="425">
        <f>[1]FTES!AH48</f>
        <v>0</v>
      </c>
      <c r="AC48" s="425">
        <f>[1]FTES!AI48</f>
        <v>0</v>
      </c>
      <c r="AD48" s="425"/>
      <c r="AE48" s="376">
        <f>'[1]13-14 $86M Workload Restore'!AJ46</f>
        <v>1261591</v>
      </c>
      <c r="AF48" s="375"/>
      <c r="AG48" s="122" t="str">
        <f>'[1]Restoration and Growth'!N48</f>
        <v>Growth</v>
      </c>
      <c r="AH48" s="122" t="str">
        <f>'[1]Restoration and Growth'!O48</f>
        <v>Grow</v>
      </c>
      <c r="AI48" s="122" t="str">
        <f>'[1]Restoration and Growth'!P48</f>
        <v>Grow</v>
      </c>
      <c r="AJ48" s="122" t="str">
        <f>'[1]Restoration and Growth'!Q48</f>
        <v>Decline</v>
      </c>
      <c r="AK48" s="139"/>
      <c r="AL48" s="139">
        <f>ROUND(J48*'[1]PBF Run'!$AS$4,3)</f>
        <v>1269657.203</v>
      </c>
      <c r="AM48" s="139">
        <f>ROUND(S48*'[1]PBF Run'!$AF$4,3)</f>
        <v>3457.1869999999999</v>
      </c>
      <c r="AN48" s="139">
        <f>ROUND(AB48*'[1]PBF Run'!$AJ$4,3)</f>
        <v>0</v>
      </c>
      <c r="AO48" s="139">
        <f t="shared" si="29"/>
        <v>1273114.3899999999</v>
      </c>
      <c r="AP48" s="139" t="str">
        <f t="shared" si="46"/>
        <v>Y</v>
      </c>
      <c r="AQ48" s="139"/>
      <c r="AR48" s="374">
        <f t="shared" si="47"/>
        <v>273.83995599999997</v>
      </c>
      <c r="AS48" s="9">
        <f t="shared" si="0"/>
        <v>1269657</v>
      </c>
      <c r="AT48" s="9"/>
      <c r="AU48" s="373">
        <f t="shared" si="1"/>
        <v>1269657</v>
      </c>
      <c r="AV48" s="439">
        <f t="shared" si="49"/>
        <v>1.24</v>
      </c>
      <c r="AW48" s="9">
        <f t="shared" si="3"/>
        <v>3457</v>
      </c>
      <c r="AX48" s="9"/>
      <c r="AY48" s="373">
        <f t="shared" si="4"/>
        <v>1273114</v>
      </c>
      <c r="AZ48" s="439">
        <f t="shared" si="30"/>
        <v>-3.5099999999999909</v>
      </c>
      <c r="BA48" s="9">
        <f t="shared" si="31"/>
        <v>-11523</v>
      </c>
      <c r="BB48" s="439"/>
      <c r="BC48" s="171">
        <f t="shared" si="32"/>
        <v>1269657</v>
      </c>
      <c r="BD48" s="171">
        <f t="shared" si="33"/>
        <v>3457</v>
      </c>
      <c r="BE48" s="171">
        <f t="shared" si="34"/>
        <v>-11523</v>
      </c>
      <c r="BF48" s="438">
        <f t="shared" si="35"/>
        <v>1261591</v>
      </c>
      <c r="BG48" s="389">
        <f t="shared" si="5"/>
        <v>0</v>
      </c>
      <c r="BH48" s="438"/>
      <c r="BI48" s="425">
        <f t="shared" si="6"/>
        <v>17666.460000000003</v>
      </c>
      <c r="BJ48" s="425">
        <f t="shared" si="7"/>
        <v>330.2</v>
      </c>
      <c r="BK48" s="425">
        <f t="shared" si="8"/>
        <v>534.14</v>
      </c>
      <c r="BL48" s="438"/>
      <c r="BM48" s="425">
        <f t="shared" si="9"/>
        <v>17666.460000000003</v>
      </c>
      <c r="BN48" s="425">
        <f t="shared" si="10"/>
        <v>330.2</v>
      </c>
      <c r="BO48" s="425">
        <f t="shared" si="11"/>
        <v>534.14</v>
      </c>
      <c r="BP48" s="438"/>
      <c r="BQ48" s="372">
        <f t="shared" si="12"/>
        <v>17940.3</v>
      </c>
      <c r="BR48" s="372">
        <f t="shared" si="13"/>
        <v>331.44000000000005</v>
      </c>
      <c r="BS48" s="372">
        <f t="shared" si="14"/>
        <v>530.63</v>
      </c>
      <c r="BU48" s="439">
        <f t="shared" si="15"/>
        <v>0</v>
      </c>
      <c r="BV48" s="439">
        <f t="shared" si="16"/>
        <v>0</v>
      </c>
      <c r="BW48" s="439">
        <f t="shared" si="17"/>
        <v>0</v>
      </c>
      <c r="BY48" s="439">
        <f t="shared" si="18"/>
        <v>0</v>
      </c>
      <c r="BZ48" s="439">
        <f t="shared" si="19"/>
        <v>0</v>
      </c>
      <c r="CA48" s="439">
        <f t="shared" si="20"/>
        <v>0</v>
      </c>
      <c r="CB48" s="439"/>
      <c r="CC48" s="439">
        <f t="shared" si="21"/>
        <v>0</v>
      </c>
      <c r="CD48" s="439">
        <f t="shared" si="22"/>
        <v>0</v>
      </c>
      <c r="CE48" s="374">
        <f t="shared" si="23"/>
        <v>0</v>
      </c>
      <c r="CF48" s="439"/>
      <c r="CG48" s="439">
        <f t="shared" si="36"/>
        <v>273.83995599999997</v>
      </c>
      <c r="CH48" s="439">
        <f t="shared" si="37"/>
        <v>1.24</v>
      </c>
      <c r="CI48" s="439">
        <f t="shared" si="38"/>
        <v>-3.5099999999999909</v>
      </c>
      <c r="CJ48" s="439"/>
      <c r="CK48" s="439">
        <v>4636.4928749999999</v>
      </c>
      <c r="CL48" s="439">
        <v>2788.0536374600001</v>
      </c>
      <c r="CM48" s="439">
        <v>3282.8110613200001</v>
      </c>
      <c r="CN48" s="439"/>
      <c r="CO48" s="439">
        <f t="shared" si="39"/>
        <v>1269657.0048843133</v>
      </c>
      <c r="CP48" s="439">
        <f t="shared" si="24"/>
        <v>3457.1865104504</v>
      </c>
      <c r="CQ48" s="439">
        <f t="shared" si="24"/>
        <v>-11522.666825233171</v>
      </c>
      <c r="CR48" s="439">
        <f t="shared" si="40"/>
        <v>1261591.5245695305</v>
      </c>
      <c r="CS48" s="439">
        <f>+'[1]13-14 $86M Workload Restore'!AJ46</f>
        <v>1261591</v>
      </c>
      <c r="CT48" s="439">
        <f t="shared" si="41"/>
        <v>0.524569530505687</v>
      </c>
      <c r="CV48" s="173">
        <v>0</v>
      </c>
      <c r="CW48" s="439">
        <f t="shared" si="42"/>
        <v>17940.299956000003</v>
      </c>
      <c r="CX48" s="439">
        <f t="shared" si="50"/>
        <v>331.44</v>
      </c>
      <c r="CY48" s="439">
        <f t="shared" si="50"/>
        <v>530.63</v>
      </c>
      <c r="DA48" s="439">
        <f t="shared" si="51"/>
        <v>4.3999996705679223E-5</v>
      </c>
      <c r="DB48" s="439">
        <f t="shared" si="51"/>
        <v>0</v>
      </c>
      <c r="DC48" s="439">
        <f t="shared" si="51"/>
        <v>0</v>
      </c>
      <c r="DE48" s="371">
        <f t="shared" si="52"/>
        <v>0</v>
      </c>
      <c r="DF48" s="371">
        <f t="shared" si="52"/>
        <v>0</v>
      </c>
      <c r="DG48" s="371">
        <f t="shared" si="52"/>
        <v>0</v>
      </c>
      <c r="DH48" s="439"/>
      <c r="DI48" s="371">
        <f t="shared" si="53"/>
        <v>0</v>
      </c>
      <c r="DJ48" s="371">
        <f t="shared" si="53"/>
        <v>5.6843418860808015E-14</v>
      </c>
      <c r="DK48" s="371">
        <f t="shared" si="53"/>
        <v>0</v>
      </c>
      <c r="DL48" s="144">
        <f t="shared" si="43"/>
        <v>83180072.545866355</v>
      </c>
      <c r="DM48" s="144">
        <f t="shared" si="44"/>
        <v>924072.49759974238</v>
      </c>
      <c r="DN48" s="144">
        <f t="shared" si="45"/>
        <v>1741958.0334682316</v>
      </c>
      <c r="DO48" s="144">
        <f>'[1]PBF Run'!F48*(1+'[1]PBF Run'!$C$4)</f>
        <v>6747387.5287000006</v>
      </c>
      <c r="DP48" s="144">
        <f>'[1]PBF Run'!AA48+'[1]PBF Run'!AB48+'[1]PBF Run'!AC48+'[1]PBF Run'!AD48</f>
        <v>0</v>
      </c>
      <c r="DQ48" s="144">
        <f>'[1]PBF Run'!X48</f>
        <v>0</v>
      </c>
      <c r="DR48" s="144">
        <f>'[1]PBF Run'!L48*(1+'[1]PBF Run'!$C$4)</f>
        <v>0</v>
      </c>
      <c r="DS48" s="144">
        <f>'[1]PBF Run'!AE48</f>
        <v>92593490</v>
      </c>
      <c r="DT48" s="326">
        <f t="shared" si="48"/>
        <v>-0.60563431680202484</v>
      </c>
      <c r="DU48" s="144"/>
      <c r="DV48" s="144"/>
    </row>
    <row r="49" spans="1:126" ht="13.5" thickBot="1">
      <c r="A49" s="16" t="s">
        <v>321</v>
      </c>
      <c r="B49" s="16" t="s">
        <v>150</v>
      </c>
      <c r="C49" s="425">
        <f>[1]FTES!C49</f>
        <v>19710.774475000002</v>
      </c>
      <c r="D49" s="425">
        <f>[1]FTES!D49</f>
        <v>19710.774475000002</v>
      </c>
      <c r="E49" s="425">
        <f>[1]FTES!E49</f>
        <v>20071.800000000003</v>
      </c>
      <c r="F49" s="425">
        <f>[1]FTES!H49</f>
        <v>0</v>
      </c>
      <c r="G49" s="425">
        <f>[1]FTES!I49</f>
        <v>0</v>
      </c>
      <c r="H49" s="425">
        <f>[1]FTES!J49</f>
        <v>19710.774474999998</v>
      </c>
      <c r="I49" s="425">
        <f>[1]FTES!K49</f>
        <v>0</v>
      </c>
      <c r="J49" s="425">
        <f>[1]FTES!L49</f>
        <v>361.02552500000002</v>
      </c>
      <c r="K49" s="425">
        <f>[1]FTES!M49</f>
        <v>0</v>
      </c>
      <c r="L49" s="425">
        <f>[1]FTES!N49</f>
        <v>977.98</v>
      </c>
      <c r="M49" s="425">
        <f>[1]FTES!O49</f>
        <v>977.98</v>
      </c>
      <c r="N49" s="425">
        <f>[1]FTES!P49</f>
        <v>471.36</v>
      </c>
      <c r="O49" s="425">
        <f>[1]FTES!S49</f>
        <v>0</v>
      </c>
      <c r="P49" s="425">
        <f>[1]FTES!T49</f>
        <v>0</v>
      </c>
      <c r="Q49" s="425">
        <f>[1]FTES!U49</f>
        <v>471.36</v>
      </c>
      <c r="R49" s="425">
        <f>[1]FTES!V49</f>
        <v>0</v>
      </c>
      <c r="S49" s="425">
        <f>[1]FTES!W49</f>
        <v>0</v>
      </c>
      <c r="T49" s="425">
        <f>[1]FTES!X49</f>
        <v>0</v>
      </c>
      <c r="U49" s="425">
        <f>[1]FTES!Y49</f>
        <v>379.69999999999993</v>
      </c>
      <c r="V49" s="425">
        <f>[1]FTES!Z49</f>
        <v>379.69999999999993</v>
      </c>
      <c r="W49" s="425">
        <f>[1]FTES!AA49</f>
        <v>583.62</v>
      </c>
      <c r="X49" s="425">
        <f>[1]FTES!AD49</f>
        <v>0</v>
      </c>
      <c r="Y49" s="425">
        <f>[1]FTES!AE49</f>
        <v>0</v>
      </c>
      <c r="Z49" s="425">
        <f>[1]FTES!AF49</f>
        <v>379.7</v>
      </c>
      <c r="AA49" s="425">
        <f>[1]FTES!AG49</f>
        <v>0</v>
      </c>
      <c r="AB49" s="425">
        <f>[1]FTES!AH49</f>
        <v>203.92</v>
      </c>
      <c r="AC49" s="425">
        <f>[1]FTES!AI49</f>
        <v>0</v>
      </c>
      <c r="AD49" s="425"/>
      <c r="AE49" s="376">
        <f>'[1]13-14 $86M Workload Restore'!AJ47</f>
        <v>930839</v>
      </c>
      <c r="AF49" s="375"/>
      <c r="AG49" s="122" t="str">
        <f>'[1]Restoration and Growth'!N49</f>
        <v>Growth</v>
      </c>
      <c r="AH49" s="122" t="str">
        <f>'[1]Restoration and Growth'!O49</f>
        <v>Grow</v>
      </c>
      <c r="AI49" s="122" t="str">
        <f>'[1]Restoration and Growth'!P49</f>
        <v>Decline</v>
      </c>
      <c r="AJ49" s="122" t="str">
        <f>'[1]Restoration and Growth'!Q49</f>
        <v>Grow</v>
      </c>
      <c r="AK49" s="139"/>
      <c r="AL49" s="139">
        <f>ROUND(J49*'[1]PBF Run'!$AS$4,3)</f>
        <v>1673892.267</v>
      </c>
      <c r="AM49" s="139">
        <f>ROUND(S49*'[1]PBF Run'!$AF$4,3)</f>
        <v>0</v>
      </c>
      <c r="AN49" s="139">
        <f>ROUND(AB49*'[1]PBF Run'!$AJ$4,3)</f>
        <v>669430.83200000005</v>
      </c>
      <c r="AO49" s="139">
        <f t="shared" si="29"/>
        <v>2343323.0989999999</v>
      </c>
      <c r="AP49" s="139" t="str">
        <f t="shared" si="46"/>
        <v>Y</v>
      </c>
      <c r="AQ49" s="139"/>
      <c r="AR49" s="374">
        <f t="shared" si="47"/>
        <v>361.02546699999999</v>
      </c>
      <c r="AS49" s="9">
        <f t="shared" si="0"/>
        <v>1673892</v>
      </c>
      <c r="AT49" s="9"/>
      <c r="AU49" s="373">
        <f t="shared" si="1"/>
        <v>1673892</v>
      </c>
      <c r="AV49" s="439">
        <f t="shared" si="49"/>
        <v>-506.62</v>
      </c>
      <c r="AW49" s="9">
        <f t="shared" si="3"/>
        <v>-1412484</v>
      </c>
      <c r="AX49" s="9"/>
      <c r="AY49" s="373">
        <f t="shared" si="4"/>
        <v>261408</v>
      </c>
      <c r="AZ49" s="439">
        <f t="shared" si="30"/>
        <v>203.92</v>
      </c>
      <c r="BA49" s="9">
        <f t="shared" si="31"/>
        <v>669431</v>
      </c>
      <c r="BB49" s="439"/>
      <c r="BC49" s="171">
        <f t="shared" si="32"/>
        <v>1673892</v>
      </c>
      <c r="BD49" s="171">
        <f t="shared" si="33"/>
        <v>-1412484</v>
      </c>
      <c r="BE49" s="171">
        <f t="shared" si="34"/>
        <v>669431</v>
      </c>
      <c r="BF49" s="438">
        <f t="shared" si="35"/>
        <v>930839</v>
      </c>
      <c r="BG49" s="389">
        <f t="shared" si="5"/>
        <v>0</v>
      </c>
      <c r="BH49" s="438"/>
      <c r="BI49" s="425">
        <f t="shared" si="6"/>
        <v>19710.774475000002</v>
      </c>
      <c r="BJ49" s="425">
        <f t="shared" si="7"/>
        <v>977.98</v>
      </c>
      <c r="BK49" s="425">
        <f t="shared" si="8"/>
        <v>379.69999999999993</v>
      </c>
      <c r="BL49" s="438"/>
      <c r="BM49" s="425">
        <f t="shared" si="9"/>
        <v>19710.774475000002</v>
      </c>
      <c r="BN49" s="425">
        <f t="shared" si="10"/>
        <v>977.98</v>
      </c>
      <c r="BO49" s="425">
        <f t="shared" si="11"/>
        <v>379.69999999999993</v>
      </c>
      <c r="BP49" s="438"/>
      <c r="BQ49" s="372">
        <f t="shared" si="12"/>
        <v>20071.800000000003</v>
      </c>
      <c r="BR49" s="372">
        <f t="shared" si="13"/>
        <v>471.36</v>
      </c>
      <c r="BS49" s="372">
        <f t="shared" si="14"/>
        <v>583.62</v>
      </c>
      <c r="BU49" s="439">
        <f t="shared" si="15"/>
        <v>0</v>
      </c>
      <c r="BV49" s="439">
        <f t="shared" si="16"/>
        <v>0</v>
      </c>
      <c r="BW49" s="439">
        <f t="shared" si="17"/>
        <v>0</v>
      </c>
      <c r="BY49" s="439">
        <f t="shared" si="18"/>
        <v>0</v>
      </c>
      <c r="BZ49" s="439">
        <f t="shared" si="19"/>
        <v>0</v>
      </c>
      <c r="CA49" s="439">
        <f t="shared" si="20"/>
        <v>0</v>
      </c>
      <c r="CB49" s="439"/>
      <c r="CC49" s="439">
        <f t="shared" si="21"/>
        <v>0</v>
      </c>
      <c r="CD49" s="439">
        <f t="shared" si="22"/>
        <v>0</v>
      </c>
      <c r="CE49" s="374">
        <f t="shared" si="23"/>
        <v>0</v>
      </c>
      <c r="CF49" s="439"/>
      <c r="CG49" s="439">
        <f t="shared" si="36"/>
        <v>361.02546699999999</v>
      </c>
      <c r="CH49" s="439">
        <f t="shared" si="37"/>
        <v>-506.62</v>
      </c>
      <c r="CI49" s="439">
        <f t="shared" si="38"/>
        <v>203.92</v>
      </c>
      <c r="CJ49" s="439"/>
      <c r="CK49" s="439">
        <v>4636.492843</v>
      </c>
      <c r="CL49" s="439">
        <v>2788.0536374600001</v>
      </c>
      <c r="CM49" s="439">
        <v>3282.8110613200001</v>
      </c>
      <c r="CN49" s="439"/>
      <c r="CO49" s="439">
        <f t="shared" si="39"/>
        <v>1673891.9938862326</v>
      </c>
      <c r="CP49" s="439">
        <f t="shared" si="24"/>
        <v>-1412483.7338099852</v>
      </c>
      <c r="CQ49" s="439">
        <f t="shared" si="24"/>
        <v>669430.83162437438</v>
      </c>
      <c r="CR49" s="439">
        <f t="shared" si="40"/>
        <v>930839.09170062176</v>
      </c>
      <c r="CS49" s="439">
        <f>+'[1]13-14 $86M Workload Restore'!AJ47</f>
        <v>930839</v>
      </c>
      <c r="CT49" s="439">
        <f t="shared" si="41"/>
        <v>9.1700621764175594E-2</v>
      </c>
      <c r="CV49" s="173">
        <v>0</v>
      </c>
      <c r="CW49" s="439">
        <f t="shared" si="42"/>
        <v>20071.799942000001</v>
      </c>
      <c r="CX49" s="439">
        <f t="shared" si="50"/>
        <v>471.36</v>
      </c>
      <c r="CY49" s="439">
        <f t="shared" si="50"/>
        <v>583.61999999999989</v>
      </c>
      <c r="DA49" s="439">
        <f t="shared" si="51"/>
        <v>5.8000001445179805E-5</v>
      </c>
      <c r="DB49" s="439">
        <f t="shared" si="51"/>
        <v>0</v>
      </c>
      <c r="DC49" s="439">
        <f t="shared" si="51"/>
        <v>0</v>
      </c>
      <c r="DE49" s="371">
        <f t="shared" si="52"/>
        <v>0</v>
      </c>
      <c r="DF49" s="371">
        <f t="shared" si="52"/>
        <v>0</v>
      </c>
      <c r="DG49" s="371">
        <f t="shared" si="52"/>
        <v>0</v>
      </c>
      <c r="DH49" s="439"/>
      <c r="DI49" s="371">
        <f t="shared" si="53"/>
        <v>0</v>
      </c>
      <c r="DJ49" s="371">
        <f t="shared" si="53"/>
        <v>0</v>
      </c>
      <c r="DK49" s="371">
        <f t="shared" si="53"/>
        <v>1.1368683772161603E-13</v>
      </c>
      <c r="DL49" s="144">
        <f t="shared" si="43"/>
        <v>93062756.999405652</v>
      </c>
      <c r="DM49" s="144">
        <f t="shared" si="44"/>
        <v>1314176.9625531456</v>
      </c>
      <c r="DN49" s="144">
        <f t="shared" si="45"/>
        <v>1915914.1916075782</v>
      </c>
      <c r="DO49" s="144">
        <f>'[1]PBF Run'!F49*(1+'[1]PBF Run'!$C$4)</f>
        <v>6747387.5287000006</v>
      </c>
      <c r="DP49" s="144">
        <f>'[1]PBF Run'!AA49+'[1]PBF Run'!AB49+'[1]PBF Run'!AC49+'[1]PBF Run'!AD49</f>
        <v>0</v>
      </c>
      <c r="DQ49" s="144">
        <f>'[1]PBF Run'!X49</f>
        <v>0</v>
      </c>
      <c r="DR49" s="144">
        <f>'[1]PBF Run'!L49*(1+'[1]PBF Run'!$C$4)</f>
        <v>0</v>
      </c>
      <c r="DS49" s="144">
        <f>'[1]PBF Run'!AE49</f>
        <v>103040236</v>
      </c>
      <c r="DT49" s="326">
        <f t="shared" si="48"/>
        <v>0.31773363053798676</v>
      </c>
      <c r="DU49" s="144"/>
      <c r="DV49" s="144"/>
    </row>
    <row r="50" spans="1:126" ht="13.5" thickBot="1">
      <c r="A50" s="16" t="s">
        <v>319</v>
      </c>
      <c r="B50" s="16" t="s">
        <v>151</v>
      </c>
      <c r="C50" s="425">
        <f>[1]FTES!C50</f>
        <v>18099.079919</v>
      </c>
      <c r="D50" s="425">
        <f>[1]FTES!D50</f>
        <v>18099.079919</v>
      </c>
      <c r="E50" s="425">
        <f>[1]FTES!E50</f>
        <v>18601.13</v>
      </c>
      <c r="F50" s="425">
        <f>[1]FTES!H50</f>
        <v>0</v>
      </c>
      <c r="G50" s="425">
        <f>[1]FTES!I50</f>
        <v>0</v>
      </c>
      <c r="H50" s="425">
        <f>[1]FTES!J50</f>
        <v>18099.079919</v>
      </c>
      <c r="I50" s="425">
        <f>[1]FTES!K50</f>
        <v>0</v>
      </c>
      <c r="J50" s="425">
        <f>[1]FTES!L50</f>
        <v>502.05008099999998</v>
      </c>
      <c r="K50" s="425">
        <f>[1]FTES!M50</f>
        <v>0</v>
      </c>
      <c r="L50" s="425">
        <f>[1]FTES!N50</f>
        <v>91.48</v>
      </c>
      <c r="M50" s="425">
        <f>[1]FTES!O50</f>
        <v>91.48</v>
      </c>
      <c r="N50" s="425">
        <f>[1]FTES!P50</f>
        <v>40.92</v>
      </c>
      <c r="O50" s="425">
        <f>[1]FTES!S50</f>
        <v>0</v>
      </c>
      <c r="P50" s="425">
        <f>[1]FTES!T50</f>
        <v>0</v>
      </c>
      <c r="Q50" s="425">
        <f>[1]FTES!U50</f>
        <v>40.92</v>
      </c>
      <c r="R50" s="425">
        <f>[1]FTES!V50</f>
        <v>0</v>
      </c>
      <c r="S50" s="425">
        <f>[1]FTES!W50</f>
        <v>0</v>
      </c>
      <c r="T50" s="425">
        <f>[1]FTES!X50</f>
        <v>0</v>
      </c>
      <c r="U50" s="425">
        <f>[1]FTES!Y50</f>
        <v>0</v>
      </c>
      <c r="V50" s="425">
        <f>[1]FTES!Z50</f>
        <v>0</v>
      </c>
      <c r="W50" s="425">
        <f>[1]FTES!AA50</f>
        <v>0</v>
      </c>
      <c r="X50" s="425">
        <f>[1]FTES!AD50</f>
        <v>0</v>
      </c>
      <c r="Y50" s="425">
        <f>[1]FTES!AE50</f>
        <v>0</v>
      </c>
      <c r="Z50" s="425">
        <f>[1]FTES!AF50</f>
        <v>0</v>
      </c>
      <c r="AA50" s="425">
        <f>[1]FTES!AG50</f>
        <v>0</v>
      </c>
      <c r="AB50" s="425">
        <f>[1]FTES!AH50</f>
        <v>0</v>
      </c>
      <c r="AC50" s="425">
        <f>[1]FTES!AI50</f>
        <v>0</v>
      </c>
      <c r="AD50" s="425"/>
      <c r="AE50" s="376">
        <f>'[1]13-14 $86M Workload Restore'!AJ48</f>
        <v>2186788</v>
      </c>
      <c r="AF50" s="375"/>
      <c r="AG50" s="122" t="str">
        <f>'[1]Restoration and Growth'!N50</f>
        <v>Growth</v>
      </c>
      <c r="AH50" s="122" t="str">
        <f>'[1]Restoration and Growth'!O50</f>
        <v>Grow</v>
      </c>
      <c r="AI50" s="122" t="str">
        <f>'[1]Restoration and Growth'!P50</f>
        <v>Decline</v>
      </c>
      <c r="AJ50" s="122" t="str">
        <f>'[1]Restoration and Growth'!Q50</f>
        <v>No CPCP</v>
      </c>
      <c r="AK50" s="139"/>
      <c r="AL50" s="139">
        <f>ROUND(J50*'[1]PBF Run'!$AS$4,3)</f>
        <v>2327751.6129999999</v>
      </c>
      <c r="AM50" s="139">
        <f>ROUND(S50*'[1]PBF Run'!$AF$4,3)</f>
        <v>0</v>
      </c>
      <c r="AN50" s="139">
        <f>ROUND(AB50*'[1]PBF Run'!$AJ$4,3)</f>
        <v>0</v>
      </c>
      <c r="AO50" s="139">
        <f t="shared" si="29"/>
        <v>2327751.6129999999</v>
      </c>
      <c r="AP50" s="139" t="str">
        <f t="shared" si="46"/>
        <v>Y</v>
      </c>
      <c r="AQ50" s="139"/>
      <c r="AR50" s="374">
        <f t="shared" si="47"/>
        <v>502.050164</v>
      </c>
      <c r="AS50" s="9">
        <f t="shared" si="0"/>
        <v>2327752</v>
      </c>
      <c r="AT50" s="9"/>
      <c r="AU50" s="373">
        <f t="shared" si="1"/>
        <v>2327752</v>
      </c>
      <c r="AV50" s="439">
        <f t="shared" si="49"/>
        <v>-50.56</v>
      </c>
      <c r="AW50" s="9">
        <f t="shared" si="3"/>
        <v>-140964</v>
      </c>
      <c r="AX50" s="9"/>
      <c r="AY50" s="373">
        <f t="shared" si="4"/>
        <v>2186788</v>
      </c>
      <c r="AZ50" s="439">
        <f t="shared" si="30"/>
        <v>0</v>
      </c>
      <c r="BA50" s="9">
        <f t="shared" si="31"/>
        <v>0</v>
      </c>
      <c r="BB50" s="439"/>
      <c r="BC50" s="171">
        <f t="shared" si="32"/>
        <v>2327752</v>
      </c>
      <c r="BD50" s="171">
        <f t="shared" si="33"/>
        <v>-140964</v>
      </c>
      <c r="BE50" s="171">
        <f t="shared" si="34"/>
        <v>0</v>
      </c>
      <c r="BF50" s="438">
        <f t="shared" si="35"/>
        <v>2186788</v>
      </c>
      <c r="BG50" s="389">
        <f t="shared" si="5"/>
        <v>0</v>
      </c>
      <c r="BH50" s="438"/>
      <c r="BI50" s="425">
        <f t="shared" si="6"/>
        <v>18099.079919</v>
      </c>
      <c r="BJ50" s="425">
        <f t="shared" si="7"/>
        <v>91.48</v>
      </c>
      <c r="BK50" s="425">
        <f t="shared" si="8"/>
        <v>0</v>
      </c>
      <c r="BL50" s="438"/>
      <c r="BM50" s="425">
        <f t="shared" si="9"/>
        <v>18099.079919</v>
      </c>
      <c r="BN50" s="425">
        <f t="shared" si="10"/>
        <v>91.48</v>
      </c>
      <c r="BO50" s="425">
        <f t="shared" si="11"/>
        <v>0</v>
      </c>
      <c r="BP50" s="438"/>
      <c r="BQ50" s="372">
        <f t="shared" si="12"/>
        <v>18601.13</v>
      </c>
      <c r="BR50" s="372">
        <f t="shared" si="13"/>
        <v>40.92</v>
      </c>
      <c r="BS50" s="372">
        <f t="shared" si="14"/>
        <v>0</v>
      </c>
      <c r="BU50" s="439">
        <f t="shared" si="15"/>
        <v>0</v>
      </c>
      <c r="BV50" s="439">
        <f t="shared" si="16"/>
        <v>0</v>
      </c>
      <c r="BW50" s="439">
        <f t="shared" si="17"/>
        <v>0</v>
      </c>
      <c r="BY50" s="439">
        <f t="shared" si="18"/>
        <v>0</v>
      </c>
      <c r="BZ50" s="439">
        <f t="shared" si="19"/>
        <v>0</v>
      </c>
      <c r="CA50" s="439">
        <f t="shared" si="20"/>
        <v>0</v>
      </c>
      <c r="CB50" s="439"/>
      <c r="CC50" s="439">
        <f t="shared" si="21"/>
        <v>0</v>
      </c>
      <c r="CD50" s="439">
        <f t="shared" si="22"/>
        <v>0</v>
      </c>
      <c r="CE50" s="374">
        <f t="shared" si="23"/>
        <v>0</v>
      </c>
      <c r="CF50" s="439"/>
      <c r="CG50" s="439">
        <f t="shared" si="36"/>
        <v>502.050164</v>
      </c>
      <c r="CH50" s="439">
        <f t="shared" si="37"/>
        <v>-50.56</v>
      </c>
      <c r="CI50" s="439">
        <f t="shared" si="38"/>
        <v>0</v>
      </c>
      <c r="CJ50" s="439"/>
      <c r="CK50" s="439">
        <v>4636.4928369999998</v>
      </c>
      <c r="CL50" s="439">
        <v>2788.0536374600001</v>
      </c>
      <c r="CM50" s="439">
        <v>3282.8110613200001</v>
      </c>
      <c r="CN50" s="439"/>
      <c r="CO50" s="439">
        <f t="shared" si="39"/>
        <v>2327751.9892006749</v>
      </c>
      <c r="CP50" s="439">
        <f t="shared" si="24"/>
        <v>-140963.9919099776</v>
      </c>
      <c r="CQ50" s="439">
        <f t="shared" si="24"/>
        <v>0</v>
      </c>
      <c r="CR50" s="439">
        <f t="shared" si="40"/>
        <v>2186787.9972906974</v>
      </c>
      <c r="CS50" s="439">
        <f>+'[1]13-14 $86M Workload Restore'!AJ48</f>
        <v>2186788</v>
      </c>
      <c r="CT50" s="439">
        <f t="shared" si="41"/>
        <v>-2.7093025855720043E-3</v>
      </c>
      <c r="CV50" s="173">
        <v>0</v>
      </c>
      <c r="CW50" s="439">
        <f t="shared" si="42"/>
        <v>18601.130083</v>
      </c>
      <c r="CX50" s="439">
        <f t="shared" si="50"/>
        <v>40.92</v>
      </c>
      <c r="CY50" s="439">
        <f t="shared" si="50"/>
        <v>0</v>
      </c>
      <c r="DA50" s="439">
        <f t="shared" si="51"/>
        <v>-8.2999998994637281E-5</v>
      </c>
      <c r="DB50" s="439">
        <f t="shared" si="51"/>
        <v>0</v>
      </c>
      <c r="DC50" s="439">
        <f t="shared" si="51"/>
        <v>0</v>
      </c>
      <c r="DE50" s="371">
        <f t="shared" si="52"/>
        <v>0</v>
      </c>
      <c r="DF50" s="371">
        <f t="shared" si="52"/>
        <v>0</v>
      </c>
      <c r="DG50" s="371">
        <f t="shared" si="52"/>
        <v>0</v>
      </c>
      <c r="DH50" s="439"/>
      <c r="DI50" s="371">
        <f t="shared" si="53"/>
        <v>0</v>
      </c>
      <c r="DJ50" s="371">
        <f t="shared" si="53"/>
        <v>0</v>
      </c>
      <c r="DK50" s="371">
        <f t="shared" si="53"/>
        <v>0</v>
      </c>
      <c r="DL50" s="144">
        <f t="shared" si="43"/>
        <v>86244006.707456008</v>
      </c>
      <c r="DM50" s="144">
        <f t="shared" si="44"/>
        <v>114087.15484486321</v>
      </c>
      <c r="DN50" s="144">
        <f t="shared" si="45"/>
        <v>0</v>
      </c>
      <c r="DO50" s="144">
        <f>'[1]PBF Run'!F50*(1+'[1]PBF Run'!$C$4)</f>
        <v>13494773.026000001</v>
      </c>
      <c r="DP50" s="144">
        <f>'[1]PBF Run'!AA50+'[1]PBF Run'!AB50+'[1]PBF Run'!AC50+'[1]PBF Run'!AD50</f>
        <v>0</v>
      </c>
      <c r="DQ50" s="144">
        <f>'[1]PBF Run'!X50</f>
        <v>0</v>
      </c>
      <c r="DR50" s="144">
        <f>'[1]PBF Run'!L50*(1+'[1]PBF Run'!$C$4)</f>
        <v>0</v>
      </c>
      <c r="DS50" s="144">
        <f>'[1]PBF Run'!AE50</f>
        <v>99852867</v>
      </c>
      <c r="DT50" s="326">
        <f t="shared" si="48"/>
        <v>0.11169913411140442</v>
      </c>
      <c r="DU50" s="144"/>
      <c r="DV50" s="144"/>
    </row>
    <row r="51" spans="1:126" ht="13.5" thickBot="1">
      <c r="A51" s="16" t="s">
        <v>317</v>
      </c>
      <c r="B51" s="16" t="s">
        <v>152</v>
      </c>
      <c r="C51" s="425">
        <f>[1]FTES!C51</f>
        <v>21734.640040000002</v>
      </c>
      <c r="D51" s="425">
        <f>[1]FTES!D51</f>
        <v>21734.640040000002</v>
      </c>
      <c r="E51" s="425">
        <f>[1]FTES!E51</f>
        <v>22287.8</v>
      </c>
      <c r="F51" s="425">
        <f>[1]FTES!H51</f>
        <v>0</v>
      </c>
      <c r="G51" s="425">
        <f>[1]FTES!I51</f>
        <v>0</v>
      </c>
      <c r="H51" s="425">
        <f>[1]FTES!J51</f>
        <v>21734.640039999998</v>
      </c>
      <c r="I51" s="425">
        <f>[1]FTES!K51</f>
        <v>0</v>
      </c>
      <c r="J51" s="425">
        <f>[1]FTES!L51</f>
        <v>553.15995999999996</v>
      </c>
      <c r="K51" s="425">
        <f>[1]FTES!M51</f>
        <v>0</v>
      </c>
      <c r="L51" s="425">
        <f>[1]FTES!N51</f>
        <v>463.74</v>
      </c>
      <c r="M51" s="425">
        <f>[1]FTES!O51</f>
        <v>463.74</v>
      </c>
      <c r="N51" s="425">
        <f>[1]FTES!P51</f>
        <v>391.28999999999996</v>
      </c>
      <c r="O51" s="425">
        <f>[1]FTES!S51</f>
        <v>0</v>
      </c>
      <c r="P51" s="425">
        <f>[1]FTES!T51</f>
        <v>0</v>
      </c>
      <c r="Q51" s="425">
        <f>[1]FTES!U51</f>
        <v>391.28999999999996</v>
      </c>
      <c r="R51" s="425">
        <f>[1]FTES!V51</f>
        <v>0</v>
      </c>
      <c r="S51" s="425">
        <f>[1]FTES!W51</f>
        <v>0</v>
      </c>
      <c r="T51" s="425">
        <f>[1]FTES!X51</f>
        <v>0</v>
      </c>
      <c r="U51" s="425">
        <f>[1]FTES!Y51</f>
        <v>5986.66</v>
      </c>
      <c r="V51" s="425">
        <f>[1]FTES!Z51</f>
        <v>5986.66</v>
      </c>
      <c r="W51" s="425">
        <f>[1]FTES!AA51</f>
        <v>6009.84</v>
      </c>
      <c r="X51" s="425">
        <f>[1]FTES!AD51</f>
        <v>0</v>
      </c>
      <c r="Y51" s="425">
        <f>[1]FTES!AE51</f>
        <v>0</v>
      </c>
      <c r="Z51" s="425">
        <f>[1]FTES!AF51</f>
        <v>5986.66</v>
      </c>
      <c r="AA51" s="425">
        <f>[1]FTES!AG51</f>
        <v>0</v>
      </c>
      <c r="AB51" s="425">
        <f>[1]FTES!AH51</f>
        <v>23.18</v>
      </c>
      <c r="AC51" s="425">
        <f>[1]FTES!AI51</f>
        <v>0</v>
      </c>
      <c r="AD51" s="425"/>
      <c r="AE51" s="376">
        <f>'[1]13-14 $86M Workload Restore'!AJ49</f>
        <v>2438824</v>
      </c>
      <c r="AF51" s="375"/>
      <c r="AG51" s="122" t="str">
        <f>'[1]Restoration and Growth'!N51</f>
        <v>Growth</v>
      </c>
      <c r="AH51" s="122" t="str">
        <f>'[1]Restoration and Growth'!O51</f>
        <v>Grow</v>
      </c>
      <c r="AI51" s="122" t="str">
        <f>'[1]Restoration and Growth'!P51</f>
        <v>Decline</v>
      </c>
      <c r="AJ51" s="122" t="str">
        <f>'[1]Restoration and Growth'!Q51</f>
        <v>Grow</v>
      </c>
      <c r="AK51" s="139"/>
      <c r="AL51" s="139">
        <f>ROUND(J51*'[1]PBF Run'!$AS$4,3)</f>
        <v>2564722.202</v>
      </c>
      <c r="AM51" s="139">
        <f>ROUND(S51*'[1]PBF Run'!$AF$4,3)</f>
        <v>0</v>
      </c>
      <c r="AN51" s="139">
        <f>ROUND(AB51*'[1]PBF Run'!$AJ$4,3)</f>
        <v>76095.56</v>
      </c>
      <c r="AO51" s="139">
        <f t="shared" si="29"/>
        <v>2640817.7620000001</v>
      </c>
      <c r="AP51" s="139" t="str">
        <f t="shared" si="46"/>
        <v>Y</v>
      </c>
      <c r="AQ51" s="139"/>
      <c r="AR51" s="374">
        <f t="shared" si="47"/>
        <v>553.15991599999995</v>
      </c>
      <c r="AS51" s="9">
        <f t="shared" si="0"/>
        <v>2564722</v>
      </c>
      <c r="AT51" s="9"/>
      <c r="AU51" s="373">
        <f t="shared" si="1"/>
        <v>2564722</v>
      </c>
      <c r="AV51" s="439">
        <f t="shared" si="49"/>
        <v>-72.450000000000045</v>
      </c>
      <c r="AW51" s="9">
        <f t="shared" si="3"/>
        <v>-201994</v>
      </c>
      <c r="AX51" s="9"/>
      <c r="AY51" s="373">
        <f t="shared" si="4"/>
        <v>2362728</v>
      </c>
      <c r="AZ51" s="439">
        <f t="shared" si="30"/>
        <v>23.18</v>
      </c>
      <c r="BA51" s="9">
        <f t="shared" si="31"/>
        <v>76096</v>
      </c>
      <c r="BB51" s="439"/>
      <c r="BC51" s="171">
        <f t="shared" si="32"/>
        <v>2564722</v>
      </c>
      <c r="BD51" s="171">
        <f t="shared" si="33"/>
        <v>-201994</v>
      </c>
      <c r="BE51" s="171">
        <f t="shared" si="34"/>
        <v>76096</v>
      </c>
      <c r="BF51" s="438">
        <f t="shared" si="35"/>
        <v>2438824</v>
      </c>
      <c r="BG51" s="389">
        <f t="shared" si="5"/>
        <v>0</v>
      </c>
      <c r="BH51" s="438"/>
      <c r="BI51" s="425">
        <f t="shared" si="6"/>
        <v>21734.640040000002</v>
      </c>
      <c r="BJ51" s="425">
        <f t="shared" si="7"/>
        <v>463.74</v>
      </c>
      <c r="BK51" s="425">
        <f t="shared" si="8"/>
        <v>5986.66</v>
      </c>
      <c r="BL51" s="438"/>
      <c r="BM51" s="425">
        <f t="shared" si="9"/>
        <v>21734.640040000002</v>
      </c>
      <c r="BN51" s="425">
        <f t="shared" si="10"/>
        <v>463.74</v>
      </c>
      <c r="BO51" s="425">
        <f t="shared" si="11"/>
        <v>5986.66</v>
      </c>
      <c r="BP51" s="438"/>
      <c r="BQ51" s="372">
        <f t="shared" si="12"/>
        <v>22287.8</v>
      </c>
      <c r="BR51" s="372">
        <f t="shared" si="13"/>
        <v>391.28999999999996</v>
      </c>
      <c r="BS51" s="372">
        <f t="shared" si="14"/>
        <v>6009.84</v>
      </c>
      <c r="BU51" s="439">
        <f t="shared" si="15"/>
        <v>0</v>
      </c>
      <c r="BV51" s="439">
        <f t="shared" si="16"/>
        <v>0</v>
      </c>
      <c r="BW51" s="439">
        <f t="shared" si="17"/>
        <v>0</v>
      </c>
      <c r="BY51" s="439">
        <f t="shared" si="18"/>
        <v>0</v>
      </c>
      <c r="BZ51" s="439">
        <f t="shared" si="19"/>
        <v>0</v>
      </c>
      <c r="CA51" s="439">
        <f t="shared" si="20"/>
        <v>0</v>
      </c>
      <c r="CB51" s="439"/>
      <c r="CC51" s="439">
        <f t="shared" si="21"/>
        <v>0</v>
      </c>
      <c r="CD51" s="439">
        <f t="shared" si="22"/>
        <v>0</v>
      </c>
      <c r="CE51" s="374">
        <f t="shared" si="23"/>
        <v>0</v>
      </c>
      <c r="CF51" s="439"/>
      <c r="CG51" s="439">
        <f t="shared" si="36"/>
        <v>553.15991599999995</v>
      </c>
      <c r="CH51" s="439">
        <f t="shared" si="37"/>
        <v>-72.450000000000045</v>
      </c>
      <c r="CI51" s="439">
        <f t="shared" si="38"/>
        <v>23.18</v>
      </c>
      <c r="CJ51" s="439"/>
      <c r="CK51" s="439">
        <v>4636.4928440000003</v>
      </c>
      <c r="CL51" s="439">
        <v>2788.0536374600001</v>
      </c>
      <c r="CM51" s="439">
        <v>3282.8110613200001</v>
      </c>
      <c r="CN51" s="439"/>
      <c r="CO51" s="439">
        <f t="shared" si="39"/>
        <v>2564721.9921216411</v>
      </c>
      <c r="CP51" s="439">
        <f t="shared" si="24"/>
        <v>-201994.48603397713</v>
      </c>
      <c r="CQ51" s="439">
        <f t="shared" si="24"/>
        <v>76095.560401397597</v>
      </c>
      <c r="CR51" s="439">
        <f t="shared" si="40"/>
        <v>2438823.0664890618</v>
      </c>
      <c r="CS51" s="439">
        <f>+'[1]13-14 $86M Workload Restore'!AJ49</f>
        <v>2438824</v>
      </c>
      <c r="CT51" s="439">
        <f t="shared" si="41"/>
        <v>-0.93351093819364905</v>
      </c>
      <c r="CV51" s="173">
        <v>0</v>
      </c>
      <c r="CW51" s="439">
        <f t="shared" si="42"/>
        <v>22287.799956000003</v>
      </c>
      <c r="CX51" s="439">
        <f t="shared" si="50"/>
        <v>391.28999999999996</v>
      </c>
      <c r="CY51" s="439">
        <f t="shared" si="50"/>
        <v>6009.84</v>
      </c>
      <c r="DA51" s="439">
        <f t="shared" si="51"/>
        <v>4.3999996705679223E-5</v>
      </c>
      <c r="DB51" s="439">
        <f t="shared" si="51"/>
        <v>0</v>
      </c>
      <c r="DC51" s="439">
        <f t="shared" si="51"/>
        <v>0</v>
      </c>
      <c r="DE51" s="371">
        <f t="shared" si="52"/>
        <v>0</v>
      </c>
      <c r="DF51" s="371">
        <f t="shared" si="52"/>
        <v>0</v>
      </c>
      <c r="DG51" s="371">
        <f t="shared" si="52"/>
        <v>0</v>
      </c>
      <c r="DH51" s="439"/>
      <c r="DI51" s="371">
        <f t="shared" si="53"/>
        <v>0</v>
      </c>
      <c r="DJ51" s="371">
        <f t="shared" si="53"/>
        <v>0</v>
      </c>
      <c r="DK51" s="371">
        <f t="shared" si="53"/>
        <v>0</v>
      </c>
      <c r="DL51" s="144">
        <f t="shared" si="43"/>
        <v>103337225.22893567</v>
      </c>
      <c r="DM51" s="144">
        <f t="shared" si="44"/>
        <v>1090937.5078017234</v>
      </c>
      <c r="DN51" s="144">
        <f t="shared" si="45"/>
        <v>19729169.22876339</v>
      </c>
      <c r="DO51" s="144">
        <f>'[1]PBF Run'!F51*(1+'[1]PBF Run'!$C$4)</f>
        <v>10121080.7852</v>
      </c>
      <c r="DP51" s="144">
        <f>'[1]PBF Run'!AA51+'[1]PBF Run'!AB51+'[1]PBF Run'!AC51+'[1]PBF Run'!AD51</f>
        <v>0</v>
      </c>
      <c r="DQ51" s="144">
        <f>'[1]PBF Run'!X51</f>
        <v>0</v>
      </c>
      <c r="DR51" s="144">
        <f>'[1]PBF Run'!L51*(1+'[1]PBF Run'!$C$4)</f>
        <v>0</v>
      </c>
      <c r="DS51" s="144">
        <f>'[1]PBF Run'!AE51</f>
        <v>134278414</v>
      </c>
      <c r="DT51" s="326">
        <f t="shared" si="48"/>
        <v>1.2492992132902145</v>
      </c>
      <c r="DU51" s="144"/>
      <c r="DV51" s="144"/>
    </row>
    <row r="52" spans="1:126" ht="26.25" thickBot="1">
      <c r="A52" s="16" t="s">
        <v>315</v>
      </c>
      <c r="B52" s="16" t="s">
        <v>153</v>
      </c>
      <c r="C52" s="425">
        <f>[1]FTES!C52</f>
        <v>4382.2699999999995</v>
      </c>
      <c r="D52" s="425">
        <f>[1]FTES!D52</f>
        <v>4382.2699999999995</v>
      </c>
      <c r="E52" s="425">
        <f>[1]FTES!E52</f>
        <v>3759.98</v>
      </c>
      <c r="F52" s="425">
        <f>[1]FTES!H52</f>
        <v>0</v>
      </c>
      <c r="G52" s="425">
        <f>[1]FTES!I52</f>
        <v>0</v>
      </c>
      <c r="H52" s="425">
        <f>[1]FTES!J52</f>
        <v>3759.98</v>
      </c>
      <c r="I52" s="425">
        <f>[1]FTES!K52</f>
        <v>-622.29</v>
      </c>
      <c r="J52" s="425">
        <f>[1]FTES!L52</f>
        <v>0</v>
      </c>
      <c r="K52" s="425">
        <f>[1]FTES!M52</f>
        <v>0</v>
      </c>
      <c r="L52" s="425">
        <f>[1]FTES!N52</f>
        <v>0.3899999999999999</v>
      </c>
      <c r="M52" s="425">
        <f>[1]FTES!O52</f>
        <v>0.3899999999999999</v>
      </c>
      <c r="N52" s="425">
        <f>[1]FTES!P52</f>
        <v>13.85</v>
      </c>
      <c r="O52" s="425">
        <f>[1]FTES!S52</f>
        <v>0</v>
      </c>
      <c r="P52" s="425">
        <f>[1]FTES!T52</f>
        <v>0</v>
      </c>
      <c r="Q52" s="425">
        <f>[1]FTES!U52</f>
        <v>13.85</v>
      </c>
      <c r="R52" s="425">
        <f>[1]FTES!V52</f>
        <v>13.46</v>
      </c>
      <c r="S52" s="425">
        <f>[1]FTES!W52</f>
        <v>0</v>
      </c>
      <c r="T52" s="425">
        <f>[1]FTES!X52</f>
        <v>0</v>
      </c>
      <c r="U52" s="425">
        <f>[1]FTES!Y52</f>
        <v>0</v>
      </c>
      <c r="V52" s="425">
        <f>[1]FTES!Z52</f>
        <v>0</v>
      </c>
      <c r="W52" s="425">
        <f>[1]FTES!AA52</f>
        <v>0</v>
      </c>
      <c r="X52" s="425">
        <f>[1]FTES!AD52</f>
        <v>0</v>
      </c>
      <c r="Y52" s="425">
        <f>[1]FTES!AE52</f>
        <v>0</v>
      </c>
      <c r="Z52" s="425">
        <f>[1]FTES!AF52</f>
        <v>0</v>
      </c>
      <c r="AA52" s="425">
        <f>[1]FTES!AG52</f>
        <v>0</v>
      </c>
      <c r="AB52" s="425">
        <f>[1]FTES!AH52</f>
        <v>0</v>
      </c>
      <c r="AC52" s="425">
        <f>[1]FTES!AI52</f>
        <v>0</v>
      </c>
      <c r="AD52" s="425"/>
      <c r="AE52" s="376">
        <f>'[1]13-14 $86M Workload Restore'!AJ50</f>
        <v>0</v>
      </c>
      <c r="AF52" s="375"/>
      <c r="AG52" s="122" t="str">
        <f>'[1]Restoration and Growth'!N52</f>
        <v>Decline</v>
      </c>
      <c r="AH52" s="122" t="str">
        <f>'[1]Restoration and Growth'!O52</f>
        <v>Decline</v>
      </c>
      <c r="AI52" s="122" t="str">
        <f>'[1]Restoration and Growth'!P52</f>
        <v>Grow</v>
      </c>
      <c r="AJ52" s="122" t="str">
        <f>'[1]Restoration and Growth'!Q52</f>
        <v>No CPCP</v>
      </c>
      <c r="AK52" s="139"/>
      <c r="AL52" s="139">
        <f>ROUND(J52*'[1]PBF Run'!$AS$4,3)</f>
        <v>0</v>
      </c>
      <c r="AM52" s="139">
        <f>ROUND(S52*'[1]PBF Run'!$AF$4,3)</f>
        <v>0</v>
      </c>
      <c r="AN52" s="139">
        <f>ROUND(AB52*'[1]PBF Run'!$AJ$4,3)</f>
        <v>0</v>
      </c>
      <c r="AO52" s="139">
        <f t="shared" si="29"/>
        <v>0</v>
      </c>
      <c r="AP52" s="139" t="str">
        <f t="shared" si="46"/>
        <v>NA</v>
      </c>
      <c r="AQ52" s="139"/>
      <c r="AR52" s="374">
        <f t="shared" si="47"/>
        <v>0</v>
      </c>
      <c r="AS52" s="9">
        <f t="shared" si="0"/>
        <v>0</v>
      </c>
      <c r="AT52" s="9"/>
      <c r="AU52" s="373">
        <f t="shared" si="1"/>
        <v>0</v>
      </c>
      <c r="AV52" s="439">
        <f t="shared" si="49"/>
        <v>0</v>
      </c>
      <c r="AW52" s="9">
        <f t="shared" si="3"/>
        <v>0</v>
      </c>
      <c r="AX52" s="9"/>
      <c r="AY52" s="373">
        <f t="shared" si="4"/>
        <v>0</v>
      </c>
      <c r="AZ52" s="439">
        <f t="shared" si="30"/>
        <v>0</v>
      </c>
      <c r="BA52" s="9">
        <f t="shared" si="31"/>
        <v>0</v>
      </c>
      <c r="BB52" s="439"/>
      <c r="BC52" s="171">
        <f t="shared" si="32"/>
        <v>0</v>
      </c>
      <c r="BD52" s="171">
        <f t="shared" si="33"/>
        <v>0</v>
      </c>
      <c r="BE52" s="171">
        <f t="shared" si="34"/>
        <v>0</v>
      </c>
      <c r="BF52" s="438">
        <f t="shared" si="35"/>
        <v>0</v>
      </c>
      <c r="BG52" s="389">
        <f t="shared" si="5"/>
        <v>0</v>
      </c>
      <c r="BH52" s="370" t="s">
        <v>603</v>
      </c>
      <c r="BI52" s="425">
        <f t="shared" si="6"/>
        <v>4382.2699999999995</v>
      </c>
      <c r="BJ52" s="425">
        <f t="shared" si="7"/>
        <v>0.3899999999999999</v>
      </c>
      <c r="BK52" s="425">
        <f t="shared" si="8"/>
        <v>0</v>
      </c>
      <c r="BL52" s="438"/>
      <c r="BM52" s="425">
        <f t="shared" si="9"/>
        <v>4382.2699999999995</v>
      </c>
      <c r="BN52" s="425">
        <f t="shared" si="10"/>
        <v>0.3899999999999999</v>
      </c>
      <c r="BO52" s="425">
        <f t="shared" si="11"/>
        <v>0</v>
      </c>
      <c r="BP52" s="438"/>
      <c r="BQ52" s="372">
        <f t="shared" si="12"/>
        <v>3759.98</v>
      </c>
      <c r="BR52" s="372">
        <f t="shared" si="13"/>
        <v>13.85</v>
      </c>
      <c r="BS52" s="372">
        <f t="shared" si="14"/>
        <v>0</v>
      </c>
      <c r="BU52" s="439">
        <f t="shared" si="15"/>
        <v>0</v>
      </c>
      <c r="BV52" s="439">
        <f t="shared" si="16"/>
        <v>0</v>
      </c>
      <c r="BW52" s="439">
        <f t="shared" si="17"/>
        <v>0</v>
      </c>
      <c r="BY52" s="439">
        <f t="shared" si="18"/>
        <v>0</v>
      </c>
      <c r="BZ52" s="439">
        <f t="shared" si="19"/>
        <v>0</v>
      </c>
      <c r="CA52" s="439">
        <f t="shared" si="20"/>
        <v>0</v>
      </c>
      <c r="CB52" s="439"/>
      <c r="CC52" s="439">
        <f t="shared" si="21"/>
        <v>-622.29</v>
      </c>
      <c r="CD52" s="439">
        <f t="shared" si="22"/>
        <v>13.46</v>
      </c>
      <c r="CE52" s="374">
        <f t="shared" si="23"/>
        <v>0</v>
      </c>
      <c r="CF52" s="439"/>
      <c r="CG52" s="439">
        <f t="shared" si="36"/>
        <v>0</v>
      </c>
      <c r="CH52" s="439">
        <f t="shared" si="37"/>
        <v>0</v>
      </c>
      <c r="CI52" s="439">
        <f t="shared" si="38"/>
        <v>0</v>
      </c>
      <c r="CJ52" s="439"/>
      <c r="CK52" s="439">
        <v>4636.4928849999997</v>
      </c>
      <c r="CL52" s="439">
        <v>2788.0536374600001</v>
      </c>
      <c r="CM52" s="439">
        <v>3282.8110613200001</v>
      </c>
      <c r="CN52" s="439"/>
      <c r="CO52" s="439">
        <f t="shared" si="39"/>
        <v>0</v>
      </c>
      <c r="CP52" s="439">
        <f t="shared" si="24"/>
        <v>0</v>
      </c>
      <c r="CQ52" s="439">
        <f t="shared" si="24"/>
        <v>0</v>
      </c>
      <c r="CR52" s="439">
        <f t="shared" si="40"/>
        <v>0</v>
      </c>
      <c r="CS52" s="439">
        <f>+'[1]13-14 $86M Workload Restore'!AJ50</f>
        <v>0</v>
      </c>
      <c r="CT52" s="439">
        <f t="shared" si="41"/>
        <v>0</v>
      </c>
      <c r="CV52" s="173">
        <v>0</v>
      </c>
      <c r="CW52" s="439">
        <f t="shared" si="42"/>
        <v>3759.9799999999996</v>
      </c>
      <c r="CX52" s="439">
        <f t="shared" si="50"/>
        <v>13.850000000000001</v>
      </c>
      <c r="CY52" s="439">
        <f t="shared" si="50"/>
        <v>0</v>
      </c>
      <c r="DA52" s="439">
        <f t="shared" si="51"/>
        <v>0</v>
      </c>
      <c r="DB52" s="439">
        <f t="shared" si="51"/>
        <v>0</v>
      </c>
      <c r="DC52" s="439">
        <f t="shared" si="51"/>
        <v>0</v>
      </c>
      <c r="DE52" s="371">
        <f t="shared" si="52"/>
        <v>0</v>
      </c>
      <c r="DF52" s="371">
        <f t="shared" si="52"/>
        <v>0</v>
      </c>
      <c r="DG52" s="371">
        <f t="shared" si="52"/>
        <v>0</v>
      </c>
      <c r="DH52" s="439"/>
      <c r="DI52" s="371">
        <f t="shared" si="53"/>
        <v>4.5474735088646412E-13</v>
      </c>
      <c r="DJ52" s="371">
        <f t="shared" si="53"/>
        <v>-1.7763568394002505E-15</v>
      </c>
      <c r="DK52" s="371">
        <f t="shared" si="53"/>
        <v>0</v>
      </c>
      <c r="DL52" s="144">
        <f t="shared" si="43"/>
        <v>17433120.401446119</v>
      </c>
      <c r="DM52" s="144">
        <f t="shared" si="44"/>
        <v>38614.542878821005</v>
      </c>
      <c r="DN52" s="144">
        <f t="shared" si="45"/>
        <v>0</v>
      </c>
      <c r="DO52" s="144">
        <f>'[1]PBF Run'!F52*(1+'[1]PBF Run'!$C$4)</f>
        <v>4779398.6954000005</v>
      </c>
      <c r="DP52" s="144">
        <f>'[1]PBF Run'!AA52+'[1]PBF Run'!AB52+'[1]PBF Run'!AC52+'[1]PBF Run'!AD52</f>
        <v>0</v>
      </c>
      <c r="DQ52" s="144">
        <f>'[1]PBF Run'!X52</f>
        <v>2847716</v>
      </c>
      <c r="DR52" s="144">
        <f>'[1]PBF Run'!L52*(1+'[1]PBF Run'!$C$4)</f>
        <v>0</v>
      </c>
      <c r="DS52" s="144">
        <f>'[1]PBF Run'!AE52</f>
        <v>25098850</v>
      </c>
      <c r="DT52" s="326">
        <f t="shared" si="48"/>
        <v>0.36027505993843079</v>
      </c>
      <c r="DU52" s="144"/>
      <c r="DV52" s="144"/>
    </row>
    <row r="53" spans="1:126" ht="13.5" thickBot="1">
      <c r="A53" s="16" t="s">
        <v>313</v>
      </c>
      <c r="B53" s="16" t="s">
        <v>154</v>
      </c>
      <c r="C53" s="425">
        <f>[1]FTES!C53</f>
        <v>11926.332488999999</v>
      </c>
      <c r="D53" s="425">
        <f>[1]FTES!D53</f>
        <v>11926.332488999999</v>
      </c>
      <c r="E53" s="425">
        <f>[1]FTES!E53</f>
        <v>12128.5</v>
      </c>
      <c r="F53" s="425">
        <f>[1]FTES!H53</f>
        <v>0</v>
      </c>
      <c r="G53" s="425">
        <f>[1]FTES!I53</f>
        <v>0</v>
      </c>
      <c r="H53" s="425">
        <f>[1]FTES!J53</f>
        <v>11926.332489</v>
      </c>
      <c r="I53" s="425">
        <f>[1]FTES!K53</f>
        <v>0</v>
      </c>
      <c r="J53" s="425">
        <f>[1]FTES!L53</f>
        <v>202.16751099999999</v>
      </c>
      <c r="K53" s="425">
        <f>[1]FTES!M53</f>
        <v>0</v>
      </c>
      <c r="L53" s="425">
        <f>[1]FTES!N53</f>
        <v>366.89</v>
      </c>
      <c r="M53" s="425">
        <f>[1]FTES!O53</f>
        <v>366.89</v>
      </c>
      <c r="N53" s="425">
        <f>[1]FTES!P53</f>
        <v>513.70000000000005</v>
      </c>
      <c r="O53" s="425">
        <f>[1]FTES!S53</f>
        <v>0</v>
      </c>
      <c r="P53" s="425">
        <f>[1]FTES!T53</f>
        <v>0</v>
      </c>
      <c r="Q53" s="425">
        <f>[1]FTES!U53</f>
        <v>366.89</v>
      </c>
      <c r="R53" s="425">
        <f>[1]FTES!V53</f>
        <v>0</v>
      </c>
      <c r="S53" s="425">
        <f>[1]FTES!W53</f>
        <v>146.81</v>
      </c>
      <c r="T53" s="425">
        <f>[1]FTES!X53</f>
        <v>0</v>
      </c>
      <c r="U53" s="425">
        <f>[1]FTES!Y53</f>
        <v>78.09</v>
      </c>
      <c r="V53" s="425">
        <f>[1]FTES!Z53</f>
        <v>78.09</v>
      </c>
      <c r="W53" s="425">
        <f>[1]FTES!AA53</f>
        <v>78.94</v>
      </c>
      <c r="X53" s="425">
        <f>[1]FTES!AD53</f>
        <v>0</v>
      </c>
      <c r="Y53" s="425">
        <f>[1]FTES!AE53</f>
        <v>0</v>
      </c>
      <c r="Z53" s="425">
        <f>[1]FTES!AF53</f>
        <v>78.09</v>
      </c>
      <c r="AA53" s="425">
        <f>[1]FTES!AG53</f>
        <v>0</v>
      </c>
      <c r="AB53" s="425">
        <f>[1]FTES!AH53</f>
        <v>0.85</v>
      </c>
      <c r="AC53" s="425">
        <f>[1]FTES!AI53</f>
        <v>0</v>
      </c>
      <c r="AD53" s="425"/>
      <c r="AE53" s="376">
        <f>'[1]13-14 $86M Workload Restore'!AJ51</f>
        <v>1325382</v>
      </c>
      <c r="AF53" s="375"/>
      <c r="AG53" s="122" t="str">
        <f>'[1]Restoration and Growth'!N53</f>
        <v>Growth</v>
      </c>
      <c r="AH53" s="122" t="str">
        <f>'[1]Restoration and Growth'!O53</f>
        <v>Grow</v>
      </c>
      <c r="AI53" s="122" t="str">
        <f>'[1]Restoration and Growth'!P53</f>
        <v>Grow</v>
      </c>
      <c r="AJ53" s="122" t="str">
        <f>'[1]Restoration and Growth'!Q53</f>
        <v>Grow</v>
      </c>
      <c r="AK53" s="139"/>
      <c r="AL53" s="139">
        <f>ROUND(J53*'[1]PBF Run'!$AS$4,3)</f>
        <v>937348.22</v>
      </c>
      <c r="AM53" s="139">
        <f>ROUND(S53*'[1]PBF Run'!$AF$4,3)</f>
        <v>409314.15500000003</v>
      </c>
      <c r="AN53" s="139">
        <f>ROUND(AB53*'[1]PBF Run'!$AJ$4,3)</f>
        <v>2790.3890000000001</v>
      </c>
      <c r="AO53" s="139">
        <f t="shared" si="29"/>
        <v>1349452.764</v>
      </c>
      <c r="AP53" s="139" t="str">
        <f t="shared" si="46"/>
        <v>Y</v>
      </c>
      <c r="AQ53" s="139"/>
      <c r="AR53" s="374">
        <f t="shared" si="47"/>
        <v>196.97604000000001</v>
      </c>
      <c r="AS53" s="9">
        <f t="shared" si="0"/>
        <v>913278</v>
      </c>
      <c r="AT53" s="9"/>
      <c r="AU53" s="373">
        <f t="shared" si="1"/>
        <v>913278</v>
      </c>
      <c r="AV53" s="439">
        <f t="shared" si="49"/>
        <v>146.81</v>
      </c>
      <c r="AW53" s="9">
        <f t="shared" si="3"/>
        <v>409314</v>
      </c>
      <c r="AX53" s="9"/>
      <c r="AY53" s="373">
        <f t="shared" si="4"/>
        <v>1322592</v>
      </c>
      <c r="AZ53" s="439">
        <f t="shared" si="30"/>
        <v>0.85</v>
      </c>
      <c r="BA53" s="9">
        <f t="shared" si="31"/>
        <v>2790</v>
      </c>
      <c r="BB53" s="439"/>
      <c r="BC53" s="369">
        <f t="shared" si="32"/>
        <v>913278</v>
      </c>
      <c r="BD53" s="369">
        <f t="shared" si="33"/>
        <v>409314</v>
      </c>
      <c r="BE53" s="369">
        <f t="shared" si="34"/>
        <v>2790</v>
      </c>
      <c r="BF53" s="438">
        <f t="shared" si="35"/>
        <v>1325382</v>
      </c>
      <c r="BG53" s="438">
        <f t="shared" si="5"/>
        <v>0</v>
      </c>
      <c r="BH53" s="368">
        <f>132787/$BD$6</f>
        <v>47.627132496981986</v>
      </c>
      <c r="BI53" s="425">
        <f t="shared" si="6"/>
        <v>11926.332488999999</v>
      </c>
      <c r="BJ53" s="425">
        <f t="shared" si="7"/>
        <v>366.89</v>
      </c>
      <c r="BK53" s="425">
        <f t="shared" si="8"/>
        <v>78.09</v>
      </c>
      <c r="BL53" s="438"/>
      <c r="BM53" s="425">
        <f t="shared" si="9"/>
        <v>11926.332488999999</v>
      </c>
      <c r="BN53" s="425">
        <f t="shared" si="10"/>
        <v>366.89</v>
      </c>
      <c r="BO53" s="425">
        <f t="shared" si="11"/>
        <v>78.09</v>
      </c>
      <c r="BP53" s="438"/>
      <c r="BQ53" s="372">
        <f t="shared" si="12"/>
        <v>12128.5</v>
      </c>
      <c r="BR53" s="372">
        <f t="shared" si="13"/>
        <v>513.70000000000005</v>
      </c>
      <c r="BS53" s="372">
        <f t="shared" si="14"/>
        <v>78.94</v>
      </c>
      <c r="BU53" s="439">
        <f t="shared" si="15"/>
        <v>0</v>
      </c>
      <c r="BV53" s="439">
        <f t="shared" si="16"/>
        <v>0</v>
      </c>
      <c r="BW53" s="439">
        <f t="shared" si="17"/>
        <v>0</v>
      </c>
      <c r="BY53" s="439">
        <f t="shared" si="18"/>
        <v>0</v>
      </c>
      <c r="BZ53" s="439">
        <f t="shared" si="19"/>
        <v>0</v>
      </c>
      <c r="CA53" s="439">
        <f t="shared" si="20"/>
        <v>0</v>
      </c>
      <c r="CB53" s="439"/>
      <c r="CC53" s="439">
        <f t="shared" si="21"/>
        <v>0</v>
      </c>
      <c r="CD53" s="439">
        <f t="shared" si="22"/>
        <v>0</v>
      </c>
      <c r="CE53" s="374">
        <f t="shared" si="23"/>
        <v>0</v>
      </c>
      <c r="CF53" s="439"/>
      <c r="CG53" s="439">
        <f t="shared" si="36"/>
        <v>196.97604000000001</v>
      </c>
      <c r="CH53" s="439">
        <f t="shared" si="37"/>
        <v>146.81</v>
      </c>
      <c r="CI53" s="439">
        <f t="shared" si="38"/>
        <v>0.85</v>
      </c>
      <c r="CJ53" s="439"/>
      <c r="CK53" s="439">
        <v>4636.4928710000004</v>
      </c>
      <c r="CL53" s="439">
        <v>2788.0536374600001</v>
      </c>
      <c r="CM53" s="439">
        <v>3282.8110613200001</v>
      </c>
      <c r="CN53" s="439"/>
      <c r="CO53" s="439">
        <f t="shared" si="39"/>
        <v>913278.00521781098</v>
      </c>
      <c r="CP53" s="439">
        <f t="shared" si="24"/>
        <v>409314.15451550263</v>
      </c>
      <c r="CQ53" s="439">
        <f t="shared" si="24"/>
        <v>2790.3894021219999</v>
      </c>
      <c r="CR53" s="439">
        <f t="shared" si="40"/>
        <v>1325382.5491354356</v>
      </c>
      <c r="CS53" s="439">
        <f>+'[1]13-14 $86M Workload Restore'!AJ51</f>
        <v>1325382</v>
      </c>
      <c r="CT53" s="439">
        <f t="shared" si="41"/>
        <v>0.54913543560542166</v>
      </c>
      <c r="CV53" s="16">
        <v>0</v>
      </c>
      <c r="CW53" s="439">
        <f t="shared" si="42"/>
        <v>12123.308528999998</v>
      </c>
      <c r="CX53" s="439">
        <f t="shared" si="50"/>
        <v>513.70000000000005</v>
      </c>
      <c r="CY53" s="439">
        <f t="shared" si="50"/>
        <v>78.94</v>
      </c>
      <c r="DA53" s="439">
        <f t="shared" si="51"/>
        <v>5.1914710000019113</v>
      </c>
      <c r="DB53" s="439">
        <f t="shared" si="51"/>
        <v>0</v>
      </c>
      <c r="DC53" s="439">
        <f t="shared" si="51"/>
        <v>0</v>
      </c>
      <c r="DE53" s="439">
        <f t="shared" si="52"/>
        <v>0</v>
      </c>
      <c r="DF53" s="439">
        <f t="shared" si="52"/>
        <v>0</v>
      </c>
      <c r="DG53" s="439">
        <f t="shared" si="52"/>
        <v>0</v>
      </c>
      <c r="DH53" s="439"/>
      <c r="DI53" s="439">
        <f t="shared" si="53"/>
        <v>0</v>
      </c>
      <c r="DJ53" s="439">
        <f t="shared" si="53"/>
        <v>0</v>
      </c>
      <c r="DK53" s="439">
        <f t="shared" si="53"/>
        <v>0</v>
      </c>
      <c r="DL53" s="144">
        <f t="shared" si="43"/>
        <v>56209633.362394378</v>
      </c>
      <c r="DM53" s="144">
        <f t="shared" si="44"/>
        <v>1432223.1535632021</v>
      </c>
      <c r="DN53" s="144">
        <f t="shared" si="45"/>
        <v>259145.1051806008</v>
      </c>
      <c r="DO53" s="144">
        <f>'[1]PBF Run'!F53*(1+'[1]PBF Run'!$C$4)</f>
        <v>4498258.0139000006</v>
      </c>
      <c r="DP53" s="144">
        <f>'[1]PBF Run'!AA53+'[1]PBF Run'!AB53+'[1]PBF Run'!AC53+'[1]PBF Run'!AD53</f>
        <v>0</v>
      </c>
      <c r="DQ53" s="144">
        <f>'[1]PBF Run'!X53</f>
        <v>0</v>
      </c>
      <c r="DR53" s="144">
        <f>'[1]PBF Run'!L53*(1+'[1]PBF Run'!$C$4)</f>
        <v>0</v>
      </c>
      <c r="DS53" s="144">
        <f>'[1]PBF Run'!AE53</f>
        <v>62399259</v>
      </c>
      <c r="DT53" s="326">
        <f t="shared" si="48"/>
        <v>-0.63503817468881607</v>
      </c>
      <c r="DU53" s="144"/>
      <c r="DV53" s="144"/>
    </row>
    <row r="54" spans="1:126" ht="13.5" thickBot="1">
      <c r="A54" s="16" t="s">
        <v>311</v>
      </c>
      <c r="B54" s="16" t="s">
        <v>155</v>
      </c>
      <c r="C54" s="425">
        <f>[1]FTES!C54</f>
        <v>25052.190006999997</v>
      </c>
      <c r="D54" s="425">
        <f>[1]FTES!D54</f>
        <v>25052.190006999997</v>
      </c>
      <c r="E54" s="425">
        <f>[1]FTES!E54</f>
        <v>26240.639999999999</v>
      </c>
      <c r="F54" s="425">
        <f>[1]FTES!H54</f>
        <v>0</v>
      </c>
      <c r="G54" s="425">
        <f>[1]FTES!I54</f>
        <v>0</v>
      </c>
      <c r="H54" s="425">
        <f>[1]FTES!J54</f>
        <v>25052.190007000001</v>
      </c>
      <c r="I54" s="425">
        <f>[1]FTES!K54</f>
        <v>0</v>
      </c>
      <c r="J54" s="425">
        <f>[1]FTES!L54</f>
        <v>1188.4499929999999</v>
      </c>
      <c r="K54" s="425">
        <f>[1]FTES!M54</f>
        <v>0</v>
      </c>
      <c r="L54" s="425">
        <f>[1]FTES!N54</f>
        <v>66.33</v>
      </c>
      <c r="M54" s="425">
        <f>[1]FTES!O54</f>
        <v>66.33</v>
      </c>
      <c r="N54" s="425">
        <f>[1]FTES!P54</f>
        <v>159.63</v>
      </c>
      <c r="O54" s="425">
        <f>[1]FTES!S54</f>
        <v>0</v>
      </c>
      <c r="P54" s="425">
        <f>[1]FTES!T54</f>
        <v>0</v>
      </c>
      <c r="Q54" s="425">
        <f>[1]FTES!U54</f>
        <v>66.33</v>
      </c>
      <c r="R54" s="425">
        <f>[1]FTES!V54</f>
        <v>0</v>
      </c>
      <c r="S54" s="425">
        <f>[1]FTES!W54</f>
        <v>93.3</v>
      </c>
      <c r="T54" s="425">
        <f>[1]FTES!X54</f>
        <v>0</v>
      </c>
      <c r="U54" s="425">
        <f>[1]FTES!Y54</f>
        <v>0</v>
      </c>
      <c r="V54" s="425">
        <f>[1]FTES!Z54</f>
        <v>0</v>
      </c>
      <c r="W54" s="425">
        <f>[1]FTES!AA54</f>
        <v>0</v>
      </c>
      <c r="X54" s="425">
        <f>[1]FTES!AD54</f>
        <v>0</v>
      </c>
      <c r="Y54" s="425">
        <f>[1]FTES!AE54</f>
        <v>0</v>
      </c>
      <c r="Z54" s="425">
        <f>[1]FTES!AF54</f>
        <v>0</v>
      </c>
      <c r="AA54" s="425">
        <f>[1]FTES!AG54</f>
        <v>0</v>
      </c>
      <c r="AB54" s="425">
        <f>[1]FTES!AH54</f>
        <v>0</v>
      </c>
      <c r="AC54" s="425">
        <f>[1]FTES!AI54</f>
        <v>0</v>
      </c>
      <c r="AD54" s="425"/>
      <c r="AE54" s="376">
        <f>'[1]13-14 $86M Workload Restore'!AJ52</f>
        <v>3025914</v>
      </c>
      <c r="AF54" s="375"/>
      <c r="AG54" s="122" t="str">
        <f>'[1]Restoration and Growth'!N54</f>
        <v>Growth</v>
      </c>
      <c r="AH54" s="122" t="str">
        <f>'[1]Restoration and Growth'!O54</f>
        <v>Grow</v>
      </c>
      <c r="AI54" s="122" t="str">
        <f>'[1]Restoration and Growth'!P54</f>
        <v>Grow</v>
      </c>
      <c r="AJ54" s="122" t="str">
        <f>'[1]Restoration and Growth'!Q54</f>
        <v>No CPCP</v>
      </c>
      <c r="AK54" s="139"/>
      <c r="AL54" s="139">
        <f>ROUND(J54*'[1]PBF Run'!$AS$4,3)</f>
        <v>5510239.9000000004</v>
      </c>
      <c r="AM54" s="139">
        <f>ROUND(S54*'[1]PBF Run'!$AF$4,3)</f>
        <v>260125.40400000001</v>
      </c>
      <c r="AN54" s="139">
        <f>ROUND(AB54*'[1]PBF Run'!$AJ$4,3)</f>
        <v>0</v>
      </c>
      <c r="AO54" s="139">
        <f t="shared" si="29"/>
        <v>5770365.3040000005</v>
      </c>
      <c r="AP54" s="139" t="str">
        <f t="shared" si="46"/>
        <v>Y</v>
      </c>
      <c r="AQ54" s="139"/>
      <c r="AR54" s="374">
        <f t="shared" si="47"/>
        <v>596.52610000000004</v>
      </c>
      <c r="AS54" s="9">
        <f t="shared" si="0"/>
        <v>2765789</v>
      </c>
      <c r="AT54" s="9"/>
      <c r="AU54" s="373">
        <f t="shared" si="1"/>
        <v>2765789</v>
      </c>
      <c r="AV54" s="439">
        <f t="shared" si="49"/>
        <v>93.3</v>
      </c>
      <c r="AW54" s="9">
        <f t="shared" si="3"/>
        <v>260125</v>
      </c>
      <c r="AX54" s="9"/>
      <c r="AY54" s="373">
        <f t="shared" si="4"/>
        <v>3025914</v>
      </c>
      <c r="AZ54" s="439">
        <f t="shared" si="30"/>
        <v>0</v>
      </c>
      <c r="BA54" s="9">
        <f t="shared" si="31"/>
        <v>0</v>
      </c>
      <c r="BB54" s="439"/>
      <c r="BC54" s="171">
        <f t="shared" si="32"/>
        <v>2765789</v>
      </c>
      <c r="BD54" s="171">
        <f t="shared" si="33"/>
        <v>260125</v>
      </c>
      <c r="BE54" s="171">
        <f t="shared" si="34"/>
        <v>0</v>
      </c>
      <c r="BF54" s="438">
        <f t="shared" si="35"/>
        <v>3025914</v>
      </c>
      <c r="BG54" s="389">
        <f t="shared" si="5"/>
        <v>0</v>
      </c>
      <c r="BH54" s="438"/>
      <c r="BI54" s="425">
        <f t="shared" si="6"/>
        <v>25052.190006999997</v>
      </c>
      <c r="BJ54" s="425">
        <f t="shared" si="7"/>
        <v>66.33</v>
      </c>
      <c r="BK54" s="425">
        <f t="shared" si="8"/>
        <v>0</v>
      </c>
      <c r="BL54" s="438"/>
      <c r="BM54" s="425">
        <f t="shared" si="9"/>
        <v>25052.190006999997</v>
      </c>
      <c r="BN54" s="425">
        <f t="shared" si="10"/>
        <v>66.33</v>
      </c>
      <c r="BO54" s="425">
        <f t="shared" si="11"/>
        <v>0</v>
      </c>
      <c r="BP54" s="438"/>
      <c r="BQ54" s="372">
        <f t="shared" si="12"/>
        <v>26240.639999999999</v>
      </c>
      <c r="BR54" s="372">
        <f t="shared" si="13"/>
        <v>159.63</v>
      </c>
      <c r="BS54" s="372">
        <f t="shared" si="14"/>
        <v>0</v>
      </c>
      <c r="BU54" s="439">
        <f t="shared" si="15"/>
        <v>0</v>
      </c>
      <c r="BV54" s="439">
        <f t="shared" si="16"/>
        <v>0</v>
      </c>
      <c r="BW54" s="439">
        <f t="shared" si="17"/>
        <v>0</v>
      </c>
      <c r="BY54" s="439">
        <f t="shared" si="18"/>
        <v>0</v>
      </c>
      <c r="BZ54" s="439">
        <f t="shared" si="19"/>
        <v>0</v>
      </c>
      <c r="CA54" s="439">
        <f t="shared" si="20"/>
        <v>0</v>
      </c>
      <c r="CB54" s="439"/>
      <c r="CC54" s="439">
        <f t="shared" si="21"/>
        <v>0</v>
      </c>
      <c r="CD54" s="439">
        <f t="shared" si="22"/>
        <v>0</v>
      </c>
      <c r="CE54" s="374">
        <f t="shared" si="23"/>
        <v>0</v>
      </c>
      <c r="CF54" s="439"/>
      <c r="CG54" s="439">
        <f t="shared" si="36"/>
        <v>596.52610000000004</v>
      </c>
      <c r="CH54" s="439">
        <f t="shared" si="37"/>
        <v>93.3</v>
      </c>
      <c r="CI54" s="439">
        <f t="shared" si="38"/>
        <v>0</v>
      </c>
      <c r="CJ54" s="439"/>
      <c r="CK54" s="439">
        <v>4636.4928559999998</v>
      </c>
      <c r="CL54" s="439">
        <v>2788.0536374600001</v>
      </c>
      <c r="CM54" s="439">
        <v>3282.8110613200001</v>
      </c>
      <c r="CN54" s="439"/>
      <c r="CO54" s="439">
        <f t="shared" si="39"/>
        <v>2765789.0010675415</v>
      </c>
      <c r="CP54" s="439">
        <f t="shared" si="24"/>
        <v>260125.404375018</v>
      </c>
      <c r="CQ54" s="439">
        <f t="shared" si="24"/>
        <v>0</v>
      </c>
      <c r="CR54" s="439">
        <f t="shared" si="40"/>
        <v>3025914.4054425596</v>
      </c>
      <c r="CS54" s="439">
        <f>+'[1]13-14 $86M Workload Restore'!AJ52</f>
        <v>3025914</v>
      </c>
      <c r="CT54" s="439">
        <f t="shared" si="41"/>
        <v>0.40544255962595344</v>
      </c>
      <c r="CV54" s="173">
        <v>0</v>
      </c>
      <c r="CW54" s="439">
        <f t="shared" si="42"/>
        <v>25648.716106999997</v>
      </c>
      <c r="CX54" s="439">
        <f t="shared" si="50"/>
        <v>159.63</v>
      </c>
      <c r="CY54" s="439">
        <f t="shared" si="50"/>
        <v>0</v>
      </c>
      <c r="DA54" s="439">
        <f t="shared" si="51"/>
        <v>591.92389300000286</v>
      </c>
      <c r="DB54" s="439">
        <f t="shared" si="51"/>
        <v>0</v>
      </c>
      <c r="DC54" s="439">
        <f t="shared" si="51"/>
        <v>0</v>
      </c>
      <c r="DE54" s="371">
        <f t="shared" si="52"/>
        <v>0</v>
      </c>
      <c r="DF54" s="371">
        <f t="shared" si="52"/>
        <v>0</v>
      </c>
      <c r="DG54" s="371">
        <f t="shared" si="52"/>
        <v>0</v>
      </c>
      <c r="DH54" s="439"/>
      <c r="DI54" s="371">
        <f t="shared" si="53"/>
        <v>0</v>
      </c>
      <c r="DJ54" s="371">
        <f t="shared" si="53"/>
        <v>0</v>
      </c>
      <c r="DK54" s="371">
        <f t="shared" si="53"/>
        <v>0</v>
      </c>
      <c r="DL54" s="144">
        <f t="shared" si="43"/>
        <v>118920088.94617561</v>
      </c>
      <c r="DM54" s="144">
        <f t="shared" si="44"/>
        <v>445057.00214773981</v>
      </c>
      <c r="DN54" s="144">
        <f t="shared" si="45"/>
        <v>0</v>
      </c>
      <c r="DO54" s="144">
        <f>'[1]PBF Run'!F54*(1+'[1]PBF Run'!$C$4)</f>
        <v>10683362.1482</v>
      </c>
      <c r="DP54" s="144">
        <f>'[1]PBF Run'!AA54+'[1]PBF Run'!AB54+'[1]PBF Run'!AC54+'[1]PBF Run'!AD54</f>
        <v>0</v>
      </c>
      <c r="DQ54" s="144">
        <f>'[1]PBF Run'!X54</f>
        <v>0</v>
      </c>
      <c r="DR54" s="144">
        <f>'[1]PBF Run'!L54*(1+'[1]PBF Run'!$C$4)</f>
        <v>0</v>
      </c>
      <c r="DS54" s="144">
        <f>'[1]PBF Run'!AE54</f>
        <v>130048508</v>
      </c>
      <c r="DT54" s="326">
        <f t="shared" si="48"/>
        <v>-9.652334451675415E-2</v>
      </c>
      <c r="DU54" s="144"/>
      <c r="DV54" s="144"/>
    </row>
    <row r="55" spans="1:126" ht="13.5" thickBot="1">
      <c r="A55" s="16" t="s">
        <v>309</v>
      </c>
      <c r="B55" s="16" t="s">
        <v>156</v>
      </c>
      <c r="C55" s="425">
        <f>[1]FTES!C55</f>
        <v>13240.619961</v>
      </c>
      <c r="D55" s="425">
        <f>[1]FTES!D55</f>
        <v>13240.619961</v>
      </c>
      <c r="E55" s="425">
        <f>[1]FTES!E55</f>
        <v>14398.55</v>
      </c>
      <c r="F55" s="425">
        <f>[1]FTES!H55</f>
        <v>0</v>
      </c>
      <c r="G55" s="425">
        <f>[1]FTES!I55</f>
        <v>0</v>
      </c>
      <c r="H55" s="425">
        <f>[1]FTES!J55</f>
        <v>13240.619961</v>
      </c>
      <c r="I55" s="425">
        <f>[1]FTES!K55</f>
        <v>0</v>
      </c>
      <c r="J55" s="425">
        <f>[1]FTES!L55</f>
        <v>1157.9300390000001</v>
      </c>
      <c r="K55" s="425">
        <f>[1]FTES!M55</f>
        <v>0</v>
      </c>
      <c r="L55" s="425">
        <f>[1]FTES!N55</f>
        <v>0</v>
      </c>
      <c r="M55" s="425">
        <f>[1]FTES!O55</f>
        <v>0</v>
      </c>
      <c r="N55" s="425">
        <f>[1]FTES!P55</f>
        <v>2.04</v>
      </c>
      <c r="O55" s="425">
        <f>[1]FTES!S55</f>
        <v>0</v>
      </c>
      <c r="P55" s="425">
        <f>[1]FTES!T55</f>
        <v>0</v>
      </c>
      <c r="Q55" s="425">
        <f>[1]FTES!U55</f>
        <v>0</v>
      </c>
      <c r="R55" s="425">
        <f>[1]FTES!V55</f>
        <v>0</v>
      </c>
      <c r="S55" s="425">
        <f>[1]FTES!W55</f>
        <v>2.04</v>
      </c>
      <c r="T55" s="425">
        <f>[1]FTES!X55</f>
        <v>0</v>
      </c>
      <c r="U55" s="425">
        <f>[1]FTES!Y55</f>
        <v>0</v>
      </c>
      <c r="V55" s="425">
        <f>[1]FTES!Z55</f>
        <v>0</v>
      </c>
      <c r="W55" s="425">
        <f>[1]FTES!AA55</f>
        <v>0</v>
      </c>
      <c r="X55" s="425">
        <f>[1]FTES!AD55</f>
        <v>0</v>
      </c>
      <c r="Y55" s="425">
        <f>[1]FTES!AE55</f>
        <v>0</v>
      </c>
      <c r="Z55" s="425">
        <f>[1]FTES!AF55</f>
        <v>0</v>
      </c>
      <c r="AA55" s="425">
        <f>[1]FTES!AG55</f>
        <v>0</v>
      </c>
      <c r="AB55" s="425">
        <f>[1]FTES!AH55</f>
        <v>0</v>
      </c>
      <c r="AC55" s="425">
        <f>[1]FTES!AI55</f>
        <v>0</v>
      </c>
      <c r="AD55" s="425"/>
      <c r="AE55" s="376">
        <f>'[1]13-14 $86M Workload Restore'!AJ53</f>
        <v>1543344</v>
      </c>
      <c r="AF55" s="375"/>
      <c r="AG55" s="122" t="str">
        <f>'[1]Restoration and Growth'!N55</f>
        <v>Growth</v>
      </c>
      <c r="AH55" s="122" t="str">
        <f>'[1]Restoration and Growth'!O55</f>
        <v>Grow</v>
      </c>
      <c r="AI55" s="122" t="str">
        <f>'[1]Restoration and Growth'!P55</f>
        <v>Grow</v>
      </c>
      <c r="AJ55" s="122" t="str">
        <f>'[1]Restoration and Growth'!Q55</f>
        <v>No CPCP</v>
      </c>
      <c r="AK55" s="139"/>
      <c r="AL55" s="139">
        <f>ROUND(J55*'[1]PBF Run'!$AS$4,3)</f>
        <v>5368734.3509999998</v>
      </c>
      <c r="AM55" s="139">
        <f>ROUND(S55*'[1]PBF Run'!$AF$4,3)</f>
        <v>5687.6289999999999</v>
      </c>
      <c r="AN55" s="139">
        <f>ROUND(AB55*'[1]PBF Run'!$AJ$4,3)</f>
        <v>0</v>
      </c>
      <c r="AO55" s="139">
        <f t="shared" si="29"/>
        <v>5374421.9799999995</v>
      </c>
      <c r="AP55" s="139" t="str">
        <f t="shared" si="46"/>
        <v>Y</v>
      </c>
      <c r="AQ55" s="139"/>
      <c r="AR55" s="374">
        <f t="shared" si="47"/>
        <v>331.64205099999998</v>
      </c>
      <c r="AS55" s="9">
        <f t="shared" si="0"/>
        <v>1537656</v>
      </c>
      <c r="AT55" s="9"/>
      <c r="AU55" s="373">
        <f t="shared" si="1"/>
        <v>1537656</v>
      </c>
      <c r="AV55" s="439">
        <f t="shared" si="49"/>
        <v>2.04</v>
      </c>
      <c r="AW55" s="9">
        <f t="shared" si="3"/>
        <v>5688</v>
      </c>
      <c r="AX55" s="9"/>
      <c r="AY55" s="373">
        <f t="shared" si="4"/>
        <v>1543344</v>
      </c>
      <c r="AZ55" s="439">
        <f t="shared" si="30"/>
        <v>0</v>
      </c>
      <c r="BA55" s="9">
        <f t="shared" si="31"/>
        <v>0</v>
      </c>
      <c r="BB55" s="439"/>
      <c r="BC55" s="171">
        <f t="shared" si="32"/>
        <v>1537656</v>
      </c>
      <c r="BD55" s="171">
        <f t="shared" si="33"/>
        <v>5688</v>
      </c>
      <c r="BE55" s="171">
        <f t="shared" si="34"/>
        <v>0</v>
      </c>
      <c r="BF55" s="438">
        <f t="shared" si="35"/>
        <v>1543344</v>
      </c>
      <c r="BG55" s="389">
        <f t="shared" si="5"/>
        <v>0</v>
      </c>
      <c r="BH55" s="438"/>
      <c r="BI55" s="425">
        <f t="shared" si="6"/>
        <v>13240.619961</v>
      </c>
      <c r="BJ55" s="425">
        <f t="shared" si="7"/>
        <v>0</v>
      </c>
      <c r="BK55" s="425">
        <f t="shared" si="8"/>
        <v>0</v>
      </c>
      <c r="BL55" s="438"/>
      <c r="BM55" s="425">
        <f t="shared" si="9"/>
        <v>13240.619961</v>
      </c>
      <c r="BN55" s="425">
        <f t="shared" si="10"/>
        <v>0</v>
      </c>
      <c r="BO55" s="425">
        <f t="shared" si="11"/>
        <v>0</v>
      </c>
      <c r="BP55" s="438"/>
      <c r="BQ55" s="372">
        <f t="shared" si="12"/>
        <v>14398.55</v>
      </c>
      <c r="BR55" s="372">
        <f t="shared" si="13"/>
        <v>2.04</v>
      </c>
      <c r="BS55" s="372">
        <f t="shared" si="14"/>
        <v>0</v>
      </c>
      <c r="BU55" s="439">
        <f t="shared" si="15"/>
        <v>0</v>
      </c>
      <c r="BV55" s="439">
        <f t="shared" si="16"/>
        <v>0</v>
      </c>
      <c r="BW55" s="439">
        <f t="shared" si="17"/>
        <v>0</v>
      </c>
      <c r="BY55" s="439">
        <f t="shared" si="18"/>
        <v>0</v>
      </c>
      <c r="BZ55" s="439">
        <f t="shared" si="19"/>
        <v>0</v>
      </c>
      <c r="CA55" s="439">
        <f t="shared" si="20"/>
        <v>0</v>
      </c>
      <c r="CB55" s="439"/>
      <c r="CC55" s="439">
        <f t="shared" si="21"/>
        <v>0</v>
      </c>
      <c r="CD55" s="439">
        <f t="shared" si="22"/>
        <v>0</v>
      </c>
      <c r="CE55" s="374">
        <f t="shared" si="23"/>
        <v>0</v>
      </c>
      <c r="CF55" s="439"/>
      <c r="CG55" s="439">
        <f t="shared" si="36"/>
        <v>331.64205099999998</v>
      </c>
      <c r="CH55" s="439">
        <f t="shared" si="37"/>
        <v>2.04</v>
      </c>
      <c r="CI55" s="439">
        <f t="shared" si="38"/>
        <v>0</v>
      </c>
      <c r="CJ55" s="439"/>
      <c r="CK55" s="439">
        <v>4636.4928280000004</v>
      </c>
      <c r="CL55" s="439">
        <v>2788.0536374600001</v>
      </c>
      <c r="CM55" s="439">
        <v>3282.8110613200001</v>
      </c>
      <c r="CN55" s="439"/>
      <c r="CO55" s="439">
        <f t="shared" si="39"/>
        <v>1537655.9909247102</v>
      </c>
      <c r="CP55" s="439">
        <f t="shared" si="24"/>
        <v>5687.6294204184005</v>
      </c>
      <c r="CQ55" s="439">
        <f t="shared" si="24"/>
        <v>0</v>
      </c>
      <c r="CR55" s="439">
        <f t="shared" si="40"/>
        <v>1543343.6203451285</v>
      </c>
      <c r="CS55" s="439">
        <f>+'[1]13-14 $86M Workload Restore'!AJ53</f>
        <v>1543344</v>
      </c>
      <c r="CT55" s="439">
        <f t="shared" si="41"/>
        <v>-0.37965487153269351</v>
      </c>
      <c r="CV55" s="173">
        <v>0</v>
      </c>
      <c r="CW55" s="439">
        <f t="shared" si="42"/>
        <v>13572.262012000001</v>
      </c>
      <c r="CX55" s="439">
        <f t="shared" si="50"/>
        <v>2.04</v>
      </c>
      <c r="CY55" s="439">
        <f t="shared" si="50"/>
        <v>0</v>
      </c>
      <c r="DA55" s="439">
        <f t="shared" si="51"/>
        <v>826.28798799999822</v>
      </c>
      <c r="DB55" s="439">
        <f t="shared" si="51"/>
        <v>0</v>
      </c>
      <c r="DC55" s="439">
        <f t="shared" si="51"/>
        <v>0</v>
      </c>
      <c r="DE55" s="371">
        <f t="shared" si="52"/>
        <v>0</v>
      </c>
      <c r="DF55" s="371">
        <f t="shared" si="52"/>
        <v>0</v>
      </c>
      <c r="DG55" s="371">
        <f t="shared" si="52"/>
        <v>0</v>
      </c>
      <c r="DH55" s="439"/>
      <c r="DI55" s="371">
        <f t="shared" si="53"/>
        <v>0</v>
      </c>
      <c r="DJ55" s="371">
        <f t="shared" si="53"/>
        <v>0</v>
      </c>
      <c r="DK55" s="371">
        <f t="shared" si="53"/>
        <v>0</v>
      </c>
      <c r="DL55" s="144">
        <f t="shared" si="43"/>
        <v>62927695.832203731</v>
      </c>
      <c r="DM55" s="144">
        <f t="shared" si="44"/>
        <v>5687.6294204184005</v>
      </c>
      <c r="DN55" s="144">
        <f t="shared" si="45"/>
        <v>0</v>
      </c>
      <c r="DO55" s="144">
        <f>'[1]PBF Run'!F55*(1+'[1]PBF Run'!$C$4)</f>
        <v>7309668.8917000005</v>
      </c>
      <c r="DP55" s="144">
        <f>'[1]PBF Run'!AA55+'[1]PBF Run'!AB55+'[1]PBF Run'!AC55+'[1]PBF Run'!AD55</f>
        <v>0</v>
      </c>
      <c r="DQ55" s="144">
        <f>'[1]PBF Run'!X55</f>
        <v>0</v>
      </c>
      <c r="DR55" s="144">
        <f>'[1]PBF Run'!L55*(1+'[1]PBF Run'!$C$4)</f>
        <v>0</v>
      </c>
      <c r="DS55" s="144">
        <f>'[1]PBF Run'!AE55</f>
        <v>70243052</v>
      </c>
      <c r="DT55" s="326">
        <f t="shared" si="48"/>
        <v>-0.35332415252923965</v>
      </c>
      <c r="DU55" s="144"/>
      <c r="DV55" s="144"/>
    </row>
    <row r="56" spans="1:126" ht="13.5" thickBot="1">
      <c r="A56" s="16" t="s">
        <v>307</v>
      </c>
      <c r="B56" s="16" t="s">
        <v>157</v>
      </c>
      <c r="C56" s="425">
        <f>[1]FTES!C56</f>
        <v>31026.950368999998</v>
      </c>
      <c r="D56" s="425">
        <f>[1]FTES!D56</f>
        <v>31026.950368999998</v>
      </c>
      <c r="E56" s="425">
        <f>[1]FTES!E56</f>
        <v>33347.919999999998</v>
      </c>
      <c r="F56" s="425">
        <f>[1]FTES!H56</f>
        <v>0</v>
      </c>
      <c r="G56" s="425">
        <f>[1]FTES!I56</f>
        <v>0</v>
      </c>
      <c r="H56" s="425">
        <f>[1]FTES!J56</f>
        <v>31026.950368999998</v>
      </c>
      <c r="I56" s="425">
        <f>[1]FTES!K56</f>
        <v>0</v>
      </c>
      <c r="J56" s="425">
        <f>[1]FTES!L56</f>
        <v>2320.9696309999999</v>
      </c>
      <c r="K56" s="425">
        <f>[1]FTES!M56</f>
        <v>0</v>
      </c>
      <c r="L56" s="425">
        <f>[1]FTES!N56</f>
        <v>2040.9700000000003</v>
      </c>
      <c r="M56" s="425">
        <f>[1]FTES!O56</f>
        <v>2040.9700000000003</v>
      </c>
      <c r="N56" s="425">
        <f>[1]FTES!P56</f>
        <v>2020.1100000000006</v>
      </c>
      <c r="O56" s="425">
        <f>[1]FTES!S56</f>
        <v>0</v>
      </c>
      <c r="P56" s="425">
        <f>[1]FTES!T56</f>
        <v>0</v>
      </c>
      <c r="Q56" s="425">
        <f>[1]FTES!U56</f>
        <v>2020.1100000000006</v>
      </c>
      <c r="R56" s="425">
        <f>[1]FTES!V56</f>
        <v>0</v>
      </c>
      <c r="S56" s="425">
        <f>[1]FTES!W56</f>
        <v>0</v>
      </c>
      <c r="T56" s="425">
        <f>[1]FTES!X56</f>
        <v>0</v>
      </c>
      <c r="U56" s="425">
        <f>[1]FTES!Y56</f>
        <v>6129.33</v>
      </c>
      <c r="V56" s="425">
        <f>[1]FTES!Z56</f>
        <v>6129.33</v>
      </c>
      <c r="W56" s="425">
        <f>[1]FTES!AA56</f>
        <v>6148.03</v>
      </c>
      <c r="X56" s="425">
        <f>[1]FTES!AD56</f>
        <v>0</v>
      </c>
      <c r="Y56" s="425">
        <f>[1]FTES!AE56</f>
        <v>0</v>
      </c>
      <c r="Z56" s="425">
        <f>[1]FTES!AF56</f>
        <v>6129.33</v>
      </c>
      <c r="AA56" s="425">
        <f>[1]FTES!AG56</f>
        <v>0</v>
      </c>
      <c r="AB56" s="425">
        <f>[1]FTES!AH56</f>
        <v>18.7</v>
      </c>
      <c r="AC56" s="425">
        <f>[1]FTES!AI56</f>
        <v>0</v>
      </c>
      <c r="AD56" s="425"/>
      <c r="AE56" s="376">
        <f>'[1]13-14 $86M Workload Restore'!AJ54</f>
        <v>3973954</v>
      </c>
      <c r="AF56" s="375"/>
      <c r="AG56" s="122" t="str">
        <f>'[1]Restoration and Growth'!N56</f>
        <v>Growth</v>
      </c>
      <c r="AH56" s="122" t="str">
        <f>'[1]Restoration and Growth'!O56</f>
        <v>Grow</v>
      </c>
      <c r="AI56" s="122" t="str">
        <f>'[1]Restoration and Growth'!P56</f>
        <v>Decline</v>
      </c>
      <c r="AJ56" s="122" t="str">
        <f>'[1]Restoration and Growth'!Q56</f>
        <v>Grow</v>
      </c>
      <c r="AK56" s="139"/>
      <c r="AL56" s="139">
        <f>ROUND(J56*'[1]PBF Run'!$AS$4,3)</f>
        <v>10761159.108999999</v>
      </c>
      <c r="AM56" s="139">
        <f>ROUND(S56*'[1]PBF Run'!$AF$4,3)</f>
        <v>0</v>
      </c>
      <c r="AN56" s="139">
        <f>ROUND(AB56*'[1]PBF Run'!$AJ$4,3)</f>
        <v>61388.567000000003</v>
      </c>
      <c r="AO56" s="139">
        <f t="shared" si="29"/>
        <v>10822547.675999999</v>
      </c>
      <c r="AP56" s="139" t="str">
        <f t="shared" si="46"/>
        <v>Y</v>
      </c>
      <c r="AQ56" s="139"/>
      <c r="AR56" s="374">
        <f t="shared" si="47"/>
        <v>856.40679799999998</v>
      </c>
      <c r="AS56" s="9">
        <f t="shared" si="0"/>
        <v>3970724</v>
      </c>
      <c r="AT56" s="9"/>
      <c r="AU56" s="373">
        <f t="shared" si="1"/>
        <v>3970724</v>
      </c>
      <c r="AV56" s="439">
        <f t="shared" si="49"/>
        <v>-20.859999999999673</v>
      </c>
      <c r="AW56" s="9">
        <f t="shared" si="3"/>
        <v>-58159</v>
      </c>
      <c r="AX56" s="9"/>
      <c r="AY56" s="373">
        <f t="shared" si="4"/>
        <v>3912565</v>
      </c>
      <c r="AZ56" s="439">
        <f t="shared" si="30"/>
        <v>18.7</v>
      </c>
      <c r="BA56" s="9">
        <f t="shared" si="31"/>
        <v>61389</v>
      </c>
      <c r="BB56" s="439"/>
      <c r="BC56" s="171">
        <f t="shared" si="32"/>
        <v>3970724</v>
      </c>
      <c r="BD56" s="171">
        <f t="shared" si="33"/>
        <v>-58159</v>
      </c>
      <c r="BE56" s="171">
        <f t="shared" si="34"/>
        <v>61389</v>
      </c>
      <c r="BF56" s="438">
        <f t="shared" si="35"/>
        <v>3973954</v>
      </c>
      <c r="BG56" s="389">
        <f t="shared" si="5"/>
        <v>0</v>
      </c>
      <c r="BH56" s="438"/>
      <c r="BI56" s="425">
        <f t="shared" si="6"/>
        <v>31026.950368999998</v>
      </c>
      <c r="BJ56" s="425">
        <f t="shared" si="7"/>
        <v>2040.9700000000003</v>
      </c>
      <c r="BK56" s="425">
        <f t="shared" si="8"/>
        <v>6129.33</v>
      </c>
      <c r="BL56" s="438"/>
      <c r="BM56" s="425">
        <f t="shared" si="9"/>
        <v>31026.950368999998</v>
      </c>
      <c r="BN56" s="425">
        <f t="shared" si="10"/>
        <v>2040.9700000000003</v>
      </c>
      <c r="BO56" s="425">
        <f t="shared" si="11"/>
        <v>6129.33</v>
      </c>
      <c r="BP56" s="438"/>
      <c r="BQ56" s="372">
        <f t="shared" si="12"/>
        <v>33347.919999999998</v>
      </c>
      <c r="BR56" s="372">
        <f t="shared" si="13"/>
        <v>2020.1100000000006</v>
      </c>
      <c r="BS56" s="372">
        <f t="shared" si="14"/>
        <v>6148.03</v>
      </c>
      <c r="BU56" s="439">
        <f t="shared" si="15"/>
        <v>0</v>
      </c>
      <c r="BV56" s="439">
        <f t="shared" si="16"/>
        <v>0</v>
      </c>
      <c r="BW56" s="439">
        <f t="shared" si="17"/>
        <v>0</v>
      </c>
      <c r="BY56" s="439">
        <f t="shared" si="18"/>
        <v>0</v>
      </c>
      <c r="BZ56" s="439">
        <f t="shared" si="19"/>
        <v>0</v>
      </c>
      <c r="CA56" s="439">
        <f t="shared" si="20"/>
        <v>0</v>
      </c>
      <c r="CB56" s="439"/>
      <c r="CC56" s="439">
        <f t="shared" si="21"/>
        <v>0</v>
      </c>
      <c r="CD56" s="439">
        <f t="shared" si="22"/>
        <v>0</v>
      </c>
      <c r="CE56" s="374">
        <f t="shared" si="23"/>
        <v>0</v>
      </c>
      <c r="CF56" s="439"/>
      <c r="CG56" s="439">
        <f t="shared" si="36"/>
        <v>856.40679799999998</v>
      </c>
      <c r="CH56" s="439">
        <f t="shared" si="37"/>
        <v>-20.859999999999673</v>
      </c>
      <c r="CI56" s="439">
        <f t="shared" si="38"/>
        <v>18.7</v>
      </c>
      <c r="CJ56" s="439"/>
      <c r="CK56" s="439">
        <v>4636.4928399999999</v>
      </c>
      <c r="CL56" s="439">
        <v>2788.0536374600001</v>
      </c>
      <c r="CM56" s="439">
        <v>3282.8110613200001</v>
      </c>
      <c r="CN56" s="439"/>
      <c r="CO56" s="439">
        <f t="shared" si="39"/>
        <v>3970723.9870543261</v>
      </c>
      <c r="CP56" s="439">
        <f t="shared" si="24"/>
        <v>-58158.798877414687</v>
      </c>
      <c r="CQ56" s="439">
        <f t="shared" si="24"/>
        <v>61388.566846684</v>
      </c>
      <c r="CR56" s="439">
        <f t="shared" si="40"/>
        <v>3973953.7550235954</v>
      </c>
      <c r="CS56" s="439">
        <f>+'[1]13-14 $86M Workload Restore'!AJ54</f>
        <v>3973954</v>
      </c>
      <c r="CT56" s="439">
        <f t="shared" si="41"/>
        <v>-0.24497640458866954</v>
      </c>
      <c r="CV56" s="173">
        <v>0</v>
      </c>
      <c r="CW56" s="439">
        <f t="shared" si="42"/>
        <v>31883.357166999998</v>
      </c>
      <c r="CX56" s="439">
        <f t="shared" si="50"/>
        <v>2020.1100000000006</v>
      </c>
      <c r="CY56" s="439">
        <f t="shared" si="50"/>
        <v>6148.03</v>
      </c>
      <c r="DA56" s="439">
        <f t="shared" si="51"/>
        <v>1464.562833</v>
      </c>
      <c r="DB56" s="439">
        <f t="shared" si="51"/>
        <v>0</v>
      </c>
      <c r="DC56" s="439">
        <f t="shared" si="51"/>
        <v>0</v>
      </c>
      <c r="DE56" s="371">
        <f t="shared" si="52"/>
        <v>0</v>
      </c>
      <c r="DF56" s="371">
        <f t="shared" si="52"/>
        <v>0</v>
      </c>
      <c r="DG56" s="371">
        <f t="shared" si="52"/>
        <v>0</v>
      </c>
      <c r="DH56" s="439"/>
      <c r="DI56" s="371">
        <f t="shared" si="53"/>
        <v>0</v>
      </c>
      <c r="DJ56" s="371">
        <f t="shared" si="53"/>
        <v>0</v>
      </c>
      <c r="DK56" s="371">
        <f t="shared" si="53"/>
        <v>0</v>
      </c>
      <c r="DL56" s="144">
        <f t="shared" si="43"/>
        <v>147826957.66855702</v>
      </c>
      <c r="DM56" s="144">
        <f t="shared" si="44"/>
        <v>5632175.0335693229</v>
      </c>
      <c r="DN56" s="144">
        <f t="shared" si="45"/>
        <v>20182820.889327198</v>
      </c>
      <c r="DO56" s="144">
        <f>'[1]PBF Run'!F56*(1+'[1]PBF Run'!$C$4)</f>
        <v>16868468.313900001</v>
      </c>
      <c r="DP56" s="144">
        <f>'[1]PBF Run'!AA56+'[1]PBF Run'!AB56+'[1]PBF Run'!AC56+'[1]PBF Run'!AD56</f>
        <v>0</v>
      </c>
      <c r="DQ56" s="144">
        <f>'[1]PBF Run'!X56</f>
        <v>0</v>
      </c>
      <c r="DR56" s="144">
        <f>'[1]PBF Run'!L56*(1+'[1]PBF Run'!$C$4)</f>
        <v>0</v>
      </c>
      <c r="DS56" s="144">
        <f>'[1]PBF Run'!AE56</f>
        <v>190510423</v>
      </c>
      <c r="DT56" s="326">
        <f t="shared" si="48"/>
        <v>1.0946464538574219</v>
      </c>
      <c r="DU56" s="144"/>
      <c r="DV56" s="144"/>
    </row>
    <row r="57" spans="1:126" ht="13.5" thickBot="1">
      <c r="A57" s="16" t="s">
        <v>305</v>
      </c>
      <c r="B57" s="16" t="s">
        <v>158</v>
      </c>
      <c r="C57" s="425">
        <f>[1]FTES!C57</f>
        <v>22887.040008</v>
      </c>
      <c r="D57" s="425">
        <f>[1]FTES!D57</f>
        <v>22887.040008</v>
      </c>
      <c r="E57" s="425">
        <f>[1]FTES!E57</f>
        <v>17767.97</v>
      </c>
      <c r="F57" s="425">
        <f>[1]FTES!H57</f>
        <v>0</v>
      </c>
      <c r="G57" s="425">
        <f>[1]FTES!I57</f>
        <v>0</v>
      </c>
      <c r="H57" s="425">
        <f>[1]FTES!J57</f>
        <v>17767.97</v>
      </c>
      <c r="I57" s="425">
        <f>[1]FTES!K57</f>
        <v>-5119.0700079999997</v>
      </c>
      <c r="J57" s="425">
        <f>[1]FTES!L57</f>
        <v>0</v>
      </c>
      <c r="K57" s="425">
        <f>[1]FTES!M57</f>
        <v>0</v>
      </c>
      <c r="L57" s="425">
        <f>[1]FTES!N57</f>
        <v>2660.3500000000004</v>
      </c>
      <c r="M57" s="425">
        <f>[1]FTES!O57</f>
        <v>2660.3500000000004</v>
      </c>
      <c r="N57" s="425">
        <f>[1]FTES!P57</f>
        <v>2562.2200000000003</v>
      </c>
      <c r="O57" s="425">
        <f>[1]FTES!S57</f>
        <v>0</v>
      </c>
      <c r="P57" s="425">
        <f>[1]FTES!T57</f>
        <v>0</v>
      </c>
      <c r="Q57" s="425">
        <f>[1]FTES!U57</f>
        <v>2562.2200000000003</v>
      </c>
      <c r="R57" s="425">
        <f>[1]FTES!V57</f>
        <v>-98.13</v>
      </c>
      <c r="S57" s="425">
        <f>[1]FTES!W57</f>
        <v>0</v>
      </c>
      <c r="T57" s="425">
        <f>[1]FTES!X57</f>
        <v>0</v>
      </c>
      <c r="U57" s="425">
        <f>[1]FTES!Y57</f>
        <v>7073.91</v>
      </c>
      <c r="V57" s="425">
        <f>[1]FTES!Z57</f>
        <v>7073.91</v>
      </c>
      <c r="W57" s="425">
        <f>[1]FTES!AA57</f>
        <v>5933.31</v>
      </c>
      <c r="X57" s="425">
        <f>[1]FTES!AD57</f>
        <v>0</v>
      </c>
      <c r="Y57" s="425">
        <f>[1]FTES!AE57</f>
        <v>0</v>
      </c>
      <c r="Z57" s="425">
        <f>[1]FTES!AF57</f>
        <v>5933.31</v>
      </c>
      <c r="AA57" s="425">
        <f>[1]FTES!AG57</f>
        <v>-1140.5999999999999</v>
      </c>
      <c r="AB57" s="425">
        <f>[1]FTES!AH57</f>
        <v>0</v>
      </c>
      <c r="AC57" s="425">
        <f>[1]FTES!AI57</f>
        <v>0</v>
      </c>
      <c r="AD57" s="425"/>
      <c r="AE57" s="376">
        <f>'[1]13-14 $86M Workload Restore'!AJ55</f>
        <v>0</v>
      </c>
      <c r="AF57" s="375"/>
      <c r="AG57" s="122" t="str">
        <f>'[1]Restoration and Growth'!N57</f>
        <v>Decline</v>
      </c>
      <c r="AH57" s="122" t="str">
        <f>'[1]Restoration and Growth'!O57</f>
        <v>Decline</v>
      </c>
      <c r="AI57" s="122" t="str">
        <f>'[1]Restoration and Growth'!P57</f>
        <v>Decline</v>
      </c>
      <c r="AJ57" s="122" t="str">
        <f>'[1]Restoration and Growth'!Q57</f>
        <v>Decline</v>
      </c>
      <c r="AK57" s="139"/>
      <c r="AL57" s="139">
        <f>ROUND(J57*'[1]PBF Run'!$AS$4,3)</f>
        <v>0</v>
      </c>
      <c r="AM57" s="139">
        <f>ROUND(S57*'[1]PBF Run'!$AF$4,3)</f>
        <v>0</v>
      </c>
      <c r="AN57" s="139">
        <f>ROUND(AB57*'[1]PBF Run'!$AJ$4,3)</f>
        <v>0</v>
      </c>
      <c r="AO57" s="139">
        <f t="shared" si="29"/>
        <v>0</v>
      </c>
      <c r="AP57" s="139" t="str">
        <f t="shared" si="46"/>
        <v>NA</v>
      </c>
      <c r="AQ57" s="139"/>
      <c r="AR57" s="374">
        <f t="shared" si="47"/>
        <v>0</v>
      </c>
      <c r="AS57" s="9">
        <f t="shared" si="0"/>
        <v>0</v>
      </c>
      <c r="AT57" s="9"/>
      <c r="AU57" s="373">
        <f t="shared" si="1"/>
        <v>0</v>
      </c>
      <c r="AV57" s="439">
        <f t="shared" si="49"/>
        <v>0</v>
      </c>
      <c r="AW57" s="9">
        <f t="shared" si="3"/>
        <v>0</v>
      </c>
      <c r="AX57" s="9"/>
      <c r="AY57" s="373">
        <f t="shared" si="4"/>
        <v>0</v>
      </c>
      <c r="AZ57" s="439">
        <f t="shared" si="30"/>
        <v>0</v>
      </c>
      <c r="BA57" s="9">
        <f t="shared" si="31"/>
        <v>0</v>
      </c>
      <c r="BB57" s="439"/>
      <c r="BC57" s="171">
        <f t="shared" si="32"/>
        <v>0</v>
      </c>
      <c r="BD57" s="171">
        <f t="shared" si="33"/>
        <v>0</v>
      </c>
      <c r="BE57" s="171">
        <f t="shared" si="34"/>
        <v>0</v>
      </c>
      <c r="BF57" s="438">
        <f t="shared" si="35"/>
        <v>0</v>
      </c>
      <c r="BG57" s="389">
        <f t="shared" si="5"/>
        <v>0</v>
      </c>
      <c r="BH57" s="438"/>
      <c r="BI57" s="425">
        <f t="shared" si="6"/>
        <v>22887.040008</v>
      </c>
      <c r="BJ57" s="425">
        <f t="shared" si="7"/>
        <v>2660.3500000000004</v>
      </c>
      <c r="BK57" s="425">
        <f t="shared" si="8"/>
        <v>7073.91</v>
      </c>
      <c r="BL57" s="438"/>
      <c r="BM57" s="425">
        <f t="shared" si="9"/>
        <v>22887.040008</v>
      </c>
      <c r="BN57" s="425">
        <f t="shared" si="10"/>
        <v>2660.3500000000004</v>
      </c>
      <c r="BO57" s="425">
        <f t="shared" si="11"/>
        <v>7073.91</v>
      </c>
      <c r="BP57" s="438"/>
      <c r="BQ57" s="372">
        <f t="shared" si="12"/>
        <v>17767.97</v>
      </c>
      <c r="BR57" s="372">
        <f t="shared" si="13"/>
        <v>2562.2200000000003</v>
      </c>
      <c r="BS57" s="372">
        <f t="shared" si="14"/>
        <v>5933.31</v>
      </c>
      <c r="BU57" s="439">
        <f t="shared" si="15"/>
        <v>0</v>
      </c>
      <c r="BV57" s="439">
        <f t="shared" si="16"/>
        <v>0</v>
      </c>
      <c r="BW57" s="439">
        <f t="shared" si="17"/>
        <v>0</v>
      </c>
      <c r="BY57" s="439">
        <f t="shared" si="18"/>
        <v>0</v>
      </c>
      <c r="BZ57" s="439">
        <f t="shared" si="19"/>
        <v>0</v>
      </c>
      <c r="CA57" s="439">
        <f t="shared" si="20"/>
        <v>0</v>
      </c>
      <c r="CB57" s="439"/>
      <c r="CC57" s="439">
        <f t="shared" si="21"/>
        <v>-5119.0700079999997</v>
      </c>
      <c r="CD57" s="439">
        <f t="shared" si="22"/>
        <v>-98.13</v>
      </c>
      <c r="CE57" s="374">
        <f t="shared" si="23"/>
        <v>-1140.5999999999999</v>
      </c>
      <c r="CF57" s="439"/>
      <c r="CG57" s="439">
        <f t="shared" si="36"/>
        <v>0</v>
      </c>
      <c r="CH57" s="439">
        <f t="shared" si="37"/>
        <v>0</v>
      </c>
      <c r="CI57" s="439">
        <f t="shared" si="38"/>
        <v>0</v>
      </c>
      <c r="CJ57" s="439"/>
      <c r="CK57" s="439">
        <v>4703.2763340000001</v>
      </c>
      <c r="CL57" s="439">
        <v>2788.0536374600001</v>
      </c>
      <c r="CM57" s="439">
        <v>3282.8110613200001</v>
      </c>
      <c r="CN57" s="439"/>
      <c r="CO57" s="439">
        <f t="shared" si="39"/>
        <v>0</v>
      </c>
      <c r="CP57" s="439">
        <f t="shared" si="24"/>
        <v>0</v>
      </c>
      <c r="CQ57" s="439">
        <f t="shared" si="24"/>
        <v>0</v>
      </c>
      <c r="CR57" s="439">
        <f t="shared" si="40"/>
        <v>0</v>
      </c>
      <c r="CS57" s="439">
        <f>+'[1]13-14 $86M Workload Restore'!AJ55</f>
        <v>0</v>
      </c>
      <c r="CT57" s="439">
        <f t="shared" si="41"/>
        <v>0</v>
      </c>
      <c r="CV57" s="173">
        <v>0</v>
      </c>
      <c r="CW57" s="439">
        <f t="shared" si="42"/>
        <v>17767.97</v>
      </c>
      <c r="CX57" s="439">
        <f t="shared" si="50"/>
        <v>2562.2200000000003</v>
      </c>
      <c r="CY57" s="439">
        <f t="shared" si="50"/>
        <v>5933.3099999999995</v>
      </c>
      <c r="DA57" s="439">
        <f t="shared" si="51"/>
        <v>0</v>
      </c>
      <c r="DB57" s="439">
        <f t="shared" si="51"/>
        <v>0</v>
      </c>
      <c r="DC57" s="439">
        <f t="shared" si="51"/>
        <v>0</v>
      </c>
      <c r="DE57" s="371">
        <f t="shared" si="52"/>
        <v>0</v>
      </c>
      <c r="DF57" s="371">
        <f t="shared" si="52"/>
        <v>0</v>
      </c>
      <c r="DG57" s="371">
        <f t="shared" si="52"/>
        <v>0</v>
      </c>
      <c r="DH57" s="439"/>
      <c r="DI57" s="371">
        <f t="shared" si="53"/>
        <v>0</v>
      </c>
      <c r="DJ57" s="371">
        <f t="shared" si="53"/>
        <v>0</v>
      </c>
      <c r="DK57" s="371">
        <f t="shared" si="53"/>
        <v>9.0949470177292824E-13</v>
      </c>
      <c r="DL57" s="144">
        <f t="shared" si="43"/>
        <v>82381065.936330155</v>
      </c>
      <c r="DM57" s="144">
        <f t="shared" si="44"/>
        <v>7143606.7909727618</v>
      </c>
      <c r="DN57" s="144">
        <f t="shared" si="45"/>
        <v>19477935.698240567</v>
      </c>
      <c r="DO57" s="144">
        <f>'[1]PBF Run'!F57*(1+'[1]PBF Run'!$C$4)</f>
        <v>12651351.997200001</v>
      </c>
      <c r="DP57" s="144">
        <f>'[1]PBF Run'!AA57+'[1]PBF Run'!AB57+'[1]PBF Run'!AC57+'[1]PBF Run'!AD57</f>
        <v>0</v>
      </c>
      <c r="DQ57" s="144">
        <f>'[1]PBF Run'!X57</f>
        <v>27752498</v>
      </c>
      <c r="DR57" s="144">
        <f>'[1]PBF Run'!L57*(1+'[1]PBF Run'!$C$4)</f>
        <v>1548579.8951000001</v>
      </c>
      <c r="DS57" s="144">
        <f>'[1]PBF Run'!AE57</f>
        <v>150955037</v>
      </c>
      <c r="DT57" s="326">
        <f t="shared" si="48"/>
        <v>-1.3178434818983078</v>
      </c>
      <c r="DU57" s="144"/>
      <c r="DV57" s="144"/>
    </row>
    <row r="58" spans="1:126" ht="13.5" thickBot="1">
      <c r="A58" s="16" t="s">
        <v>303</v>
      </c>
      <c r="B58" s="16" t="s">
        <v>159</v>
      </c>
      <c r="C58" s="425">
        <f>[1]FTES!C58</f>
        <v>15091.474862999999</v>
      </c>
      <c r="D58" s="425">
        <f>[1]FTES!D58</f>
        <v>15091.474862999999</v>
      </c>
      <c r="E58" s="425">
        <f>[1]FTES!E58</f>
        <v>15297.74</v>
      </c>
      <c r="F58" s="425">
        <f>[1]FTES!H58</f>
        <v>0</v>
      </c>
      <c r="G58" s="425">
        <f>[1]FTES!I58</f>
        <v>0</v>
      </c>
      <c r="H58" s="425">
        <f>[1]FTES!J58</f>
        <v>15091.474862999999</v>
      </c>
      <c r="I58" s="425">
        <f>[1]FTES!K58</f>
        <v>0</v>
      </c>
      <c r="J58" s="425">
        <f>[1]FTES!L58</f>
        <v>206.26513700000001</v>
      </c>
      <c r="K58" s="425">
        <f>[1]FTES!M58</f>
        <v>0</v>
      </c>
      <c r="L58" s="425">
        <f>[1]FTES!N58</f>
        <v>136.07</v>
      </c>
      <c r="M58" s="425">
        <f>[1]FTES!O58</f>
        <v>136.07</v>
      </c>
      <c r="N58" s="425">
        <f>[1]FTES!P58</f>
        <v>162.66999999999999</v>
      </c>
      <c r="O58" s="425">
        <f>[1]FTES!S58</f>
        <v>0</v>
      </c>
      <c r="P58" s="425">
        <f>[1]FTES!T58</f>
        <v>0</v>
      </c>
      <c r="Q58" s="425">
        <f>[1]FTES!U58</f>
        <v>136.07</v>
      </c>
      <c r="R58" s="425">
        <f>[1]FTES!V58</f>
        <v>0</v>
      </c>
      <c r="S58" s="425">
        <f>[1]FTES!W58</f>
        <v>26.6</v>
      </c>
      <c r="T58" s="425">
        <f>[1]FTES!X58</f>
        <v>0</v>
      </c>
      <c r="U58" s="425">
        <f>[1]FTES!Y58</f>
        <v>0</v>
      </c>
      <c r="V58" s="425">
        <f>[1]FTES!Z58</f>
        <v>0</v>
      </c>
      <c r="W58" s="425">
        <f>[1]FTES!AA58</f>
        <v>0</v>
      </c>
      <c r="X58" s="425">
        <f>[1]FTES!AD58</f>
        <v>0</v>
      </c>
      <c r="Y58" s="425">
        <f>[1]FTES!AE58</f>
        <v>0</v>
      </c>
      <c r="Z58" s="425">
        <f>[1]FTES!AF58</f>
        <v>0</v>
      </c>
      <c r="AA58" s="425">
        <f>[1]FTES!AG58</f>
        <v>0</v>
      </c>
      <c r="AB58" s="425">
        <f>[1]FTES!AH58</f>
        <v>0</v>
      </c>
      <c r="AC58" s="425">
        <f>[1]FTES!AI58</f>
        <v>0</v>
      </c>
      <c r="AD58" s="425"/>
      <c r="AE58" s="376">
        <f>'[1]13-14 $86M Workload Restore'!AJ56</f>
        <v>1030509</v>
      </c>
      <c r="AF58" s="375"/>
      <c r="AG58" s="122" t="str">
        <f>'[1]Restoration and Growth'!N58</f>
        <v>Growth</v>
      </c>
      <c r="AH58" s="122" t="str">
        <f>'[1]Restoration and Growth'!O58</f>
        <v>Grow</v>
      </c>
      <c r="AI58" s="122" t="str">
        <f>'[1]Restoration and Growth'!P58</f>
        <v>Grow</v>
      </c>
      <c r="AJ58" s="122" t="str">
        <f>'[1]Restoration and Growth'!Q58</f>
        <v>No CPCP</v>
      </c>
      <c r="AK58" s="139"/>
      <c r="AL58" s="139">
        <f>ROUND(J58*'[1]PBF Run'!$AS$4,3)</f>
        <v>956346.83400000003</v>
      </c>
      <c r="AM58" s="139">
        <f>ROUND(S58*'[1]PBF Run'!$AF$4,3)</f>
        <v>74162.226999999999</v>
      </c>
      <c r="AN58" s="139">
        <f>ROUND(AB58*'[1]PBF Run'!$AJ$4,3)</f>
        <v>0</v>
      </c>
      <c r="AO58" s="139">
        <f t="shared" si="29"/>
        <v>1030509.061</v>
      </c>
      <c r="AP58" s="139" t="str">
        <f t="shared" si="46"/>
        <v>Y</v>
      </c>
      <c r="AQ58" s="139"/>
      <c r="AR58" s="374">
        <f t="shared" si="47"/>
        <v>206.265173</v>
      </c>
      <c r="AS58" s="9">
        <f t="shared" si="0"/>
        <v>956347</v>
      </c>
      <c r="AT58" s="9"/>
      <c r="AU58" s="373">
        <f t="shared" si="1"/>
        <v>956347</v>
      </c>
      <c r="AV58" s="439">
        <f t="shared" si="49"/>
        <v>26.6</v>
      </c>
      <c r="AW58" s="9">
        <f t="shared" si="3"/>
        <v>74162</v>
      </c>
      <c r="AX58" s="9"/>
      <c r="AY58" s="373">
        <f t="shared" si="4"/>
        <v>1030509</v>
      </c>
      <c r="AZ58" s="439">
        <f t="shared" si="30"/>
        <v>0</v>
      </c>
      <c r="BA58" s="9">
        <f t="shared" si="31"/>
        <v>0</v>
      </c>
      <c r="BB58" s="439"/>
      <c r="BC58" s="171">
        <f t="shared" si="32"/>
        <v>956347</v>
      </c>
      <c r="BD58" s="171">
        <f t="shared" si="33"/>
        <v>74162</v>
      </c>
      <c r="BE58" s="171">
        <f t="shared" si="34"/>
        <v>0</v>
      </c>
      <c r="BF58" s="438">
        <f t="shared" si="35"/>
        <v>1030509</v>
      </c>
      <c r="BG58" s="389">
        <f t="shared" si="5"/>
        <v>0</v>
      </c>
      <c r="BH58" s="438"/>
      <c r="BI58" s="425">
        <f t="shared" si="6"/>
        <v>15091.474862999999</v>
      </c>
      <c r="BJ58" s="425">
        <f t="shared" si="7"/>
        <v>136.07</v>
      </c>
      <c r="BK58" s="425">
        <f t="shared" si="8"/>
        <v>0</v>
      </c>
      <c r="BL58" s="438"/>
      <c r="BM58" s="425">
        <f t="shared" si="9"/>
        <v>15091.474862999999</v>
      </c>
      <c r="BN58" s="425">
        <f t="shared" si="10"/>
        <v>136.07</v>
      </c>
      <c r="BO58" s="425">
        <f t="shared" si="11"/>
        <v>0</v>
      </c>
      <c r="BP58" s="438"/>
      <c r="BQ58" s="372">
        <f t="shared" si="12"/>
        <v>15297.74</v>
      </c>
      <c r="BR58" s="372">
        <f t="shared" si="13"/>
        <v>162.66999999999999</v>
      </c>
      <c r="BS58" s="372">
        <f t="shared" si="14"/>
        <v>0</v>
      </c>
      <c r="BU58" s="439">
        <f t="shared" si="15"/>
        <v>0</v>
      </c>
      <c r="BV58" s="439">
        <f t="shared" si="16"/>
        <v>0</v>
      </c>
      <c r="BW58" s="439">
        <f t="shared" si="17"/>
        <v>0</v>
      </c>
      <c r="BY58" s="439">
        <f t="shared" si="18"/>
        <v>0</v>
      </c>
      <c r="BZ58" s="439">
        <f t="shared" si="19"/>
        <v>0</v>
      </c>
      <c r="CA58" s="439">
        <f t="shared" si="20"/>
        <v>0</v>
      </c>
      <c r="CB58" s="439"/>
      <c r="CC58" s="439">
        <f t="shared" si="21"/>
        <v>0</v>
      </c>
      <c r="CD58" s="439">
        <f t="shared" si="22"/>
        <v>0</v>
      </c>
      <c r="CE58" s="374">
        <f t="shared" si="23"/>
        <v>0</v>
      </c>
      <c r="CF58" s="439"/>
      <c r="CG58" s="439">
        <f t="shared" si="36"/>
        <v>206.265173</v>
      </c>
      <c r="CH58" s="439">
        <f t="shared" si="37"/>
        <v>26.6</v>
      </c>
      <c r="CI58" s="439">
        <f t="shared" si="38"/>
        <v>0</v>
      </c>
      <c r="CJ58" s="439"/>
      <c r="CK58" s="439">
        <v>4636.4928259999997</v>
      </c>
      <c r="CL58" s="439">
        <v>2788.0536374600001</v>
      </c>
      <c r="CM58" s="439">
        <v>3282.8110613200001</v>
      </c>
      <c r="CN58" s="439"/>
      <c r="CO58" s="439">
        <f t="shared" si="39"/>
        <v>956346.99486814882</v>
      </c>
      <c r="CP58" s="439">
        <f t="shared" si="24"/>
        <v>74162.226756436008</v>
      </c>
      <c r="CQ58" s="439">
        <f t="shared" si="24"/>
        <v>0</v>
      </c>
      <c r="CR58" s="439">
        <f t="shared" si="40"/>
        <v>1030509.2216245849</v>
      </c>
      <c r="CS58" s="439">
        <f>+'[1]13-14 $86M Workload Restore'!AJ56</f>
        <v>1030509</v>
      </c>
      <c r="CT58" s="439">
        <f t="shared" si="41"/>
        <v>0.2216245848685503</v>
      </c>
      <c r="CV58" s="173">
        <v>0</v>
      </c>
      <c r="CW58" s="439">
        <f t="shared" si="42"/>
        <v>15297.740035999999</v>
      </c>
      <c r="CX58" s="439">
        <f t="shared" si="50"/>
        <v>162.66999999999999</v>
      </c>
      <c r="CY58" s="439">
        <f t="shared" si="50"/>
        <v>0</v>
      </c>
      <c r="DA58" s="439">
        <f t="shared" si="51"/>
        <v>-3.5999999454361387E-5</v>
      </c>
      <c r="DB58" s="439">
        <f t="shared" si="51"/>
        <v>0</v>
      </c>
      <c r="DC58" s="439">
        <f t="shared" si="51"/>
        <v>0</v>
      </c>
      <c r="DE58" s="371">
        <f t="shared" si="52"/>
        <v>0</v>
      </c>
      <c r="DF58" s="371">
        <f t="shared" si="52"/>
        <v>0</v>
      </c>
      <c r="DG58" s="371">
        <f t="shared" si="52"/>
        <v>0</v>
      </c>
      <c r="DH58" s="439"/>
      <c r="DI58" s="371">
        <f t="shared" si="53"/>
        <v>0</v>
      </c>
      <c r="DJ58" s="371">
        <f t="shared" si="53"/>
        <v>0</v>
      </c>
      <c r="DK58" s="371">
        <f t="shared" si="53"/>
        <v>0</v>
      </c>
      <c r="DL58" s="144">
        <f t="shared" si="43"/>
        <v>70927862.360334545</v>
      </c>
      <c r="DM58" s="144">
        <f t="shared" si="44"/>
        <v>453532.68520561821</v>
      </c>
      <c r="DN58" s="144">
        <f t="shared" si="45"/>
        <v>0</v>
      </c>
      <c r="DO58" s="144">
        <f>'[1]PBF Run'!F58*(1+'[1]PBF Run'!$C$4)</f>
        <v>5622822.7713000001</v>
      </c>
      <c r="DP58" s="144">
        <f>'[1]PBF Run'!AA58+'[1]PBF Run'!AB58+'[1]PBF Run'!AC58+'[1]PBF Run'!AD58</f>
        <v>0</v>
      </c>
      <c r="DQ58" s="144">
        <f>'[1]PBF Run'!X58</f>
        <v>0</v>
      </c>
      <c r="DR58" s="144">
        <f>'[1]PBF Run'!L58*(1+'[1]PBF Run'!$C$4)</f>
        <v>0</v>
      </c>
      <c r="DS58" s="144">
        <f>'[1]PBF Run'!AE58</f>
        <v>77004217</v>
      </c>
      <c r="DT58" s="326">
        <f t="shared" si="48"/>
        <v>-0.81684017181396484</v>
      </c>
      <c r="DU58" s="144"/>
      <c r="DV58" s="144"/>
    </row>
    <row r="59" spans="1:126" ht="13.5" thickBot="1">
      <c r="A59" s="16" t="s">
        <v>301</v>
      </c>
      <c r="B59" s="16" t="s">
        <v>160</v>
      </c>
      <c r="C59" s="425">
        <f>[1]FTES!C59</f>
        <v>13438.119999999999</v>
      </c>
      <c r="D59" s="425">
        <f>[1]FTES!D59</f>
        <v>13438.119999999999</v>
      </c>
      <c r="E59" s="425">
        <f>[1]FTES!E59</f>
        <v>12945.68</v>
      </c>
      <c r="F59" s="425">
        <f>[1]FTES!H59</f>
        <v>0</v>
      </c>
      <c r="G59" s="425">
        <f>[1]FTES!I59</f>
        <v>0</v>
      </c>
      <c r="H59" s="425">
        <f>[1]FTES!J59</f>
        <v>12945.68</v>
      </c>
      <c r="I59" s="425">
        <f>[1]FTES!K59</f>
        <v>-492.44</v>
      </c>
      <c r="J59" s="425">
        <f>[1]FTES!L59</f>
        <v>0</v>
      </c>
      <c r="K59" s="425">
        <f>[1]FTES!M59</f>
        <v>0</v>
      </c>
      <c r="L59" s="425">
        <f>[1]FTES!N59</f>
        <v>99.27</v>
      </c>
      <c r="M59" s="425">
        <f>[1]FTES!O59</f>
        <v>99.27</v>
      </c>
      <c r="N59" s="425">
        <f>[1]FTES!P59</f>
        <v>106.48</v>
      </c>
      <c r="O59" s="425">
        <f>[1]FTES!S59</f>
        <v>0</v>
      </c>
      <c r="P59" s="425">
        <f>[1]FTES!T59</f>
        <v>0</v>
      </c>
      <c r="Q59" s="425">
        <f>[1]FTES!U59</f>
        <v>106.48</v>
      </c>
      <c r="R59" s="425">
        <f>[1]FTES!V59</f>
        <v>7.21</v>
      </c>
      <c r="S59" s="425">
        <f>[1]FTES!W59</f>
        <v>0</v>
      </c>
      <c r="T59" s="425">
        <f>[1]FTES!X59</f>
        <v>0</v>
      </c>
      <c r="U59" s="425">
        <f>[1]FTES!Y59</f>
        <v>0</v>
      </c>
      <c r="V59" s="425">
        <f>[1]FTES!Z59</f>
        <v>0</v>
      </c>
      <c r="W59" s="425">
        <f>[1]FTES!AA59</f>
        <v>0</v>
      </c>
      <c r="X59" s="425">
        <f>[1]FTES!AD59</f>
        <v>0</v>
      </c>
      <c r="Y59" s="425">
        <f>[1]FTES!AE59</f>
        <v>0</v>
      </c>
      <c r="Z59" s="425">
        <f>[1]FTES!AF59</f>
        <v>0</v>
      </c>
      <c r="AA59" s="425">
        <f>[1]FTES!AG59</f>
        <v>0</v>
      </c>
      <c r="AB59" s="425">
        <f>[1]FTES!AH59</f>
        <v>0</v>
      </c>
      <c r="AC59" s="425">
        <f>[1]FTES!AI59</f>
        <v>0</v>
      </c>
      <c r="AD59" s="425"/>
      <c r="AE59" s="376">
        <f>'[1]13-14 $86M Workload Restore'!AJ57</f>
        <v>0</v>
      </c>
      <c r="AF59" s="375"/>
      <c r="AG59" s="122" t="str">
        <f>'[1]Restoration and Growth'!N59</f>
        <v>Decline</v>
      </c>
      <c r="AH59" s="122" t="str">
        <f>'[1]Restoration and Growth'!O59</f>
        <v>Decline</v>
      </c>
      <c r="AI59" s="122" t="str">
        <f>'[1]Restoration and Growth'!P59</f>
        <v>Grow</v>
      </c>
      <c r="AJ59" s="122" t="str">
        <f>'[1]Restoration and Growth'!Q59</f>
        <v>No CPCP</v>
      </c>
      <c r="AK59" s="139"/>
      <c r="AL59" s="139">
        <f>ROUND(J59*'[1]PBF Run'!$AS$4,3)</f>
        <v>0</v>
      </c>
      <c r="AM59" s="139">
        <f>ROUND(S59*'[1]PBF Run'!$AF$4,3)</f>
        <v>0</v>
      </c>
      <c r="AN59" s="139">
        <f>ROUND(AB59*'[1]PBF Run'!$AJ$4,3)</f>
        <v>0</v>
      </c>
      <c r="AO59" s="139">
        <f t="shared" si="29"/>
        <v>0</v>
      </c>
      <c r="AP59" s="139" t="str">
        <f t="shared" si="46"/>
        <v>NA</v>
      </c>
      <c r="AQ59" s="139"/>
      <c r="AR59" s="374">
        <f t="shared" si="47"/>
        <v>0</v>
      </c>
      <c r="AS59" s="9">
        <f t="shared" si="0"/>
        <v>0</v>
      </c>
      <c r="AT59" s="9"/>
      <c r="AU59" s="373">
        <f t="shared" si="1"/>
        <v>0</v>
      </c>
      <c r="AV59" s="439">
        <f t="shared" si="49"/>
        <v>0</v>
      </c>
      <c r="AW59" s="9">
        <f t="shared" si="3"/>
        <v>0</v>
      </c>
      <c r="AX59" s="9"/>
      <c r="AY59" s="373">
        <f t="shared" si="4"/>
        <v>0</v>
      </c>
      <c r="AZ59" s="439">
        <f t="shared" si="30"/>
        <v>0</v>
      </c>
      <c r="BA59" s="9">
        <f t="shared" si="31"/>
        <v>0</v>
      </c>
      <c r="BB59" s="439"/>
      <c r="BC59" s="171">
        <f t="shared" si="32"/>
        <v>0</v>
      </c>
      <c r="BD59" s="171">
        <f t="shared" si="33"/>
        <v>0</v>
      </c>
      <c r="BE59" s="171">
        <f t="shared" si="34"/>
        <v>0</v>
      </c>
      <c r="BF59" s="438">
        <f t="shared" si="35"/>
        <v>0</v>
      </c>
      <c r="BG59" s="389">
        <f t="shared" si="5"/>
        <v>0</v>
      </c>
      <c r="BH59" s="438"/>
      <c r="BI59" s="425">
        <f t="shared" si="6"/>
        <v>13438.119999999999</v>
      </c>
      <c r="BJ59" s="425">
        <f t="shared" si="7"/>
        <v>99.27</v>
      </c>
      <c r="BK59" s="425">
        <f t="shared" si="8"/>
        <v>0</v>
      </c>
      <c r="BL59" s="438"/>
      <c r="BM59" s="425">
        <f t="shared" si="9"/>
        <v>13438.119999999999</v>
      </c>
      <c r="BN59" s="425">
        <f t="shared" si="10"/>
        <v>99.27</v>
      </c>
      <c r="BO59" s="425">
        <f t="shared" si="11"/>
        <v>0</v>
      </c>
      <c r="BP59" s="438"/>
      <c r="BQ59" s="372">
        <f t="shared" si="12"/>
        <v>12945.68</v>
      </c>
      <c r="BR59" s="372">
        <f t="shared" si="13"/>
        <v>106.48</v>
      </c>
      <c r="BS59" s="372">
        <f t="shared" si="14"/>
        <v>0</v>
      </c>
      <c r="BU59" s="439">
        <f t="shared" si="15"/>
        <v>0</v>
      </c>
      <c r="BV59" s="439">
        <f t="shared" si="16"/>
        <v>0</v>
      </c>
      <c r="BW59" s="439">
        <f t="shared" si="17"/>
        <v>0</v>
      </c>
      <c r="BY59" s="439">
        <f t="shared" si="18"/>
        <v>0</v>
      </c>
      <c r="BZ59" s="439">
        <f t="shared" si="19"/>
        <v>0</v>
      </c>
      <c r="CA59" s="439">
        <f t="shared" si="20"/>
        <v>0</v>
      </c>
      <c r="CB59" s="439"/>
      <c r="CC59" s="439">
        <f t="shared" si="21"/>
        <v>-492.44</v>
      </c>
      <c r="CD59" s="439">
        <f t="shared" si="22"/>
        <v>7.21</v>
      </c>
      <c r="CE59" s="374">
        <f t="shared" si="23"/>
        <v>0</v>
      </c>
      <c r="CF59" s="439"/>
      <c r="CG59" s="439">
        <f t="shared" si="36"/>
        <v>0</v>
      </c>
      <c r="CH59" s="439">
        <f t="shared" si="37"/>
        <v>0</v>
      </c>
      <c r="CI59" s="439">
        <f t="shared" si="38"/>
        <v>0</v>
      </c>
      <c r="CJ59" s="439"/>
      <c r="CK59" s="439">
        <v>4655.301316</v>
      </c>
      <c r="CL59" s="439">
        <v>2788.0536374600001</v>
      </c>
      <c r="CM59" s="439">
        <v>3282.8110613200001</v>
      </c>
      <c r="CN59" s="439"/>
      <c r="CO59" s="439">
        <f t="shared" si="39"/>
        <v>0</v>
      </c>
      <c r="CP59" s="439">
        <f t="shared" si="24"/>
        <v>0</v>
      </c>
      <c r="CQ59" s="439">
        <f t="shared" si="24"/>
        <v>0</v>
      </c>
      <c r="CR59" s="439">
        <f t="shared" si="40"/>
        <v>0</v>
      </c>
      <c r="CS59" s="439">
        <f>+'[1]13-14 $86M Workload Restore'!AJ57</f>
        <v>0</v>
      </c>
      <c r="CT59" s="439">
        <f t="shared" si="41"/>
        <v>0</v>
      </c>
      <c r="CV59" s="173">
        <v>0</v>
      </c>
      <c r="CW59" s="439">
        <f t="shared" si="42"/>
        <v>12945.679999999998</v>
      </c>
      <c r="CX59" s="439">
        <f t="shared" si="50"/>
        <v>106.47999999999999</v>
      </c>
      <c r="CY59" s="439">
        <f t="shared" si="50"/>
        <v>0</v>
      </c>
      <c r="DA59" s="439">
        <f t="shared" si="51"/>
        <v>0</v>
      </c>
      <c r="DB59" s="439">
        <f t="shared" si="51"/>
        <v>0</v>
      </c>
      <c r="DC59" s="439">
        <f t="shared" si="51"/>
        <v>0</v>
      </c>
      <c r="DE59" s="371">
        <f t="shared" si="52"/>
        <v>0</v>
      </c>
      <c r="DF59" s="371">
        <f t="shared" si="52"/>
        <v>0</v>
      </c>
      <c r="DG59" s="371">
        <f t="shared" si="52"/>
        <v>0</v>
      </c>
      <c r="DH59" s="439"/>
      <c r="DI59" s="371">
        <f t="shared" si="53"/>
        <v>1.8189894035458565E-12</v>
      </c>
      <c r="DJ59" s="371">
        <f t="shared" si="53"/>
        <v>1.4210854715202004E-14</v>
      </c>
      <c r="DK59" s="371">
        <f t="shared" si="53"/>
        <v>0</v>
      </c>
      <c r="DL59" s="144">
        <f t="shared" si="43"/>
        <v>60022552.811076917</v>
      </c>
      <c r="DM59" s="144">
        <f t="shared" si="44"/>
        <v>296871.95131674077</v>
      </c>
      <c r="DN59" s="144">
        <f t="shared" si="45"/>
        <v>0</v>
      </c>
      <c r="DO59" s="144">
        <f>'[1]PBF Run'!F59*(1+'[1]PBF Run'!$C$4)</f>
        <v>6747386.5130000003</v>
      </c>
      <c r="DP59" s="144">
        <f>'[1]PBF Run'!AA59+'[1]PBF Run'!AB59+'[1]PBF Run'!AC59+'[1]PBF Run'!AD59</f>
        <v>0</v>
      </c>
      <c r="DQ59" s="144">
        <f>'[1]PBF Run'!X59</f>
        <v>2263093</v>
      </c>
      <c r="DR59" s="144">
        <f>'[1]PBF Run'!L59*(1+'[1]PBF Run'!$C$4)</f>
        <v>252750.85080000001</v>
      </c>
      <c r="DS59" s="144">
        <f>'[1]PBF Run'!AE59</f>
        <v>69582654</v>
      </c>
      <c r="DT59" s="326">
        <f t="shared" si="48"/>
        <v>-1.1261936500668526</v>
      </c>
      <c r="DU59" s="144"/>
      <c r="DV59" s="144"/>
    </row>
    <row r="60" spans="1:126" ht="13.5" thickBot="1">
      <c r="A60" s="16" t="s">
        <v>299</v>
      </c>
      <c r="B60" s="16" t="s">
        <v>161</v>
      </c>
      <c r="C60" s="425">
        <f>[1]FTES!C60</f>
        <v>7774.2299999999987</v>
      </c>
      <c r="D60" s="425">
        <f>[1]FTES!D60</f>
        <v>7774.2299999999987</v>
      </c>
      <c r="E60" s="425">
        <f>[1]FTES!E60</f>
        <v>8166.16</v>
      </c>
      <c r="F60" s="425">
        <f>[1]FTES!H60</f>
        <v>391.93007699999998</v>
      </c>
      <c r="G60" s="425">
        <f>[1]FTES!I60</f>
        <v>0</v>
      </c>
      <c r="H60" s="425">
        <f>[1]FTES!J60</f>
        <v>8166.1600769999995</v>
      </c>
      <c r="I60" s="425">
        <f>[1]FTES!K60</f>
        <v>0</v>
      </c>
      <c r="J60" s="425">
        <f>[1]FTES!L60</f>
        <v>-7.7000000000000001E-5</v>
      </c>
      <c r="K60" s="425">
        <f>[1]FTES!M60</f>
        <v>0</v>
      </c>
      <c r="L60" s="425">
        <f>[1]FTES!N60</f>
        <v>57.17</v>
      </c>
      <c r="M60" s="425">
        <f>[1]FTES!O60</f>
        <v>57.17</v>
      </c>
      <c r="N60" s="425">
        <f>[1]FTES!P60</f>
        <v>67.91</v>
      </c>
      <c r="O60" s="425">
        <f>[1]FTES!S60</f>
        <v>10.740109</v>
      </c>
      <c r="P60" s="425">
        <f>[1]FTES!T60</f>
        <v>0</v>
      </c>
      <c r="Q60" s="425">
        <f>[1]FTES!U60</f>
        <v>67.910109000000006</v>
      </c>
      <c r="R60" s="425">
        <f>[1]FTES!V60</f>
        <v>0</v>
      </c>
      <c r="S60" s="425">
        <f>[1]FTES!W60</f>
        <v>0</v>
      </c>
      <c r="T60" s="425">
        <f>[1]FTES!X60</f>
        <v>0</v>
      </c>
      <c r="U60" s="425">
        <f>[1]FTES!Y60</f>
        <v>114.77000000000001</v>
      </c>
      <c r="V60" s="425">
        <f>[1]FTES!Z60</f>
        <v>114.77000000000001</v>
      </c>
      <c r="W60" s="425">
        <f>[1]FTES!AA60</f>
        <v>145.86000000000001</v>
      </c>
      <c r="X60" s="425">
        <f>[1]FTES!AD60</f>
        <v>31.090122999999998</v>
      </c>
      <c r="Y60" s="425">
        <f>[1]FTES!AE60</f>
        <v>0</v>
      </c>
      <c r="Z60" s="425">
        <f>[1]FTES!AF60</f>
        <v>145.86012299999999</v>
      </c>
      <c r="AA60" s="425">
        <f>[1]FTES!AG60</f>
        <v>0</v>
      </c>
      <c r="AB60" s="425">
        <f>[1]FTES!AH60</f>
        <v>0</v>
      </c>
      <c r="AC60" s="425">
        <f>[1]FTES!AI60</f>
        <v>0</v>
      </c>
      <c r="AD60" s="425"/>
      <c r="AE60" s="376">
        <f>'[1]13-14 $86M Workload Restore'!AJ58</f>
        <v>0</v>
      </c>
      <c r="AF60" s="375"/>
      <c r="AG60" s="122" t="str">
        <f>'[1]Restoration and Growth'!N60</f>
        <v>Restore</v>
      </c>
      <c r="AH60" s="122" t="str">
        <f>'[1]Restoration and Growth'!O60</f>
        <v>Grow</v>
      </c>
      <c r="AI60" s="122" t="str">
        <f>'[1]Restoration and Growth'!P60</f>
        <v>Grow</v>
      </c>
      <c r="AJ60" s="122" t="str">
        <f>'[1]Restoration and Growth'!Q60</f>
        <v>Grow</v>
      </c>
      <c r="AK60" s="139"/>
      <c r="AL60" s="139">
        <f>ROUND(J60*'[1]PBF Run'!$AS$4,3)</f>
        <v>-0.35699999999999998</v>
      </c>
      <c r="AM60" s="139">
        <f>ROUND(S60*'[1]PBF Run'!$AF$4,3)</f>
        <v>0</v>
      </c>
      <c r="AN60" s="139">
        <f>ROUND(AB60*'[1]PBF Run'!$AJ$4,3)</f>
        <v>0</v>
      </c>
      <c r="AO60" s="139">
        <f t="shared" si="29"/>
        <v>-0.35699999999999998</v>
      </c>
      <c r="AP60" s="139" t="str">
        <f t="shared" si="46"/>
        <v>Y</v>
      </c>
      <c r="AQ60" s="139"/>
      <c r="AR60" s="374">
        <f t="shared" si="47"/>
        <v>-7.7000000000000001E-5</v>
      </c>
      <c r="AS60" s="9">
        <f t="shared" si="0"/>
        <v>0</v>
      </c>
      <c r="AT60" s="9"/>
      <c r="AU60" s="373">
        <f t="shared" si="1"/>
        <v>0</v>
      </c>
      <c r="AV60" s="439">
        <f t="shared" si="49"/>
        <v>0</v>
      </c>
      <c r="AW60" s="9">
        <f t="shared" si="3"/>
        <v>0</v>
      </c>
      <c r="AX60" s="9"/>
      <c r="AY60" s="373">
        <f t="shared" si="4"/>
        <v>0</v>
      </c>
      <c r="AZ60" s="439">
        <f t="shared" si="30"/>
        <v>0</v>
      </c>
      <c r="BA60" s="9">
        <f t="shared" si="31"/>
        <v>0</v>
      </c>
      <c r="BB60" s="439"/>
      <c r="BC60" s="171">
        <f t="shared" si="32"/>
        <v>0</v>
      </c>
      <c r="BD60" s="171">
        <f t="shared" si="33"/>
        <v>0</v>
      </c>
      <c r="BE60" s="171">
        <f t="shared" si="34"/>
        <v>0</v>
      </c>
      <c r="BF60" s="438">
        <f t="shared" si="35"/>
        <v>0</v>
      </c>
      <c r="BG60" s="389">
        <f t="shared" si="5"/>
        <v>0</v>
      </c>
      <c r="BH60" s="438"/>
      <c r="BI60" s="425">
        <f t="shared" si="6"/>
        <v>7774.2299999999987</v>
      </c>
      <c r="BJ60" s="425">
        <f t="shared" si="7"/>
        <v>57.17</v>
      </c>
      <c r="BK60" s="425">
        <f t="shared" si="8"/>
        <v>114.77000000000001</v>
      </c>
      <c r="BL60" s="438"/>
      <c r="BM60" s="425">
        <f t="shared" si="9"/>
        <v>7774.2299999999987</v>
      </c>
      <c r="BN60" s="425">
        <f t="shared" si="10"/>
        <v>57.17</v>
      </c>
      <c r="BO60" s="425">
        <f t="shared" si="11"/>
        <v>114.77000000000001</v>
      </c>
      <c r="BP60" s="438"/>
      <c r="BQ60" s="372">
        <f t="shared" si="12"/>
        <v>8166.16</v>
      </c>
      <c r="BR60" s="372">
        <f t="shared" si="13"/>
        <v>67.91</v>
      </c>
      <c r="BS60" s="372">
        <f t="shared" si="14"/>
        <v>145.86000000000001</v>
      </c>
      <c r="BU60" s="439">
        <f t="shared" si="15"/>
        <v>391.93007699999998</v>
      </c>
      <c r="BV60" s="439">
        <f t="shared" si="16"/>
        <v>10.740109</v>
      </c>
      <c r="BW60" s="439">
        <f t="shared" si="17"/>
        <v>31.090122999999998</v>
      </c>
      <c r="BY60" s="439">
        <f t="shared" si="18"/>
        <v>0</v>
      </c>
      <c r="BZ60" s="439">
        <f t="shared" si="19"/>
        <v>0</v>
      </c>
      <c r="CA60" s="439">
        <f t="shared" si="20"/>
        <v>0</v>
      </c>
      <c r="CB60" s="439"/>
      <c r="CC60" s="439">
        <f t="shared" si="21"/>
        <v>0</v>
      </c>
      <c r="CD60" s="439">
        <f t="shared" si="22"/>
        <v>0</v>
      </c>
      <c r="CE60" s="374">
        <f t="shared" si="23"/>
        <v>0</v>
      </c>
      <c r="CF60" s="439"/>
      <c r="CG60" s="439">
        <f t="shared" si="36"/>
        <v>-7.7000000000000001E-5</v>
      </c>
      <c r="CH60" s="439">
        <f t="shared" si="37"/>
        <v>0</v>
      </c>
      <c r="CI60" s="439">
        <f t="shared" si="38"/>
        <v>0</v>
      </c>
      <c r="CJ60" s="439"/>
      <c r="CK60" s="439">
        <v>4636.4928229999996</v>
      </c>
      <c r="CL60" s="439">
        <v>2788.0536374600001</v>
      </c>
      <c r="CM60" s="439">
        <v>3282.8110613200001</v>
      </c>
      <c r="CN60" s="439"/>
      <c r="CO60" s="439">
        <f t="shared" si="39"/>
        <v>-0.35700994737099995</v>
      </c>
      <c r="CP60" s="439">
        <f t="shared" si="24"/>
        <v>0</v>
      </c>
      <c r="CQ60" s="439">
        <f t="shared" si="24"/>
        <v>0</v>
      </c>
      <c r="CR60" s="439">
        <f t="shared" si="40"/>
        <v>-0.35700994737099995</v>
      </c>
      <c r="CS60" s="439">
        <f>+'[1]13-14 $86M Workload Restore'!AJ58</f>
        <v>0</v>
      </c>
      <c r="CT60" s="439">
        <f t="shared" si="41"/>
        <v>-0.35700994737099995</v>
      </c>
      <c r="CV60" s="173">
        <v>0</v>
      </c>
      <c r="CW60" s="439">
        <f t="shared" si="42"/>
        <v>8166.1599999999989</v>
      </c>
      <c r="CX60" s="439">
        <f t="shared" si="50"/>
        <v>67.910109000000006</v>
      </c>
      <c r="CY60" s="439">
        <f t="shared" si="50"/>
        <v>145.86012300000002</v>
      </c>
      <c r="DA60" s="439">
        <f t="shared" si="51"/>
        <v>0</v>
      </c>
      <c r="DB60" s="439">
        <f t="shared" si="51"/>
        <v>-1.0900000000901855E-4</v>
      </c>
      <c r="DC60" s="439">
        <f t="shared" si="51"/>
        <v>-1.2300000000209366E-4</v>
      </c>
      <c r="DE60" s="371">
        <f t="shared" si="52"/>
        <v>0</v>
      </c>
      <c r="DF60" s="371">
        <f t="shared" si="52"/>
        <v>0</v>
      </c>
      <c r="DG60" s="371">
        <f t="shared" si="52"/>
        <v>0</v>
      </c>
      <c r="DH60" s="439"/>
      <c r="DI60" s="371">
        <f t="shared" si="53"/>
        <v>9.0949470177292824E-13</v>
      </c>
      <c r="DJ60" s="371">
        <f t="shared" si="53"/>
        <v>0</v>
      </c>
      <c r="DK60" s="371">
        <f t="shared" si="53"/>
        <v>0</v>
      </c>
      <c r="DL60" s="144">
        <f t="shared" si="43"/>
        <v>37862342.485192269</v>
      </c>
      <c r="DM60" s="144">
        <f t="shared" si="44"/>
        <v>189337.02641775511</v>
      </c>
      <c r="DN60" s="144">
        <f t="shared" si="45"/>
        <v>478831.22518989583</v>
      </c>
      <c r="DO60" s="144">
        <f>'[1]PBF Run'!F60*(1+'[1]PBF Run'!$C$4)</f>
        <v>4498258.0139000006</v>
      </c>
      <c r="DP60" s="144">
        <f>'[1]PBF Run'!AA60+'[1]PBF Run'!AB60+'[1]PBF Run'!AC60+'[1]PBF Run'!AD60</f>
        <v>0</v>
      </c>
      <c r="DQ60" s="144">
        <f>'[1]PBF Run'!X60</f>
        <v>0</v>
      </c>
      <c r="DR60" s="144">
        <f>'[1]PBF Run'!L60*(1+'[1]PBF Run'!$C$4)</f>
        <v>0</v>
      </c>
      <c r="DS60" s="144">
        <f>'[1]PBF Run'!AE60</f>
        <v>43028768</v>
      </c>
      <c r="DT60" s="326">
        <f t="shared" si="48"/>
        <v>-0.75069991499185562</v>
      </c>
      <c r="DU60" s="144"/>
      <c r="DV60" s="144"/>
    </row>
    <row r="61" spans="1:126" ht="13.5" thickBot="1">
      <c r="A61" s="16" t="s">
        <v>297</v>
      </c>
      <c r="B61" s="16" t="s">
        <v>162</v>
      </c>
      <c r="C61" s="425">
        <f>[1]FTES!C61</f>
        <v>19139.989999999998</v>
      </c>
      <c r="D61" s="425">
        <f>[1]FTES!D61</f>
        <v>19139.989999999998</v>
      </c>
      <c r="E61" s="425">
        <f>[1]FTES!E61</f>
        <v>18418.11</v>
      </c>
      <c r="F61" s="425">
        <f>[1]FTES!H61</f>
        <v>0</v>
      </c>
      <c r="G61" s="425">
        <f>[1]FTES!I61</f>
        <v>0</v>
      </c>
      <c r="H61" s="425">
        <f>[1]FTES!J61</f>
        <v>18418.11</v>
      </c>
      <c r="I61" s="425">
        <f>[1]FTES!K61</f>
        <v>-721.88</v>
      </c>
      <c r="J61" s="425">
        <f>[1]FTES!L61</f>
        <v>0</v>
      </c>
      <c r="K61" s="425">
        <f>[1]FTES!M61</f>
        <v>0</v>
      </c>
      <c r="L61" s="425">
        <f>[1]FTES!N61</f>
        <v>116.46000000000001</v>
      </c>
      <c r="M61" s="425">
        <f>[1]FTES!O61</f>
        <v>116.46000000000001</v>
      </c>
      <c r="N61" s="425">
        <f>[1]FTES!P61</f>
        <v>75.17</v>
      </c>
      <c r="O61" s="425">
        <f>[1]FTES!S61</f>
        <v>0</v>
      </c>
      <c r="P61" s="425">
        <f>[1]FTES!T61</f>
        <v>0</v>
      </c>
      <c r="Q61" s="425">
        <f>[1]FTES!U61</f>
        <v>75.17</v>
      </c>
      <c r="R61" s="425">
        <f>[1]FTES!V61</f>
        <v>-41.29</v>
      </c>
      <c r="S61" s="425">
        <f>[1]FTES!W61</f>
        <v>0</v>
      </c>
      <c r="T61" s="425">
        <f>[1]FTES!X61</f>
        <v>0</v>
      </c>
      <c r="U61" s="425">
        <f>[1]FTES!Y61</f>
        <v>0</v>
      </c>
      <c r="V61" s="425">
        <f>[1]FTES!Z61</f>
        <v>0</v>
      </c>
      <c r="W61" s="425">
        <f>[1]FTES!AA61</f>
        <v>0</v>
      </c>
      <c r="X61" s="425">
        <f>[1]FTES!AD61</f>
        <v>0</v>
      </c>
      <c r="Y61" s="425">
        <f>[1]FTES!AE61</f>
        <v>0</v>
      </c>
      <c r="Z61" s="425">
        <f>[1]FTES!AF61</f>
        <v>0</v>
      </c>
      <c r="AA61" s="425">
        <f>[1]FTES!AG61</f>
        <v>0</v>
      </c>
      <c r="AB61" s="425">
        <f>[1]FTES!AH61</f>
        <v>0</v>
      </c>
      <c r="AC61" s="425">
        <f>[1]FTES!AI61</f>
        <v>0</v>
      </c>
      <c r="AD61" s="425"/>
      <c r="AE61" s="376">
        <f>'[1]13-14 $86M Workload Restore'!AJ59</f>
        <v>0</v>
      </c>
      <c r="AF61" s="375"/>
      <c r="AG61" s="122" t="str">
        <f>'[1]Restoration and Growth'!N61</f>
        <v>Decline</v>
      </c>
      <c r="AH61" s="122" t="str">
        <f>'[1]Restoration and Growth'!O61</f>
        <v>Decline</v>
      </c>
      <c r="AI61" s="122" t="str">
        <f>'[1]Restoration and Growth'!P61</f>
        <v>Decline</v>
      </c>
      <c r="AJ61" s="122" t="str">
        <f>'[1]Restoration and Growth'!Q61</f>
        <v>No CPCP</v>
      </c>
      <c r="AK61" s="139"/>
      <c r="AL61" s="139">
        <f>ROUND(J61*'[1]PBF Run'!$AS$4,3)</f>
        <v>0</v>
      </c>
      <c r="AM61" s="139">
        <f>ROUND(S61*'[1]PBF Run'!$AF$4,3)</f>
        <v>0</v>
      </c>
      <c r="AN61" s="139">
        <f>ROUND(AB61*'[1]PBF Run'!$AJ$4,3)</f>
        <v>0</v>
      </c>
      <c r="AO61" s="139">
        <f t="shared" si="29"/>
        <v>0</v>
      </c>
      <c r="AP61" s="139" t="str">
        <f t="shared" si="46"/>
        <v>NA</v>
      </c>
      <c r="AQ61" s="139"/>
      <c r="AR61" s="374">
        <f t="shared" si="47"/>
        <v>0</v>
      </c>
      <c r="AS61" s="9">
        <f t="shared" si="0"/>
        <v>0</v>
      </c>
      <c r="AT61" s="9"/>
      <c r="AU61" s="373">
        <f t="shared" si="1"/>
        <v>0</v>
      </c>
      <c r="AV61" s="439">
        <f t="shared" si="49"/>
        <v>0</v>
      </c>
      <c r="AW61" s="9">
        <f t="shared" si="3"/>
        <v>0</v>
      </c>
      <c r="AX61" s="9"/>
      <c r="AY61" s="373">
        <f t="shared" si="4"/>
        <v>0</v>
      </c>
      <c r="AZ61" s="439">
        <f t="shared" si="30"/>
        <v>0</v>
      </c>
      <c r="BA61" s="9">
        <f t="shared" si="31"/>
        <v>0</v>
      </c>
      <c r="BB61" s="439"/>
      <c r="BC61" s="171">
        <f t="shared" si="32"/>
        <v>0</v>
      </c>
      <c r="BD61" s="171">
        <f t="shared" si="33"/>
        <v>0</v>
      </c>
      <c r="BE61" s="171">
        <f t="shared" si="34"/>
        <v>0</v>
      </c>
      <c r="BF61" s="438">
        <f t="shared" si="35"/>
        <v>0</v>
      </c>
      <c r="BG61" s="389">
        <f t="shared" si="5"/>
        <v>0</v>
      </c>
      <c r="BH61" s="438"/>
      <c r="BI61" s="425">
        <f t="shared" si="6"/>
        <v>19139.989999999998</v>
      </c>
      <c r="BJ61" s="425">
        <f t="shared" si="7"/>
        <v>116.46000000000001</v>
      </c>
      <c r="BK61" s="425">
        <f t="shared" si="8"/>
        <v>0</v>
      </c>
      <c r="BL61" s="438"/>
      <c r="BM61" s="425">
        <f t="shared" si="9"/>
        <v>19139.989999999998</v>
      </c>
      <c r="BN61" s="425">
        <f t="shared" si="10"/>
        <v>116.46000000000001</v>
      </c>
      <c r="BO61" s="425">
        <f t="shared" si="11"/>
        <v>0</v>
      </c>
      <c r="BP61" s="438"/>
      <c r="BQ61" s="372">
        <f t="shared" si="12"/>
        <v>18418.11</v>
      </c>
      <c r="BR61" s="372">
        <f t="shared" si="13"/>
        <v>75.17</v>
      </c>
      <c r="BS61" s="372">
        <f t="shared" si="14"/>
        <v>0</v>
      </c>
      <c r="BU61" s="439">
        <f t="shared" si="15"/>
        <v>0</v>
      </c>
      <c r="BV61" s="439">
        <f t="shared" si="16"/>
        <v>0</v>
      </c>
      <c r="BW61" s="439">
        <f t="shared" si="17"/>
        <v>0</v>
      </c>
      <c r="BY61" s="439">
        <f t="shared" si="18"/>
        <v>0</v>
      </c>
      <c r="BZ61" s="439">
        <f t="shared" si="19"/>
        <v>0</v>
      </c>
      <c r="CA61" s="439">
        <f t="shared" si="20"/>
        <v>0</v>
      </c>
      <c r="CB61" s="439"/>
      <c r="CC61" s="439">
        <f t="shared" si="21"/>
        <v>-721.88</v>
      </c>
      <c r="CD61" s="439">
        <f t="shared" si="22"/>
        <v>-41.29</v>
      </c>
      <c r="CE61" s="374">
        <f t="shared" si="23"/>
        <v>0</v>
      </c>
      <c r="CF61" s="439"/>
      <c r="CG61" s="439">
        <f t="shared" si="36"/>
        <v>0</v>
      </c>
      <c r="CH61" s="439">
        <f t="shared" si="37"/>
        <v>0</v>
      </c>
      <c r="CI61" s="439">
        <f t="shared" si="38"/>
        <v>0</v>
      </c>
      <c r="CJ61" s="439"/>
      <c r="CK61" s="439">
        <v>4636.4928719999998</v>
      </c>
      <c r="CL61" s="439">
        <v>2788.0536374600001</v>
      </c>
      <c r="CM61" s="439">
        <v>3282.8110613200001</v>
      </c>
      <c r="CN61" s="439"/>
      <c r="CO61" s="439">
        <f t="shared" si="39"/>
        <v>0</v>
      </c>
      <c r="CP61" s="439">
        <f t="shared" si="24"/>
        <v>0</v>
      </c>
      <c r="CQ61" s="439">
        <f t="shared" si="24"/>
        <v>0</v>
      </c>
      <c r="CR61" s="439">
        <f t="shared" si="40"/>
        <v>0</v>
      </c>
      <c r="CS61" s="439">
        <f>+'[1]13-14 $86M Workload Restore'!AJ59</f>
        <v>0</v>
      </c>
      <c r="CT61" s="439">
        <f t="shared" si="41"/>
        <v>0</v>
      </c>
      <c r="CV61" s="173">
        <v>0</v>
      </c>
      <c r="CW61" s="439">
        <f t="shared" si="42"/>
        <v>18418.109999999997</v>
      </c>
      <c r="CX61" s="439">
        <f t="shared" si="50"/>
        <v>75.170000000000016</v>
      </c>
      <c r="CY61" s="439">
        <f t="shared" si="50"/>
        <v>0</v>
      </c>
      <c r="DA61" s="439">
        <f t="shared" si="51"/>
        <v>0</v>
      </c>
      <c r="DB61" s="439">
        <f t="shared" si="51"/>
        <v>0</v>
      </c>
      <c r="DC61" s="439">
        <f t="shared" si="51"/>
        <v>0</v>
      </c>
      <c r="DE61" s="371">
        <f t="shared" si="52"/>
        <v>0</v>
      </c>
      <c r="DF61" s="371">
        <f t="shared" si="52"/>
        <v>0</v>
      </c>
      <c r="DG61" s="371">
        <f t="shared" si="52"/>
        <v>0</v>
      </c>
      <c r="DH61" s="439"/>
      <c r="DI61" s="371">
        <f t="shared" si="53"/>
        <v>3.637978807091713E-12</v>
      </c>
      <c r="DJ61" s="371">
        <f t="shared" si="53"/>
        <v>-1.4210854715202004E-14</v>
      </c>
      <c r="DK61" s="371">
        <f t="shared" si="53"/>
        <v>0</v>
      </c>
      <c r="DL61" s="144">
        <f t="shared" si="43"/>
        <v>85395435.400475204</v>
      </c>
      <c r="DM61" s="144">
        <f t="shared" si="44"/>
        <v>209577.99192786825</v>
      </c>
      <c r="DN61" s="144">
        <f t="shared" si="45"/>
        <v>0</v>
      </c>
      <c r="DO61" s="144">
        <f>'[1]PBF Run'!F61*(1+'[1]PBF Run'!$C$4)</f>
        <v>10121079.7695</v>
      </c>
      <c r="DP61" s="144">
        <f>'[1]PBF Run'!AA61+'[1]PBF Run'!AB61+'[1]PBF Run'!AC61+'[1]PBF Run'!AD61</f>
        <v>0</v>
      </c>
      <c r="DQ61" s="144">
        <f>'[1]PBF Run'!X61</f>
        <v>3462110</v>
      </c>
      <c r="DR61" s="144">
        <f>'[1]PBF Run'!L61*(1+'[1]PBF Run'!$C$4)</f>
        <v>0</v>
      </c>
      <c r="DS61" s="144">
        <f>'[1]PBF Run'!AE61</f>
        <v>99188204</v>
      </c>
      <c r="DT61" s="326">
        <f t="shared" si="48"/>
        <v>0.83809693157672882</v>
      </c>
      <c r="DU61" s="144"/>
      <c r="DV61" s="144"/>
    </row>
    <row r="62" spans="1:126" ht="13.5" thickBot="1">
      <c r="A62" s="16" t="s">
        <v>295</v>
      </c>
      <c r="B62" s="16" t="s">
        <v>163</v>
      </c>
      <c r="C62" s="425">
        <f>[1]FTES!C62</f>
        <v>13363.07992</v>
      </c>
      <c r="D62" s="425">
        <f>[1]FTES!D62</f>
        <v>13363.07992</v>
      </c>
      <c r="E62" s="425">
        <f>[1]FTES!E62</f>
        <v>12734.7</v>
      </c>
      <c r="F62" s="425">
        <f>[1]FTES!H62</f>
        <v>0</v>
      </c>
      <c r="G62" s="425">
        <f>[1]FTES!I62</f>
        <v>0</v>
      </c>
      <c r="H62" s="425">
        <f>[1]FTES!J62</f>
        <v>12734.7</v>
      </c>
      <c r="I62" s="425">
        <f>[1]FTES!K62</f>
        <v>-628.37991999999997</v>
      </c>
      <c r="J62" s="425">
        <f>[1]FTES!L62</f>
        <v>0</v>
      </c>
      <c r="K62" s="425">
        <f>[1]FTES!M62</f>
        <v>0</v>
      </c>
      <c r="L62" s="425">
        <f>[1]FTES!N62</f>
        <v>513.96</v>
      </c>
      <c r="M62" s="425">
        <f>[1]FTES!O62</f>
        <v>513.96</v>
      </c>
      <c r="N62" s="425">
        <f>[1]FTES!P62</f>
        <v>327.92999999999995</v>
      </c>
      <c r="O62" s="425">
        <f>[1]FTES!S62</f>
        <v>0</v>
      </c>
      <c r="P62" s="425">
        <f>[1]FTES!T62</f>
        <v>0</v>
      </c>
      <c r="Q62" s="425">
        <f>[1]FTES!U62</f>
        <v>327.92999999999995</v>
      </c>
      <c r="R62" s="425">
        <f>[1]FTES!V62</f>
        <v>-186.03</v>
      </c>
      <c r="S62" s="425">
        <f>[1]FTES!W62</f>
        <v>0</v>
      </c>
      <c r="T62" s="425">
        <f>[1]FTES!X62</f>
        <v>0</v>
      </c>
      <c r="U62" s="425">
        <f>[1]FTES!Y62</f>
        <v>472.64</v>
      </c>
      <c r="V62" s="425">
        <f>[1]FTES!Z62</f>
        <v>472.64</v>
      </c>
      <c r="W62" s="425">
        <f>[1]FTES!AA62</f>
        <v>515.61</v>
      </c>
      <c r="X62" s="425">
        <f>[1]FTES!AD62</f>
        <v>0</v>
      </c>
      <c r="Y62" s="425">
        <f>[1]FTES!AE62</f>
        <v>0</v>
      </c>
      <c r="Z62" s="425">
        <f>[1]FTES!AF62</f>
        <v>515.61</v>
      </c>
      <c r="AA62" s="425">
        <f>[1]FTES!AG62</f>
        <v>42.97</v>
      </c>
      <c r="AB62" s="425">
        <f>[1]FTES!AH62</f>
        <v>0</v>
      </c>
      <c r="AC62" s="425">
        <f>[1]FTES!AI62</f>
        <v>0</v>
      </c>
      <c r="AD62" s="425"/>
      <c r="AE62" s="376">
        <f>'[1]13-14 $86M Workload Restore'!AJ60</f>
        <v>0</v>
      </c>
      <c r="AF62" s="375"/>
      <c r="AG62" s="122" t="str">
        <f>'[1]Restoration and Growth'!N62</f>
        <v>Decline</v>
      </c>
      <c r="AH62" s="122" t="str">
        <f>'[1]Restoration and Growth'!O62</f>
        <v>Decline</v>
      </c>
      <c r="AI62" s="122" t="str">
        <f>'[1]Restoration and Growth'!P62</f>
        <v>Decline</v>
      </c>
      <c r="AJ62" s="122" t="str">
        <f>'[1]Restoration and Growth'!Q62</f>
        <v>Grow</v>
      </c>
      <c r="AK62" s="139"/>
      <c r="AL62" s="139">
        <f>ROUND(J62*'[1]PBF Run'!$AS$4,3)</f>
        <v>0</v>
      </c>
      <c r="AM62" s="139">
        <f>ROUND(S62*'[1]PBF Run'!$AF$4,3)</f>
        <v>0</v>
      </c>
      <c r="AN62" s="139">
        <f>ROUND(AB62*'[1]PBF Run'!$AJ$4,3)</f>
        <v>0</v>
      </c>
      <c r="AO62" s="139">
        <f t="shared" si="29"/>
        <v>0</v>
      </c>
      <c r="AP62" s="139" t="str">
        <f t="shared" si="46"/>
        <v>NA</v>
      </c>
      <c r="AQ62" s="139"/>
      <c r="AR62" s="374">
        <f t="shared" si="47"/>
        <v>0</v>
      </c>
      <c r="AS62" s="9">
        <f t="shared" si="0"/>
        <v>0</v>
      </c>
      <c r="AT62" s="9"/>
      <c r="AU62" s="373">
        <f t="shared" si="1"/>
        <v>0</v>
      </c>
      <c r="AV62" s="439">
        <f t="shared" si="49"/>
        <v>0</v>
      </c>
      <c r="AW62" s="9">
        <f t="shared" si="3"/>
        <v>0</v>
      </c>
      <c r="AX62" s="9"/>
      <c r="AY62" s="373">
        <f t="shared" si="4"/>
        <v>0</v>
      </c>
      <c r="AZ62" s="439">
        <f t="shared" si="30"/>
        <v>0</v>
      </c>
      <c r="BA62" s="9">
        <f t="shared" si="31"/>
        <v>0</v>
      </c>
      <c r="BB62" s="439"/>
      <c r="BC62" s="171">
        <f t="shared" si="32"/>
        <v>0</v>
      </c>
      <c r="BD62" s="171">
        <f t="shared" si="33"/>
        <v>0</v>
      </c>
      <c r="BE62" s="171">
        <f t="shared" si="34"/>
        <v>0</v>
      </c>
      <c r="BF62" s="438">
        <f t="shared" si="35"/>
        <v>0</v>
      </c>
      <c r="BG62" s="389">
        <f t="shared" si="5"/>
        <v>0</v>
      </c>
      <c r="BH62" s="438"/>
      <c r="BI62" s="425">
        <f t="shared" si="6"/>
        <v>13363.07992</v>
      </c>
      <c r="BJ62" s="425">
        <f t="shared" si="7"/>
        <v>513.96</v>
      </c>
      <c r="BK62" s="425">
        <f t="shared" si="8"/>
        <v>472.64</v>
      </c>
      <c r="BL62" s="438"/>
      <c r="BM62" s="425">
        <f t="shared" si="9"/>
        <v>13363.07992</v>
      </c>
      <c r="BN62" s="425">
        <f t="shared" si="10"/>
        <v>513.96</v>
      </c>
      <c r="BO62" s="425">
        <f t="shared" si="11"/>
        <v>472.64</v>
      </c>
      <c r="BP62" s="438"/>
      <c r="BQ62" s="372">
        <f t="shared" si="12"/>
        <v>12734.7</v>
      </c>
      <c r="BR62" s="372">
        <f t="shared" si="13"/>
        <v>327.92999999999995</v>
      </c>
      <c r="BS62" s="372">
        <f t="shared" si="14"/>
        <v>515.61</v>
      </c>
      <c r="BU62" s="439">
        <f t="shared" si="15"/>
        <v>0</v>
      </c>
      <c r="BV62" s="439">
        <f t="shared" si="16"/>
        <v>0</v>
      </c>
      <c r="BW62" s="439">
        <f t="shared" si="17"/>
        <v>0</v>
      </c>
      <c r="BY62" s="439">
        <f t="shared" si="18"/>
        <v>0</v>
      </c>
      <c r="BZ62" s="439">
        <f t="shared" si="19"/>
        <v>0</v>
      </c>
      <c r="CA62" s="439">
        <f t="shared" si="20"/>
        <v>0</v>
      </c>
      <c r="CB62" s="439"/>
      <c r="CC62" s="439">
        <f t="shared" si="21"/>
        <v>-628.37991999999997</v>
      </c>
      <c r="CD62" s="439">
        <f t="shared" si="22"/>
        <v>-186.03</v>
      </c>
      <c r="CE62" s="374">
        <f t="shared" si="23"/>
        <v>42.97</v>
      </c>
      <c r="CF62" s="439"/>
      <c r="CG62" s="439">
        <f t="shared" si="36"/>
        <v>0</v>
      </c>
      <c r="CH62" s="439">
        <f t="shared" si="37"/>
        <v>0</v>
      </c>
      <c r="CI62" s="439">
        <f t="shared" si="38"/>
        <v>0</v>
      </c>
      <c r="CJ62" s="439"/>
      <c r="CK62" s="439">
        <v>4636.4928579999996</v>
      </c>
      <c r="CL62" s="439">
        <v>2788.0536374600001</v>
      </c>
      <c r="CM62" s="439">
        <v>3282.8110613200001</v>
      </c>
      <c r="CN62" s="439"/>
      <c r="CO62" s="439">
        <f t="shared" si="39"/>
        <v>0</v>
      </c>
      <c r="CP62" s="439">
        <f t="shared" si="24"/>
        <v>0</v>
      </c>
      <c r="CQ62" s="439">
        <f t="shared" si="24"/>
        <v>0</v>
      </c>
      <c r="CR62" s="439">
        <f t="shared" si="40"/>
        <v>0</v>
      </c>
      <c r="CS62" s="439">
        <f>+'[1]13-14 $86M Workload Restore'!AJ60</f>
        <v>0</v>
      </c>
      <c r="CT62" s="439">
        <f t="shared" si="41"/>
        <v>0</v>
      </c>
      <c r="CV62" s="173">
        <v>0</v>
      </c>
      <c r="CW62" s="439">
        <f t="shared" si="42"/>
        <v>12734.7</v>
      </c>
      <c r="CX62" s="439">
        <f t="shared" si="50"/>
        <v>327.93000000000006</v>
      </c>
      <c r="CY62" s="439">
        <f t="shared" si="50"/>
        <v>515.61</v>
      </c>
      <c r="DA62" s="439">
        <f t="shared" si="51"/>
        <v>0</v>
      </c>
      <c r="DB62" s="439">
        <f t="shared" si="51"/>
        <v>0</v>
      </c>
      <c r="DC62" s="439">
        <f t="shared" si="51"/>
        <v>0</v>
      </c>
      <c r="DE62" s="371">
        <f t="shared" si="52"/>
        <v>0</v>
      </c>
      <c r="DF62" s="371">
        <f t="shared" si="52"/>
        <v>0</v>
      </c>
      <c r="DG62" s="371">
        <f t="shared" si="52"/>
        <v>0</v>
      </c>
      <c r="DH62" s="439"/>
      <c r="DI62" s="371">
        <f t="shared" si="53"/>
        <v>0</v>
      </c>
      <c r="DJ62" s="371">
        <f t="shared" si="53"/>
        <v>-1.1368683772161603E-13</v>
      </c>
      <c r="DK62" s="371">
        <f t="shared" si="53"/>
        <v>0</v>
      </c>
      <c r="DL62" s="144">
        <f t="shared" si="43"/>
        <v>59044345.548725232</v>
      </c>
      <c r="DM62" s="144">
        <f t="shared" si="44"/>
        <v>914286.42933225806</v>
      </c>
      <c r="DN62" s="144">
        <f t="shared" si="45"/>
        <v>1692650.2113272054</v>
      </c>
      <c r="DO62" s="144">
        <f>'[1]PBF Run'!F62*(1+'[1]PBF Run'!$C$4)</f>
        <v>6747387.5287000006</v>
      </c>
      <c r="DP62" s="144">
        <f>'[1]PBF Run'!AA62+'[1]PBF Run'!AB62+'[1]PBF Run'!AC62+'[1]PBF Run'!AD62</f>
        <v>0</v>
      </c>
      <c r="DQ62" s="144">
        <f>'[1]PBF Run'!X62</f>
        <v>3291079</v>
      </c>
      <c r="DR62" s="144">
        <f>'[1]PBF Run'!L62*(1+'[1]PBF Run'!$C$4)</f>
        <v>0</v>
      </c>
      <c r="DS62" s="144">
        <f>'[1]PBF Run'!AE62</f>
        <v>71689748</v>
      </c>
      <c r="DT62" s="326">
        <f t="shared" si="48"/>
        <v>-0.71808469295501709</v>
      </c>
      <c r="DU62" s="144"/>
      <c r="DV62" s="144"/>
    </row>
    <row r="63" spans="1:126" s="17" customFormat="1" ht="13.5" thickBot="1">
      <c r="A63" s="17" t="s">
        <v>293</v>
      </c>
      <c r="B63" s="17" t="s">
        <v>164</v>
      </c>
      <c r="C63" s="425">
        <f>[1]FTES!C63</f>
        <v>13649.51</v>
      </c>
      <c r="D63" s="425">
        <f>[1]FTES!D63</f>
        <v>13649.51</v>
      </c>
      <c r="E63" s="425">
        <f>[1]FTES!E63</f>
        <v>14262.98</v>
      </c>
      <c r="F63" s="425">
        <f>[1]FTES!H63</f>
        <v>0</v>
      </c>
      <c r="G63" s="425">
        <f>[1]FTES!I63</f>
        <v>0</v>
      </c>
      <c r="H63" s="425">
        <f>[1]FTES!J63</f>
        <v>13649.51</v>
      </c>
      <c r="I63" s="425">
        <f>[1]FTES!K63</f>
        <v>0</v>
      </c>
      <c r="J63" s="425">
        <f>[1]FTES!L63</f>
        <v>613.47</v>
      </c>
      <c r="K63" s="425">
        <f>[1]FTES!M63</f>
        <v>0</v>
      </c>
      <c r="L63" s="425">
        <f>[1]FTES!N63</f>
        <v>223.22</v>
      </c>
      <c r="M63" s="425">
        <f>[1]FTES!O63</f>
        <v>223.22</v>
      </c>
      <c r="N63" s="425">
        <f>[1]FTES!P63</f>
        <v>265.20999999999998</v>
      </c>
      <c r="O63" s="425">
        <f>[1]FTES!S63</f>
        <v>0</v>
      </c>
      <c r="P63" s="425">
        <f>[1]FTES!T63</f>
        <v>0</v>
      </c>
      <c r="Q63" s="425">
        <f>[1]FTES!U63</f>
        <v>223.22</v>
      </c>
      <c r="R63" s="425">
        <f>[1]FTES!V63</f>
        <v>0</v>
      </c>
      <c r="S63" s="425">
        <f>[1]FTES!W63</f>
        <v>41.99</v>
      </c>
      <c r="T63" s="425">
        <f>[1]FTES!X63</f>
        <v>0</v>
      </c>
      <c r="U63" s="425">
        <f>[1]FTES!Y63</f>
        <v>113.28</v>
      </c>
      <c r="V63" s="425">
        <f>[1]FTES!Z63</f>
        <v>113.28</v>
      </c>
      <c r="W63" s="425">
        <f>[1]FTES!AA63</f>
        <v>86.99</v>
      </c>
      <c r="X63" s="425">
        <f>[1]FTES!AD63</f>
        <v>0</v>
      </c>
      <c r="Y63" s="425">
        <f>[1]FTES!AE63</f>
        <v>0</v>
      </c>
      <c r="Z63" s="425">
        <f>[1]FTES!AF63</f>
        <v>86.99</v>
      </c>
      <c r="AA63" s="425">
        <f>[1]FTES!AG63</f>
        <v>0</v>
      </c>
      <c r="AB63" s="425">
        <f>[1]FTES!AH63</f>
        <v>0</v>
      </c>
      <c r="AC63" s="425">
        <f>[1]FTES!AI63</f>
        <v>0</v>
      </c>
      <c r="AD63" s="425"/>
      <c r="AE63" s="376">
        <f>'[1]13-14 $86M Workload Restore'!AJ61</f>
        <v>2368364</v>
      </c>
      <c r="AF63" s="375"/>
      <c r="AG63" s="122" t="str">
        <f>'[1]Restoration and Growth'!N63</f>
        <v>Growth</v>
      </c>
      <c r="AH63" s="122" t="str">
        <f>'[1]Restoration and Growth'!O63</f>
        <v>Grow</v>
      </c>
      <c r="AI63" s="122" t="str">
        <f>'[1]Restoration and Growth'!P63</f>
        <v>Grow</v>
      </c>
      <c r="AJ63" s="122" t="str">
        <f>'[1]Restoration and Growth'!Q63</f>
        <v>Decline</v>
      </c>
      <c r="AK63" s="424"/>
      <c r="AL63" s="139">
        <f>ROUND(J63*'[1]PBF Run'!$AS$4,3)</f>
        <v>2844349.2710000002</v>
      </c>
      <c r="AM63" s="139">
        <f>ROUND(S63*'[1]PBF Run'!$AF$4,3)</f>
        <v>117070.372</v>
      </c>
      <c r="AN63" s="139">
        <f>ROUND(AB63*'[1]PBF Run'!$AJ$4,3)</f>
        <v>0</v>
      </c>
      <c r="AO63" s="424">
        <f t="shared" si="29"/>
        <v>2961419.6430000002</v>
      </c>
      <c r="AP63" s="139" t="str">
        <f t="shared" si="46"/>
        <v>Y</v>
      </c>
      <c r="AQ63" s="424"/>
      <c r="AR63" s="374">
        <f t="shared" si="47"/>
        <v>504.173968</v>
      </c>
      <c r="AS63" s="9">
        <f t="shared" si="0"/>
        <v>2337599</v>
      </c>
      <c r="AT63" s="9"/>
      <c r="AU63" s="373">
        <f t="shared" si="1"/>
        <v>2337599</v>
      </c>
      <c r="AV63" s="439">
        <f t="shared" si="49"/>
        <v>41.99</v>
      </c>
      <c r="AW63" s="9">
        <f t="shared" si="3"/>
        <v>117070</v>
      </c>
      <c r="AX63" s="9"/>
      <c r="AY63" s="373">
        <f t="shared" si="4"/>
        <v>2454669</v>
      </c>
      <c r="AZ63" s="439">
        <f t="shared" si="30"/>
        <v>-26.290000000000006</v>
      </c>
      <c r="BA63" s="9">
        <f t="shared" si="31"/>
        <v>-86305</v>
      </c>
      <c r="BB63" s="439"/>
      <c r="BC63" s="171">
        <f t="shared" si="32"/>
        <v>2337599</v>
      </c>
      <c r="BD63" s="171">
        <f t="shared" si="33"/>
        <v>117070</v>
      </c>
      <c r="BE63" s="171">
        <f t="shared" si="34"/>
        <v>-86305</v>
      </c>
      <c r="BF63" s="367">
        <f t="shared" si="35"/>
        <v>2368364</v>
      </c>
      <c r="BG63" s="389">
        <f t="shared" si="5"/>
        <v>0</v>
      </c>
      <c r="BH63" s="438"/>
      <c r="BI63" s="425">
        <f t="shared" si="6"/>
        <v>13649.51</v>
      </c>
      <c r="BJ63" s="425">
        <f t="shared" si="7"/>
        <v>223.22</v>
      </c>
      <c r="BK63" s="425">
        <f t="shared" si="8"/>
        <v>113.28</v>
      </c>
      <c r="BL63" s="438"/>
      <c r="BM63" s="425">
        <f t="shared" si="9"/>
        <v>13649.51</v>
      </c>
      <c r="BN63" s="425">
        <f t="shared" si="10"/>
        <v>223.22</v>
      </c>
      <c r="BO63" s="425">
        <f t="shared" si="11"/>
        <v>113.28</v>
      </c>
      <c r="BP63" s="438"/>
      <c r="BQ63" s="366">
        <f t="shared" si="12"/>
        <v>14262.98</v>
      </c>
      <c r="BR63" s="366">
        <f t="shared" si="13"/>
        <v>265.20999999999998</v>
      </c>
      <c r="BS63" s="366">
        <f t="shared" si="14"/>
        <v>86.99</v>
      </c>
      <c r="BU63" s="439">
        <f t="shared" si="15"/>
        <v>0</v>
      </c>
      <c r="BV63" s="439">
        <f t="shared" si="16"/>
        <v>0</v>
      </c>
      <c r="BW63" s="439">
        <f t="shared" si="17"/>
        <v>0</v>
      </c>
      <c r="BX63" s="16"/>
      <c r="BY63" s="439">
        <f t="shared" si="18"/>
        <v>0</v>
      </c>
      <c r="BZ63" s="439">
        <f t="shared" si="19"/>
        <v>0</v>
      </c>
      <c r="CA63" s="439">
        <f t="shared" si="20"/>
        <v>0</v>
      </c>
      <c r="CB63" s="439"/>
      <c r="CC63" s="439">
        <f t="shared" si="21"/>
        <v>0</v>
      </c>
      <c r="CD63" s="439">
        <f t="shared" si="22"/>
        <v>0</v>
      </c>
      <c r="CE63" s="374">
        <f t="shared" si="23"/>
        <v>0</v>
      </c>
      <c r="CF63" s="439"/>
      <c r="CG63" s="439">
        <f t="shared" si="36"/>
        <v>504.173968</v>
      </c>
      <c r="CH63" s="439">
        <f t="shared" si="37"/>
        <v>41.99</v>
      </c>
      <c r="CI63" s="439">
        <f t="shared" si="38"/>
        <v>-26.290000000000006</v>
      </c>
      <c r="CJ63" s="439"/>
      <c r="CK63" s="439">
        <v>4636.4928650000002</v>
      </c>
      <c r="CL63" s="439">
        <v>2788.0536374600001</v>
      </c>
      <c r="CM63" s="439">
        <v>3282.8110613200001</v>
      </c>
      <c r="CN63" s="439"/>
      <c r="CO63" s="439">
        <f t="shared" si="39"/>
        <v>2337599.0053507383</v>
      </c>
      <c r="CP63" s="439">
        <f t="shared" si="24"/>
        <v>117070.3722369454</v>
      </c>
      <c r="CQ63" s="439">
        <f t="shared" si="24"/>
        <v>-86305.102802102818</v>
      </c>
      <c r="CR63" s="439">
        <f t="shared" si="40"/>
        <v>2368364.2747855806</v>
      </c>
      <c r="CS63" s="439">
        <f>+'[1]13-14 $86M Workload Restore'!AJ61</f>
        <v>2368364</v>
      </c>
      <c r="CT63" s="439">
        <f t="shared" si="41"/>
        <v>0.27478558057919145</v>
      </c>
      <c r="CV63" s="173">
        <v>0</v>
      </c>
      <c r="CW63" s="439">
        <f t="shared" si="42"/>
        <v>14153.683967999999</v>
      </c>
      <c r="CX63" s="439">
        <f t="shared" si="50"/>
        <v>265.20999999999998</v>
      </c>
      <c r="CY63" s="439">
        <f t="shared" si="50"/>
        <v>86.99</v>
      </c>
      <c r="CZ63" s="16"/>
      <c r="DA63" s="439">
        <f t="shared" si="51"/>
        <v>109.2960320000002</v>
      </c>
      <c r="DB63" s="439">
        <f t="shared" si="51"/>
        <v>0</v>
      </c>
      <c r="DC63" s="439">
        <f t="shared" si="51"/>
        <v>0</v>
      </c>
      <c r="DE63" s="371">
        <f t="shared" si="52"/>
        <v>0</v>
      </c>
      <c r="DF63" s="371">
        <f t="shared" si="52"/>
        <v>0</v>
      </c>
      <c r="DG63" s="371">
        <f t="shared" si="52"/>
        <v>0</v>
      </c>
      <c r="DH63" s="439"/>
      <c r="DI63" s="371">
        <f t="shared" si="53"/>
        <v>0</v>
      </c>
      <c r="DJ63" s="371">
        <f t="shared" si="53"/>
        <v>0</v>
      </c>
      <c r="DK63" s="371">
        <f t="shared" si="53"/>
        <v>0</v>
      </c>
      <c r="DL63" s="144">
        <f t="shared" si="43"/>
        <v>65623454.576397121</v>
      </c>
      <c r="DM63" s="144">
        <f t="shared" si="44"/>
        <v>739419.7051907666</v>
      </c>
      <c r="DN63" s="144">
        <f t="shared" si="45"/>
        <v>285571.73422422679</v>
      </c>
      <c r="DO63" s="144">
        <f>'[1]PBF Run'!F63*(1+'[1]PBF Run'!$C$4)</f>
        <v>5622822.7713000001</v>
      </c>
      <c r="DP63" s="144">
        <f>'[1]PBF Run'!AA63+'[1]PBF Run'!AB63+'[1]PBF Run'!AC63+'[1]PBF Run'!AD63</f>
        <v>0</v>
      </c>
      <c r="DQ63" s="144">
        <f>'[1]PBF Run'!X63</f>
        <v>0</v>
      </c>
      <c r="DR63" s="144">
        <f>'[1]PBF Run'!L63*(1+'[1]PBF Run'!$C$4)</f>
        <v>0</v>
      </c>
      <c r="DS63" s="144">
        <f>'[1]PBF Run'!AE63</f>
        <v>72271269</v>
      </c>
      <c r="DT63" s="326">
        <f t="shared" si="48"/>
        <v>0.21288788318634033</v>
      </c>
      <c r="DU63" s="144"/>
      <c r="DV63" s="144"/>
    </row>
    <row r="64" spans="1:126" ht="13.5" thickBot="1">
      <c r="A64" s="16" t="s">
        <v>291</v>
      </c>
      <c r="B64" s="16" t="s">
        <v>165</v>
      </c>
      <c r="C64" s="425">
        <f>[1]FTES!C64</f>
        <v>19990.023625999998</v>
      </c>
      <c r="D64" s="425">
        <f>[1]FTES!D64</f>
        <v>19990.023625999998</v>
      </c>
      <c r="E64" s="425">
        <f>[1]FTES!E64</f>
        <v>20722.330000000002</v>
      </c>
      <c r="F64" s="425">
        <f>[1]FTES!H64</f>
        <v>0</v>
      </c>
      <c r="G64" s="425">
        <f>[1]FTES!I64</f>
        <v>0</v>
      </c>
      <c r="H64" s="425">
        <f>[1]FTES!J64</f>
        <v>19990.023625999998</v>
      </c>
      <c r="I64" s="425">
        <f>[1]FTES!K64</f>
        <v>0</v>
      </c>
      <c r="J64" s="425">
        <f>[1]FTES!L64</f>
        <v>732.30637400000001</v>
      </c>
      <c r="K64" s="425">
        <f>[1]FTES!M64</f>
        <v>0</v>
      </c>
      <c r="L64" s="425">
        <f>[1]FTES!N64</f>
        <v>580.71</v>
      </c>
      <c r="M64" s="425">
        <f>[1]FTES!O64</f>
        <v>580.71</v>
      </c>
      <c r="N64" s="425">
        <f>[1]FTES!P64</f>
        <v>537.34999999999991</v>
      </c>
      <c r="O64" s="425">
        <f>[1]FTES!S64</f>
        <v>0</v>
      </c>
      <c r="P64" s="425">
        <f>[1]FTES!T64</f>
        <v>0</v>
      </c>
      <c r="Q64" s="425">
        <f>[1]FTES!U64</f>
        <v>537.34999999999991</v>
      </c>
      <c r="R64" s="425">
        <f>[1]FTES!V64</f>
        <v>0</v>
      </c>
      <c r="S64" s="425">
        <f>[1]FTES!W64</f>
        <v>0</v>
      </c>
      <c r="T64" s="425">
        <f>[1]FTES!X64</f>
        <v>0</v>
      </c>
      <c r="U64" s="425">
        <f>[1]FTES!Y64</f>
        <v>159.10000000000002</v>
      </c>
      <c r="V64" s="425">
        <f>[1]FTES!Z64</f>
        <v>159.10000000000002</v>
      </c>
      <c r="W64" s="425">
        <f>[1]FTES!AA64</f>
        <v>155.18</v>
      </c>
      <c r="X64" s="425">
        <f>[1]FTES!AD64</f>
        <v>0</v>
      </c>
      <c r="Y64" s="425">
        <f>[1]FTES!AE64</f>
        <v>0</v>
      </c>
      <c r="Z64" s="425">
        <f>[1]FTES!AF64</f>
        <v>155.18</v>
      </c>
      <c r="AA64" s="425">
        <f>[1]FTES!AG64</f>
        <v>0</v>
      </c>
      <c r="AB64" s="425">
        <f>[1]FTES!AH64</f>
        <v>0</v>
      </c>
      <c r="AC64" s="425">
        <f>[1]FTES!AI64</f>
        <v>0</v>
      </c>
      <c r="AD64" s="425"/>
      <c r="AE64" s="376">
        <f>'[1]13-14 $86M Workload Restore'!AJ62</f>
        <v>2256852</v>
      </c>
      <c r="AF64" s="375"/>
      <c r="AG64" s="122" t="str">
        <f>'[1]Restoration and Growth'!N64</f>
        <v>Growth</v>
      </c>
      <c r="AH64" s="122" t="str">
        <f>'[1]Restoration and Growth'!O64</f>
        <v>Grow</v>
      </c>
      <c r="AI64" s="122" t="str">
        <f>'[1]Restoration and Growth'!P64</f>
        <v>Decline</v>
      </c>
      <c r="AJ64" s="122" t="str">
        <f>'[1]Restoration and Growth'!Q64</f>
        <v>Decline</v>
      </c>
      <c r="AK64" s="139"/>
      <c r="AL64" s="139">
        <f>ROUND(J64*'[1]PBF Run'!$AS$4,3)</f>
        <v>3395333.27</v>
      </c>
      <c r="AM64" s="139">
        <f>ROUND(S64*'[1]PBF Run'!$AF$4,3)</f>
        <v>0</v>
      </c>
      <c r="AN64" s="139">
        <f>ROUND(AB64*'[1]PBF Run'!$AJ$4,3)</f>
        <v>0</v>
      </c>
      <c r="AO64" s="139">
        <f t="shared" si="29"/>
        <v>3395333.27</v>
      </c>
      <c r="AP64" s="139" t="str">
        <f t="shared" si="46"/>
        <v>Y</v>
      </c>
      <c r="AQ64" s="139"/>
      <c r="AR64" s="374">
        <f t="shared" si="47"/>
        <v>515.60761000000002</v>
      </c>
      <c r="AS64" s="9">
        <f t="shared" si="0"/>
        <v>2390611</v>
      </c>
      <c r="AT64" s="9"/>
      <c r="AU64" s="373">
        <f t="shared" si="1"/>
        <v>2390611</v>
      </c>
      <c r="AV64" s="439">
        <f t="shared" si="49"/>
        <v>-43.360000000000127</v>
      </c>
      <c r="AW64" s="9">
        <f t="shared" si="3"/>
        <v>-120890</v>
      </c>
      <c r="AX64" s="9"/>
      <c r="AY64" s="373">
        <f t="shared" si="4"/>
        <v>2269721</v>
      </c>
      <c r="AZ64" s="439">
        <f t="shared" si="30"/>
        <v>-3.9200000000000159</v>
      </c>
      <c r="BA64" s="9">
        <f t="shared" si="31"/>
        <v>-12869</v>
      </c>
      <c r="BB64" s="439"/>
      <c r="BC64" s="171">
        <f t="shared" si="32"/>
        <v>2390611</v>
      </c>
      <c r="BD64" s="171">
        <f t="shared" si="33"/>
        <v>-120890</v>
      </c>
      <c r="BE64" s="171">
        <f t="shared" si="34"/>
        <v>-12869</v>
      </c>
      <c r="BF64" s="438">
        <f t="shared" si="35"/>
        <v>2256852</v>
      </c>
      <c r="BG64" s="389">
        <f t="shared" si="5"/>
        <v>0</v>
      </c>
      <c r="BH64" s="438"/>
      <c r="BI64" s="425">
        <f t="shared" si="6"/>
        <v>19990.023625999998</v>
      </c>
      <c r="BJ64" s="425">
        <f t="shared" si="7"/>
        <v>580.71</v>
      </c>
      <c r="BK64" s="425">
        <f t="shared" si="8"/>
        <v>159.10000000000002</v>
      </c>
      <c r="BL64" s="438"/>
      <c r="BM64" s="425">
        <f t="shared" si="9"/>
        <v>19990.023625999998</v>
      </c>
      <c r="BN64" s="425">
        <f t="shared" si="10"/>
        <v>580.71</v>
      </c>
      <c r="BO64" s="425">
        <f t="shared" si="11"/>
        <v>159.10000000000002</v>
      </c>
      <c r="BP64" s="438"/>
      <c r="BQ64" s="372">
        <f t="shared" si="12"/>
        <v>20722.330000000002</v>
      </c>
      <c r="BR64" s="372">
        <f t="shared" si="13"/>
        <v>537.34999999999991</v>
      </c>
      <c r="BS64" s="372">
        <f t="shared" si="14"/>
        <v>155.18</v>
      </c>
      <c r="BU64" s="439">
        <f t="shared" si="15"/>
        <v>0</v>
      </c>
      <c r="BV64" s="439">
        <f t="shared" si="16"/>
        <v>0</v>
      </c>
      <c r="BW64" s="439">
        <f t="shared" si="17"/>
        <v>0</v>
      </c>
      <c r="BY64" s="439">
        <f t="shared" si="18"/>
        <v>0</v>
      </c>
      <c r="BZ64" s="439">
        <f t="shared" si="19"/>
        <v>0</v>
      </c>
      <c r="CA64" s="439">
        <f t="shared" si="20"/>
        <v>0</v>
      </c>
      <c r="CB64" s="439"/>
      <c r="CC64" s="439">
        <f t="shared" si="21"/>
        <v>0</v>
      </c>
      <c r="CD64" s="439">
        <f t="shared" si="22"/>
        <v>0</v>
      </c>
      <c r="CE64" s="374">
        <f t="shared" si="23"/>
        <v>0</v>
      </c>
      <c r="CF64" s="439"/>
      <c r="CG64" s="439">
        <f t="shared" si="36"/>
        <v>515.60761000000002</v>
      </c>
      <c r="CH64" s="439">
        <f t="shared" si="37"/>
        <v>-43.360000000000127</v>
      </c>
      <c r="CI64" s="439">
        <f t="shared" si="38"/>
        <v>-3.9200000000000159</v>
      </c>
      <c r="CJ64" s="439"/>
      <c r="CK64" s="439">
        <v>4711.6786700000002</v>
      </c>
      <c r="CL64" s="439">
        <v>2788.0536374600001</v>
      </c>
      <c r="CM64" s="439">
        <v>3282.8110613200001</v>
      </c>
      <c r="CN64" s="439"/>
      <c r="CO64" s="439">
        <f t="shared" si="39"/>
        <v>2429377.378126679</v>
      </c>
      <c r="CP64" s="439">
        <f t="shared" si="24"/>
        <v>-120890.00572026597</v>
      </c>
      <c r="CQ64" s="439">
        <f t="shared" si="24"/>
        <v>-12868.619360374452</v>
      </c>
      <c r="CR64" s="439">
        <f t="shared" si="40"/>
        <v>2295618.7530460386</v>
      </c>
      <c r="CS64" s="439">
        <f>+'[1]13-14 $86M Workload Restore'!AJ62</f>
        <v>2256852</v>
      </c>
      <c r="CT64" s="439">
        <f t="shared" si="41"/>
        <v>38766.753046038561</v>
      </c>
      <c r="CV64" s="173">
        <v>0</v>
      </c>
      <c r="CW64" s="439">
        <f t="shared" si="42"/>
        <v>20505.631235999997</v>
      </c>
      <c r="CX64" s="439">
        <f t="shared" si="50"/>
        <v>537.34999999999991</v>
      </c>
      <c r="CY64" s="439">
        <f t="shared" si="50"/>
        <v>155.18</v>
      </c>
      <c r="DA64" s="439">
        <f t="shared" si="51"/>
        <v>216.6987640000043</v>
      </c>
      <c r="DB64" s="439">
        <f t="shared" si="51"/>
        <v>0</v>
      </c>
      <c r="DC64" s="439">
        <f t="shared" si="51"/>
        <v>0</v>
      </c>
      <c r="DE64" s="371">
        <f t="shared" si="52"/>
        <v>0</v>
      </c>
      <c r="DF64" s="371">
        <f t="shared" si="52"/>
        <v>0</v>
      </c>
      <c r="DG64" s="371">
        <f t="shared" si="52"/>
        <v>0</v>
      </c>
      <c r="DH64" s="439"/>
      <c r="DI64" s="371">
        <f t="shared" si="53"/>
        <v>0</v>
      </c>
      <c r="DJ64" s="371">
        <f t="shared" si="53"/>
        <v>0</v>
      </c>
      <c r="DK64" s="371">
        <f t="shared" si="53"/>
        <v>0</v>
      </c>
      <c r="DL64" s="144">
        <f t="shared" si="43"/>
        <v>95074212.693908572</v>
      </c>
      <c r="DM64" s="144">
        <f t="shared" si="44"/>
        <v>1498160.6220891308</v>
      </c>
      <c r="DN64" s="144">
        <f t="shared" si="45"/>
        <v>509426.62049563765</v>
      </c>
      <c r="DO64" s="144">
        <f>'[1]PBF Run'!F64*(1+'[1]PBF Run'!$C$4)</f>
        <v>6747387.5287000006</v>
      </c>
      <c r="DP64" s="144">
        <f>'[1]PBF Run'!AA64+'[1]PBF Run'!AB64+'[1]PBF Run'!AC64+'[1]PBF Run'!AD64</f>
        <v>0</v>
      </c>
      <c r="DQ64" s="144">
        <f>'[1]PBF Run'!X64</f>
        <v>0</v>
      </c>
      <c r="DR64" s="144">
        <f>'[1]PBF Run'!L64*(1+'[1]PBF Run'!$C$4)</f>
        <v>1502264.9908</v>
      </c>
      <c r="DS64" s="144">
        <f>'[1]PBF Run'!AE64</f>
        <v>105331452</v>
      </c>
      <c r="DT64" s="326">
        <f t="shared" si="48"/>
        <v>-0.45599332451820374</v>
      </c>
      <c r="DU64" s="144"/>
      <c r="DV64" s="144"/>
    </row>
    <row r="65" spans="1:126" ht="13.5" thickBot="1">
      <c r="A65" s="16" t="s">
        <v>289</v>
      </c>
      <c r="B65" s="16" t="s">
        <v>166</v>
      </c>
      <c r="C65" s="425">
        <f>[1]FTES!C65</f>
        <v>8065.5787</v>
      </c>
      <c r="D65" s="425">
        <f>[1]FTES!D65</f>
        <v>8065.5787</v>
      </c>
      <c r="E65" s="425">
        <f>[1]FTES!E65</f>
        <v>8914.7800000000007</v>
      </c>
      <c r="F65" s="425">
        <f>[1]FTES!H65</f>
        <v>0</v>
      </c>
      <c r="G65" s="425">
        <f>[1]FTES!I65</f>
        <v>0</v>
      </c>
      <c r="H65" s="425">
        <f>[1]FTES!J65</f>
        <v>8065.5787</v>
      </c>
      <c r="I65" s="425">
        <f>[1]FTES!K65</f>
        <v>0</v>
      </c>
      <c r="J65" s="425">
        <f>[1]FTES!L65</f>
        <v>849.20129999999995</v>
      </c>
      <c r="K65" s="425">
        <f>[1]FTES!M65</f>
        <v>0</v>
      </c>
      <c r="L65" s="425">
        <f>[1]FTES!N65</f>
        <v>332.29974100000004</v>
      </c>
      <c r="M65" s="425">
        <f>[1]FTES!O65</f>
        <v>332.29974100000004</v>
      </c>
      <c r="N65" s="425">
        <f>[1]FTES!P65</f>
        <v>448.87000000000006</v>
      </c>
      <c r="O65" s="425">
        <f>[1]FTES!S65</f>
        <v>0</v>
      </c>
      <c r="P65" s="425">
        <f>[1]FTES!T65</f>
        <v>0</v>
      </c>
      <c r="Q65" s="425">
        <f>[1]FTES!U65</f>
        <v>332.29974099999998</v>
      </c>
      <c r="R65" s="425">
        <f>[1]FTES!V65</f>
        <v>0</v>
      </c>
      <c r="S65" s="425">
        <f>[1]FTES!W65</f>
        <v>116.57025899999999</v>
      </c>
      <c r="T65" s="425">
        <f>[1]FTES!X65</f>
        <v>0</v>
      </c>
      <c r="U65" s="425">
        <f>[1]FTES!Y65</f>
        <v>68.430000000000007</v>
      </c>
      <c r="V65" s="425">
        <f>[1]FTES!Z65</f>
        <v>68.430000000000007</v>
      </c>
      <c r="W65" s="425">
        <f>[1]FTES!AA65</f>
        <v>85.33</v>
      </c>
      <c r="X65" s="425">
        <f>[1]FTES!AD65</f>
        <v>0</v>
      </c>
      <c r="Y65" s="425">
        <f>[1]FTES!AE65</f>
        <v>0</v>
      </c>
      <c r="Z65" s="425">
        <f>[1]FTES!AF65</f>
        <v>68.430000000000007</v>
      </c>
      <c r="AA65" s="425">
        <f>[1]FTES!AG65</f>
        <v>0</v>
      </c>
      <c r="AB65" s="425">
        <f>[1]FTES!AH65</f>
        <v>16.899999999999999</v>
      </c>
      <c r="AC65" s="425">
        <f>[1]FTES!AI65</f>
        <v>0</v>
      </c>
      <c r="AD65" s="425"/>
      <c r="AE65" s="376">
        <f>'[1]13-14 $86M Workload Restore'!AJ63</f>
        <v>902417</v>
      </c>
      <c r="AF65" s="375"/>
      <c r="AG65" s="122" t="str">
        <f>'[1]Restoration and Growth'!N65</f>
        <v>Growth</v>
      </c>
      <c r="AH65" s="122" t="str">
        <f>'[1]Restoration and Growth'!O65</f>
        <v>Grow</v>
      </c>
      <c r="AI65" s="122" t="str">
        <f>'[1]Restoration and Growth'!P65</f>
        <v>Grow</v>
      </c>
      <c r="AJ65" s="122" t="str">
        <f>'[1]Restoration and Growth'!Q65</f>
        <v>Grow</v>
      </c>
      <c r="AK65" s="139"/>
      <c r="AL65" s="139">
        <f>ROUND(J65*'[1]PBF Run'!$AS$4,3)</f>
        <v>3937315.7590000001</v>
      </c>
      <c r="AM65" s="139">
        <f>ROUND(S65*'[1]PBF Run'!$AF$4,3)</f>
        <v>325004.13500000001</v>
      </c>
      <c r="AN65" s="139">
        <f>ROUND(AB65*'[1]PBF Run'!$AJ$4,3)</f>
        <v>55479.506999999998</v>
      </c>
      <c r="AO65" s="139">
        <f t="shared" si="29"/>
        <v>4317799.4010000005</v>
      </c>
      <c r="AP65" s="139" t="str">
        <f t="shared" si="46"/>
        <v>Y</v>
      </c>
      <c r="AQ65" s="139"/>
      <c r="AR65" s="374">
        <f t="shared" si="47"/>
        <v>112.57064699999999</v>
      </c>
      <c r="AS65" s="9">
        <f t="shared" si="0"/>
        <v>521933</v>
      </c>
      <c r="AT65" s="9"/>
      <c r="AU65" s="373">
        <f t="shared" si="1"/>
        <v>521933</v>
      </c>
      <c r="AV65" s="439">
        <f t="shared" si="49"/>
        <v>116.57025899999999</v>
      </c>
      <c r="AW65" s="9">
        <f t="shared" si="3"/>
        <v>325004</v>
      </c>
      <c r="AX65" s="9"/>
      <c r="AY65" s="373">
        <f t="shared" si="4"/>
        <v>846937</v>
      </c>
      <c r="AZ65" s="439">
        <f t="shared" si="30"/>
        <v>16.899999999999999</v>
      </c>
      <c r="BA65" s="9">
        <f t="shared" si="31"/>
        <v>55480</v>
      </c>
      <c r="BB65" s="439"/>
      <c r="BC65" s="171">
        <f t="shared" si="32"/>
        <v>521933</v>
      </c>
      <c r="BD65" s="171">
        <f t="shared" si="33"/>
        <v>325004</v>
      </c>
      <c r="BE65" s="171">
        <f t="shared" si="34"/>
        <v>55480</v>
      </c>
      <c r="BF65" s="438">
        <f t="shared" si="35"/>
        <v>902417</v>
      </c>
      <c r="BG65" s="389">
        <f t="shared" si="5"/>
        <v>0</v>
      </c>
      <c r="BH65" s="438"/>
      <c r="BI65" s="425">
        <f t="shared" si="6"/>
        <v>8065.5787</v>
      </c>
      <c r="BJ65" s="425">
        <f t="shared" si="7"/>
        <v>332.29974100000004</v>
      </c>
      <c r="BK65" s="425">
        <f t="shared" si="8"/>
        <v>68.430000000000007</v>
      </c>
      <c r="BL65" s="438"/>
      <c r="BM65" s="425">
        <f t="shared" si="9"/>
        <v>8065.5787</v>
      </c>
      <c r="BN65" s="425">
        <f t="shared" si="10"/>
        <v>332.29974100000004</v>
      </c>
      <c r="BO65" s="425">
        <f t="shared" si="11"/>
        <v>68.430000000000007</v>
      </c>
      <c r="BP65" s="438"/>
      <c r="BQ65" s="372">
        <f t="shared" si="12"/>
        <v>8914.7800000000007</v>
      </c>
      <c r="BR65" s="372">
        <f t="shared" si="13"/>
        <v>448.87000000000006</v>
      </c>
      <c r="BS65" s="372">
        <f t="shared" si="14"/>
        <v>85.33</v>
      </c>
      <c r="BU65" s="439">
        <f t="shared" si="15"/>
        <v>0</v>
      </c>
      <c r="BV65" s="439">
        <f t="shared" si="16"/>
        <v>0</v>
      </c>
      <c r="BW65" s="439">
        <f t="shared" si="17"/>
        <v>0</v>
      </c>
      <c r="BY65" s="439">
        <f t="shared" si="18"/>
        <v>0</v>
      </c>
      <c r="BZ65" s="439">
        <f t="shared" si="19"/>
        <v>0</v>
      </c>
      <c r="CA65" s="439">
        <f t="shared" si="20"/>
        <v>0</v>
      </c>
      <c r="CB65" s="439"/>
      <c r="CC65" s="439">
        <f t="shared" si="21"/>
        <v>0</v>
      </c>
      <c r="CD65" s="439">
        <f t="shared" si="22"/>
        <v>0</v>
      </c>
      <c r="CE65" s="374">
        <f t="shared" si="23"/>
        <v>0</v>
      </c>
      <c r="CF65" s="439"/>
      <c r="CG65" s="439">
        <f t="shared" si="36"/>
        <v>112.57064699999999</v>
      </c>
      <c r="CH65" s="439">
        <f t="shared" si="37"/>
        <v>116.57025899999999</v>
      </c>
      <c r="CI65" s="439">
        <f t="shared" si="38"/>
        <v>16.899999999999999</v>
      </c>
      <c r="CJ65" s="439"/>
      <c r="CK65" s="439">
        <v>4636.4928419999997</v>
      </c>
      <c r="CL65" s="439">
        <v>2788.0536374600001</v>
      </c>
      <c r="CM65" s="439">
        <v>3282.8110613200001</v>
      </c>
      <c r="CN65" s="439"/>
      <c r="CO65" s="439">
        <f t="shared" si="39"/>
        <v>521932.99903480872</v>
      </c>
      <c r="CP65" s="439">
        <f t="shared" si="24"/>
        <v>325004.13462460431</v>
      </c>
      <c r="CQ65" s="439">
        <f t="shared" si="24"/>
        <v>55479.506936307997</v>
      </c>
      <c r="CR65" s="439">
        <f t="shared" si="40"/>
        <v>902416.64059572108</v>
      </c>
      <c r="CS65" s="439">
        <f>+'[1]13-14 $86M Workload Restore'!AJ63</f>
        <v>902417</v>
      </c>
      <c r="CT65" s="439">
        <f t="shared" si="41"/>
        <v>-0.35940427891910076</v>
      </c>
      <c r="CV65" s="173">
        <v>0</v>
      </c>
      <c r="CW65" s="439">
        <f t="shared" si="42"/>
        <v>8178.1493469999996</v>
      </c>
      <c r="CX65" s="439">
        <f t="shared" si="50"/>
        <v>448.87</v>
      </c>
      <c r="CY65" s="439">
        <f t="shared" si="50"/>
        <v>85.330000000000013</v>
      </c>
      <c r="DA65" s="439">
        <f t="shared" si="51"/>
        <v>736.63065300000108</v>
      </c>
      <c r="DB65" s="439">
        <f t="shared" si="51"/>
        <v>0</v>
      </c>
      <c r="DC65" s="439">
        <f t="shared" si="51"/>
        <v>0</v>
      </c>
      <c r="DE65" s="371">
        <f t="shared" si="52"/>
        <v>0</v>
      </c>
      <c r="DF65" s="371">
        <f t="shared" si="52"/>
        <v>0</v>
      </c>
      <c r="DG65" s="371">
        <f t="shared" si="52"/>
        <v>0</v>
      </c>
      <c r="DH65" s="439"/>
      <c r="DI65" s="371">
        <f t="shared" si="53"/>
        <v>0</v>
      </c>
      <c r="DJ65" s="371">
        <f t="shared" si="53"/>
        <v>5.6843418860808015E-14</v>
      </c>
      <c r="DK65" s="371">
        <f t="shared" si="53"/>
        <v>-1.4210854715202004E-14</v>
      </c>
      <c r="DL65" s="144">
        <f t="shared" si="43"/>
        <v>37917931.006882735</v>
      </c>
      <c r="DM65" s="144">
        <f t="shared" si="44"/>
        <v>1251473.6362466703</v>
      </c>
      <c r="DN65" s="144">
        <f t="shared" si="45"/>
        <v>280122.26786243566</v>
      </c>
      <c r="DO65" s="144">
        <f>'[1]PBF Run'!F65*(1+'[1]PBF Run'!$C$4)</f>
        <v>5622822.7713000001</v>
      </c>
      <c r="DP65" s="144">
        <f>'[1]PBF Run'!AA65+'[1]PBF Run'!AB65+'[1]PBF Run'!AC65+'[1]PBF Run'!AD65</f>
        <v>0</v>
      </c>
      <c r="DQ65" s="144">
        <f>'[1]PBF Run'!X65</f>
        <v>0</v>
      </c>
      <c r="DR65" s="144">
        <f>'[1]PBF Run'!L65*(1+'[1]PBF Run'!$C$4)</f>
        <v>0</v>
      </c>
      <c r="DS65" s="144">
        <f>'[1]PBF Run'!AE65</f>
        <v>45072350</v>
      </c>
      <c r="DT65" s="326">
        <f t="shared" si="48"/>
        <v>0.31770814955234528</v>
      </c>
      <c r="DU65" s="144"/>
      <c r="DV65" s="144"/>
    </row>
    <row r="66" spans="1:126" ht="13.5" thickBot="1">
      <c r="A66" s="16" t="s">
        <v>287</v>
      </c>
      <c r="B66" s="16" t="s">
        <v>167</v>
      </c>
      <c r="C66" s="425">
        <f>[1]FTES!C66</f>
        <v>7075.736535</v>
      </c>
      <c r="D66" s="425">
        <f>[1]FTES!D66</f>
        <v>7075.736535</v>
      </c>
      <c r="E66" s="425">
        <f>[1]FTES!E66</f>
        <v>6231.49</v>
      </c>
      <c r="F66" s="425">
        <f>[1]FTES!H66</f>
        <v>0</v>
      </c>
      <c r="G66" s="425">
        <f>[1]FTES!I66</f>
        <v>0</v>
      </c>
      <c r="H66" s="425">
        <f>[1]FTES!J66</f>
        <v>6231.49</v>
      </c>
      <c r="I66" s="425">
        <f>[1]FTES!K66</f>
        <v>-844.24653499999999</v>
      </c>
      <c r="J66" s="425">
        <f>[1]FTES!L66</f>
        <v>0</v>
      </c>
      <c r="K66" s="425">
        <f>[1]FTES!M66</f>
        <v>0</v>
      </c>
      <c r="L66" s="425">
        <f>[1]FTES!N66</f>
        <v>198</v>
      </c>
      <c r="M66" s="425">
        <f>[1]FTES!O66</f>
        <v>198</v>
      </c>
      <c r="N66" s="425">
        <f>[1]FTES!P66</f>
        <v>188.16000000000003</v>
      </c>
      <c r="O66" s="425">
        <f>[1]FTES!S66</f>
        <v>0</v>
      </c>
      <c r="P66" s="425">
        <f>[1]FTES!T66</f>
        <v>0</v>
      </c>
      <c r="Q66" s="425">
        <f>[1]FTES!U66</f>
        <v>188.16000000000003</v>
      </c>
      <c r="R66" s="425">
        <f>[1]FTES!V66</f>
        <v>-9.84</v>
      </c>
      <c r="S66" s="425">
        <f>[1]FTES!W66</f>
        <v>0</v>
      </c>
      <c r="T66" s="425">
        <f>[1]FTES!X66</f>
        <v>0</v>
      </c>
      <c r="U66" s="425">
        <f>[1]FTES!Y66</f>
        <v>0</v>
      </c>
      <c r="V66" s="425">
        <f>[1]FTES!Z66</f>
        <v>0</v>
      </c>
      <c r="W66" s="425">
        <f>[1]FTES!AA66</f>
        <v>47.45</v>
      </c>
      <c r="X66" s="425">
        <f>[1]FTES!AD66</f>
        <v>0</v>
      </c>
      <c r="Y66" s="425">
        <f>[1]FTES!AE66</f>
        <v>0</v>
      </c>
      <c r="Z66" s="425">
        <f>[1]FTES!AF66</f>
        <v>47.45</v>
      </c>
      <c r="AA66" s="425">
        <f>[1]FTES!AG66</f>
        <v>47.45</v>
      </c>
      <c r="AB66" s="425">
        <f>[1]FTES!AH66</f>
        <v>0</v>
      </c>
      <c r="AC66" s="425">
        <f>[1]FTES!AI66</f>
        <v>0</v>
      </c>
      <c r="AD66" s="425"/>
      <c r="AE66" s="376">
        <f>'[1]13-14 $86M Workload Restore'!AJ64</f>
        <v>0</v>
      </c>
      <c r="AF66" s="375"/>
      <c r="AG66" s="122" t="str">
        <f>'[1]Restoration and Growth'!N66</f>
        <v>Decline</v>
      </c>
      <c r="AH66" s="122" t="str">
        <f>'[1]Restoration and Growth'!O66</f>
        <v>Decline</v>
      </c>
      <c r="AI66" s="122" t="str">
        <f>'[1]Restoration and Growth'!P66</f>
        <v>Decline</v>
      </c>
      <c r="AJ66" s="122" t="str">
        <f>'[1]Restoration and Growth'!Q66</f>
        <v>New CDCP</v>
      </c>
      <c r="AK66" s="139"/>
      <c r="AL66" s="139">
        <f>ROUND(J66*'[1]PBF Run'!$AS$4,3)</f>
        <v>0</v>
      </c>
      <c r="AM66" s="139">
        <f>ROUND(S66*'[1]PBF Run'!$AF$4,3)</f>
        <v>0</v>
      </c>
      <c r="AN66" s="139">
        <f>ROUND(AB66*'[1]PBF Run'!$AJ$4,3)</f>
        <v>0</v>
      </c>
      <c r="AO66" s="139">
        <f t="shared" si="29"/>
        <v>0</v>
      </c>
      <c r="AP66" s="139" t="str">
        <f t="shared" si="46"/>
        <v>NA</v>
      </c>
      <c r="AQ66" s="139"/>
      <c r="AR66" s="374">
        <f t="shared" si="47"/>
        <v>0</v>
      </c>
      <c r="AS66" s="9">
        <f t="shared" si="0"/>
        <v>0</v>
      </c>
      <c r="AT66" s="9"/>
      <c r="AU66" s="373">
        <f t="shared" si="1"/>
        <v>0</v>
      </c>
      <c r="AV66" s="439">
        <f t="shared" si="49"/>
        <v>0</v>
      </c>
      <c r="AW66" s="9">
        <f t="shared" si="3"/>
        <v>0</v>
      </c>
      <c r="AX66" s="9"/>
      <c r="AY66" s="373">
        <f t="shared" si="4"/>
        <v>0</v>
      </c>
      <c r="AZ66" s="439">
        <f t="shared" si="30"/>
        <v>0</v>
      </c>
      <c r="BA66" s="9">
        <f t="shared" si="31"/>
        <v>0</v>
      </c>
      <c r="BB66" s="439"/>
      <c r="BC66" s="171">
        <f t="shared" si="32"/>
        <v>0</v>
      </c>
      <c r="BD66" s="171">
        <f t="shared" si="33"/>
        <v>0</v>
      </c>
      <c r="BE66" s="171">
        <f t="shared" si="34"/>
        <v>0</v>
      </c>
      <c r="BF66" s="438">
        <f t="shared" si="35"/>
        <v>0</v>
      </c>
      <c r="BG66" s="389">
        <f t="shared" si="5"/>
        <v>0</v>
      </c>
      <c r="BH66" s="438"/>
      <c r="BI66" s="425">
        <f t="shared" si="6"/>
        <v>7075.736535</v>
      </c>
      <c r="BJ66" s="425">
        <f t="shared" si="7"/>
        <v>198</v>
      </c>
      <c r="BK66" s="425">
        <f t="shared" si="8"/>
        <v>0</v>
      </c>
      <c r="BL66" s="438"/>
      <c r="BM66" s="425">
        <f t="shared" si="9"/>
        <v>7075.736535</v>
      </c>
      <c r="BN66" s="425">
        <f t="shared" si="10"/>
        <v>198</v>
      </c>
      <c r="BO66" s="425">
        <f t="shared" si="11"/>
        <v>0</v>
      </c>
      <c r="BP66" s="438"/>
      <c r="BQ66" s="372">
        <f t="shared" si="12"/>
        <v>6231.49</v>
      </c>
      <c r="BR66" s="372">
        <f t="shared" si="13"/>
        <v>188.16000000000003</v>
      </c>
      <c r="BS66" s="372">
        <f t="shared" si="14"/>
        <v>47.45</v>
      </c>
      <c r="BU66" s="439">
        <f t="shared" si="15"/>
        <v>0</v>
      </c>
      <c r="BV66" s="439">
        <f t="shared" si="16"/>
        <v>0</v>
      </c>
      <c r="BW66" s="439">
        <f t="shared" si="17"/>
        <v>0</v>
      </c>
      <c r="BY66" s="439">
        <f t="shared" si="18"/>
        <v>0</v>
      </c>
      <c r="BZ66" s="439">
        <f t="shared" si="19"/>
        <v>0</v>
      </c>
      <c r="CA66" s="439">
        <f t="shared" si="20"/>
        <v>0</v>
      </c>
      <c r="CB66" s="439"/>
      <c r="CC66" s="439">
        <f t="shared" si="21"/>
        <v>-844.24653499999999</v>
      </c>
      <c r="CD66" s="439">
        <f t="shared" si="22"/>
        <v>-9.84</v>
      </c>
      <c r="CE66" s="374">
        <f t="shared" si="23"/>
        <v>47.45</v>
      </c>
      <c r="CF66" s="439"/>
      <c r="CG66" s="439">
        <f t="shared" si="36"/>
        <v>0</v>
      </c>
      <c r="CH66" s="439">
        <f t="shared" si="37"/>
        <v>0</v>
      </c>
      <c r="CI66" s="439">
        <f t="shared" si="38"/>
        <v>0</v>
      </c>
      <c r="CJ66" s="439"/>
      <c r="CK66" s="439">
        <v>4636.4928360000004</v>
      </c>
      <c r="CL66" s="439">
        <v>2788.0536374600001</v>
      </c>
      <c r="CM66" s="439">
        <v>3282.8110613200001</v>
      </c>
      <c r="CN66" s="439"/>
      <c r="CO66" s="439">
        <f t="shared" si="39"/>
        <v>0</v>
      </c>
      <c r="CP66" s="439">
        <f t="shared" si="24"/>
        <v>0</v>
      </c>
      <c r="CQ66" s="439">
        <f t="shared" si="24"/>
        <v>0</v>
      </c>
      <c r="CR66" s="439">
        <f t="shared" si="40"/>
        <v>0</v>
      </c>
      <c r="CS66" s="439">
        <f>+'[1]13-14 $86M Workload Restore'!AJ64</f>
        <v>0</v>
      </c>
      <c r="CT66" s="439">
        <f t="shared" si="41"/>
        <v>0</v>
      </c>
      <c r="CV66" s="173">
        <v>0</v>
      </c>
      <c r="CW66" s="439">
        <f t="shared" si="42"/>
        <v>6231.49</v>
      </c>
      <c r="CX66" s="439">
        <f t="shared" si="50"/>
        <v>188.16</v>
      </c>
      <c r="CY66" s="439">
        <f t="shared" si="50"/>
        <v>47.45</v>
      </c>
      <c r="DA66" s="439">
        <f t="shared" si="51"/>
        <v>0</v>
      </c>
      <c r="DB66" s="439">
        <f t="shared" si="51"/>
        <v>0</v>
      </c>
      <c r="DC66" s="439">
        <f t="shared" si="51"/>
        <v>0</v>
      </c>
      <c r="DE66" s="371">
        <f t="shared" si="52"/>
        <v>0</v>
      </c>
      <c r="DF66" s="371">
        <f t="shared" si="52"/>
        <v>0</v>
      </c>
      <c r="DG66" s="371">
        <f t="shared" si="52"/>
        <v>0</v>
      </c>
      <c r="DH66" s="439"/>
      <c r="DI66" s="371">
        <f t="shared" si="53"/>
        <v>0</v>
      </c>
      <c r="DJ66" s="371">
        <f t="shared" si="53"/>
        <v>2.8421709430404007E-14</v>
      </c>
      <c r="DK66" s="371">
        <f t="shared" si="53"/>
        <v>0</v>
      </c>
      <c r="DL66" s="144">
        <f t="shared" si="43"/>
        <v>28892258.855208665</v>
      </c>
      <c r="DM66" s="144">
        <f t="shared" si="44"/>
        <v>524600.17242447357</v>
      </c>
      <c r="DN66" s="144">
        <f t="shared" si="45"/>
        <v>155769.38485963401</v>
      </c>
      <c r="DO66" s="144">
        <f>'[1]PBF Run'!F66*(1+'[1]PBF Run'!$C$4)</f>
        <v>3373693.2565000001</v>
      </c>
      <c r="DP66" s="144">
        <f>'[1]PBF Run'!AA66+'[1]PBF Run'!AB66+'[1]PBF Run'!AC66+'[1]PBF Run'!AD66</f>
        <v>0</v>
      </c>
      <c r="DQ66" s="144">
        <f>'[1]PBF Run'!X66</f>
        <v>3786008</v>
      </c>
      <c r="DR66" s="144">
        <f>'[1]PBF Run'!L66*(1+'[1]PBF Run'!$C$4)</f>
        <v>0</v>
      </c>
      <c r="DS66" s="144">
        <f>'[1]PBF Run'!AE66</f>
        <v>36732331</v>
      </c>
      <c r="DT66" s="326">
        <f t="shared" si="48"/>
        <v>1.3310072310268879</v>
      </c>
      <c r="DU66" s="144"/>
      <c r="DV66" s="144"/>
    </row>
    <row r="67" spans="1:126" ht="13.5" thickBot="1">
      <c r="A67" s="16" t="s">
        <v>285</v>
      </c>
      <c r="B67" s="16" t="s">
        <v>168</v>
      </c>
      <c r="C67" s="425">
        <f>[1]FTES!C67</f>
        <v>14237.509984</v>
      </c>
      <c r="D67" s="425">
        <f>[1]FTES!D67</f>
        <v>14237.509984</v>
      </c>
      <c r="E67" s="425">
        <f>[1]FTES!E67</f>
        <v>13021.67</v>
      </c>
      <c r="F67" s="425">
        <f>[1]FTES!H67</f>
        <v>0</v>
      </c>
      <c r="G67" s="425">
        <f>[1]FTES!I67</f>
        <v>0</v>
      </c>
      <c r="H67" s="425">
        <f>[1]FTES!J67</f>
        <v>13021.67</v>
      </c>
      <c r="I67" s="425">
        <f>[1]FTES!K67</f>
        <v>-1215.839984</v>
      </c>
      <c r="J67" s="425">
        <f>[1]FTES!L67</f>
        <v>0</v>
      </c>
      <c r="K67" s="425">
        <f>[1]FTES!M67</f>
        <v>0</v>
      </c>
      <c r="L67" s="425">
        <f>[1]FTES!N67</f>
        <v>345.05</v>
      </c>
      <c r="M67" s="425">
        <f>[1]FTES!O67</f>
        <v>345.05</v>
      </c>
      <c r="N67" s="425">
        <f>[1]FTES!P67</f>
        <v>342.51</v>
      </c>
      <c r="O67" s="425">
        <f>[1]FTES!S67</f>
        <v>0</v>
      </c>
      <c r="P67" s="425">
        <f>[1]FTES!T67</f>
        <v>0</v>
      </c>
      <c r="Q67" s="425">
        <f>[1]FTES!U67</f>
        <v>342.51</v>
      </c>
      <c r="R67" s="425">
        <f>[1]FTES!V67</f>
        <v>-2.54</v>
      </c>
      <c r="S67" s="425">
        <f>[1]FTES!W67</f>
        <v>0</v>
      </c>
      <c r="T67" s="425">
        <f>[1]FTES!X67</f>
        <v>0</v>
      </c>
      <c r="U67" s="425">
        <f>[1]FTES!Y67</f>
        <v>0</v>
      </c>
      <c r="V67" s="425">
        <f>[1]FTES!Z67</f>
        <v>0</v>
      </c>
      <c r="W67" s="425">
        <f>[1]FTES!AA67</f>
        <v>0</v>
      </c>
      <c r="X67" s="425">
        <f>[1]FTES!AD67</f>
        <v>0</v>
      </c>
      <c r="Y67" s="425">
        <f>[1]FTES!AE67</f>
        <v>0</v>
      </c>
      <c r="Z67" s="425">
        <f>[1]FTES!AF67</f>
        <v>0</v>
      </c>
      <c r="AA67" s="425">
        <f>[1]FTES!AG67</f>
        <v>0</v>
      </c>
      <c r="AB67" s="425">
        <f>[1]FTES!AH67</f>
        <v>0</v>
      </c>
      <c r="AC67" s="425">
        <f>[1]FTES!AI67</f>
        <v>0</v>
      </c>
      <c r="AD67" s="425"/>
      <c r="AE67" s="376">
        <f>'[1]13-14 $86M Workload Restore'!AJ65</f>
        <v>0</v>
      </c>
      <c r="AF67" s="375"/>
      <c r="AG67" s="122" t="str">
        <f>'[1]Restoration and Growth'!N67</f>
        <v>Decline</v>
      </c>
      <c r="AH67" s="122" t="str">
        <f>'[1]Restoration and Growth'!O67</f>
        <v>Decline</v>
      </c>
      <c r="AI67" s="122" t="str">
        <f>'[1]Restoration and Growth'!P67</f>
        <v>Decline</v>
      </c>
      <c r="AJ67" s="122" t="str">
        <f>'[1]Restoration and Growth'!Q67</f>
        <v>No CPCP</v>
      </c>
      <c r="AK67" s="139"/>
      <c r="AL67" s="139">
        <f>ROUND(J67*'[1]PBF Run'!$AS$4,3)</f>
        <v>0</v>
      </c>
      <c r="AM67" s="139">
        <f>ROUND(S67*'[1]PBF Run'!$AF$4,3)</f>
        <v>0</v>
      </c>
      <c r="AN67" s="139">
        <f>ROUND(AB67*'[1]PBF Run'!$AJ$4,3)</f>
        <v>0</v>
      </c>
      <c r="AO67" s="139">
        <f t="shared" si="29"/>
        <v>0</v>
      </c>
      <c r="AP67" s="139" t="str">
        <f t="shared" si="46"/>
        <v>NA</v>
      </c>
      <c r="AQ67" s="139"/>
      <c r="AR67" s="374">
        <f t="shared" si="47"/>
        <v>0</v>
      </c>
      <c r="AS67" s="9">
        <f t="shared" si="0"/>
        <v>0</v>
      </c>
      <c r="AT67" s="9"/>
      <c r="AU67" s="373">
        <f t="shared" si="1"/>
        <v>0</v>
      </c>
      <c r="AV67" s="439">
        <f t="shared" si="49"/>
        <v>0</v>
      </c>
      <c r="AW67" s="9">
        <f t="shared" si="3"/>
        <v>0</v>
      </c>
      <c r="AX67" s="9"/>
      <c r="AY67" s="373">
        <f t="shared" si="4"/>
        <v>0</v>
      </c>
      <c r="AZ67" s="439">
        <f t="shared" si="30"/>
        <v>0</v>
      </c>
      <c r="BA67" s="9">
        <f t="shared" si="31"/>
        <v>0</v>
      </c>
      <c r="BB67" s="439"/>
      <c r="BC67" s="171">
        <f t="shared" si="32"/>
        <v>0</v>
      </c>
      <c r="BD67" s="171">
        <f t="shared" si="33"/>
        <v>0</v>
      </c>
      <c r="BE67" s="171">
        <f t="shared" si="34"/>
        <v>0</v>
      </c>
      <c r="BF67" s="438">
        <f t="shared" si="35"/>
        <v>0</v>
      </c>
      <c r="BG67" s="389">
        <f t="shared" si="5"/>
        <v>0</v>
      </c>
      <c r="BH67" s="438"/>
      <c r="BI67" s="425">
        <f t="shared" si="6"/>
        <v>14237.509984</v>
      </c>
      <c r="BJ67" s="425">
        <f t="shared" si="7"/>
        <v>345.05</v>
      </c>
      <c r="BK67" s="425">
        <f t="shared" si="8"/>
        <v>0</v>
      </c>
      <c r="BL67" s="438"/>
      <c r="BM67" s="425">
        <f t="shared" si="9"/>
        <v>14237.509984</v>
      </c>
      <c r="BN67" s="425">
        <f t="shared" si="10"/>
        <v>345.05</v>
      </c>
      <c r="BO67" s="425">
        <f t="shared" si="11"/>
        <v>0</v>
      </c>
      <c r="BP67" s="438"/>
      <c r="BQ67" s="372">
        <f t="shared" si="12"/>
        <v>13021.67</v>
      </c>
      <c r="BR67" s="372">
        <f t="shared" si="13"/>
        <v>342.51</v>
      </c>
      <c r="BS67" s="372">
        <f t="shared" si="14"/>
        <v>0</v>
      </c>
      <c r="BU67" s="439">
        <f t="shared" si="15"/>
        <v>0</v>
      </c>
      <c r="BV67" s="439">
        <f t="shared" si="16"/>
        <v>0</v>
      </c>
      <c r="BW67" s="439">
        <f t="shared" si="17"/>
        <v>0</v>
      </c>
      <c r="BY67" s="439">
        <f t="shared" si="18"/>
        <v>0</v>
      </c>
      <c r="BZ67" s="439">
        <f t="shared" si="19"/>
        <v>0</v>
      </c>
      <c r="CA67" s="439">
        <f t="shared" si="20"/>
        <v>0</v>
      </c>
      <c r="CB67" s="439"/>
      <c r="CC67" s="439">
        <f t="shared" si="21"/>
        <v>-1215.839984</v>
      </c>
      <c r="CD67" s="439">
        <f t="shared" si="22"/>
        <v>-2.54</v>
      </c>
      <c r="CE67" s="374">
        <f t="shared" si="23"/>
        <v>0</v>
      </c>
      <c r="CF67" s="439"/>
      <c r="CG67" s="439">
        <f t="shared" si="36"/>
        <v>0</v>
      </c>
      <c r="CH67" s="439">
        <f t="shared" si="37"/>
        <v>0</v>
      </c>
      <c r="CI67" s="439">
        <f t="shared" si="38"/>
        <v>0</v>
      </c>
      <c r="CJ67" s="439"/>
      <c r="CK67" s="439">
        <v>4636.492859</v>
      </c>
      <c r="CL67" s="439">
        <v>2788.0536374600001</v>
      </c>
      <c r="CM67" s="439">
        <v>3282.8110613200001</v>
      </c>
      <c r="CN67" s="439"/>
      <c r="CO67" s="439">
        <f t="shared" si="39"/>
        <v>0</v>
      </c>
      <c r="CP67" s="439">
        <f t="shared" si="24"/>
        <v>0</v>
      </c>
      <c r="CQ67" s="439">
        <f t="shared" si="24"/>
        <v>0</v>
      </c>
      <c r="CR67" s="439">
        <f t="shared" si="40"/>
        <v>0</v>
      </c>
      <c r="CS67" s="439">
        <f>+'[1]13-14 $86M Workload Restore'!AJ65</f>
        <v>0</v>
      </c>
      <c r="CT67" s="439">
        <f t="shared" si="41"/>
        <v>0</v>
      </c>
      <c r="CV67" s="173">
        <v>0</v>
      </c>
      <c r="CW67" s="439">
        <f t="shared" si="42"/>
        <v>13021.67</v>
      </c>
      <c r="CX67" s="439">
        <f t="shared" si="50"/>
        <v>342.51</v>
      </c>
      <c r="CY67" s="439">
        <f t="shared" si="50"/>
        <v>0</v>
      </c>
      <c r="DA67" s="439">
        <f t="shared" si="51"/>
        <v>0</v>
      </c>
      <c r="DB67" s="439">
        <f t="shared" si="51"/>
        <v>0</v>
      </c>
      <c r="DC67" s="439">
        <f t="shared" si="51"/>
        <v>0</v>
      </c>
      <c r="DE67" s="371">
        <f t="shared" si="52"/>
        <v>0</v>
      </c>
      <c r="DF67" s="371">
        <f t="shared" si="52"/>
        <v>0</v>
      </c>
      <c r="DG67" s="371">
        <f t="shared" si="52"/>
        <v>0</v>
      </c>
      <c r="DH67" s="439"/>
      <c r="DI67" s="371">
        <f t="shared" si="53"/>
        <v>0</v>
      </c>
      <c r="DJ67" s="371">
        <f t="shared" si="53"/>
        <v>0</v>
      </c>
      <c r="DK67" s="371">
        <f t="shared" si="53"/>
        <v>0</v>
      </c>
      <c r="DL67" s="144">
        <f t="shared" si="43"/>
        <v>60374879.903057702</v>
      </c>
      <c r="DM67" s="144">
        <f t="shared" si="44"/>
        <v>954936.25136642461</v>
      </c>
      <c r="DN67" s="144">
        <f t="shared" si="45"/>
        <v>0</v>
      </c>
      <c r="DO67" s="144">
        <f>'[1]PBF Run'!F67*(1+'[1]PBF Run'!$C$4)</f>
        <v>5763393.6199000003</v>
      </c>
      <c r="DP67" s="144">
        <f>'[1]PBF Run'!AA67+'[1]PBF Run'!AB67+'[1]PBF Run'!AC67+'[1]PBF Run'!AD67</f>
        <v>0</v>
      </c>
      <c r="DQ67" s="144">
        <f>'[1]PBF Run'!X67</f>
        <v>5644315</v>
      </c>
      <c r="DR67" s="144">
        <f>'[1]PBF Run'!L67*(1+'[1]PBF Run'!$C$4)</f>
        <v>0</v>
      </c>
      <c r="DS67" s="144">
        <f>'[1]PBF Run'!AE67</f>
        <v>72737525</v>
      </c>
      <c r="DT67" s="326">
        <f t="shared" si="48"/>
        <v>0.22567587345838547</v>
      </c>
      <c r="DU67" s="144"/>
      <c r="DV67" s="144"/>
    </row>
    <row r="68" spans="1:126" ht="13.5" thickBot="1">
      <c r="A68" s="16" t="s">
        <v>283</v>
      </c>
      <c r="B68" s="16" t="s">
        <v>169</v>
      </c>
      <c r="C68" s="425">
        <f>[1]FTES!C68</f>
        <v>2145.0998910000003</v>
      </c>
      <c r="D68" s="425">
        <f>[1]FTES!D68</f>
        <v>2145.0998910000003</v>
      </c>
      <c r="E68" s="425">
        <f>[1]FTES!E68</f>
        <v>1976.34</v>
      </c>
      <c r="F68" s="425">
        <f>[1]FTES!H68</f>
        <v>0</v>
      </c>
      <c r="G68" s="425">
        <f>[1]FTES!I68</f>
        <v>0</v>
      </c>
      <c r="H68" s="425">
        <f>[1]FTES!J68</f>
        <v>1976.34</v>
      </c>
      <c r="I68" s="425">
        <f>[1]FTES!K68</f>
        <v>-168.75989100000001</v>
      </c>
      <c r="J68" s="425">
        <f>[1]FTES!L68</f>
        <v>0</v>
      </c>
      <c r="K68" s="425">
        <f>[1]FTES!M68</f>
        <v>0</v>
      </c>
      <c r="L68" s="425">
        <f>[1]FTES!N68</f>
        <v>288.02014699999995</v>
      </c>
      <c r="M68" s="425">
        <f>[1]FTES!O68</f>
        <v>288.02014699999995</v>
      </c>
      <c r="N68" s="425">
        <f>[1]FTES!P68</f>
        <v>263.79999999999995</v>
      </c>
      <c r="O68" s="425">
        <f>[1]FTES!S68</f>
        <v>0</v>
      </c>
      <c r="P68" s="425">
        <f>[1]FTES!T68</f>
        <v>0</v>
      </c>
      <c r="Q68" s="425">
        <f>[1]FTES!U68</f>
        <v>263.79999999999995</v>
      </c>
      <c r="R68" s="425">
        <f>[1]FTES!V68</f>
        <v>-24.220147000000001</v>
      </c>
      <c r="S68" s="425">
        <f>[1]FTES!W68</f>
        <v>0</v>
      </c>
      <c r="T68" s="425">
        <f>[1]FTES!X68</f>
        <v>0</v>
      </c>
      <c r="U68" s="425">
        <f>[1]FTES!Y68</f>
        <v>0</v>
      </c>
      <c r="V68" s="425">
        <f>[1]FTES!Z68</f>
        <v>0</v>
      </c>
      <c r="W68" s="425">
        <f>[1]FTES!AA68</f>
        <v>67.900000000000006</v>
      </c>
      <c r="X68" s="425">
        <f>[1]FTES!AD68</f>
        <v>0</v>
      </c>
      <c r="Y68" s="425">
        <f>[1]FTES!AE68</f>
        <v>0</v>
      </c>
      <c r="Z68" s="425">
        <f>[1]FTES!AF68</f>
        <v>67.900000000000006</v>
      </c>
      <c r="AA68" s="425">
        <f>[1]FTES!AG68</f>
        <v>67.900000000000006</v>
      </c>
      <c r="AB68" s="425">
        <f>[1]FTES!AH68</f>
        <v>0</v>
      </c>
      <c r="AC68" s="425">
        <f>[1]FTES!AI68</f>
        <v>0</v>
      </c>
      <c r="AD68" s="425"/>
      <c r="AE68" s="376">
        <f>'[1]13-14 $86M Workload Restore'!AJ66</f>
        <v>0</v>
      </c>
      <c r="AF68" s="375"/>
      <c r="AG68" s="122" t="str">
        <f>'[1]Restoration and Growth'!N68</f>
        <v>Decline</v>
      </c>
      <c r="AH68" s="122" t="str">
        <f>'[1]Restoration and Growth'!O68</f>
        <v>Decline</v>
      </c>
      <c r="AI68" s="122" t="str">
        <f>'[1]Restoration and Growth'!P68</f>
        <v>Decline</v>
      </c>
      <c r="AJ68" s="122" t="str">
        <f>'[1]Restoration and Growth'!Q68</f>
        <v>New CDCP</v>
      </c>
      <c r="AK68" s="139"/>
      <c r="AL68" s="139">
        <f>ROUND(J68*'[1]PBF Run'!$AS$4,3)</f>
        <v>0</v>
      </c>
      <c r="AM68" s="139">
        <f>ROUND(S68*'[1]PBF Run'!$AF$4,3)</f>
        <v>0</v>
      </c>
      <c r="AN68" s="139">
        <f>ROUND(AB68*'[1]PBF Run'!$AJ$4,3)</f>
        <v>0</v>
      </c>
      <c r="AO68" s="139">
        <f t="shared" si="29"/>
        <v>0</v>
      </c>
      <c r="AP68" s="139" t="str">
        <f t="shared" si="46"/>
        <v>NA</v>
      </c>
      <c r="AQ68" s="139"/>
      <c r="AR68" s="374">
        <f t="shared" si="47"/>
        <v>0</v>
      </c>
      <c r="AS68" s="9">
        <f t="shared" si="0"/>
        <v>0</v>
      </c>
      <c r="AT68" s="9"/>
      <c r="AU68" s="373">
        <f t="shared" si="1"/>
        <v>0</v>
      </c>
      <c r="AV68" s="439">
        <f t="shared" si="49"/>
        <v>0</v>
      </c>
      <c r="AW68" s="9">
        <f t="shared" si="3"/>
        <v>0</v>
      </c>
      <c r="AX68" s="9"/>
      <c r="AY68" s="373">
        <f t="shared" si="4"/>
        <v>0</v>
      </c>
      <c r="AZ68" s="439">
        <f t="shared" si="30"/>
        <v>0</v>
      </c>
      <c r="BA68" s="9">
        <f t="shared" si="31"/>
        <v>0</v>
      </c>
      <c r="BB68" s="439"/>
      <c r="BC68" s="171">
        <f t="shared" si="32"/>
        <v>0</v>
      </c>
      <c r="BD68" s="171">
        <f t="shared" si="33"/>
        <v>0</v>
      </c>
      <c r="BE68" s="171">
        <f t="shared" si="34"/>
        <v>0</v>
      </c>
      <c r="BF68" s="438">
        <f t="shared" si="35"/>
        <v>0</v>
      </c>
      <c r="BG68" s="389">
        <f t="shared" si="5"/>
        <v>0</v>
      </c>
      <c r="BH68" s="438"/>
      <c r="BI68" s="425">
        <f t="shared" si="6"/>
        <v>2145.0998910000003</v>
      </c>
      <c r="BJ68" s="425">
        <f t="shared" si="7"/>
        <v>288.02014699999995</v>
      </c>
      <c r="BK68" s="425">
        <f t="shared" si="8"/>
        <v>0</v>
      </c>
      <c r="BL68" s="438"/>
      <c r="BM68" s="425">
        <f t="shared" si="9"/>
        <v>2145.0998910000003</v>
      </c>
      <c r="BN68" s="425">
        <f t="shared" si="10"/>
        <v>288.02014699999995</v>
      </c>
      <c r="BO68" s="425">
        <f t="shared" si="11"/>
        <v>0</v>
      </c>
      <c r="BP68" s="438"/>
      <c r="BQ68" s="372">
        <f t="shared" si="12"/>
        <v>1976.34</v>
      </c>
      <c r="BR68" s="372">
        <f t="shared" si="13"/>
        <v>263.79999999999995</v>
      </c>
      <c r="BS68" s="372">
        <f t="shared" si="14"/>
        <v>67.900000000000006</v>
      </c>
      <c r="BU68" s="439">
        <f t="shared" si="15"/>
        <v>0</v>
      </c>
      <c r="BV68" s="439">
        <f t="shared" si="16"/>
        <v>0</v>
      </c>
      <c r="BW68" s="439">
        <f t="shared" si="17"/>
        <v>0</v>
      </c>
      <c r="BY68" s="439">
        <f t="shared" si="18"/>
        <v>0</v>
      </c>
      <c r="BZ68" s="439">
        <f t="shared" si="19"/>
        <v>0</v>
      </c>
      <c r="CA68" s="439">
        <f t="shared" si="20"/>
        <v>0</v>
      </c>
      <c r="CB68" s="439"/>
      <c r="CC68" s="439">
        <f t="shared" si="21"/>
        <v>-168.75989100000001</v>
      </c>
      <c r="CD68" s="439">
        <f t="shared" si="22"/>
        <v>-24.220147000000001</v>
      </c>
      <c r="CE68" s="374">
        <f t="shared" si="23"/>
        <v>67.900000000000006</v>
      </c>
      <c r="CF68" s="439"/>
      <c r="CG68" s="439">
        <f t="shared" si="36"/>
        <v>0</v>
      </c>
      <c r="CH68" s="439">
        <f t="shared" si="37"/>
        <v>0</v>
      </c>
      <c r="CI68" s="439">
        <f t="shared" si="38"/>
        <v>0</v>
      </c>
      <c r="CJ68" s="439"/>
      <c r="CK68" s="439">
        <v>4636.4929330000004</v>
      </c>
      <c r="CL68" s="439">
        <v>2788.0536374600001</v>
      </c>
      <c r="CM68" s="439">
        <v>3282.8110613200001</v>
      </c>
      <c r="CN68" s="439"/>
      <c r="CO68" s="439">
        <f t="shared" si="39"/>
        <v>0</v>
      </c>
      <c r="CP68" s="439">
        <f t="shared" si="24"/>
        <v>0</v>
      </c>
      <c r="CQ68" s="439">
        <f t="shared" si="24"/>
        <v>0</v>
      </c>
      <c r="CR68" s="439">
        <f t="shared" si="40"/>
        <v>0</v>
      </c>
      <c r="CS68" s="439">
        <f>+'[1]13-14 $86M Workload Restore'!AJ66</f>
        <v>0</v>
      </c>
      <c r="CT68" s="439">
        <f t="shared" si="41"/>
        <v>0</v>
      </c>
      <c r="CV68" s="173">
        <v>0</v>
      </c>
      <c r="CW68" s="439">
        <f t="shared" si="42"/>
        <v>1976.3400000000004</v>
      </c>
      <c r="CX68" s="439">
        <f t="shared" si="50"/>
        <v>263.79999999999995</v>
      </c>
      <c r="CY68" s="439">
        <f t="shared" si="50"/>
        <v>67.900000000000006</v>
      </c>
      <c r="DA68" s="439">
        <f t="shared" si="51"/>
        <v>0</v>
      </c>
      <c r="DB68" s="439">
        <f t="shared" si="51"/>
        <v>0</v>
      </c>
      <c r="DC68" s="439">
        <f t="shared" si="51"/>
        <v>0</v>
      </c>
      <c r="DE68" s="371">
        <f t="shared" si="52"/>
        <v>0</v>
      </c>
      <c r="DF68" s="371">
        <f t="shared" si="52"/>
        <v>0</v>
      </c>
      <c r="DG68" s="371">
        <f t="shared" si="52"/>
        <v>0</v>
      </c>
      <c r="DH68" s="439"/>
      <c r="DI68" s="371">
        <f t="shared" si="53"/>
        <v>-4.5474735088646412E-13</v>
      </c>
      <c r="DJ68" s="371">
        <f t="shared" si="53"/>
        <v>0</v>
      </c>
      <c r="DK68" s="371">
        <f t="shared" si="53"/>
        <v>0</v>
      </c>
      <c r="DL68" s="144">
        <f t="shared" si="43"/>
        <v>9163286.2872127052</v>
      </c>
      <c r="DM68" s="144">
        <f t="shared" si="44"/>
        <v>735488.54956194793</v>
      </c>
      <c r="DN68" s="144">
        <f t="shared" si="45"/>
        <v>222902.87106362803</v>
      </c>
      <c r="DO68" s="144">
        <f>'[1]PBF Run'!F68*(1+'[1]PBF Run'!$C$4)</f>
        <v>3935975.6352000004</v>
      </c>
      <c r="DP68" s="144">
        <f>'[1]PBF Run'!AA68+'[1]PBF Run'!AB68+'[1]PBF Run'!AC68+'[1]PBF Run'!AD68</f>
        <v>0</v>
      </c>
      <c r="DQ68" s="144">
        <f>'[1]PBF Run'!X68</f>
        <v>627078</v>
      </c>
      <c r="DR68" s="144">
        <f>'[1]PBF Run'!L68*(1+'[1]PBF Run'!$C$4)</f>
        <v>0</v>
      </c>
      <c r="DS68" s="144">
        <f>'[1]PBF Run'!AE68</f>
        <v>14684732</v>
      </c>
      <c r="DT68" s="326">
        <f t="shared" si="48"/>
        <v>0.6569617185741663</v>
      </c>
      <c r="DU68" s="144"/>
      <c r="DV68" s="144"/>
    </row>
    <row r="69" spans="1:126" ht="13.5" thickBot="1">
      <c r="A69" s="16" t="s">
        <v>281</v>
      </c>
      <c r="B69" s="16" t="s">
        <v>170</v>
      </c>
      <c r="C69" s="425">
        <f>[1]FTES!C69</f>
        <v>6966.03</v>
      </c>
      <c r="D69" s="425">
        <f>[1]FTES!D69</f>
        <v>6966.03</v>
      </c>
      <c r="E69" s="425">
        <f>[1]FTES!E69</f>
        <v>8178.84</v>
      </c>
      <c r="F69" s="425">
        <f>[1]FTES!H69</f>
        <v>1212.8100219999999</v>
      </c>
      <c r="G69" s="425">
        <f>[1]FTES!I69</f>
        <v>0</v>
      </c>
      <c r="H69" s="425">
        <f>[1]FTES!J69</f>
        <v>8178.8400220000003</v>
      </c>
      <c r="I69" s="425">
        <f>[1]FTES!K69</f>
        <v>0</v>
      </c>
      <c r="J69" s="425">
        <f>[1]FTES!L69</f>
        <v>-2.1999999999999999E-5</v>
      </c>
      <c r="K69" s="425">
        <f>[1]FTES!M69</f>
        <v>0</v>
      </c>
      <c r="L69" s="425">
        <f>[1]FTES!N69</f>
        <v>9.9999999999999867E-2</v>
      </c>
      <c r="M69" s="425">
        <f>[1]FTES!O69</f>
        <v>9.9999999999999867E-2</v>
      </c>
      <c r="N69" s="425">
        <f>[1]FTES!P69</f>
        <v>0.59</v>
      </c>
      <c r="O69" s="425">
        <f>[1]FTES!S69</f>
        <v>0.48994799999999999</v>
      </c>
      <c r="P69" s="425">
        <f>[1]FTES!T69</f>
        <v>0</v>
      </c>
      <c r="Q69" s="425">
        <f>[1]FTES!U69</f>
        <v>0.58994800000000003</v>
      </c>
      <c r="R69" s="425">
        <f>[1]FTES!V69</f>
        <v>0</v>
      </c>
      <c r="S69" s="425">
        <f>[1]FTES!W69</f>
        <v>5.1999999999999997E-5</v>
      </c>
      <c r="T69" s="425">
        <f>[1]FTES!X69</f>
        <v>0</v>
      </c>
      <c r="U69" s="425">
        <f>[1]FTES!Y69</f>
        <v>0</v>
      </c>
      <c r="V69" s="425">
        <f>[1]FTES!Z69</f>
        <v>0</v>
      </c>
      <c r="W69" s="425">
        <f>[1]FTES!AA69</f>
        <v>0</v>
      </c>
      <c r="X69" s="425">
        <f>[1]FTES!AD69</f>
        <v>0</v>
      </c>
      <c r="Y69" s="425">
        <f>[1]FTES!AE69</f>
        <v>0</v>
      </c>
      <c r="Z69" s="425">
        <f>[1]FTES!AF69</f>
        <v>0</v>
      </c>
      <c r="AA69" s="425">
        <f>[1]FTES!AG69</f>
        <v>0</v>
      </c>
      <c r="AB69" s="425">
        <f>[1]FTES!AH69</f>
        <v>0</v>
      </c>
      <c r="AC69" s="425">
        <f>[1]FTES!AI69</f>
        <v>0</v>
      </c>
      <c r="AD69" s="425"/>
      <c r="AE69" s="376">
        <f>'[1]13-14 $86M Workload Restore'!AJ67</f>
        <v>0</v>
      </c>
      <c r="AF69" s="375"/>
      <c r="AG69" s="122" t="str">
        <f>'[1]Restoration and Growth'!N69</f>
        <v>Restore</v>
      </c>
      <c r="AH69" s="122" t="str">
        <f>'[1]Restoration and Growth'!O69</f>
        <v>Grow</v>
      </c>
      <c r="AI69" s="122" t="str">
        <f>'[1]Restoration and Growth'!P69</f>
        <v>Grow</v>
      </c>
      <c r="AJ69" s="122" t="str">
        <f>'[1]Restoration and Growth'!Q69</f>
        <v>No CPCP</v>
      </c>
      <c r="AK69" s="139"/>
      <c r="AL69" s="139">
        <f>ROUND(J69*'[1]PBF Run'!$AS$4,3)</f>
        <v>-0.10199999999999999</v>
      </c>
      <c r="AM69" s="139">
        <f>ROUND(S69*'[1]PBF Run'!$AF$4,3)</f>
        <v>0.14499999999999999</v>
      </c>
      <c r="AN69" s="139">
        <f>ROUND(AB69*'[1]PBF Run'!$AJ$4,3)</f>
        <v>0</v>
      </c>
      <c r="AO69" s="139">
        <f t="shared" si="29"/>
        <v>4.2999999999999997E-2</v>
      </c>
      <c r="AP69" s="139" t="str">
        <f t="shared" si="46"/>
        <v>Y</v>
      </c>
      <c r="AQ69" s="139"/>
      <c r="AR69" s="374">
        <f t="shared" si="47"/>
        <v>-2.1999999999999999E-5</v>
      </c>
      <c r="AS69" s="9">
        <f t="shared" si="0"/>
        <v>0</v>
      </c>
      <c r="AT69" s="9"/>
      <c r="AU69" s="373">
        <f t="shared" si="1"/>
        <v>0</v>
      </c>
      <c r="AV69" s="439">
        <f t="shared" si="49"/>
        <v>0</v>
      </c>
      <c r="AW69" s="9">
        <f t="shared" si="3"/>
        <v>0</v>
      </c>
      <c r="AX69" s="9"/>
      <c r="AY69" s="373">
        <f t="shared" si="4"/>
        <v>0</v>
      </c>
      <c r="AZ69" s="439">
        <f t="shared" si="30"/>
        <v>0</v>
      </c>
      <c r="BA69" s="9">
        <f t="shared" si="31"/>
        <v>0</v>
      </c>
      <c r="BB69" s="439"/>
      <c r="BC69" s="171">
        <f t="shared" si="32"/>
        <v>0</v>
      </c>
      <c r="BD69" s="171">
        <f t="shared" si="33"/>
        <v>0</v>
      </c>
      <c r="BE69" s="171">
        <f t="shared" si="34"/>
        <v>0</v>
      </c>
      <c r="BF69" s="438">
        <f t="shared" si="35"/>
        <v>0</v>
      </c>
      <c r="BG69" s="389">
        <f t="shared" si="5"/>
        <v>0</v>
      </c>
      <c r="BH69" s="438"/>
      <c r="BI69" s="425">
        <f t="shared" si="6"/>
        <v>6966.03</v>
      </c>
      <c r="BJ69" s="425">
        <f t="shared" si="7"/>
        <v>9.9999999999999867E-2</v>
      </c>
      <c r="BK69" s="425">
        <f t="shared" si="8"/>
        <v>0</v>
      </c>
      <c r="BL69" s="438"/>
      <c r="BM69" s="425">
        <f t="shared" si="9"/>
        <v>6966.03</v>
      </c>
      <c r="BN69" s="425">
        <f t="shared" si="10"/>
        <v>9.9999999999999867E-2</v>
      </c>
      <c r="BO69" s="425">
        <f t="shared" si="11"/>
        <v>0</v>
      </c>
      <c r="BP69" s="438"/>
      <c r="BQ69" s="372">
        <f t="shared" si="12"/>
        <v>8178.84</v>
      </c>
      <c r="BR69" s="372">
        <f t="shared" si="13"/>
        <v>0.59</v>
      </c>
      <c r="BS69" s="372">
        <f t="shared" si="14"/>
        <v>0</v>
      </c>
      <c r="BU69" s="439">
        <f t="shared" si="15"/>
        <v>1212.8100219999999</v>
      </c>
      <c r="BV69" s="439">
        <f t="shared" si="16"/>
        <v>0.48994799999999999</v>
      </c>
      <c r="BW69" s="439">
        <f t="shared" si="17"/>
        <v>0</v>
      </c>
      <c r="BY69" s="439">
        <f t="shared" si="18"/>
        <v>0</v>
      </c>
      <c r="BZ69" s="439">
        <f t="shared" si="19"/>
        <v>0</v>
      </c>
      <c r="CA69" s="439">
        <f t="shared" si="20"/>
        <v>0</v>
      </c>
      <c r="CB69" s="439"/>
      <c r="CC69" s="439">
        <f t="shared" si="21"/>
        <v>0</v>
      </c>
      <c r="CD69" s="439">
        <f t="shared" si="22"/>
        <v>0</v>
      </c>
      <c r="CE69" s="374">
        <f t="shared" si="23"/>
        <v>0</v>
      </c>
      <c r="CF69" s="439"/>
      <c r="CG69" s="439">
        <f t="shared" si="36"/>
        <v>-2.1999999999999999E-5</v>
      </c>
      <c r="CH69" s="439">
        <f t="shared" si="37"/>
        <v>0</v>
      </c>
      <c r="CI69" s="439">
        <f t="shared" si="38"/>
        <v>0</v>
      </c>
      <c r="CJ69" s="439"/>
      <c r="CK69" s="439">
        <v>4636.4928730000001</v>
      </c>
      <c r="CL69" s="439">
        <v>2788.0536374600001</v>
      </c>
      <c r="CM69" s="439">
        <v>3282.8110613200001</v>
      </c>
      <c r="CN69" s="439"/>
      <c r="CO69" s="439">
        <f t="shared" si="39"/>
        <v>-0.102002843206</v>
      </c>
      <c r="CP69" s="439">
        <f t="shared" si="24"/>
        <v>0</v>
      </c>
      <c r="CQ69" s="439">
        <f t="shared" si="24"/>
        <v>0</v>
      </c>
      <c r="CR69" s="439">
        <f t="shared" si="40"/>
        <v>-0.102002843206</v>
      </c>
      <c r="CS69" s="439">
        <f>+'[1]13-14 $86M Workload Restore'!AJ67</f>
        <v>0</v>
      </c>
      <c r="CT69" s="439">
        <f t="shared" si="41"/>
        <v>-0.102002843206</v>
      </c>
      <c r="CV69" s="173">
        <v>0</v>
      </c>
      <c r="CW69" s="439">
        <f t="shared" si="42"/>
        <v>8178.8399999999992</v>
      </c>
      <c r="CX69" s="439">
        <f t="shared" si="50"/>
        <v>0.58994799999999992</v>
      </c>
      <c r="CY69" s="439">
        <f t="shared" si="50"/>
        <v>0</v>
      </c>
      <c r="DA69" s="439">
        <f t="shared" si="51"/>
        <v>0</v>
      </c>
      <c r="DB69" s="439">
        <f t="shared" si="51"/>
        <v>5.2000000000052005E-5</v>
      </c>
      <c r="DC69" s="439">
        <f t="shared" si="51"/>
        <v>0</v>
      </c>
      <c r="DE69" s="371">
        <f t="shared" si="52"/>
        <v>0</v>
      </c>
      <c r="DF69" s="371">
        <f t="shared" si="52"/>
        <v>0</v>
      </c>
      <c r="DG69" s="371">
        <f t="shared" si="52"/>
        <v>0</v>
      </c>
      <c r="DH69" s="439"/>
      <c r="DI69" s="371">
        <f t="shared" si="53"/>
        <v>9.0949470177292824E-13</v>
      </c>
      <c r="DJ69" s="371">
        <f t="shared" si="53"/>
        <v>0</v>
      </c>
      <c r="DK69" s="371">
        <f t="shared" si="53"/>
        <v>0</v>
      </c>
      <c r="DL69" s="144">
        <f t="shared" si="43"/>
        <v>37921133.214581877</v>
      </c>
      <c r="DM69" s="144">
        <f t="shared" si="44"/>
        <v>1644.8066673122519</v>
      </c>
      <c r="DN69" s="144">
        <f t="shared" si="45"/>
        <v>0</v>
      </c>
      <c r="DO69" s="144">
        <f>'[1]PBF Run'!F69*(1+'[1]PBF Run'!$C$4)</f>
        <v>5622822.7713000001</v>
      </c>
      <c r="DP69" s="144">
        <f>'[1]PBF Run'!AA69+'[1]PBF Run'!AB69+'[1]PBF Run'!AC69+'[1]PBF Run'!AD69</f>
        <v>0</v>
      </c>
      <c r="DQ69" s="144">
        <f>'[1]PBF Run'!X69</f>
        <v>0</v>
      </c>
      <c r="DR69" s="144">
        <f>'[1]PBF Run'!L69*(1+'[1]PBF Run'!$C$4)</f>
        <v>0</v>
      </c>
      <c r="DS69" s="144">
        <f>'[1]PBF Run'!AE69</f>
        <v>43545601</v>
      </c>
      <c r="DT69" s="326">
        <f t="shared" si="48"/>
        <v>0.20745080709457397</v>
      </c>
      <c r="DU69" s="144"/>
      <c r="DV69" s="144"/>
    </row>
    <row r="70" spans="1:126" ht="13.5" thickBot="1">
      <c r="A70" s="16" t="s">
        <v>279</v>
      </c>
      <c r="B70" s="16" t="s">
        <v>171</v>
      </c>
      <c r="C70" s="425">
        <f>[1]FTES!C70</f>
        <v>15612.339999999997</v>
      </c>
      <c r="D70" s="425">
        <f>[1]FTES!D70</f>
        <v>15612.339999999997</v>
      </c>
      <c r="E70" s="425">
        <f>[1]FTES!E70</f>
        <v>16829.191000000003</v>
      </c>
      <c r="F70" s="425">
        <f>[1]FTES!H70</f>
        <v>923.65202199999999</v>
      </c>
      <c r="G70" s="425">
        <f>[1]FTES!I70</f>
        <v>0</v>
      </c>
      <c r="H70" s="425">
        <f>[1]FTES!J70</f>
        <v>16535.992021999999</v>
      </c>
      <c r="I70" s="425">
        <f>[1]FTES!K70</f>
        <v>0</v>
      </c>
      <c r="J70" s="425">
        <f>[1]FTES!L70</f>
        <v>293.19897800000001</v>
      </c>
      <c r="K70" s="425">
        <f>[1]FTES!M70</f>
        <v>0</v>
      </c>
      <c r="L70" s="425">
        <f>[1]FTES!N70</f>
        <v>2228.3900000000003</v>
      </c>
      <c r="M70" s="425">
        <f>[1]FTES!O70</f>
        <v>2228.3900000000003</v>
      </c>
      <c r="N70" s="425">
        <f>[1]FTES!P70</f>
        <v>2167.44</v>
      </c>
      <c r="O70" s="425">
        <f>[1]FTES!S70</f>
        <v>0</v>
      </c>
      <c r="P70" s="425">
        <f>[1]FTES!T70</f>
        <v>0</v>
      </c>
      <c r="Q70" s="425">
        <f>[1]FTES!U70</f>
        <v>2167.44</v>
      </c>
      <c r="R70" s="425">
        <f>[1]FTES!V70</f>
        <v>0</v>
      </c>
      <c r="S70" s="425">
        <f>[1]FTES!W70</f>
        <v>0</v>
      </c>
      <c r="T70" s="425">
        <f>[1]FTES!X70</f>
        <v>0</v>
      </c>
      <c r="U70" s="425">
        <f>[1]FTES!Y70</f>
        <v>444.02</v>
      </c>
      <c r="V70" s="425">
        <f>[1]FTES!Z70</f>
        <v>444.02</v>
      </c>
      <c r="W70" s="425">
        <f>[1]FTES!AA70</f>
        <v>603.11</v>
      </c>
      <c r="X70" s="425">
        <f>[1]FTES!AD70</f>
        <v>0</v>
      </c>
      <c r="Y70" s="425">
        <f>[1]FTES!AE70</f>
        <v>0</v>
      </c>
      <c r="Z70" s="425">
        <f>[1]FTES!AF70</f>
        <v>444.02</v>
      </c>
      <c r="AA70" s="425">
        <f>[1]FTES!AG70</f>
        <v>0</v>
      </c>
      <c r="AB70" s="425">
        <f>[1]FTES!AH70</f>
        <v>159.09</v>
      </c>
      <c r="AC70" s="425">
        <f>[1]FTES!AI70</f>
        <v>0</v>
      </c>
      <c r="AD70" s="425"/>
      <c r="AE70" s="376">
        <f>'[1]13-14 $86M Workload Restore'!AJ68</f>
        <v>1711745</v>
      </c>
      <c r="AF70" s="375"/>
      <c r="AG70" s="122" t="str">
        <f>'[1]Restoration and Growth'!N70</f>
        <v>Rest&amp;Grow</v>
      </c>
      <c r="AH70" s="122" t="str">
        <f>'[1]Restoration and Growth'!O70</f>
        <v>Grow</v>
      </c>
      <c r="AI70" s="122" t="str">
        <f>'[1]Restoration and Growth'!P70</f>
        <v>Decline</v>
      </c>
      <c r="AJ70" s="122" t="str">
        <f>'[1]Restoration and Growth'!Q70</f>
        <v>Grow</v>
      </c>
      <c r="AK70" s="139"/>
      <c r="AL70" s="139">
        <f>ROUND(J70*'[1]PBF Run'!$AS$4,3)</f>
        <v>1359414.966</v>
      </c>
      <c r="AM70" s="139">
        <f>ROUND(S70*'[1]PBF Run'!$AF$4,3)</f>
        <v>0</v>
      </c>
      <c r="AN70" s="139">
        <f>ROUND(AB70*'[1]PBF Run'!$AJ$4,3)</f>
        <v>522262.41200000001</v>
      </c>
      <c r="AO70" s="139">
        <f t="shared" si="29"/>
        <v>1881677.378</v>
      </c>
      <c r="AP70" s="139" t="str">
        <f t="shared" si="46"/>
        <v>Y</v>
      </c>
      <c r="AQ70" s="139"/>
      <c r="AR70" s="374">
        <f t="shared" si="47"/>
        <v>293.19898499999999</v>
      </c>
      <c r="AS70" s="9">
        <f t="shared" si="0"/>
        <v>1359415</v>
      </c>
      <c r="AT70" s="9"/>
      <c r="AU70" s="373">
        <f t="shared" si="1"/>
        <v>1359415</v>
      </c>
      <c r="AV70" s="439">
        <f t="shared" si="49"/>
        <v>-60.950000000000273</v>
      </c>
      <c r="AW70" s="9">
        <f t="shared" si="3"/>
        <v>-169932</v>
      </c>
      <c r="AX70" s="9"/>
      <c r="AY70" s="373">
        <f t="shared" si="4"/>
        <v>1189483</v>
      </c>
      <c r="AZ70" s="439">
        <f t="shared" si="30"/>
        <v>159.09</v>
      </c>
      <c r="BA70" s="9">
        <f t="shared" si="31"/>
        <v>522262</v>
      </c>
      <c r="BB70" s="439"/>
      <c r="BC70" s="171">
        <f t="shared" si="32"/>
        <v>1359415</v>
      </c>
      <c r="BD70" s="171">
        <f t="shared" si="33"/>
        <v>-169932</v>
      </c>
      <c r="BE70" s="171">
        <f t="shared" si="34"/>
        <v>522262</v>
      </c>
      <c r="BF70" s="438">
        <f t="shared" si="35"/>
        <v>1711745</v>
      </c>
      <c r="BG70" s="389">
        <f t="shared" si="5"/>
        <v>0</v>
      </c>
      <c r="BH70" s="438"/>
      <c r="BI70" s="425">
        <f t="shared" si="6"/>
        <v>15612.339999999997</v>
      </c>
      <c r="BJ70" s="425">
        <f t="shared" si="7"/>
        <v>2228.3900000000003</v>
      </c>
      <c r="BK70" s="425">
        <f t="shared" si="8"/>
        <v>444.02</v>
      </c>
      <c r="BL70" s="438"/>
      <c r="BM70" s="425">
        <f t="shared" si="9"/>
        <v>15612.339999999997</v>
      </c>
      <c r="BN70" s="425">
        <f t="shared" si="10"/>
        <v>2228.3900000000003</v>
      </c>
      <c r="BO70" s="425">
        <f t="shared" si="11"/>
        <v>444.02</v>
      </c>
      <c r="BP70" s="438"/>
      <c r="BQ70" s="372">
        <f t="shared" si="12"/>
        <v>16829.191000000003</v>
      </c>
      <c r="BR70" s="372">
        <f t="shared" si="13"/>
        <v>2167.44</v>
      </c>
      <c r="BS70" s="372">
        <f t="shared" si="14"/>
        <v>603.11</v>
      </c>
      <c r="BU70" s="439">
        <f t="shared" si="15"/>
        <v>923.65202199999999</v>
      </c>
      <c r="BV70" s="439">
        <f t="shared" si="16"/>
        <v>0</v>
      </c>
      <c r="BW70" s="439">
        <f t="shared" si="17"/>
        <v>0</v>
      </c>
      <c r="BY70" s="439">
        <f t="shared" si="18"/>
        <v>0</v>
      </c>
      <c r="BZ70" s="439">
        <f t="shared" si="19"/>
        <v>0</v>
      </c>
      <c r="CA70" s="439">
        <f t="shared" si="20"/>
        <v>0</v>
      </c>
      <c r="CB70" s="439"/>
      <c r="CC70" s="439">
        <f t="shared" si="21"/>
        <v>0</v>
      </c>
      <c r="CD70" s="439">
        <f t="shared" si="22"/>
        <v>0</v>
      </c>
      <c r="CE70" s="374">
        <f t="shared" si="23"/>
        <v>0</v>
      </c>
      <c r="CF70" s="439"/>
      <c r="CG70" s="439">
        <f t="shared" si="36"/>
        <v>293.19898499999999</v>
      </c>
      <c r="CH70" s="439">
        <f t="shared" si="37"/>
        <v>-60.950000000000273</v>
      </c>
      <c r="CI70" s="439">
        <f t="shared" si="38"/>
        <v>159.09</v>
      </c>
      <c r="CJ70" s="439"/>
      <c r="CK70" s="439">
        <v>4636.4928810000001</v>
      </c>
      <c r="CL70" s="439">
        <v>2788.0536374600001</v>
      </c>
      <c r="CM70" s="439">
        <v>3282.8110613200001</v>
      </c>
      <c r="CN70" s="439"/>
      <c r="CO70" s="439">
        <f t="shared" si="39"/>
        <v>1359415.0066689258</v>
      </c>
      <c r="CP70" s="439">
        <f t="shared" si="24"/>
        <v>-169931.86920318776</v>
      </c>
      <c r="CQ70" s="439">
        <f t="shared" si="24"/>
        <v>522262.41174539883</v>
      </c>
      <c r="CR70" s="439">
        <f t="shared" si="40"/>
        <v>1711745.5492111368</v>
      </c>
      <c r="CS70" s="439">
        <f>+'[1]13-14 $86M Workload Restore'!AJ68</f>
        <v>1711745</v>
      </c>
      <c r="CT70" s="439">
        <f t="shared" si="41"/>
        <v>0.54921113676391542</v>
      </c>
      <c r="CV70" s="173">
        <v>0</v>
      </c>
      <c r="CW70" s="439">
        <f t="shared" si="42"/>
        <v>16829.191006999994</v>
      </c>
      <c r="CX70" s="439">
        <f t="shared" si="50"/>
        <v>2167.44</v>
      </c>
      <c r="CY70" s="439">
        <f t="shared" si="50"/>
        <v>603.11</v>
      </c>
      <c r="DA70" s="439">
        <f t="shared" si="51"/>
        <v>-6.9999914558138698E-6</v>
      </c>
      <c r="DB70" s="439">
        <f t="shared" si="51"/>
        <v>0</v>
      </c>
      <c r="DC70" s="439">
        <f t="shared" si="51"/>
        <v>0</v>
      </c>
      <c r="DE70" s="371">
        <f t="shared" si="52"/>
        <v>0</v>
      </c>
      <c r="DF70" s="371">
        <f t="shared" si="52"/>
        <v>0</v>
      </c>
      <c r="DG70" s="371">
        <f t="shared" si="52"/>
        <v>0</v>
      </c>
      <c r="DH70" s="439"/>
      <c r="DI70" s="371">
        <f t="shared" si="53"/>
        <v>0</v>
      </c>
      <c r="DJ70" s="371">
        <f t="shared" si="53"/>
        <v>0</v>
      </c>
      <c r="DK70" s="371">
        <f t="shared" si="53"/>
        <v>0</v>
      </c>
      <c r="DL70" s="144">
        <f t="shared" si="43"/>
        <v>78028423.843734577</v>
      </c>
      <c r="DM70" s="144">
        <f t="shared" si="44"/>
        <v>6042938.9759763032</v>
      </c>
      <c r="DN70" s="144">
        <f t="shared" si="45"/>
        <v>1979896.1791927053</v>
      </c>
      <c r="DO70" s="144">
        <f>'[1]PBF Run'!F70*(1+'[1]PBF Run'!$C$4)</f>
        <v>8153092.9676000001</v>
      </c>
      <c r="DP70" s="144">
        <f>'[1]PBF Run'!AA70+'[1]PBF Run'!AB70+'[1]PBF Run'!AC70+'[1]PBF Run'!AD70</f>
        <v>0</v>
      </c>
      <c r="DQ70" s="144">
        <f>'[1]PBF Run'!X70</f>
        <v>0</v>
      </c>
      <c r="DR70" s="144">
        <f>'[1]PBF Run'!L70*(1+'[1]PBF Run'!$C$4)</f>
        <v>0</v>
      </c>
      <c r="DS70" s="144">
        <f>'[1]PBF Run'!AE70</f>
        <v>94204353</v>
      </c>
      <c r="DT70" s="326">
        <f t="shared" si="48"/>
        <v>1.0334964096546173</v>
      </c>
      <c r="DU70" s="144"/>
      <c r="DV70" s="144"/>
    </row>
    <row r="71" spans="1:126" ht="13.5" thickBot="1">
      <c r="A71" s="16" t="s">
        <v>277</v>
      </c>
      <c r="B71" s="16" t="s">
        <v>172</v>
      </c>
      <c r="C71" s="425">
        <f>[1]FTES!C71</f>
        <v>25642.55</v>
      </c>
      <c r="D71" s="425">
        <f>[1]FTES!D71</f>
        <v>25642.55</v>
      </c>
      <c r="E71" s="425">
        <f>[1]FTES!E71</f>
        <v>22957.5</v>
      </c>
      <c r="F71" s="425">
        <f>[1]FTES!H71</f>
        <v>0</v>
      </c>
      <c r="G71" s="425">
        <f>[1]FTES!I71</f>
        <v>0</v>
      </c>
      <c r="H71" s="425">
        <f>[1]FTES!J71</f>
        <v>22957.5</v>
      </c>
      <c r="I71" s="425">
        <f>[1]FTES!K71</f>
        <v>-2685.05</v>
      </c>
      <c r="J71" s="425">
        <f>[1]FTES!L71</f>
        <v>0</v>
      </c>
      <c r="K71" s="425">
        <f>[1]FTES!M71</f>
        <v>0</v>
      </c>
      <c r="L71" s="425">
        <f>[1]FTES!N71</f>
        <v>1650.41</v>
      </c>
      <c r="M71" s="425">
        <f>[1]FTES!O71</f>
        <v>1650.41</v>
      </c>
      <c r="N71" s="425">
        <f>[1]FTES!P71</f>
        <v>1759.38</v>
      </c>
      <c r="O71" s="425">
        <f>[1]FTES!S71</f>
        <v>0</v>
      </c>
      <c r="P71" s="425">
        <f>[1]FTES!T71</f>
        <v>0</v>
      </c>
      <c r="Q71" s="425">
        <f>[1]FTES!U71</f>
        <v>1759.38</v>
      </c>
      <c r="R71" s="425">
        <f>[1]FTES!V71</f>
        <v>108.97</v>
      </c>
      <c r="S71" s="425">
        <f>[1]FTES!W71</f>
        <v>0</v>
      </c>
      <c r="T71" s="425">
        <f>[1]FTES!X71</f>
        <v>0</v>
      </c>
      <c r="U71" s="425">
        <f>[1]FTES!Y71</f>
        <v>157.26999999999998</v>
      </c>
      <c r="V71" s="425">
        <f>[1]FTES!Z71</f>
        <v>157.26999999999998</v>
      </c>
      <c r="W71" s="425">
        <f>[1]FTES!AA71</f>
        <v>175.26</v>
      </c>
      <c r="X71" s="425">
        <f>[1]FTES!AD71</f>
        <v>0</v>
      </c>
      <c r="Y71" s="425">
        <f>[1]FTES!AE71</f>
        <v>0</v>
      </c>
      <c r="Z71" s="425">
        <f>[1]FTES!AF71</f>
        <v>175.26</v>
      </c>
      <c r="AA71" s="425">
        <f>[1]FTES!AG71</f>
        <v>17.989999999999998</v>
      </c>
      <c r="AB71" s="425">
        <f>[1]FTES!AH71</f>
        <v>0</v>
      </c>
      <c r="AC71" s="425">
        <f>[1]FTES!AI71</f>
        <v>0</v>
      </c>
      <c r="AD71" s="425"/>
      <c r="AE71" s="376">
        <f>'[1]13-14 $86M Workload Restore'!AJ69</f>
        <v>0</v>
      </c>
      <c r="AF71" s="375"/>
      <c r="AG71" s="122" t="str">
        <f>'[1]Restoration and Growth'!N71</f>
        <v>Decline</v>
      </c>
      <c r="AH71" s="122" t="str">
        <f>'[1]Restoration and Growth'!O71</f>
        <v>Decline</v>
      </c>
      <c r="AI71" s="122" t="str">
        <f>'[1]Restoration and Growth'!P71</f>
        <v>Grow</v>
      </c>
      <c r="AJ71" s="122" t="str">
        <f>'[1]Restoration and Growth'!Q71</f>
        <v>Grow</v>
      </c>
      <c r="AK71" s="139"/>
      <c r="AL71" s="139">
        <f>ROUND(J71*'[1]PBF Run'!$AS$4,3)</f>
        <v>0</v>
      </c>
      <c r="AM71" s="139">
        <f>ROUND(S71*'[1]PBF Run'!$AF$4,3)</f>
        <v>0</v>
      </c>
      <c r="AN71" s="139">
        <f>ROUND(AB71*'[1]PBF Run'!$AJ$4,3)</f>
        <v>0</v>
      </c>
      <c r="AO71" s="139">
        <f t="shared" si="29"/>
        <v>0</v>
      </c>
      <c r="AP71" s="139" t="str">
        <f t="shared" si="46"/>
        <v>NA</v>
      </c>
      <c r="AQ71" s="139"/>
      <c r="AR71" s="374">
        <f t="shared" si="47"/>
        <v>0</v>
      </c>
      <c r="AS71" s="9">
        <f t="shared" si="0"/>
        <v>0</v>
      </c>
      <c r="AT71" s="9"/>
      <c r="AU71" s="373">
        <f t="shared" si="1"/>
        <v>0</v>
      </c>
      <c r="AV71" s="439">
        <f t="shared" si="49"/>
        <v>0</v>
      </c>
      <c r="AW71" s="9">
        <f t="shared" si="3"/>
        <v>0</v>
      </c>
      <c r="AX71" s="9"/>
      <c r="AY71" s="373">
        <f t="shared" si="4"/>
        <v>0</v>
      </c>
      <c r="AZ71" s="439">
        <f t="shared" si="30"/>
        <v>0</v>
      </c>
      <c r="BA71" s="9">
        <f t="shared" si="31"/>
        <v>0</v>
      </c>
      <c r="BB71" s="439"/>
      <c r="BC71" s="171">
        <f t="shared" si="32"/>
        <v>0</v>
      </c>
      <c r="BD71" s="171">
        <f t="shared" si="33"/>
        <v>0</v>
      </c>
      <c r="BE71" s="171">
        <f t="shared" si="34"/>
        <v>0</v>
      </c>
      <c r="BF71" s="438">
        <f t="shared" si="35"/>
        <v>0</v>
      </c>
      <c r="BG71" s="389">
        <f t="shared" si="5"/>
        <v>0</v>
      </c>
      <c r="BH71" s="438"/>
      <c r="BI71" s="425">
        <f t="shared" si="6"/>
        <v>25642.55</v>
      </c>
      <c r="BJ71" s="425">
        <f t="shared" si="7"/>
        <v>1650.41</v>
      </c>
      <c r="BK71" s="425">
        <f t="shared" si="8"/>
        <v>157.26999999999998</v>
      </c>
      <c r="BL71" s="438"/>
      <c r="BM71" s="425">
        <f t="shared" si="9"/>
        <v>25642.55</v>
      </c>
      <c r="BN71" s="425">
        <f t="shared" si="10"/>
        <v>1650.41</v>
      </c>
      <c r="BO71" s="425">
        <f t="shared" si="11"/>
        <v>157.26999999999998</v>
      </c>
      <c r="BP71" s="438"/>
      <c r="BQ71" s="372">
        <f t="shared" si="12"/>
        <v>22957.5</v>
      </c>
      <c r="BR71" s="372">
        <f t="shared" si="13"/>
        <v>1759.38</v>
      </c>
      <c r="BS71" s="372">
        <f t="shared" si="14"/>
        <v>175.26</v>
      </c>
      <c r="BU71" s="439">
        <f t="shared" si="15"/>
        <v>0</v>
      </c>
      <c r="BV71" s="439">
        <f t="shared" si="16"/>
        <v>0</v>
      </c>
      <c r="BW71" s="439">
        <f t="shared" si="17"/>
        <v>0</v>
      </c>
      <c r="BY71" s="439">
        <f t="shared" si="18"/>
        <v>0</v>
      </c>
      <c r="BZ71" s="439">
        <f t="shared" si="19"/>
        <v>0</v>
      </c>
      <c r="CA71" s="439">
        <f t="shared" si="20"/>
        <v>0</v>
      </c>
      <c r="CB71" s="439"/>
      <c r="CC71" s="439">
        <f t="shared" si="21"/>
        <v>-2685.05</v>
      </c>
      <c r="CD71" s="439">
        <f t="shared" si="22"/>
        <v>108.97</v>
      </c>
      <c r="CE71" s="374">
        <f t="shared" si="23"/>
        <v>17.989999999999998</v>
      </c>
      <c r="CF71" s="439"/>
      <c r="CG71" s="439">
        <f t="shared" si="36"/>
        <v>0</v>
      </c>
      <c r="CH71" s="439">
        <f t="shared" si="37"/>
        <v>0</v>
      </c>
      <c r="CI71" s="439">
        <f t="shared" si="38"/>
        <v>0</v>
      </c>
      <c r="CJ71" s="439"/>
      <c r="CK71" s="439">
        <v>4764.9334939999999</v>
      </c>
      <c r="CL71" s="439">
        <v>2788.0536374600001</v>
      </c>
      <c r="CM71" s="439">
        <v>3282.8110613200001</v>
      </c>
      <c r="CN71" s="439"/>
      <c r="CO71" s="439">
        <f t="shared" si="39"/>
        <v>0</v>
      </c>
      <c r="CP71" s="439">
        <f t="shared" si="24"/>
        <v>0</v>
      </c>
      <c r="CQ71" s="439">
        <f t="shared" si="24"/>
        <v>0</v>
      </c>
      <c r="CR71" s="439">
        <f t="shared" si="40"/>
        <v>0</v>
      </c>
      <c r="CS71" s="439">
        <f>+'[1]13-14 $86M Workload Restore'!AJ69</f>
        <v>0</v>
      </c>
      <c r="CT71" s="439">
        <f t="shared" si="41"/>
        <v>0</v>
      </c>
      <c r="CV71" s="173">
        <v>0</v>
      </c>
      <c r="CW71" s="439">
        <f t="shared" si="42"/>
        <v>22957.5</v>
      </c>
      <c r="CX71" s="439">
        <f t="shared" si="50"/>
        <v>1759.38</v>
      </c>
      <c r="CY71" s="439">
        <f t="shared" si="50"/>
        <v>175.26</v>
      </c>
      <c r="DA71" s="439">
        <f t="shared" si="51"/>
        <v>0</v>
      </c>
      <c r="DB71" s="439">
        <f t="shared" si="51"/>
        <v>0</v>
      </c>
      <c r="DC71" s="439">
        <f t="shared" si="51"/>
        <v>0</v>
      </c>
      <c r="DE71" s="371">
        <f t="shared" si="52"/>
        <v>0</v>
      </c>
      <c r="DF71" s="371">
        <f t="shared" si="52"/>
        <v>0</v>
      </c>
      <c r="DG71" s="371">
        <f t="shared" si="52"/>
        <v>0</v>
      </c>
      <c r="DH71" s="439"/>
      <c r="DI71" s="371">
        <f t="shared" si="53"/>
        <v>0</v>
      </c>
      <c r="DJ71" s="371">
        <f t="shared" si="53"/>
        <v>0</v>
      </c>
      <c r="DK71" s="371">
        <f t="shared" si="53"/>
        <v>0</v>
      </c>
      <c r="DL71" s="144">
        <f t="shared" si="43"/>
        <v>106442284.69731203</v>
      </c>
      <c r="DM71" s="144">
        <f t="shared" si="44"/>
        <v>4905245.8086743755</v>
      </c>
      <c r="DN71" s="144">
        <f t="shared" si="45"/>
        <v>575345.46660694317</v>
      </c>
      <c r="DO71" s="144">
        <f>'[1]PBF Run'!F71*(1+'[1]PBF Run'!$C$4)</f>
        <v>7871951.2704000007</v>
      </c>
      <c r="DP71" s="144">
        <f>'[1]PBF Run'!AA71+'[1]PBF Run'!AB71+'[1]PBF Run'!AC71+'[1]PBF Run'!AD71</f>
        <v>0</v>
      </c>
      <c r="DQ71" s="144">
        <f>'[1]PBF Run'!X71</f>
        <v>12086343</v>
      </c>
      <c r="DR71" s="144">
        <f>'[1]PBF Run'!L71*(1+'[1]PBF Run'!$C$4)</f>
        <v>3338885.2175000003</v>
      </c>
      <c r="DS71" s="144">
        <f>'[1]PBF Run'!AE71</f>
        <v>135220055</v>
      </c>
      <c r="DT71" s="326">
        <f t="shared" si="48"/>
        <v>-0.46049335598945618</v>
      </c>
      <c r="DU71" s="144"/>
      <c r="DV71" s="144"/>
    </row>
    <row r="72" spans="1:126" ht="13.5" thickBot="1">
      <c r="A72" s="16" t="s">
        <v>275</v>
      </c>
      <c r="B72" s="16" t="s">
        <v>173</v>
      </c>
      <c r="C72" s="425">
        <f>[1]FTES!C72</f>
        <v>14525.749970999999</v>
      </c>
      <c r="D72" s="425">
        <f>[1]FTES!D72</f>
        <v>14525.749970999999</v>
      </c>
      <c r="E72" s="425">
        <f>[1]FTES!E72</f>
        <v>14763.81</v>
      </c>
      <c r="F72" s="425">
        <f>[1]FTES!H72</f>
        <v>0</v>
      </c>
      <c r="G72" s="425">
        <f>[1]FTES!I72</f>
        <v>0</v>
      </c>
      <c r="H72" s="425">
        <f>[1]FTES!J72</f>
        <v>14525.749970999999</v>
      </c>
      <c r="I72" s="425">
        <f>[1]FTES!K72</f>
        <v>0</v>
      </c>
      <c r="J72" s="425">
        <f>[1]FTES!L72</f>
        <v>238.06002899999999</v>
      </c>
      <c r="K72" s="425">
        <f>[1]FTES!M72</f>
        <v>0</v>
      </c>
      <c r="L72" s="425">
        <f>[1]FTES!N72</f>
        <v>184.65</v>
      </c>
      <c r="M72" s="425">
        <f>[1]FTES!O72</f>
        <v>184.65</v>
      </c>
      <c r="N72" s="425">
        <f>[1]FTES!P72</f>
        <v>179.64</v>
      </c>
      <c r="O72" s="425">
        <f>[1]FTES!S72</f>
        <v>0</v>
      </c>
      <c r="P72" s="425">
        <f>[1]FTES!T72</f>
        <v>0</v>
      </c>
      <c r="Q72" s="425">
        <f>[1]FTES!U72</f>
        <v>179.64</v>
      </c>
      <c r="R72" s="425">
        <f>[1]FTES!V72</f>
        <v>0</v>
      </c>
      <c r="S72" s="425">
        <f>[1]FTES!W72</f>
        <v>0</v>
      </c>
      <c r="T72" s="425">
        <f>[1]FTES!X72</f>
        <v>0</v>
      </c>
      <c r="U72" s="425">
        <f>[1]FTES!Y72</f>
        <v>34.6</v>
      </c>
      <c r="V72" s="425">
        <f>[1]FTES!Z72</f>
        <v>34.6</v>
      </c>
      <c r="W72" s="425">
        <f>[1]FTES!AA72</f>
        <v>35.549999999999997</v>
      </c>
      <c r="X72" s="425">
        <f>[1]FTES!AD72</f>
        <v>0</v>
      </c>
      <c r="Y72" s="425">
        <f>[1]FTES!AE72</f>
        <v>0</v>
      </c>
      <c r="Z72" s="425">
        <f>[1]FTES!AF72</f>
        <v>34.6</v>
      </c>
      <c r="AA72" s="425">
        <f>[1]FTES!AG72</f>
        <v>0</v>
      </c>
      <c r="AB72" s="425">
        <f>[1]FTES!AH72</f>
        <v>0.95</v>
      </c>
      <c r="AC72" s="425">
        <f>[1]FTES!AI72</f>
        <v>0</v>
      </c>
      <c r="AD72" s="425"/>
      <c r="AE72" s="376">
        <f>'[1]13-14 $86M Workload Restore'!AJ70</f>
        <v>1092915</v>
      </c>
      <c r="AF72" s="375"/>
      <c r="AG72" s="122" t="str">
        <f>'[1]Restoration and Growth'!N72</f>
        <v>Growth</v>
      </c>
      <c r="AH72" s="122" t="str">
        <f>'[1]Restoration and Growth'!O72</f>
        <v>Grow</v>
      </c>
      <c r="AI72" s="122" t="str">
        <f>'[1]Restoration and Growth'!P72</f>
        <v>Decline</v>
      </c>
      <c r="AJ72" s="122" t="str">
        <f>'[1]Restoration and Growth'!Q72</f>
        <v>Grow</v>
      </c>
      <c r="AK72" s="139"/>
      <c r="AL72" s="139">
        <f>ROUND(J72*'[1]PBF Run'!$AS$4,3)</f>
        <v>1103763.6229999999</v>
      </c>
      <c r="AM72" s="139">
        <f>ROUND(S72*'[1]PBF Run'!$AF$4,3)</f>
        <v>0</v>
      </c>
      <c r="AN72" s="139">
        <f>ROUND(AB72*'[1]PBF Run'!$AJ$4,3)</f>
        <v>3118.6709999999998</v>
      </c>
      <c r="AO72" s="139">
        <f t="shared" si="29"/>
        <v>1106882.294</v>
      </c>
      <c r="AP72" s="139" t="str">
        <f t="shared" si="46"/>
        <v>Y</v>
      </c>
      <c r="AQ72" s="139"/>
      <c r="AR72" s="374">
        <f t="shared" si="47"/>
        <v>238.06011000000001</v>
      </c>
      <c r="AS72" s="9">
        <f t="shared" si="0"/>
        <v>1103764</v>
      </c>
      <c r="AT72" s="9"/>
      <c r="AU72" s="373">
        <f t="shared" si="1"/>
        <v>1103764</v>
      </c>
      <c r="AV72" s="439">
        <f t="shared" si="49"/>
        <v>-5.0100000000000193</v>
      </c>
      <c r="AW72" s="9">
        <f t="shared" si="3"/>
        <v>-13968</v>
      </c>
      <c r="AX72" s="9"/>
      <c r="AY72" s="373">
        <f t="shared" si="4"/>
        <v>1089796</v>
      </c>
      <c r="AZ72" s="439">
        <f t="shared" si="30"/>
        <v>0.95</v>
      </c>
      <c r="BA72" s="9">
        <f t="shared" si="31"/>
        <v>3119</v>
      </c>
      <c r="BB72" s="439"/>
      <c r="BC72" s="171">
        <f t="shared" si="32"/>
        <v>1103764</v>
      </c>
      <c r="BD72" s="171">
        <f t="shared" si="33"/>
        <v>-13968</v>
      </c>
      <c r="BE72" s="171">
        <f t="shared" si="34"/>
        <v>3119</v>
      </c>
      <c r="BF72" s="438">
        <f t="shared" si="35"/>
        <v>1092915</v>
      </c>
      <c r="BG72" s="389">
        <f t="shared" si="5"/>
        <v>0</v>
      </c>
      <c r="BH72" s="438"/>
      <c r="BI72" s="425">
        <f t="shared" si="6"/>
        <v>14525.749970999999</v>
      </c>
      <c r="BJ72" s="425">
        <f t="shared" si="7"/>
        <v>184.65</v>
      </c>
      <c r="BK72" s="425">
        <f t="shared" si="8"/>
        <v>34.6</v>
      </c>
      <c r="BL72" s="438"/>
      <c r="BM72" s="425">
        <f t="shared" si="9"/>
        <v>14525.749970999999</v>
      </c>
      <c r="BN72" s="425">
        <f t="shared" si="10"/>
        <v>184.65</v>
      </c>
      <c r="BO72" s="425">
        <f t="shared" si="11"/>
        <v>34.6</v>
      </c>
      <c r="BP72" s="438"/>
      <c r="BQ72" s="372">
        <f t="shared" si="12"/>
        <v>14763.81</v>
      </c>
      <c r="BR72" s="372">
        <f t="shared" si="13"/>
        <v>179.64</v>
      </c>
      <c r="BS72" s="372">
        <f t="shared" si="14"/>
        <v>35.549999999999997</v>
      </c>
      <c r="BU72" s="439">
        <f t="shared" si="15"/>
        <v>0</v>
      </c>
      <c r="BV72" s="439">
        <f t="shared" si="16"/>
        <v>0</v>
      </c>
      <c r="BW72" s="439">
        <f t="shared" si="17"/>
        <v>0</v>
      </c>
      <c r="BY72" s="439">
        <f t="shared" si="18"/>
        <v>0</v>
      </c>
      <c r="BZ72" s="439">
        <f t="shared" si="19"/>
        <v>0</v>
      </c>
      <c r="CA72" s="439">
        <f t="shared" si="20"/>
        <v>0</v>
      </c>
      <c r="CB72" s="439"/>
      <c r="CC72" s="439">
        <f t="shared" si="21"/>
        <v>0</v>
      </c>
      <c r="CD72" s="439">
        <f t="shared" si="22"/>
        <v>0</v>
      </c>
      <c r="CE72" s="374">
        <f t="shared" si="23"/>
        <v>0</v>
      </c>
      <c r="CF72" s="439"/>
      <c r="CG72" s="439">
        <f t="shared" si="36"/>
        <v>238.06011000000001</v>
      </c>
      <c r="CH72" s="439">
        <f t="shared" si="37"/>
        <v>-5.0100000000000193</v>
      </c>
      <c r="CI72" s="439">
        <f t="shared" si="38"/>
        <v>0.95</v>
      </c>
      <c r="CJ72" s="439"/>
      <c r="CK72" s="439">
        <v>4636.4928529999997</v>
      </c>
      <c r="CL72" s="439">
        <v>2788.0536374600001</v>
      </c>
      <c r="CM72" s="439">
        <v>3282.8110613200001</v>
      </c>
      <c r="CN72" s="439"/>
      <c r="CO72" s="439">
        <f t="shared" si="39"/>
        <v>1103763.9985993938</v>
      </c>
      <c r="CP72" s="439">
        <f t="shared" si="24"/>
        <v>-13968.148723674654</v>
      </c>
      <c r="CQ72" s="439">
        <f t="shared" si="24"/>
        <v>3118.6705082540002</v>
      </c>
      <c r="CR72" s="439">
        <f t="shared" si="40"/>
        <v>1092914.5203839731</v>
      </c>
      <c r="CS72" s="439">
        <f>+'[1]13-14 $86M Workload Restore'!AJ70</f>
        <v>1092915</v>
      </c>
      <c r="CT72" s="439">
        <f t="shared" si="41"/>
        <v>-0.47961602685973048</v>
      </c>
      <c r="CV72" s="173">
        <v>0</v>
      </c>
      <c r="CW72" s="439">
        <f t="shared" si="42"/>
        <v>14763.810081</v>
      </c>
      <c r="CX72" s="439">
        <f t="shared" si="50"/>
        <v>179.64</v>
      </c>
      <c r="CY72" s="439">
        <f t="shared" si="50"/>
        <v>35.550000000000004</v>
      </c>
      <c r="DA72" s="439">
        <f t="shared" si="51"/>
        <v>-8.1000000136555173E-5</v>
      </c>
      <c r="DB72" s="439">
        <f t="shared" si="51"/>
        <v>0</v>
      </c>
      <c r="DC72" s="439">
        <f t="shared" si="51"/>
        <v>0</v>
      </c>
      <c r="DE72" s="371">
        <f t="shared" si="52"/>
        <v>0</v>
      </c>
      <c r="DF72" s="371">
        <f t="shared" si="52"/>
        <v>0</v>
      </c>
      <c r="DG72" s="371">
        <f t="shared" si="52"/>
        <v>0</v>
      </c>
      <c r="DH72" s="439"/>
      <c r="DI72" s="371">
        <f t="shared" si="53"/>
        <v>0</v>
      </c>
      <c r="DJ72" s="371">
        <f t="shared" si="53"/>
        <v>0</v>
      </c>
      <c r="DK72" s="371">
        <f t="shared" si="53"/>
        <v>-7.1054273576010019E-15</v>
      </c>
      <c r="DL72" s="144">
        <f t="shared" si="43"/>
        <v>68452299.939403132</v>
      </c>
      <c r="DM72" s="144">
        <f t="shared" si="44"/>
        <v>500845.95543331438</v>
      </c>
      <c r="DN72" s="144">
        <f t="shared" si="45"/>
        <v>116703.93322992601</v>
      </c>
      <c r="DO72" s="144">
        <f>'[1]PBF Run'!F72*(1+'[1]PBF Run'!$C$4)</f>
        <v>5622822.7713000001</v>
      </c>
      <c r="DP72" s="144">
        <f>'[1]PBF Run'!AA72+'[1]PBF Run'!AB72+'[1]PBF Run'!AC72+'[1]PBF Run'!AD72</f>
        <v>2249130</v>
      </c>
      <c r="DQ72" s="144">
        <f>'[1]PBF Run'!X72</f>
        <v>0</v>
      </c>
      <c r="DR72" s="144">
        <f>'[1]PBF Run'!L72*(1+'[1]PBF Run'!$C$4)</f>
        <v>0</v>
      </c>
      <c r="DS72" s="144">
        <f>'[1]PBF Run'!AE72</f>
        <v>76941803</v>
      </c>
      <c r="DT72" s="326">
        <f t="shared" si="48"/>
        <v>0.40063363313674927</v>
      </c>
      <c r="DU72" s="144"/>
      <c r="DV72" s="144"/>
    </row>
    <row r="73" spans="1:126" ht="13.5" thickBot="1">
      <c r="A73" s="16" t="s">
        <v>273</v>
      </c>
      <c r="B73" s="16" t="s">
        <v>174</v>
      </c>
      <c r="C73" s="425">
        <f>[1]FTES!C73</f>
        <v>25201.429188000002</v>
      </c>
      <c r="D73" s="425">
        <f>[1]FTES!D73</f>
        <v>25201.429188000002</v>
      </c>
      <c r="E73" s="425">
        <f>[1]FTES!E73</f>
        <v>25886.09</v>
      </c>
      <c r="F73" s="425">
        <f>[1]FTES!H73</f>
        <v>0</v>
      </c>
      <c r="G73" s="425">
        <f>[1]FTES!I73</f>
        <v>0</v>
      </c>
      <c r="H73" s="425">
        <f>[1]FTES!J73</f>
        <v>25201.429187999998</v>
      </c>
      <c r="I73" s="425">
        <f>[1]FTES!K73</f>
        <v>0</v>
      </c>
      <c r="J73" s="425">
        <f>[1]FTES!L73</f>
        <v>684.66081199999996</v>
      </c>
      <c r="K73" s="425">
        <f>[1]FTES!M73</f>
        <v>0</v>
      </c>
      <c r="L73" s="425">
        <f>[1]FTES!N73</f>
        <v>445.1</v>
      </c>
      <c r="M73" s="425">
        <f>[1]FTES!O73</f>
        <v>445.1</v>
      </c>
      <c r="N73" s="425">
        <f>[1]FTES!P73</f>
        <v>302.26</v>
      </c>
      <c r="O73" s="425">
        <f>[1]FTES!S73</f>
        <v>0</v>
      </c>
      <c r="P73" s="425">
        <f>[1]FTES!T73</f>
        <v>0</v>
      </c>
      <c r="Q73" s="425">
        <f>[1]FTES!U73</f>
        <v>302.26</v>
      </c>
      <c r="R73" s="425">
        <f>[1]FTES!V73</f>
        <v>0</v>
      </c>
      <c r="S73" s="425">
        <f>[1]FTES!W73</f>
        <v>0</v>
      </c>
      <c r="T73" s="425">
        <f>[1]FTES!X73</f>
        <v>0</v>
      </c>
      <c r="U73" s="425">
        <f>[1]FTES!Y73</f>
        <v>0</v>
      </c>
      <c r="V73" s="425">
        <f>[1]FTES!Z73</f>
        <v>0</v>
      </c>
      <c r="W73" s="425">
        <f>[1]FTES!AA73</f>
        <v>187.06</v>
      </c>
      <c r="X73" s="425">
        <f>[1]FTES!AD73</f>
        <v>0</v>
      </c>
      <c r="Y73" s="425">
        <f>[1]FTES!AE73</f>
        <v>0</v>
      </c>
      <c r="Z73" s="425">
        <f>[1]FTES!AF73</f>
        <v>0</v>
      </c>
      <c r="AA73" s="425">
        <f>[1]FTES!AG73</f>
        <v>0</v>
      </c>
      <c r="AB73" s="425">
        <f>[1]FTES!AH73</f>
        <v>187.06</v>
      </c>
      <c r="AC73" s="425">
        <f>[1]FTES!AI73</f>
        <v>0</v>
      </c>
      <c r="AD73" s="425"/>
      <c r="AE73" s="376">
        <f>'[1]13-14 $86M Workload Restore'!AJ71</f>
        <v>2765951</v>
      </c>
      <c r="AF73" s="375"/>
      <c r="AG73" s="122" t="str">
        <f>'[1]Restoration and Growth'!N73</f>
        <v>Growth</v>
      </c>
      <c r="AH73" s="122" t="str">
        <f>'[1]Restoration and Growth'!O73</f>
        <v>Grow</v>
      </c>
      <c r="AI73" s="122" t="str">
        <f>'[1]Restoration and Growth'!P73</f>
        <v>Decline</v>
      </c>
      <c r="AJ73" s="122" t="str">
        <f>'[1]Restoration and Growth'!Q73</f>
        <v>New CDCP</v>
      </c>
      <c r="AK73" s="139"/>
      <c r="AL73" s="139">
        <f>ROUND(J73*'[1]PBF Run'!$AS$4,3)</f>
        <v>3174424.9619999998</v>
      </c>
      <c r="AM73" s="139">
        <f>ROUND(S73*'[1]PBF Run'!$AF$4,3)</f>
        <v>0</v>
      </c>
      <c r="AN73" s="139">
        <f>ROUND(AB73*'[1]PBF Run'!$AJ$4,3)</f>
        <v>614082.63699999999</v>
      </c>
      <c r="AO73" s="139">
        <f t="shared" si="29"/>
        <v>3788507.5989999999</v>
      </c>
      <c r="AP73" s="139" t="str">
        <f t="shared" si="46"/>
        <v>Y</v>
      </c>
      <c r="AQ73" s="139"/>
      <c r="AR73" s="374">
        <f t="shared" si="47"/>
        <v>550.00925900000004</v>
      </c>
      <c r="AS73" s="9">
        <f t="shared" ref="AS73:AS80" si="54">ROUND(AR73*$BC$6,0)</f>
        <v>2550114</v>
      </c>
      <c r="AT73" s="9"/>
      <c r="AU73" s="373">
        <f t="shared" ref="AU73:AU80" si="55">IF(AP73="NA",0,AE73-BA73-AW73)</f>
        <v>2550114</v>
      </c>
      <c r="AV73" s="439">
        <f t="shared" si="49"/>
        <v>-142.84000000000003</v>
      </c>
      <c r="AW73" s="9">
        <f t="shared" ref="AW73:AW80" si="56">ROUND(AV73*$BD$6,0)</f>
        <v>-398246</v>
      </c>
      <c r="AX73" s="9"/>
      <c r="AY73" s="373">
        <f t="shared" ref="AY73:AY80" si="57">IF(AP73="NA",0,AE73-BA73)</f>
        <v>2151868</v>
      </c>
      <c r="AZ73" s="439">
        <f t="shared" si="30"/>
        <v>187.06</v>
      </c>
      <c r="BA73" s="9">
        <f t="shared" si="31"/>
        <v>614083</v>
      </c>
      <c r="BB73" s="439"/>
      <c r="BC73" s="171">
        <f t="shared" si="32"/>
        <v>2550114</v>
      </c>
      <c r="BD73" s="171">
        <f t="shared" si="33"/>
        <v>-398246</v>
      </c>
      <c r="BE73" s="171">
        <f t="shared" si="34"/>
        <v>614083</v>
      </c>
      <c r="BF73" s="438">
        <f t="shared" si="35"/>
        <v>2765951</v>
      </c>
      <c r="BG73" s="389">
        <f t="shared" ref="BG73:BG80" si="58">BF73-AE73</f>
        <v>0</v>
      </c>
      <c r="BH73" s="438"/>
      <c r="BI73" s="425">
        <f t="shared" ref="BI73:BI80" si="59">C73</f>
        <v>25201.429188000002</v>
      </c>
      <c r="BJ73" s="425">
        <f t="shared" ref="BJ73:BJ80" si="60">L73</f>
        <v>445.1</v>
      </c>
      <c r="BK73" s="425">
        <f t="shared" ref="BK73:BK80" si="61">U73</f>
        <v>0</v>
      </c>
      <c r="BL73" s="438"/>
      <c r="BM73" s="425">
        <f t="shared" ref="BM73:BM80" si="62">D73</f>
        <v>25201.429188000002</v>
      </c>
      <c r="BN73" s="425">
        <f t="shared" ref="BN73:BN80" si="63">M73</f>
        <v>445.1</v>
      </c>
      <c r="BO73" s="425">
        <f t="shared" ref="BO73:BO80" si="64">V73</f>
        <v>0</v>
      </c>
      <c r="BP73" s="438"/>
      <c r="BQ73" s="372">
        <f t="shared" ref="BQ73:BQ80" si="65">E73</f>
        <v>25886.09</v>
      </c>
      <c r="BR73" s="372">
        <f t="shared" ref="BR73:BR80" si="66">N73</f>
        <v>302.26</v>
      </c>
      <c r="BS73" s="372">
        <f t="shared" ref="BS73:BS80" si="67">W73</f>
        <v>187.06</v>
      </c>
      <c r="BU73" s="439">
        <f t="shared" ref="BU73:BU80" si="68">F73</f>
        <v>0</v>
      </c>
      <c r="BV73" s="439">
        <f t="shared" ref="BV73:BV80" si="69">O73</f>
        <v>0</v>
      </c>
      <c r="BW73" s="439">
        <f t="shared" ref="BW73:BW80" si="70">X73</f>
        <v>0</v>
      </c>
      <c r="BY73" s="439">
        <f t="shared" ref="BY73:BY80" si="71">G73</f>
        <v>0</v>
      </c>
      <c r="BZ73" s="439">
        <f t="shared" ref="BZ73:BZ80" si="72">P73</f>
        <v>0</v>
      </c>
      <c r="CA73" s="439">
        <f t="shared" ref="CA73:CA80" si="73">Y73</f>
        <v>0</v>
      </c>
      <c r="CB73" s="439"/>
      <c r="CC73" s="439">
        <f t="shared" ref="CC73:CC80" si="74">I73</f>
        <v>0</v>
      </c>
      <c r="CD73" s="439">
        <f t="shared" ref="CD73:CD80" si="75">R73</f>
        <v>0</v>
      </c>
      <c r="CE73" s="374">
        <f t="shared" ref="CE73:CE80" si="76">AA73</f>
        <v>0</v>
      </c>
      <c r="CF73" s="439"/>
      <c r="CG73" s="439">
        <f t="shared" si="36"/>
        <v>550.00925900000004</v>
      </c>
      <c r="CH73" s="439">
        <f t="shared" si="37"/>
        <v>-142.84000000000003</v>
      </c>
      <c r="CI73" s="439">
        <f t="shared" si="38"/>
        <v>187.06</v>
      </c>
      <c r="CJ73" s="439"/>
      <c r="CK73" s="439">
        <v>4636.4928440000003</v>
      </c>
      <c r="CL73" s="439">
        <v>2788.0536374600001</v>
      </c>
      <c r="CM73" s="439">
        <v>3282.8110613200001</v>
      </c>
      <c r="CN73" s="439"/>
      <c r="CO73" s="439">
        <f t="shared" si="39"/>
        <v>2550113.9934872431</v>
      </c>
      <c r="CP73" s="439">
        <f t="shared" si="39"/>
        <v>-398245.58157478651</v>
      </c>
      <c r="CQ73" s="439">
        <f t="shared" si="39"/>
        <v>614082.63713051926</v>
      </c>
      <c r="CR73" s="439">
        <f t="shared" si="40"/>
        <v>2765951.049042976</v>
      </c>
      <c r="CS73" s="439">
        <f>+'[1]13-14 $86M Workload Restore'!AJ71</f>
        <v>2765951</v>
      </c>
      <c r="CT73" s="439">
        <f t="shared" si="41"/>
        <v>4.9042975995689631E-2</v>
      </c>
      <c r="CV73" s="173">
        <v>0</v>
      </c>
      <c r="CW73" s="439">
        <f t="shared" si="42"/>
        <v>25751.438447</v>
      </c>
      <c r="CX73" s="439">
        <f t="shared" ref="CX73:CY80" si="77">BN73+BV73+BZ73+CD73+CH73</f>
        <v>302.26</v>
      </c>
      <c r="CY73" s="439">
        <f t="shared" si="77"/>
        <v>187.06</v>
      </c>
      <c r="DA73" s="439">
        <f t="shared" ref="DA73:DC80" si="78">BQ73-CW73</f>
        <v>134.65155299999969</v>
      </c>
      <c r="DB73" s="439">
        <f t="shared" si="78"/>
        <v>0</v>
      </c>
      <c r="DC73" s="439">
        <f t="shared" si="78"/>
        <v>0</v>
      </c>
      <c r="DE73" s="371">
        <f t="shared" ref="DE73:DG80" si="79">BM73+BU73+BY73+CC73+CG73-CW73</f>
        <v>0</v>
      </c>
      <c r="DF73" s="371">
        <f t="shared" si="79"/>
        <v>0</v>
      </c>
      <c r="DG73" s="371">
        <f t="shared" si="79"/>
        <v>0</v>
      </c>
      <c r="DH73" s="439"/>
      <c r="DI73" s="371">
        <f t="shared" ref="DI73:DK80" si="80">BQ73-CW73-DA73</f>
        <v>0</v>
      </c>
      <c r="DJ73" s="371">
        <f t="shared" si="80"/>
        <v>0</v>
      </c>
      <c r="DK73" s="371">
        <f t="shared" si="80"/>
        <v>0</v>
      </c>
      <c r="DL73" s="144">
        <f t="shared" si="43"/>
        <v>119396360.34153897</v>
      </c>
      <c r="DM73" s="144">
        <f t="shared" si="44"/>
        <v>842717.09245865967</v>
      </c>
      <c r="DN73" s="144">
        <f t="shared" si="45"/>
        <v>614082.63713051926</v>
      </c>
      <c r="DO73" s="144">
        <f>'[1]PBF Run'!F73*(1+'[1]PBF Run'!$C$4)</f>
        <v>11245645.5426</v>
      </c>
      <c r="DP73" s="144">
        <f>'[1]PBF Run'!AA73+'[1]PBF Run'!AB73+'[1]PBF Run'!AC73+'[1]PBF Run'!AD73</f>
        <v>0</v>
      </c>
      <c r="DQ73" s="144">
        <f>'[1]PBF Run'!X73</f>
        <v>0</v>
      </c>
      <c r="DR73" s="144">
        <f>'[1]PBF Run'!L73*(1+'[1]PBF Run'!$C$4)</f>
        <v>0</v>
      </c>
      <c r="DS73" s="144">
        <f>'[1]PBF Run'!AE73</f>
        <v>132098806</v>
      </c>
      <c r="DT73" s="326">
        <f t="shared" si="48"/>
        <v>0.38627184927463531</v>
      </c>
      <c r="DU73" s="144"/>
      <c r="DV73" s="144"/>
    </row>
    <row r="74" spans="1:126" ht="13.5" thickBot="1">
      <c r="A74" s="16" t="s">
        <v>271</v>
      </c>
      <c r="B74" s="16" t="s">
        <v>175</v>
      </c>
      <c r="C74" s="425">
        <f>[1]FTES!C74</f>
        <v>24530.781153000004</v>
      </c>
      <c r="D74" s="425">
        <f>[1]FTES!D74</f>
        <v>24530.781153000004</v>
      </c>
      <c r="E74" s="425">
        <f>[1]FTES!E74</f>
        <v>24858.07</v>
      </c>
      <c r="F74" s="425">
        <f>[1]FTES!H74</f>
        <v>0</v>
      </c>
      <c r="G74" s="425">
        <f>[1]FTES!I74</f>
        <v>0</v>
      </c>
      <c r="H74" s="425">
        <f>[1]FTES!J74</f>
        <v>24530.781153</v>
      </c>
      <c r="I74" s="425">
        <f>[1]FTES!K74</f>
        <v>0</v>
      </c>
      <c r="J74" s="425">
        <f>[1]FTES!L74</f>
        <v>327.28884699999998</v>
      </c>
      <c r="K74" s="425">
        <f>[1]FTES!M74</f>
        <v>0</v>
      </c>
      <c r="L74" s="425">
        <f>[1]FTES!N74</f>
        <v>253.73999999999998</v>
      </c>
      <c r="M74" s="425">
        <f>[1]FTES!O74</f>
        <v>253.73999999999998</v>
      </c>
      <c r="N74" s="425">
        <f>[1]FTES!P74</f>
        <v>453.38</v>
      </c>
      <c r="O74" s="425">
        <f>[1]FTES!S74</f>
        <v>0</v>
      </c>
      <c r="P74" s="425">
        <f>[1]FTES!T74</f>
        <v>0</v>
      </c>
      <c r="Q74" s="425">
        <f>[1]FTES!U74</f>
        <v>253.74</v>
      </c>
      <c r="R74" s="425">
        <f>[1]FTES!V74</f>
        <v>0</v>
      </c>
      <c r="S74" s="425">
        <f>[1]FTES!W74</f>
        <v>199.64</v>
      </c>
      <c r="T74" s="425">
        <f>[1]FTES!X74</f>
        <v>0</v>
      </c>
      <c r="U74" s="425">
        <f>[1]FTES!Y74</f>
        <v>0</v>
      </c>
      <c r="V74" s="425">
        <f>[1]FTES!Z74</f>
        <v>0</v>
      </c>
      <c r="W74" s="425">
        <f>[1]FTES!AA74</f>
        <v>0</v>
      </c>
      <c r="X74" s="425">
        <f>[1]FTES!AD74</f>
        <v>0</v>
      </c>
      <c r="Y74" s="425">
        <f>[1]FTES!AE74</f>
        <v>0</v>
      </c>
      <c r="Z74" s="425">
        <f>[1]FTES!AF74</f>
        <v>0</v>
      </c>
      <c r="AA74" s="425">
        <f>[1]FTES!AG74</f>
        <v>0</v>
      </c>
      <c r="AB74" s="425">
        <f>[1]FTES!AH74</f>
        <v>0</v>
      </c>
      <c r="AC74" s="425">
        <f>[1]FTES!AI74</f>
        <v>0</v>
      </c>
      <c r="AD74" s="425"/>
      <c r="AE74" s="376">
        <f>'[1]13-14 $86M Workload Restore'!AJ72</f>
        <v>2074079</v>
      </c>
      <c r="AF74" s="375"/>
      <c r="AG74" s="122" t="str">
        <f>'[1]Restoration and Growth'!N74</f>
        <v>Growth</v>
      </c>
      <c r="AH74" s="122" t="str">
        <f>'[1]Restoration and Growth'!O74</f>
        <v>Grow</v>
      </c>
      <c r="AI74" s="122" t="str">
        <f>'[1]Restoration and Growth'!P74</f>
        <v>Grow</v>
      </c>
      <c r="AJ74" s="122" t="str">
        <f>'[1]Restoration and Growth'!Q74</f>
        <v>No CPCP</v>
      </c>
      <c r="AK74" s="139"/>
      <c r="AL74" s="139">
        <f>ROUND(J74*'[1]PBF Run'!$AS$4,3)</f>
        <v>1517472.4</v>
      </c>
      <c r="AM74" s="139">
        <f>ROUND(S74*'[1]PBF Run'!$AF$4,3)</f>
        <v>556607.02800000005</v>
      </c>
      <c r="AN74" s="139">
        <f>ROUND(AB74*'[1]PBF Run'!$AJ$4,3)</f>
        <v>0</v>
      </c>
      <c r="AO74" s="139">
        <f t="shared" ref="AO74:AO80" si="81">SUM(AL74:AN74)</f>
        <v>2074079.4279999998</v>
      </c>
      <c r="AP74" s="139" t="str">
        <f t="shared" si="46"/>
        <v>Y</v>
      </c>
      <c r="AQ74" s="139"/>
      <c r="AR74" s="374">
        <f t="shared" si="47"/>
        <v>327.28876100000002</v>
      </c>
      <c r="AS74" s="9">
        <f t="shared" si="54"/>
        <v>1517472</v>
      </c>
      <c r="AT74" s="9"/>
      <c r="AU74" s="373">
        <f t="shared" si="55"/>
        <v>1517472</v>
      </c>
      <c r="AV74" s="439">
        <f t="shared" si="49"/>
        <v>199.64</v>
      </c>
      <c r="AW74" s="9">
        <f t="shared" si="56"/>
        <v>556607</v>
      </c>
      <c r="AX74" s="9"/>
      <c r="AY74" s="373">
        <f t="shared" si="57"/>
        <v>2074079</v>
      </c>
      <c r="AZ74" s="439">
        <f t="shared" ref="AZ74:AZ80" si="82">IF(AP74="NA",0,IF(AJ74="Decline",(W74-V74),ROUND(AN74/$BE$6,6)))</f>
        <v>0</v>
      </c>
      <c r="BA74" s="9">
        <f t="shared" ref="BA74:BA80" si="83">ROUND(AZ74*$BE$6,0)</f>
        <v>0</v>
      </c>
      <c r="BB74" s="439"/>
      <c r="BC74" s="171">
        <f t="shared" ref="BC74:BC80" si="84">ROUND(AR74*$BC$6,0)</f>
        <v>1517472</v>
      </c>
      <c r="BD74" s="171">
        <f t="shared" ref="BD74:BD80" si="85">ROUND(AV74*$BD$6,0)</f>
        <v>556607</v>
      </c>
      <c r="BE74" s="171">
        <f t="shared" ref="BE74:BE80" si="86">ROUND(AZ74*$BE$6,0)</f>
        <v>0</v>
      </c>
      <c r="BF74" s="438">
        <f t="shared" ref="BF74:BF80" si="87">SUM(BC74:BE74)</f>
        <v>2074079</v>
      </c>
      <c r="BG74" s="389">
        <f t="shared" si="58"/>
        <v>0</v>
      </c>
      <c r="BH74" s="438"/>
      <c r="BI74" s="425">
        <f t="shared" si="59"/>
        <v>24530.781153000004</v>
      </c>
      <c r="BJ74" s="425">
        <f t="shared" si="60"/>
        <v>253.73999999999998</v>
      </c>
      <c r="BK74" s="425">
        <f t="shared" si="61"/>
        <v>0</v>
      </c>
      <c r="BL74" s="438"/>
      <c r="BM74" s="425">
        <f t="shared" si="62"/>
        <v>24530.781153000004</v>
      </c>
      <c r="BN74" s="425">
        <f t="shared" si="63"/>
        <v>253.73999999999998</v>
      </c>
      <c r="BO74" s="425">
        <f t="shared" si="64"/>
        <v>0</v>
      </c>
      <c r="BP74" s="438"/>
      <c r="BQ74" s="372">
        <f t="shared" si="65"/>
        <v>24858.07</v>
      </c>
      <c r="BR74" s="372">
        <f t="shared" si="66"/>
        <v>453.38</v>
      </c>
      <c r="BS74" s="372">
        <f t="shared" si="67"/>
        <v>0</v>
      </c>
      <c r="BU74" s="439">
        <f t="shared" si="68"/>
        <v>0</v>
      </c>
      <c r="BV74" s="439">
        <f t="shared" si="69"/>
        <v>0</v>
      </c>
      <c r="BW74" s="439">
        <f t="shared" si="70"/>
        <v>0</v>
      </c>
      <c r="BY74" s="439">
        <f t="shared" si="71"/>
        <v>0</v>
      </c>
      <c r="BZ74" s="439">
        <f t="shared" si="72"/>
        <v>0</v>
      </c>
      <c r="CA74" s="439">
        <f t="shared" si="73"/>
        <v>0</v>
      </c>
      <c r="CB74" s="439"/>
      <c r="CC74" s="439">
        <f t="shared" si="74"/>
        <v>0</v>
      </c>
      <c r="CD74" s="439">
        <f t="shared" si="75"/>
        <v>0</v>
      </c>
      <c r="CE74" s="374">
        <f t="shared" si="76"/>
        <v>0</v>
      </c>
      <c r="CF74" s="439"/>
      <c r="CG74" s="439">
        <f t="shared" ref="CG74:CG80" si="88">AR74</f>
        <v>327.28876100000002</v>
      </c>
      <c r="CH74" s="439">
        <f t="shared" ref="CH74:CH80" si="89">AV74</f>
        <v>199.64</v>
      </c>
      <c r="CI74" s="439">
        <f t="shared" ref="CI74:CI80" si="90">AZ74</f>
        <v>0</v>
      </c>
      <c r="CJ74" s="439"/>
      <c r="CK74" s="439">
        <v>4636.492843</v>
      </c>
      <c r="CL74" s="439">
        <v>2788.0536374600001</v>
      </c>
      <c r="CM74" s="439">
        <v>3282.8110613200001</v>
      </c>
      <c r="CN74" s="439"/>
      <c r="CO74" s="439">
        <f t="shared" ref="CO74:CQ80" si="91">+CG74*CK74</f>
        <v>1517471.9979708376</v>
      </c>
      <c r="CP74" s="439">
        <f t="shared" si="91"/>
        <v>556607.02818251436</v>
      </c>
      <c r="CQ74" s="439">
        <f t="shared" si="91"/>
        <v>0</v>
      </c>
      <c r="CR74" s="439">
        <f t="shared" ref="CR74:CR80" si="92">SUM(CO74:CQ74)</f>
        <v>2074079.0261533521</v>
      </c>
      <c r="CS74" s="439">
        <f>+'[1]13-14 $86M Workload Restore'!AJ72</f>
        <v>2074079</v>
      </c>
      <c r="CT74" s="439">
        <f t="shared" ref="CT74:CT80" si="93">+CR74-CS74</f>
        <v>2.6153352111577988E-2</v>
      </c>
      <c r="CV74" s="173">
        <v>0</v>
      </c>
      <c r="CW74" s="439">
        <f t="shared" ref="CW74:CW80" si="94">BM74+BU74+BY74+CC74+CG74+CV74</f>
        <v>24858.069914000003</v>
      </c>
      <c r="CX74" s="439">
        <f t="shared" si="77"/>
        <v>453.38</v>
      </c>
      <c r="CY74" s="439">
        <f t="shared" si="77"/>
        <v>0</v>
      </c>
      <c r="DA74" s="439">
        <f t="shared" si="78"/>
        <v>8.5999996372265741E-5</v>
      </c>
      <c r="DB74" s="439">
        <f t="shared" si="78"/>
        <v>0</v>
      </c>
      <c r="DC74" s="439">
        <f t="shared" si="78"/>
        <v>0</v>
      </c>
      <c r="DE74" s="371">
        <f t="shared" si="79"/>
        <v>0</v>
      </c>
      <c r="DF74" s="371">
        <f t="shared" si="79"/>
        <v>0</v>
      </c>
      <c r="DG74" s="371">
        <f t="shared" si="79"/>
        <v>0</v>
      </c>
      <c r="DH74" s="439"/>
      <c r="DI74" s="371">
        <f t="shared" si="80"/>
        <v>0</v>
      </c>
      <c r="DJ74" s="371">
        <f t="shared" si="80"/>
        <v>0</v>
      </c>
      <c r="DK74" s="371">
        <f t="shared" si="80"/>
        <v>0</v>
      </c>
      <c r="DL74" s="144">
        <f t="shared" ref="DL74:DL80" si="95">CW74*$BC$6</f>
        <v>115254263.52223349</v>
      </c>
      <c r="DM74" s="144">
        <f t="shared" ref="DM74:DM80" si="96">CX74*$BD$6</f>
        <v>1264047.7581516148</v>
      </c>
      <c r="DN74" s="144">
        <f t="shared" ref="DN74:DN80" si="97">CY74*$BE$6</f>
        <v>0</v>
      </c>
      <c r="DO74" s="144">
        <f>'[1]PBF Run'!F74*(1+'[1]PBF Run'!$C$4)</f>
        <v>11245644.526900001</v>
      </c>
      <c r="DP74" s="144">
        <f>'[1]PBF Run'!AA74+'[1]PBF Run'!AB74+'[1]PBF Run'!AC74+'[1]PBF Run'!AD74</f>
        <v>0</v>
      </c>
      <c r="DQ74" s="144">
        <f>'[1]PBF Run'!X74</f>
        <v>0</v>
      </c>
      <c r="DR74" s="144">
        <f>'[1]PBF Run'!L74*(1+'[1]PBF Run'!$C$4)</f>
        <v>0</v>
      </c>
      <c r="DS74" s="144">
        <f>'[1]PBF Run'!AE74</f>
        <v>127763957</v>
      </c>
      <c r="DT74" s="326">
        <f t="shared" si="48"/>
        <v>1.1927148997783661</v>
      </c>
      <c r="DU74" s="144"/>
      <c r="DV74" s="144"/>
    </row>
    <row r="75" spans="1:126" ht="13.5" thickBot="1">
      <c r="A75" s="16" t="s">
        <v>269</v>
      </c>
      <c r="B75" s="16" t="s">
        <v>176</v>
      </c>
      <c r="C75" s="425">
        <f>[1]FTES!C75</f>
        <v>8928.5672959999993</v>
      </c>
      <c r="D75" s="425">
        <f>[1]FTES!D75</f>
        <v>8928.5672959999993</v>
      </c>
      <c r="E75" s="425">
        <f>[1]FTES!E75</f>
        <v>9293.42</v>
      </c>
      <c r="F75" s="425">
        <f>[1]FTES!H75</f>
        <v>0</v>
      </c>
      <c r="G75" s="425">
        <f>[1]FTES!I75</f>
        <v>0</v>
      </c>
      <c r="H75" s="425">
        <f>[1]FTES!J75</f>
        <v>8928.5672959999993</v>
      </c>
      <c r="I75" s="425">
        <f>[1]FTES!K75</f>
        <v>0</v>
      </c>
      <c r="J75" s="425">
        <f>[1]FTES!L75</f>
        <v>364.85270400000002</v>
      </c>
      <c r="K75" s="425">
        <f>[1]FTES!M75</f>
        <v>0</v>
      </c>
      <c r="L75" s="425">
        <f>[1]FTES!N75</f>
        <v>93.85</v>
      </c>
      <c r="M75" s="425">
        <f>[1]FTES!O75</f>
        <v>93.85</v>
      </c>
      <c r="N75" s="425">
        <f>[1]FTES!P75</f>
        <v>91.83</v>
      </c>
      <c r="O75" s="425">
        <f>[1]FTES!S75</f>
        <v>0</v>
      </c>
      <c r="P75" s="425">
        <f>[1]FTES!T75</f>
        <v>0</v>
      </c>
      <c r="Q75" s="425">
        <f>[1]FTES!U75</f>
        <v>91.83</v>
      </c>
      <c r="R75" s="425">
        <f>[1]FTES!V75</f>
        <v>0</v>
      </c>
      <c r="S75" s="425">
        <f>[1]FTES!W75</f>
        <v>0</v>
      </c>
      <c r="T75" s="425">
        <f>[1]FTES!X75</f>
        <v>0</v>
      </c>
      <c r="U75" s="425">
        <f>[1]FTES!Y75</f>
        <v>0</v>
      </c>
      <c r="V75" s="425">
        <f>[1]FTES!Z75</f>
        <v>0</v>
      </c>
      <c r="W75" s="425">
        <f>[1]FTES!AA75</f>
        <v>0</v>
      </c>
      <c r="X75" s="425">
        <f>[1]FTES!AD75</f>
        <v>0</v>
      </c>
      <c r="Y75" s="425">
        <f>[1]FTES!AE75</f>
        <v>0</v>
      </c>
      <c r="Z75" s="425">
        <f>[1]FTES!AF75</f>
        <v>0</v>
      </c>
      <c r="AA75" s="425">
        <f>[1]FTES!AG75</f>
        <v>0</v>
      </c>
      <c r="AB75" s="425">
        <f>[1]FTES!AH75</f>
        <v>0</v>
      </c>
      <c r="AC75" s="425">
        <f>[1]FTES!AI75</f>
        <v>0</v>
      </c>
      <c r="AD75" s="425"/>
      <c r="AE75" s="376">
        <f>'[1]13-14 $86M Workload Restore'!AJ73</f>
        <v>975647</v>
      </c>
      <c r="AF75" s="375"/>
      <c r="AG75" s="122" t="str">
        <f>'[1]Restoration and Growth'!N75</f>
        <v>Growth</v>
      </c>
      <c r="AH75" s="122" t="str">
        <f>'[1]Restoration and Growth'!O75</f>
        <v>Grow</v>
      </c>
      <c r="AI75" s="122" t="str">
        <f>'[1]Restoration and Growth'!P75</f>
        <v>Decline</v>
      </c>
      <c r="AJ75" s="122" t="str">
        <f>'[1]Restoration and Growth'!Q75</f>
        <v>No CPCP</v>
      </c>
      <c r="AK75" s="139"/>
      <c r="AL75" s="139">
        <f>ROUND(J75*'[1]PBF Run'!$AS$4,3)</f>
        <v>1691636.9550000001</v>
      </c>
      <c r="AM75" s="139">
        <f>ROUND(S75*'[1]PBF Run'!$AF$4,3)</f>
        <v>0</v>
      </c>
      <c r="AN75" s="139">
        <f>ROUND(AB75*'[1]PBF Run'!$AJ$4,3)</f>
        <v>0</v>
      </c>
      <c r="AO75" s="139">
        <f t="shared" si="81"/>
        <v>1691636.9550000001</v>
      </c>
      <c r="AP75" s="139" t="str">
        <f t="shared" ref="AP75:AP80" si="98">IF(AG75="decline","NA",IF(ROUND(AO75,0)-ROUND(AE75,0)&gt;=0,"Y","Not Enough"))</f>
        <v>Y</v>
      </c>
      <c r="AQ75" s="139"/>
      <c r="AR75" s="374">
        <f t="shared" si="47"/>
        <v>211.64251300000001</v>
      </c>
      <c r="AS75" s="9">
        <f t="shared" si="54"/>
        <v>981279</v>
      </c>
      <c r="AT75" s="9"/>
      <c r="AU75" s="373">
        <f t="shared" si="55"/>
        <v>981279</v>
      </c>
      <c r="AV75" s="439">
        <f t="shared" si="49"/>
        <v>-2.019999999999996</v>
      </c>
      <c r="AW75" s="9">
        <f t="shared" si="56"/>
        <v>-5632</v>
      </c>
      <c r="AX75" s="9"/>
      <c r="AY75" s="373">
        <f t="shared" si="57"/>
        <v>975647</v>
      </c>
      <c r="AZ75" s="439">
        <f t="shared" si="82"/>
        <v>0</v>
      </c>
      <c r="BA75" s="9">
        <f t="shared" si="83"/>
        <v>0</v>
      </c>
      <c r="BB75" s="439"/>
      <c r="BC75" s="171">
        <f t="shared" si="84"/>
        <v>981279</v>
      </c>
      <c r="BD75" s="171">
        <f t="shared" si="85"/>
        <v>-5632</v>
      </c>
      <c r="BE75" s="171">
        <f t="shared" si="86"/>
        <v>0</v>
      </c>
      <c r="BF75" s="438">
        <f t="shared" si="87"/>
        <v>975647</v>
      </c>
      <c r="BG75" s="389">
        <f t="shared" si="58"/>
        <v>0</v>
      </c>
      <c r="BH75" s="438"/>
      <c r="BI75" s="425">
        <f t="shared" si="59"/>
        <v>8928.5672959999993</v>
      </c>
      <c r="BJ75" s="425">
        <f t="shared" si="60"/>
        <v>93.85</v>
      </c>
      <c r="BK75" s="425">
        <f t="shared" si="61"/>
        <v>0</v>
      </c>
      <c r="BL75" s="438"/>
      <c r="BM75" s="425">
        <f t="shared" si="62"/>
        <v>8928.5672959999993</v>
      </c>
      <c r="BN75" s="425">
        <f t="shared" si="63"/>
        <v>93.85</v>
      </c>
      <c r="BO75" s="425">
        <f t="shared" si="64"/>
        <v>0</v>
      </c>
      <c r="BP75" s="438"/>
      <c r="BQ75" s="372">
        <f t="shared" si="65"/>
        <v>9293.42</v>
      </c>
      <c r="BR75" s="372">
        <f t="shared" si="66"/>
        <v>91.83</v>
      </c>
      <c r="BS75" s="372">
        <f t="shared" si="67"/>
        <v>0</v>
      </c>
      <c r="BU75" s="439">
        <f t="shared" si="68"/>
        <v>0</v>
      </c>
      <c r="BV75" s="439">
        <f t="shared" si="69"/>
        <v>0</v>
      </c>
      <c r="BW75" s="439">
        <f t="shared" si="70"/>
        <v>0</v>
      </c>
      <c r="BY75" s="439">
        <f t="shared" si="71"/>
        <v>0</v>
      </c>
      <c r="BZ75" s="439">
        <f t="shared" si="72"/>
        <v>0</v>
      </c>
      <c r="CA75" s="439">
        <f t="shared" si="73"/>
        <v>0</v>
      </c>
      <c r="CB75" s="439"/>
      <c r="CC75" s="439">
        <f t="shared" si="74"/>
        <v>0</v>
      </c>
      <c r="CD75" s="439">
        <f t="shared" si="75"/>
        <v>0</v>
      </c>
      <c r="CE75" s="374">
        <f t="shared" si="76"/>
        <v>0</v>
      </c>
      <c r="CF75" s="439"/>
      <c r="CG75" s="439">
        <f t="shared" si="88"/>
        <v>211.64251300000001</v>
      </c>
      <c r="CH75" s="439">
        <f t="shared" si="89"/>
        <v>-2.019999999999996</v>
      </c>
      <c r="CI75" s="439">
        <f t="shared" si="90"/>
        <v>0</v>
      </c>
      <c r="CJ75" s="439"/>
      <c r="CK75" s="439">
        <v>4636.492843</v>
      </c>
      <c r="CL75" s="439">
        <v>2788.0536374600001</v>
      </c>
      <c r="CM75" s="439">
        <v>3282.8110613200001</v>
      </c>
      <c r="CN75" s="439"/>
      <c r="CO75" s="439">
        <f t="shared" si="91"/>
        <v>981278.99679903453</v>
      </c>
      <c r="CP75" s="439">
        <f t="shared" si="91"/>
        <v>-5631.8683476691895</v>
      </c>
      <c r="CQ75" s="439">
        <f t="shared" si="91"/>
        <v>0</v>
      </c>
      <c r="CR75" s="439">
        <f t="shared" si="92"/>
        <v>975647.1284513654</v>
      </c>
      <c r="CS75" s="439">
        <f>+'[1]13-14 $86M Workload Restore'!AJ73</f>
        <v>975647</v>
      </c>
      <c r="CT75" s="439">
        <f t="shared" si="93"/>
        <v>0.1284513653954491</v>
      </c>
      <c r="CV75" s="173">
        <v>0</v>
      </c>
      <c r="CW75" s="439">
        <f t="shared" si="94"/>
        <v>9140.209809</v>
      </c>
      <c r="CX75" s="439">
        <f t="shared" si="77"/>
        <v>91.83</v>
      </c>
      <c r="CY75" s="439">
        <f t="shared" si="77"/>
        <v>0</v>
      </c>
      <c r="DA75" s="439">
        <f t="shared" si="78"/>
        <v>153.21019100000012</v>
      </c>
      <c r="DB75" s="439">
        <f t="shared" si="78"/>
        <v>0</v>
      </c>
      <c r="DC75" s="439">
        <f t="shared" si="78"/>
        <v>0</v>
      </c>
      <c r="DE75" s="371">
        <f t="shared" si="79"/>
        <v>0</v>
      </c>
      <c r="DF75" s="371">
        <f t="shared" si="79"/>
        <v>0</v>
      </c>
      <c r="DG75" s="371">
        <f t="shared" si="79"/>
        <v>0</v>
      </c>
      <c r="DH75" s="439"/>
      <c r="DI75" s="371">
        <f t="shared" si="80"/>
        <v>0</v>
      </c>
      <c r="DJ75" s="371">
        <f t="shared" si="80"/>
        <v>0</v>
      </c>
      <c r="DK75" s="371">
        <f t="shared" si="80"/>
        <v>0</v>
      </c>
      <c r="DL75" s="144">
        <f t="shared" si="95"/>
        <v>42378517.464129023</v>
      </c>
      <c r="DM75" s="144">
        <f t="shared" si="96"/>
        <v>256026.9655279518</v>
      </c>
      <c r="DN75" s="144">
        <f t="shared" si="97"/>
        <v>0</v>
      </c>
      <c r="DO75" s="144">
        <f>'[1]PBF Run'!F75*(1+'[1]PBF Run'!$C$4)</f>
        <v>4498258.0139000006</v>
      </c>
      <c r="DP75" s="144">
        <f>'[1]PBF Run'!AA75+'[1]PBF Run'!AB75+'[1]PBF Run'!AC75+'[1]PBF Run'!AD75</f>
        <v>0</v>
      </c>
      <c r="DQ75" s="144">
        <f>'[1]PBF Run'!X75</f>
        <v>0</v>
      </c>
      <c r="DR75" s="144">
        <f>'[1]PBF Run'!L75*(1+'[1]PBF Run'!$C$4)</f>
        <v>0</v>
      </c>
      <c r="DS75" s="144">
        <f>'[1]PBF Run'!AE75</f>
        <v>47132802</v>
      </c>
      <c r="DT75" s="326">
        <f t="shared" si="48"/>
        <v>-0.44355697184801102</v>
      </c>
      <c r="DU75" s="144"/>
      <c r="DV75" s="144"/>
    </row>
    <row r="76" spans="1:126" ht="13.5" thickBot="1">
      <c r="A76" s="16" t="s">
        <v>267</v>
      </c>
      <c r="B76" s="16" t="s">
        <v>177</v>
      </c>
      <c r="C76" s="425">
        <f>[1]FTES!C76</f>
        <v>4430.5728310000004</v>
      </c>
      <c r="D76" s="425">
        <f>[1]FTES!D76</f>
        <v>4430.5728310000004</v>
      </c>
      <c r="E76" s="425">
        <f>[1]FTES!E76</f>
        <v>4849.96</v>
      </c>
      <c r="F76" s="425">
        <f>[1]FTES!H76</f>
        <v>0</v>
      </c>
      <c r="G76" s="425">
        <f>[1]FTES!I76</f>
        <v>0</v>
      </c>
      <c r="H76" s="425">
        <f>[1]FTES!J76</f>
        <v>4430.5728310000004</v>
      </c>
      <c r="I76" s="425">
        <f>[1]FTES!K76</f>
        <v>0</v>
      </c>
      <c r="J76" s="425">
        <f>[1]FTES!L76</f>
        <v>419.38716899999997</v>
      </c>
      <c r="K76" s="425">
        <f>[1]FTES!M76</f>
        <v>0</v>
      </c>
      <c r="L76" s="425">
        <f>[1]FTES!N76</f>
        <v>368.52</v>
      </c>
      <c r="M76" s="425">
        <f>[1]FTES!O76</f>
        <v>368.52</v>
      </c>
      <c r="N76" s="425">
        <f>[1]FTES!P76</f>
        <v>350.21</v>
      </c>
      <c r="O76" s="425">
        <f>[1]FTES!S76</f>
        <v>0</v>
      </c>
      <c r="P76" s="425">
        <f>[1]FTES!T76</f>
        <v>0</v>
      </c>
      <c r="Q76" s="425">
        <f>[1]FTES!U76</f>
        <v>350.21</v>
      </c>
      <c r="R76" s="425">
        <f>[1]FTES!V76</f>
        <v>0</v>
      </c>
      <c r="S76" s="425">
        <f>[1]FTES!W76</f>
        <v>0</v>
      </c>
      <c r="T76" s="425">
        <f>[1]FTES!X76</f>
        <v>0</v>
      </c>
      <c r="U76" s="425">
        <f>[1]FTES!Y76</f>
        <v>0</v>
      </c>
      <c r="V76" s="425">
        <f>[1]FTES!Z76</f>
        <v>0</v>
      </c>
      <c r="W76" s="425">
        <f>[1]FTES!AA76</f>
        <v>0</v>
      </c>
      <c r="X76" s="425">
        <f>[1]FTES!AD76</f>
        <v>0</v>
      </c>
      <c r="Y76" s="425">
        <f>[1]FTES!AE76</f>
        <v>0</v>
      </c>
      <c r="Z76" s="425">
        <f>[1]FTES!AF76</f>
        <v>0</v>
      </c>
      <c r="AA76" s="425">
        <f>[1]FTES!AG76</f>
        <v>0</v>
      </c>
      <c r="AB76" s="425">
        <f>[1]FTES!AH76</f>
        <v>0</v>
      </c>
      <c r="AC76" s="425">
        <f>[1]FTES!AI76</f>
        <v>0</v>
      </c>
      <c r="AD76" s="425"/>
      <c r="AE76" s="376">
        <f>'[1]13-14 $86M Workload Restore'!AJ74</f>
        <v>504029</v>
      </c>
      <c r="AF76" s="375"/>
      <c r="AG76" s="122" t="str">
        <f>'[1]Restoration and Growth'!N76</f>
        <v>Growth</v>
      </c>
      <c r="AH76" s="122" t="str">
        <f>'[1]Restoration and Growth'!O76</f>
        <v>Grow</v>
      </c>
      <c r="AI76" s="122" t="str">
        <f>'[1]Restoration and Growth'!P76</f>
        <v>Decline</v>
      </c>
      <c r="AJ76" s="122" t="str">
        <f>'[1]Restoration and Growth'!Q76</f>
        <v>No CPCP</v>
      </c>
      <c r="AK76" s="139"/>
      <c r="AL76" s="139">
        <f>ROUND(J76*'[1]PBF Run'!$AS$4,3)</f>
        <v>1944485.612</v>
      </c>
      <c r="AM76" s="139">
        <f>ROUND(S76*'[1]PBF Run'!$AF$4,3)</f>
        <v>0</v>
      </c>
      <c r="AN76" s="139">
        <f>ROUND(AB76*'[1]PBF Run'!$AJ$4,3)</f>
        <v>0</v>
      </c>
      <c r="AO76" s="139">
        <f t="shared" si="81"/>
        <v>1944485.612</v>
      </c>
      <c r="AP76" s="139" t="str">
        <f t="shared" si="98"/>
        <v>Y</v>
      </c>
      <c r="AQ76" s="139"/>
      <c r="AR76" s="374">
        <f>IF(AP76="NA",0,IF(AH76="Decline",E76-D76,IF(U76&gt;=AL76,ROUND(AL76/$BC$6,6),IF(AU76&lt;0,ROUND(AL76/$BC$6,6),ROUND(AU76/$BC$6,6)))))</f>
        <v>119.719369</v>
      </c>
      <c r="AS76" s="9">
        <f t="shared" si="54"/>
        <v>555078</v>
      </c>
      <c r="AT76" s="9"/>
      <c r="AU76" s="373">
        <f t="shared" si="55"/>
        <v>555078</v>
      </c>
      <c r="AV76" s="439">
        <f t="shared" si="49"/>
        <v>-18.310000000000002</v>
      </c>
      <c r="AW76" s="9">
        <f t="shared" si="56"/>
        <v>-51049</v>
      </c>
      <c r="AX76" s="9"/>
      <c r="AY76" s="373">
        <f t="shared" si="57"/>
        <v>504029</v>
      </c>
      <c r="AZ76" s="439">
        <f t="shared" si="82"/>
        <v>0</v>
      </c>
      <c r="BA76" s="9">
        <f t="shared" si="83"/>
        <v>0</v>
      </c>
      <c r="BB76" s="439"/>
      <c r="BC76" s="171">
        <f t="shared" si="84"/>
        <v>555078</v>
      </c>
      <c r="BD76" s="171">
        <f t="shared" si="85"/>
        <v>-51049</v>
      </c>
      <c r="BE76" s="171">
        <f t="shared" si="86"/>
        <v>0</v>
      </c>
      <c r="BF76" s="438">
        <f t="shared" si="87"/>
        <v>504029</v>
      </c>
      <c r="BG76" s="389">
        <f t="shared" si="58"/>
        <v>0</v>
      </c>
      <c r="BH76" s="438"/>
      <c r="BI76" s="425">
        <f t="shared" si="59"/>
        <v>4430.5728310000004</v>
      </c>
      <c r="BJ76" s="425">
        <f t="shared" si="60"/>
        <v>368.52</v>
      </c>
      <c r="BK76" s="425">
        <f t="shared" si="61"/>
        <v>0</v>
      </c>
      <c r="BL76" s="438"/>
      <c r="BM76" s="425">
        <f t="shared" si="62"/>
        <v>4430.5728310000004</v>
      </c>
      <c r="BN76" s="425">
        <f t="shared" si="63"/>
        <v>368.52</v>
      </c>
      <c r="BO76" s="425">
        <f t="shared" si="64"/>
        <v>0</v>
      </c>
      <c r="BP76" s="438"/>
      <c r="BQ76" s="372">
        <f t="shared" si="65"/>
        <v>4849.96</v>
      </c>
      <c r="BR76" s="372">
        <f t="shared" si="66"/>
        <v>350.21</v>
      </c>
      <c r="BS76" s="372">
        <f t="shared" si="67"/>
        <v>0</v>
      </c>
      <c r="BU76" s="439">
        <f t="shared" si="68"/>
        <v>0</v>
      </c>
      <c r="BV76" s="439">
        <f t="shared" si="69"/>
        <v>0</v>
      </c>
      <c r="BW76" s="439">
        <f t="shared" si="70"/>
        <v>0</v>
      </c>
      <c r="BY76" s="439">
        <f t="shared" si="71"/>
        <v>0</v>
      </c>
      <c r="BZ76" s="439">
        <f t="shared" si="72"/>
        <v>0</v>
      </c>
      <c r="CA76" s="439">
        <f t="shared" si="73"/>
        <v>0</v>
      </c>
      <c r="CB76" s="439"/>
      <c r="CC76" s="439">
        <f t="shared" si="74"/>
        <v>0</v>
      </c>
      <c r="CD76" s="439">
        <f t="shared" si="75"/>
        <v>0</v>
      </c>
      <c r="CE76" s="374">
        <f t="shared" si="76"/>
        <v>0</v>
      </c>
      <c r="CF76" s="439"/>
      <c r="CG76" s="439">
        <f t="shared" si="88"/>
        <v>119.719369</v>
      </c>
      <c r="CH76" s="439">
        <f t="shared" si="89"/>
        <v>-18.310000000000002</v>
      </c>
      <c r="CI76" s="439">
        <f t="shared" si="90"/>
        <v>0</v>
      </c>
      <c r="CJ76" s="439"/>
      <c r="CK76" s="439">
        <v>4636.4928389999995</v>
      </c>
      <c r="CL76" s="439">
        <v>2788.0536374600001</v>
      </c>
      <c r="CM76" s="439">
        <v>3282.8110613200001</v>
      </c>
      <c r="CN76" s="439"/>
      <c r="CO76" s="439">
        <f t="shared" si="91"/>
        <v>555077.99705809855</v>
      </c>
      <c r="CP76" s="439">
        <f t="shared" si="91"/>
        <v>-51049.262101892607</v>
      </c>
      <c r="CQ76" s="439">
        <f t="shared" si="91"/>
        <v>0</v>
      </c>
      <c r="CR76" s="439">
        <f t="shared" si="92"/>
        <v>504028.73495620594</v>
      </c>
      <c r="CS76" s="439">
        <f>+'[1]13-14 $86M Workload Restore'!AJ74</f>
        <v>504029</v>
      </c>
      <c r="CT76" s="439">
        <f t="shared" si="93"/>
        <v>-0.26504379406105727</v>
      </c>
      <c r="CV76" s="173">
        <v>0</v>
      </c>
      <c r="CW76" s="439">
        <f t="shared" si="94"/>
        <v>4550.2922000000008</v>
      </c>
      <c r="CX76" s="439">
        <f t="shared" si="77"/>
        <v>350.21</v>
      </c>
      <c r="CY76" s="439">
        <f t="shared" si="77"/>
        <v>0</v>
      </c>
      <c r="DA76" s="439">
        <f t="shared" si="78"/>
        <v>299.66779999999926</v>
      </c>
      <c r="DB76" s="439">
        <f t="shared" si="78"/>
        <v>0</v>
      </c>
      <c r="DC76" s="439">
        <f t="shared" si="78"/>
        <v>0</v>
      </c>
      <c r="DE76" s="371">
        <f t="shared" si="79"/>
        <v>0</v>
      </c>
      <c r="DF76" s="371">
        <f t="shared" si="79"/>
        <v>0</v>
      </c>
      <c r="DG76" s="371">
        <f t="shared" si="79"/>
        <v>0</v>
      </c>
      <c r="DH76" s="439"/>
      <c r="DI76" s="371">
        <f t="shared" si="80"/>
        <v>0</v>
      </c>
      <c r="DJ76" s="371">
        <f t="shared" si="80"/>
        <v>0</v>
      </c>
      <c r="DK76" s="371">
        <f t="shared" si="80"/>
        <v>0</v>
      </c>
      <c r="DL76" s="144">
        <f t="shared" si="95"/>
        <v>21097397.269230463</v>
      </c>
      <c r="DM76" s="144">
        <f t="shared" si="96"/>
        <v>976404.26437486662</v>
      </c>
      <c r="DN76" s="144">
        <f t="shared" si="97"/>
        <v>0</v>
      </c>
      <c r="DO76" s="144">
        <f>'[1]PBF Run'!F76*(1+'[1]PBF Run'!$C$4)</f>
        <v>7028527.1945000002</v>
      </c>
      <c r="DP76" s="144">
        <f>'[1]PBF Run'!AA76+'[1]PBF Run'!AB76+'[1]PBF Run'!AC76+'[1]PBF Run'!AD76</f>
        <v>0</v>
      </c>
      <c r="DQ76" s="144">
        <f>'[1]PBF Run'!X76</f>
        <v>0</v>
      </c>
      <c r="DR76" s="144">
        <f>'[1]PBF Run'!L76*(1+'[1]PBF Run'!$C$4)</f>
        <v>0</v>
      </c>
      <c r="DS76" s="144">
        <f>'[1]PBF Run'!AE76</f>
        <v>29102329</v>
      </c>
      <c r="DT76" s="326">
        <f t="shared" si="48"/>
        <v>0.271894671022892</v>
      </c>
      <c r="DU76" s="144"/>
      <c r="DV76" s="144"/>
    </row>
    <row r="77" spans="1:126" ht="13.5" thickBot="1">
      <c r="A77" s="16" t="s">
        <v>265</v>
      </c>
      <c r="B77" s="16" t="s">
        <v>178</v>
      </c>
      <c r="C77" s="425">
        <f>[1]FTES!C77</f>
        <v>2464.4376769999999</v>
      </c>
      <c r="D77" s="425">
        <f>[1]FTES!D77</f>
        <v>2464.4376769999999</v>
      </c>
      <c r="E77" s="425">
        <f>[1]FTES!E77</f>
        <v>2478.3200000000002</v>
      </c>
      <c r="F77" s="425">
        <f>[1]FTES!H77</f>
        <v>0</v>
      </c>
      <c r="G77" s="425">
        <f>[1]FTES!I77</f>
        <v>0</v>
      </c>
      <c r="H77" s="425">
        <f>[1]FTES!J77</f>
        <v>2464.4376769999999</v>
      </c>
      <c r="I77" s="425">
        <f>[1]FTES!K77</f>
        <v>0</v>
      </c>
      <c r="J77" s="425">
        <f>[1]FTES!L77</f>
        <v>13.882323</v>
      </c>
      <c r="K77" s="425">
        <f>[1]FTES!M77</f>
        <v>0</v>
      </c>
      <c r="L77" s="425">
        <f>[1]FTES!N77</f>
        <v>69.31</v>
      </c>
      <c r="M77" s="425">
        <f>[1]FTES!O77</f>
        <v>69.31</v>
      </c>
      <c r="N77" s="425">
        <f>[1]FTES!P77</f>
        <v>61.34</v>
      </c>
      <c r="O77" s="425">
        <f>[1]FTES!S77</f>
        <v>0</v>
      </c>
      <c r="P77" s="425">
        <f>[1]FTES!T77</f>
        <v>0</v>
      </c>
      <c r="Q77" s="425">
        <f>[1]FTES!U77</f>
        <v>61.34</v>
      </c>
      <c r="R77" s="425">
        <f>[1]FTES!V77</f>
        <v>0</v>
      </c>
      <c r="S77" s="425">
        <f>[1]FTES!W77</f>
        <v>0</v>
      </c>
      <c r="T77" s="425">
        <f>[1]FTES!X77</f>
        <v>0</v>
      </c>
      <c r="U77" s="425">
        <f>[1]FTES!Y77</f>
        <v>0</v>
      </c>
      <c r="V77" s="425">
        <f>[1]FTES!Z77</f>
        <v>0</v>
      </c>
      <c r="W77" s="425">
        <f>[1]FTES!AA77</f>
        <v>0</v>
      </c>
      <c r="X77" s="425">
        <f>[1]FTES!AD77</f>
        <v>0</v>
      </c>
      <c r="Y77" s="425">
        <f>[1]FTES!AE77</f>
        <v>0</v>
      </c>
      <c r="Z77" s="425">
        <f>[1]FTES!AF77</f>
        <v>0</v>
      </c>
      <c r="AA77" s="425">
        <f>[1]FTES!AG77</f>
        <v>0</v>
      </c>
      <c r="AB77" s="425">
        <f>[1]FTES!AH77</f>
        <v>0</v>
      </c>
      <c r="AC77" s="425">
        <f>[1]FTES!AI77</f>
        <v>0</v>
      </c>
      <c r="AD77" s="425"/>
      <c r="AE77" s="376">
        <f>'[1]13-14 $86M Workload Restore'!AJ75</f>
        <v>0</v>
      </c>
      <c r="AF77" s="375"/>
      <c r="AG77" s="122" t="str">
        <f>'[1]Restoration and Growth'!N77</f>
        <v>Growth</v>
      </c>
      <c r="AH77" s="122" t="str">
        <f>'[1]Restoration and Growth'!O77</f>
        <v>Grow</v>
      </c>
      <c r="AI77" s="122" t="str">
        <f>'[1]Restoration and Growth'!P77</f>
        <v>Decline</v>
      </c>
      <c r="AJ77" s="122" t="str">
        <f>'[1]Restoration and Growth'!Q77</f>
        <v>No CPCP</v>
      </c>
      <c r="AK77" s="139"/>
      <c r="AL77" s="139">
        <f>ROUND(J77*'[1]PBF Run'!$AS$4,3)</f>
        <v>64365.290999999997</v>
      </c>
      <c r="AM77" s="139">
        <f>ROUND(S77*'[1]PBF Run'!$AF$4,3)</f>
        <v>0</v>
      </c>
      <c r="AN77" s="139">
        <f>ROUND(AB77*'[1]PBF Run'!$AJ$4,3)</f>
        <v>0</v>
      </c>
      <c r="AO77" s="139">
        <f t="shared" si="81"/>
        <v>64365.290999999997</v>
      </c>
      <c r="AP77" s="139" t="str">
        <f t="shared" si="98"/>
        <v>Y</v>
      </c>
      <c r="AQ77" s="139"/>
      <c r="AR77" s="374">
        <f>IF(AP77="NA",0,IF(AH77="Decline",E77-D77,IF(U77&gt;=AL77,ROUND(AL77/$BC$6,6),IF(AU77&lt;0,ROUND(AL77/$BC$6,6),ROUND(AU77/$BC$6,6)))))</f>
        <v>4.7926310000000001</v>
      </c>
      <c r="AS77" s="9">
        <f t="shared" si="54"/>
        <v>22221</v>
      </c>
      <c r="AT77" s="9"/>
      <c r="AU77" s="373">
        <f t="shared" si="55"/>
        <v>22221</v>
      </c>
      <c r="AV77" s="439">
        <f t="shared" si="49"/>
        <v>-7.9699999999999989</v>
      </c>
      <c r="AW77" s="9">
        <f t="shared" si="56"/>
        <v>-22221</v>
      </c>
      <c r="AX77" s="9"/>
      <c r="AY77" s="373">
        <f t="shared" si="57"/>
        <v>0</v>
      </c>
      <c r="AZ77" s="439">
        <f t="shared" si="82"/>
        <v>0</v>
      </c>
      <c r="BA77" s="9">
        <f t="shared" si="83"/>
        <v>0</v>
      </c>
      <c r="BB77" s="439"/>
      <c r="BC77" s="171">
        <f t="shared" si="84"/>
        <v>22221</v>
      </c>
      <c r="BD77" s="171">
        <f t="shared" si="85"/>
        <v>-22221</v>
      </c>
      <c r="BE77" s="171">
        <f t="shared" si="86"/>
        <v>0</v>
      </c>
      <c r="BF77" s="438">
        <f t="shared" si="87"/>
        <v>0</v>
      </c>
      <c r="BG77" s="389">
        <f t="shared" si="58"/>
        <v>0</v>
      </c>
      <c r="BH77" s="438"/>
      <c r="BI77" s="425">
        <f t="shared" si="59"/>
        <v>2464.4376769999999</v>
      </c>
      <c r="BJ77" s="425">
        <f t="shared" si="60"/>
        <v>69.31</v>
      </c>
      <c r="BK77" s="425">
        <f t="shared" si="61"/>
        <v>0</v>
      </c>
      <c r="BL77" s="438"/>
      <c r="BM77" s="425">
        <f t="shared" si="62"/>
        <v>2464.4376769999999</v>
      </c>
      <c r="BN77" s="425">
        <f t="shared" si="63"/>
        <v>69.31</v>
      </c>
      <c r="BO77" s="425">
        <f t="shared" si="64"/>
        <v>0</v>
      </c>
      <c r="BP77" s="438"/>
      <c r="BQ77" s="372">
        <f t="shared" si="65"/>
        <v>2478.3200000000002</v>
      </c>
      <c r="BR77" s="372">
        <f t="shared" si="66"/>
        <v>61.34</v>
      </c>
      <c r="BS77" s="372">
        <f t="shared" si="67"/>
        <v>0</v>
      </c>
      <c r="BU77" s="439">
        <f t="shared" si="68"/>
        <v>0</v>
      </c>
      <c r="BV77" s="439">
        <f t="shared" si="69"/>
        <v>0</v>
      </c>
      <c r="BW77" s="439">
        <f t="shared" si="70"/>
        <v>0</v>
      </c>
      <c r="BY77" s="439">
        <f t="shared" si="71"/>
        <v>0</v>
      </c>
      <c r="BZ77" s="439">
        <f t="shared" si="72"/>
        <v>0</v>
      </c>
      <c r="CA77" s="439">
        <f t="shared" si="73"/>
        <v>0</v>
      </c>
      <c r="CB77" s="439"/>
      <c r="CC77" s="439">
        <f t="shared" si="74"/>
        <v>0</v>
      </c>
      <c r="CD77" s="439">
        <f t="shared" si="75"/>
        <v>0</v>
      </c>
      <c r="CE77" s="374">
        <f t="shared" si="76"/>
        <v>0</v>
      </c>
      <c r="CF77" s="439"/>
      <c r="CG77" s="439">
        <f t="shared" si="88"/>
        <v>4.7926310000000001</v>
      </c>
      <c r="CH77" s="439">
        <f t="shared" si="89"/>
        <v>-7.9699999999999989</v>
      </c>
      <c r="CI77" s="439">
        <f t="shared" si="90"/>
        <v>0</v>
      </c>
      <c r="CJ77" s="439"/>
      <c r="CK77" s="439">
        <v>6396.4518120000002</v>
      </c>
      <c r="CL77" s="439">
        <v>2788.0536374600001</v>
      </c>
      <c r="CM77" s="439">
        <v>3282.8110613200001</v>
      </c>
      <c r="CN77" s="439"/>
      <c r="CO77" s="439">
        <f t="shared" si="91"/>
        <v>30655.833244197373</v>
      </c>
      <c r="CP77" s="439">
        <f t="shared" si="91"/>
        <v>-22220.787490556198</v>
      </c>
      <c r="CQ77" s="439">
        <f t="shared" si="91"/>
        <v>0</v>
      </c>
      <c r="CR77" s="439">
        <f t="shared" si="92"/>
        <v>8435.0457536411741</v>
      </c>
      <c r="CS77" s="439">
        <f>+'[1]13-14 $86M Workload Restore'!AJ75</f>
        <v>0</v>
      </c>
      <c r="CT77" s="439">
        <f t="shared" si="93"/>
        <v>8435.0457536411741</v>
      </c>
      <c r="CV77" s="173">
        <v>0</v>
      </c>
      <c r="CW77" s="439">
        <f t="shared" si="94"/>
        <v>2469.2303079999997</v>
      </c>
      <c r="CX77" s="439">
        <f t="shared" si="77"/>
        <v>61.34</v>
      </c>
      <c r="CY77" s="439">
        <f t="shared" si="77"/>
        <v>0</v>
      </c>
      <c r="DA77" s="439">
        <f t="shared" si="78"/>
        <v>9.0896920000004684</v>
      </c>
      <c r="DB77" s="439">
        <f t="shared" si="78"/>
        <v>0</v>
      </c>
      <c r="DC77" s="439">
        <f t="shared" si="78"/>
        <v>0</v>
      </c>
      <c r="DE77" s="371">
        <f t="shared" si="79"/>
        <v>0</v>
      </c>
      <c r="DF77" s="371">
        <f t="shared" si="79"/>
        <v>0</v>
      </c>
      <c r="DG77" s="371">
        <f t="shared" si="79"/>
        <v>0</v>
      </c>
      <c r="DH77" s="439"/>
      <c r="DI77" s="371">
        <f t="shared" si="80"/>
        <v>0</v>
      </c>
      <c r="DJ77" s="371">
        <f t="shared" si="80"/>
        <v>0</v>
      </c>
      <c r="DK77" s="371">
        <f t="shared" si="80"/>
        <v>0</v>
      </c>
      <c r="DL77" s="144">
        <f t="shared" si="95"/>
        <v>11448568.678095065</v>
      </c>
      <c r="DM77" s="144">
        <f t="shared" si="96"/>
        <v>171019.21012179641</v>
      </c>
      <c r="DN77" s="144">
        <f t="shared" si="97"/>
        <v>0</v>
      </c>
      <c r="DO77" s="144">
        <f>'[1]PBF Run'!F77*(1+'[1]PBF Run'!$C$4)</f>
        <v>3935975.6352000004</v>
      </c>
      <c r="DP77" s="144">
        <f>'[1]PBF Run'!AA77+'[1]PBF Run'!AB77+'[1]PBF Run'!AC77+'[1]PBF Run'!AD77</f>
        <v>0</v>
      </c>
      <c r="DQ77" s="144">
        <f>'[1]PBF Run'!X77</f>
        <v>0</v>
      </c>
      <c r="DR77" s="144">
        <f>'[1]PBF Run'!L77*(1+'[1]PBF Run'!$C$4)</f>
        <v>4337309.1762000006</v>
      </c>
      <c r="DS77" s="144">
        <f>'[1]PBF Run'!AE77</f>
        <v>19892872</v>
      </c>
      <c r="DT77" s="326">
        <f>DS77-DR77-DQ77-DP77-DO77-DN77-DM77-DL77</f>
        <v>-0.69961686059832573</v>
      </c>
      <c r="DU77" s="144"/>
      <c r="DV77" s="144"/>
    </row>
    <row r="78" spans="1:126" ht="13.5" thickBot="1">
      <c r="A78" s="16" t="s">
        <v>263</v>
      </c>
      <c r="B78" s="16" t="s">
        <v>179</v>
      </c>
      <c r="C78" s="425">
        <f>[1]FTES!C78</f>
        <v>15002.35</v>
      </c>
      <c r="D78" s="425">
        <f>[1]FTES!D78</f>
        <v>15002.35</v>
      </c>
      <c r="E78" s="425">
        <f>[1]FTES!E78</f>
        <v>13645.1</v>
      </c>
      <c r="F78" s="425">
        <f>[1]FTES!H78</f>
        <v>0</v>
      </c>
      <c r="G78" s="425">
        <f>[1]FTES!I78</f>
        <v>0</v>
      </c>
      <c r="H78" s="425">
        <f>[1]FTES!J78</f>
        <v>13645.1</v>
      </c>
      <c r="I78" s="425">
        <f>[1]FTES!K78</f>
        <v>-1357.25</v>
      </c>
      <c r="J78" s="425">
        <f>[1]FTES!L78</f>
        <v>0</v>
      </c>
      <c r="K78" s="425">
        <f>[1]FTES!M78</f>
        <v>0</v>
      </c>
      <c r="L78" s="425">
        <f>[1]FTES!N78</f>
        <v>636.75</v>
      </c>
      <c r="M78" s="425">
        <f>[1]FTES!O78</f>
        <v>636.75</v>
      </c>
      <c r="N78" s="425">
        <f>[1]FTES!P78</f>
        <v>751.44</v>
      </c>
      <c r="O78" s="425">
        <f>[1]FTES!S78</f>
        <v>0</v>
      </c>
      <c r="P78" s="425">
        <f>[1]FTES!T78</f>
        <v>0</v>
      </c>
      <c r="Q78" s="425">
        <f>[1]FTES!U78</f>
        <v>751.44</v>
      </c>
      <c r="R78" s="425">
        <f>[1]FTES!V78</f>
        <v>114.69</v>
      </c>
      <c r="S78" s="425">
        <f>[1]FTES!W78</f>
        <v>0</v>
      </c>
      <c r="T78" s="425">
        <f>[1]FTES!X78</f>
        <v>0</v>
      </c>
      <c r="U78" s="425">
        <f>[1]FTES!Y78</f>
        <v>0</v>
      </c>
      <c r="V78" s="425">
        <f>[1]FTES!Z78</f>
        <v>0</v>
      </c>
      <c r="W78" s="425">
        <f>[1]FTES!AA78</f>
        <v>0</v>
      </c>
      <c r="X78" s="425">
        <f>[1]FTES!AD78</f>
        <v>0</v>
      </c>
      <c r="Y78" s="425">
        <f>[1]FTES!AE78</f>
        <v>0</v>
      </c>
      <c r="Z78" s="425">
        <f>[1]FTES!AF78</f>
        <v>0</v>
      </c>
      <c r="AA78" s="425">
        <f>[1]FTES!AG78</f>
        <v>0</v>
      </c>
      <c r="AB78" s="425">
        <f>[1]FTES!AH78</f>
        <v>0</v>
      </c>
      <c r="AC78" s="425">
        <f>[1]FTES!AI78</f>
        <v>0</v>
      </c>
      <c r="AD78" s="425"/>
      <c r="AE78" s="376">
        <f>'[1]13-14 $86M Workload Restore'!AJ76</f>
        <v>0</v>
      </c>
      <c r="AF78" s="375"/>
      <c r="AG78" s="122" t="str">
        <f>'[1]Restoration and Growth'!N78</f>
        <v>Decline</v>
      </c>
      <c r="AH78" s="122" t="str">
        <f>'[1]Restoration and Growth'!O78</f>
        <v>Decline</v>
      </c>
      <c r="AI78" s="122" t="str">
        <f>'[1]Restoration and Growth'!P78</f>
        <v>Grow</v>
      </c>
      <c r="AJ78" s="122" t="str">
        <f>'[1]Restoration and Growth'!Q78</f>
        <v>No CPCP</v>
      </c>
      <c r="AK78" s="139"/>
      <c r="AL78" s="139">
        <f>ROUND(J78*'[1]PBF Run'!$AS$4,3)</f>
        <v>0</v>
      </c>
      <c r="AM78" s="139">
        <f>ROUND(S78*'[1]PBF Run'!$AF$4,3)</f>
        <v>0</v>
      </c>
      <c r="AN78" s="139">
        <f>ROUND(AB78*'[1]PBF Run'!$AJ$4,3)</f>
        <v>0</v>
      </c>
      <c r="AO78" s="139">
        <f t="shared" si="81"/>
        <v>0</v>
      </c>
      <c r="AP78" s="139" t="str">
        <f t="shared" si="98"/>
        <v>NA</v>
      </c>
      <c r="AQ78" s="139"/>
      <c r="AR78" s="374">
        <f>IF(AP78="NA",0,IF(AH78="Decline",E78-D78,IF(U78&gt;=AL78,ROUND(AL78/$BC$6,6),IF(AU78&lt;0,ROUND(AL78/$BC$6,6),ROUND(AU78/$BC$6,6)))))</f>
        <v>0</v>
      </c>
      <c r="AS78" s="9">
        <f t="shared" si="54"/>
        <v>0</v>
      </c>
      <c r="AT78" s="9"/>
      <c r="AU78" s="373">
        <f t="shared" si="55"/>
        <v>0</v>
      </c>
      <c r="AV78" s="439">
        <f t="shared" si="49"/>
        <v>0</v>
      </c>
      <c r="AW78" s="9">
        <f t="shared" si="56"/>
        <v>0</v>
      </c>
      <c r="AX78" s="9"/>
      <c r="AY78" s="373">
        <f t="shared" si="57"/>
        <v>0</v>
      </c>
      <c r="AZ78" s="439">
        <f t="shared" si="82"/>
        <v>0</v>
      </c>
      <c r="BA78" s="9">
        <f t="shared" si="83"/>
        <v>0</v>
      </c>
      <c r="BB78" s="439"/>
      <c r="BC78" s="171">
        <f t="shared" si="84"/>
        <v>0</v>
      </c>
      <c r="BD78" s="171">
        <f t="shared" si="85"/>
        <v>0</v>
      </c>
      <c r="BE78" s="171">
        <f t="shared" si="86"/>
        <v>0</v>
      </c>
      <c r="BF78" s="438">
        <f t="shared" si="87"/>
        <v>0</v>
      </c>
      <c r="BG78" s="389">
        <f t="shared" si="58"/>
        <v>0</v>
      </c>
      <c r="BH78" s="438"/>
      <c r="BI78" s="425">
        <f t="shared" si="59"/>
        <v>15002.35</v>
      </c>
      <c r="BJ78" s="425">
        <f t="shared" si="60"/>
        <v>636.75</v>
      </c>
      <c r="BK78" s="425">
        <f t="shared" si="61"/>
        <v>0</v>
      </c>
      <c r="BL78" s="438"/>
      <c r="BM78" s="425">
        <f t="shared" si="62"/>
        <v>15002.35</v>
      </c>
      <c r="BN78" s="425">
        <f t="shared" si="63"/>
        <v>636.75</v>
      </c>
      <c r="BO78" s="425">
        <f t="shared" si="64"/>
        <v>0</v>
      </c>
      <c r="BP78" s="438"/>
      <c r="BQ78" s="372">
        <f t="shared" si="65"/>
        <v>13645.1</v>
      </c>
      <c r="BR78" s="372">
        <f t="shared" si="66"/>
        <v>751.44</v>
      </c>
      <c r="BS78" s="372">
        <f t="shared" si="67"/>
        <v>0</v>
      </c>
      <c r="BU78" s="439">
        <f t="shared" si="68"/>
        <v>0</v>
      </c>
      <c r="BV78" s="439">
        <f t="shared" si="69"/>
        <v>0</v>
      </c>
      <c r="BW78" s="439">
        <f t="shared" si="70"/>
        <v>0</v>
      </c>
      <c r="BY78" s="439">
        <f t="shared" si="71"/>
        <v>0</v>
      </c>
      <c r="BZ78" s="439">
        <f t="shared" si="72"/>
        <v>0</v>
      </c>
      <c r="CA78" s="439">
        <f t="shared" si="73"/>
        <v>0</v>
      </c>
      <c r="CB78" s="439"/>
      <c r="CC78" s="439">
        <f t="shared" si="74"/>
        <v>-1357.25</v>
      </c>
      <c r="CD78" s="439">
        <f t="shared" si="75"/>
        <v>114.69</v>
      </c>
      <c r="CE78" s="374">
        <f t="shared" si="76"/>
        <v>0</v>
      </c>
      <c r="CF78" s="439"/>
      <c r="CG78" s="439">
        <f t="shared" si="88"/>
        <v>0</v>
      </c>
      <c r="CH78" s="439">
        <f t="shared" si="89"/>
        <v>0</v>
      </c>
      <c r="CI78" s="439">
        <f t="shared" si="90"/>
        <v>0</v>
      </c>
      <c r="CJ78" s="439"/>
      <c r="CK78" s="439">
        <v>4636.4928680000003</v>
      </c>
      <c r="CL78" s="439">
        <v>2788.0536374600001</v>
      </c>
      <c r="CM78" s="439">
        <v>3282.8110613200001</v>
      </c>
      <c r="CN78" s="439"/>
      <c r="CO78" s="439">
        <f t="shared" si="91"/>
        <v>0</v>
      </c>
      <c r="CP78" s="439">
        <f t="shared" si="91"/>
        <v>0</v>
      </c>
      <c r="CQ78" s="439">
        <f t="shared" si="91"/>
        <v>0</v>
      </c>
      <c r="CR78" s="439">
        <f t="shared" si="92"/>
        <v>0</v>
      </c>
      <c r="CS78" s="439">
        <f>+'[1]13-14 $86M Workload Restore'!AJ76</f>
        <v>0</v>
      </c>
      <c r="CT78" s="439">
        <f t="shared" si="93"/>
        <v>0</v>
      </c>
      <c r="CV78" s="173">
        <v>0</v>
      </c>
      <c r="CW78" s="439">
        <f t="shared" si="94"/>
        <v>13645.1</v>
      </c>
      <c r="CX78" s="439">
        <f t="shared" si="77"/>
        <v>751.44</v>
      </c>
      <c r="CY78" s="439">
        <f t="shared" si="77"/>
        <v>0</v>
      </c>
      <c r="DA78" s="439">
        <f t="shared" si="78"/>
        <v>0</v>
      </c>
      <c r="DB78" s="439">
        <f t="shared" si="78"/>
        <v>0</v>
      </c>
      <c r="DC78" s="439">
        <f t="shared" si="78"/>
        <v>0</v>
      </c>
      <c r="DE78" s="371">
        <f t="shared" si="79"/>
        <v>0</v>
      </c>
      <c r="DF78" s="371">
        <f t="shared" si="79"/>
        <v>0</v>
      </c>
      <c r="DG78" s="371">
        <f t="shared" si="79"/>
        <v>0</v>
      </c>
      <c r="DH78" s="439"/>
      <c r="DI78" s="371">
        <f t="shared" si="80"/>
        <v>0</v>
      </c>
      <c r="DJ78" s="371">
        <f t="shared" si="80"/>
        <v>0</v>
      </c>
      <c r="DK78" s="371">
        <f t="shared" si="80"/>
        <v>0</v>
      </c>
      <c r="DL78" s="144">
        <f t="shared" si="95"/>
        <v>63265408.643070564</v>
      </c>
      <c r="DM78" s="144">
        <f t="shared" si="96"/>
        <v>2095055.0253329426</v>
      </c>
      <c r="DN78" s="144">
        <f t="shared" si="97"/>
        <v>0</v>
      </c>
      <c r="DO78" s="144">
        <f>'[1]PBF Run'!F78*(1+'[1]PBF Run'!$C$4)</f>
        <v>7309668.8917000005</v>
      </c>
      <c r="DP78" s="144">
        <f>'[1]PBF Run'!AA78+'[1]PBF Run'!AB78+'[1]PBF Run'!AC78+'[1]PBF Run'!AD78</f>
        <v>0</v>
      </c>
      <c r="DQ78" s="144">
        <f>'[1]PBF Run'!X78</f>
        <v>5973118</v>
      </c>
      <c r="DR78" s="144">
        <f>'[1]PBF Run'!L78*(1+'[1]PBF Run'!$C$4)</f>
        <v>0</v>
      </c>
      <c r="DS78" s="144">
        <f>'[1]PBF Run'!AE78</f>
        <v>78643251</v>
      </c>
      <c r="DT78" s="326">
        <f>DS78-DR78-DQ78-DP78-DO78-DN78-DM78-DL78</f>
        <v>0.43989649415016174</v>
      </c>
      <c r="DU78" s="144"/>
      <c r="DV78" s="144"/>
    </row>
    <row r="79" spans="1:126" ht="13.5" thickBot="1">
      <c r="A79" s="16" t="s">
        <v>261</v>
      </c>
      <c r="B79" s="16" t="s">
        <v>180</v>
      </c>
      <c r="C79" s="425">
        <f>[1]FTES!C79</f>
        <v>15958.409931</v>
      </c>
      <c r="D79" s="425">
        <f>[1]FTES!D79</f>
        <v>15958.409931</v>
      </c>
      <c r="E79" s="425">
        <f>[1]FTES!E79</f>
        <v>16281.54</v>
      </c>
      <c r="F79" s="425">
        <f>[1]FTES!H79</f>
        <v>0</v>
      </c>
      <c r="G79" s="425">
        <f>[1]FTES!I79</f>
        <v>0</v>
      </c>
      <c r="H79" s="425">
        <f>[1]FTES!J79</f>
        <v>15958.409931</v>
      </c>
      <c r="I79" s="425">
        <f>[1]FTES!K79</f>
        <v>0</v>
      </c>
      <c r="J79" s="425">
        <f>[1]FTES!L79</f>
        <v>323.13006899999999</v>
      </c>
      <c r="K79" s="425">
        <f>[1]FTES!M79</f>
        <v>0</v>
      </c>
      <c r="L79" s="425">
        <f>[1]FTES!N79</f>
        <v>104.63</v>
      </c>
      <c r="M79" s="425">
        <f>[1]FTES!O79</f>
        <v>104.63</v>
      </c>
      <c r="N79" s="425">
        <f>[1]FTES!P79</f>
        <v>120.21000000000004</v>
      </c>
      <c r="O79" s="425">
        <f>[1]FTES!S79</f>
        <v>0</v>
      </c>
      <c r="P79" s="425">
        <f>[1]FTES!T79</f>
        <v>0</v>
      </c>
      <c r="Q79" s="425">
        <f>[1]FTES!U79</f>
        <v>104.63</v>
      </c>
      <c r="R79" s="425">
        <f>[1]FTES!V79</f>
        <v>0</v>
      </c>
      <c r="S79" s="425">
        <f>[1]FTES!W79</f>
        <v>15.58</v>
      </c>
      <c r="T79" s="425">
        <f>[1]FTES!X79</f>
        <v>0</v>
      </c>
      <c r="U79" s="425">
        <f>[1]FTES!Y79</f>
        <v>92.35</v>
      </c>
      <c r="V79" s="425">
        <f>[1]FTES!Z79</f>
        <v>92.35</v>
      </c>
      <c r="W79" s="425">
        <f>[1]FTES!AA79</f>
        <v>166.26</v>
      </c>
      <c r="X79" s="425">
        <f>[1]FTES!AD79</f>
        <v>0</v>
      </c>
      <c r="Y79" s="425">
        <f>[1]FTES!AE79</f>
        <v>0</v>
      </c>
      <c r="Z79" s="425">
        <f>[1]FTES!AF79</f>
        <v>92.35</v>
      </c>
      <c r="AA79" s="425">
        <f>[1]FTES!AG79</f>
        <v>0</v>
      </c>
      <c r="AB79" s="425">
        <f>[1]FTES!AH79</f>
        <v>73.91</v>
      </c>
      <c r="AC79" s="425">
        <f>[1]FTES!AI79</f>
        <v>0</v>
      </c>
      <c r="AD79" s="425"/>
      <c r="AE79" s="376">
        <f>'[1]13-14 $86M Workload Restore'!AJ77</f>
        <v>1784261</v>
      </c>
      <c r="AF79" s="375"/>
      <c r="AG79" s="122" t="str">
        <f>'[1]Restoration and Growth'!N79</f>
        <v>Growth</v>
      </c>
      <c r="AH79" s="122" t="str">
        <f>'[1]Restoration and Growth'!O79</f>
        <v>Grow</v>
      </c>
      <c r="AI79" s="122" t="str">
        <f>'[1]Restoration and Growth'!P79</f>
        <v>Grow</v>
      </c>
      <c r="AJ79" s="122" t="str">
        <f>'[1]Restoration and Growth'!Q79</f>
        <v>Grow</v>
      </c>
      <c r="AK79" s="139"/>
      <c r="AL79" s="139">
        <f>ROUND(J79*'[1]PBF Run'!$AS$4,3)</f>
        <v>1498190.2560000001</v>
      </c>
      <c r="AM79" s="139">
        <f>ROUND(S79*'[1]PBF Run'!$AF$4,3)</f>
        <v>43437.875999999997</v>
      </c>
      <c r="AN79" s="139">
        <f>ROUND(AB79*'[1]PBF Run'!$AJ$4,3)</f>
        <v>242632.56599999999</v>
      </c>
      <c r="AO79" s="139">
        <f t="shared" si="81"/>
        <v>1784260.6979999999</v>
      </c>
      <c r="AP79" s="139" t="str">
        <f t="shared" si="98"/>
        <v>Y</v>
      </c>
      <c r="AQ79" s="139"/>
      <c r="AR79" s="374">
        <f>IF(AP79="NA",0,IF(AH79="Decline",E79-D79,IF(U79&gt;=AL79,ROUND(AL79/$BC$6,6),IF(AU79&lt;0,ROUND(AL79/$BC$6,6),ROUND(AU79/$BC$6,6)))))</f>
        <v>323.13001400000002</v>
      </c>
      <c r="AS79" s="9">
        <f t="shared" si="54"/>
        <v>1498190</v>
      </c>
      <c r="AT79" s="9"/>
      <c r="AU79" s="373">
        <f t="shared" si="55"/>
        <v>1498190</v>
      </c>
      <c r="AV79" s="439">
        <f t="shared" si="49"/>
        <v>15.58</v>
      </c>
      <c r="AW79" s="9">
        <f t="shared" si="56"/>
        <v>43438</v>
      </c>
      <c r="AX79" s="9"/>
      <c r="AY79" s="373">
        <f t="shared" si="57"/>
        <v>1541628</v>
      </c>
      <c r="AZ79" s="439">
        <f t="shared" si="82"/>
        <v>73.91</v>
      </c>
      <c r="BA79" s="9">
        <f t="shared" si="83"/>
        <v>242633</v>
      </c>
      <c r="BB79" s="439"/>
      <c r="BC79" s="171">
        <f t="shared" si="84"/>
        <v>1498190</v>
      </c>
      <c r="BD79" s="171">
        <f t="shared" si="85"/>
        <v>43438</v>
      </c>
      <c r="BE79" s="171">
        <f t="shared" si="86"/>
        <v>242633</v>
      </c>
      <c r="BF79" s="438">
        <f t="shared" si="87"/>
        <v>1784261</v>
      </c>
      <c r="BG79" s="389">
        <f t="shared" si="58"/>
        <v>0</v>
      </c>
      <c r="BH79" s="438"/>
      <c r="BI79" s="425">
        <f t="shared" si="59"/>
        <v>15958.409931</v>
      </c>
      <c r="BJ79" s="425">
        <f t="shared" si="60"/>
        <v>104.63</v>
      </c>
      <c r="BK79" s="425">
        <f t="shared" si="61"/>
        <v>92.35</v>
      </c>
      <c r="BL79" s="438"/>
      <c r="BM79" s="425">
        <f t="shared" si="62"/>
        <v>15958.409931</v>
      </c>
      <c r="BN79" s="425">
        <f t="shared" si="63"/>
        <v>104.63</v>
      </c>
      <c r="BO79" s="425">
        <f t="shared" si="64"/>
        <v>92.35</v>
      </c>
      <c r="BP79" s="438"/>
      <c r="BQ79" s="372">
        <f t="shared" si="65"/>
        <v>16281.54</v>
      </c>
      <c r="BR79" s="372">
        <f t="shared" si="66"/>
        <v>120.21000000000004</v>
      </c>
      <c r="BS79" s="372">
        <f t="shared" si="67"/>
        <v>166.26</v>
      </c>
      <c r="BU79" s="439">
        <f t="shared" si="68"/>
        <v>0</v>
      </c>
      <c r="BV79" s="439">
        <f t="shared" si="69"/>
        <v>0</v>
      </c>
      <c r="BW79" s="439">
        <f t="shared" si="70"/>
        <v>0</v>
      </c>
      <c r="BY79" s="439">
        <f t="shared" si="71"/>
        <v>0</v>
      </c>
      <c r="BZ79" s="439">
        <f t="shared" si="72"/>
        <v>0</v>
      </c>
      <c r="CA79" s="439">
        <f t="shared" si="73"/>
        <v>0</v>
      </c>
      <c r="CB79" s="439"/>
      <c r="CC79" s="439">
        <f t="shared" si="74"/>
        <v>0</v>
      </c>
      <c r="CD79" s="439">
        <f t="shared" si="75"/>
        <v>0</v>
      </c>
      <c r="CE79" s="374">
        <f t="shared" si="76"/>
        <v>0</v>
      </c>
      <c r="CF79" s="439"/>
      <c r="CG79" s="439">
        <f t="shared" si="88"/>
        <v>323.13001400000002</v>
      </c>
      <c r="CH79" s="439">
        <f t="shared" si="89"/>
        <v>15.58</v>
      </c>
      <c r="CI79" s="439">
        <f t="shared" si="90"/>
        <v>73.91</v>
      </c>
      <c r="CJ79" s="439"/>
      <c r="CK79" s="439">
        <v>4636.4928840000002</v>
      </c>
      <c r="CL79" s="439">
        <v>2788.0536374600001</v>
      </c>
      <c r="CM79" s="439">
        <v>3282.8110613200001</v>
      </c>
      <c r="CN79" s="439"/>
      <c r="CO79" s="439">
        <f t="shared" si="91"/>
        <v>1498190.0105178205</v>
      </c>
      <c r="CP79" s="439">
        <f t="shared" si="91"/>
        <v>43437.875671626804</v>
      </c>
      <c r="CQ79" s="439">
        <f t="shared" si="91"/>
        <v>242632.5655421612</v>
      </c>
      <c r="CR79" s="439">
        <f t="shared" si="92"/>
        <v>1784260.4517316085</v>
      </c>
      <c r="CS79" s="439">
        <f>+'[1]13-14 $86M Workload Restore'!AJ77</f>
        <v>1784261</v>
      </c>
      <c r="CT79" s="439">
        <f t="shared" si="93"/>
        <v>-0.54826839151792228</v>
      </c>
      <c r="CV79" s="173">
        <v>0</v>
      </c>
      <c r="CW79" s="439">
        <f t="shared" si="94"/>
        <v>16281.539945</v>
      </c>
      <c r="CX79" s="439">
        <f t="shared" si="77"/>
        <v>120.21</v>
      </c>
      <c r="CY79" s="439">
        <f t="shared" si="77"/>
        <v>166.26</v>
      </c>
      <c r="DA79" s="439">
        <f t="shared" si="78"/>
        <v>5.5000000429572538E-5</v>
      </c>
      <c r="DB79" s="439">
        <f t="shared" si="78"/>
        <v>0</v>
      </c>
      <c r="DC79" s="439">
        <f t="shared" si="78"/>
        <v>0</v>
      </c>
      <c r="DE79" s="371">
        <f t="shared" si="79"/>
        <v>0</v>
      </c>
      <c r="DF79" s="371">
        <f t="shared" si="79"/>
        <v>0</v>
      </c>
      <c r="DG79" s="371">
        <f t="shared" si="79"/>
        <v>0</v>
      </c>
      <c r="DH79" s="439"/>
      <c r="DI79" s="371">
        <f t="shared" si="80"/>
        <v>0</v>
      </c>
      <c r="DJ79" s="371">
        <f t="shared" si="80"/>
        <v>4.2632564145606011E-14</v>
      </c>
      <c r="DK79" s="371">
        <f t="shared" si="80"/>
        <v>0</v>
      </c>
      <c r="DL79" s="144">
        <f t="shared" si="95"/>
        <v>75489243.608247772</v>
      </c>
      <c r="DM79" s="144">
        <f t="shared" si="96"/>
        <v>335151.92775906657</v>
      </c>
      <c r="DN79" s="144">
        <f t="shared" si="97"/>
        <v>545800.16705506318</v>
      </c>
      <c r="DO79" s="144">
        <f>'[1]PBF Run'!F79*(1+'[1]PBF Run'!$C$4)</f>
        <v>7309668.8917000005</v>
      </c>
      <c r="DP79" s="144">
        <f>'[1]PBF Run'!AA79+'[1]PBF Run'!AB79+'[1]PBF Run'!AC79+'[1]PBF Run'!AD79</f>
        <v>0</v>
      </c>
      <c r="DQ79" s="144">
        <f>'[1]PBF Run'!X79</f>
        <v>0</v>
      </c>
      <c r="DR79" s="144">
        <f>'[1]PBF Run'!L79*(1+'[1]PBF Run'!$C$4)</f>
        <v>0</v>
      </c>
      <c r="DS79" s="144">
        <f>'[1]PBF Run'!AE79</f>
        <v>83679865</v>
      </c>
      <c r="DT79" s="326">
        <f>DS79-DR79-DQ79-DP79-DO79-DN79-DM79-DL79</f>
        <v>0.40523809194564819</v>
      </c>
      <c r="DU79" s="144"/>
      <c r="DV79" s="144"/>
    </row>
    <row r="80" spans="1:126">
      <c r="A80" s="16" t="s">
        <v>259</v>
      </c>
      <c r="B80" s="16" t="s">
        <v>181</v>
      </c>
      <c r="C80" s="425">
        <f>[1]FTES!C80</f>
        <v>7401.2299430000003</v>
      </c>
      <c r="D80" s="425">
        <f>[1]FTES!D80</f>
        <v>7401.2299430000003</v>
      </c>
      <c r="E80" s="425">
        <f>[1]FTES!E80</f>
        <v>6545.48</v>
      </c>
      <c r="F80" s="425">
        <f>[1]FTES!H80</f>
        <v>0</v>
      </c>
      <c r="G80" s="425">
        <f>[1]FTES!I80</f>
        <v>0</v>
      </c>
      <c r="H80" s="425">
        <f>[1]FTES!J80</f>
        <v>6545.48</v>
      </c>
      <c r="I80" s="425">
        <f>[1]FTES!K80</f>
        <v>-855.74994300000003</v>
      </c>
      <c r="J80" s="425">
        <f>[1]FTES!L80</f>
        <v>0</v>
      </c>
      <c r="K80" s="425">
        <f>[1]FTES!M80</f>
        <v>0</v>
      </c>
      <c r="L80" s="425">
        <f>[1]FTES!N80</f>
        <v>110.61</v>
      </c>
      <c r="M80" s="425">
        <f>[1]FTES!O80</f>
        <v>110.61</v>
      </c>
      <c r="N80" s="425">
        <f>[1]FTES!P80</f>
        <v>138.53</v>
      </c>
      <c r="O80" s="425">
        <f>[1]FTES!S80</f>
        <v>0</v>
      </c>
      <c r="P80" s="425">
        <f>[1]FTES!T80</f>
        <v>0</v>
      </c>
      <c r="Q80" s="425">
        <f>[1]FTES!U80</f>
        <v>138.53</v>
      </c>
      <c r="R80" s="425">
        <f>[1]FTES!V80</f>
        <v>27.92</v>
      </c>
      <c r="S80" s="425">
        <f>[1]FTES!W80</f>
        <v>0</v>
      </c>
      <c r="T80" s="425">
        <f>[1]FTES!X80</f>
        <v>0</v>
      </c>
      <c r="U80" s="425">
        <f>[1]FTES!Y80</f>
        <v>0</v>
      </c>
      <c r="V80" s="425">
        <f>[1]FTES!Z80</f>
        <v>0</v>
      </c>
      <c r="W80" s="425">
        <f>[1]FTES!AA80</f>
        <v>0</v>
      </c>
      <c r="X80" s="425">
        <f>[1]FTES!AD80</f>
        <v>0</v>
      </c>
      <c r="Y80" s="425">
        <f>[1]FTES!AE80</f>
        <v>0</v>
      </c>
      <c r="Z80" s="425">
        <f>[1]FTES!AF80</f>
        <v>0</v>
      </c>
      <c r="AA80" s="425">
        <f>[1]FTES!AG80</f>
        <v>0</v>
      </c>
      <c r="AB80" s="425">
        <f>[1]FTES!AH80</f>
        <v>0</v>
      </c>
      <c r="AC80" s="425">
        <f>[1]FTES!AI80</f>
        <v>0</v>
      </c>
      <c r="AD80" s="425"/>
      <c r="AE80" s="376">
        <f>'[1]13-14 $86M Workload Restore'!AJ78</f>
        <v>0</v>
      </c>
      <c r="AF80" s="375"/>
      <c r="AG80" s="122" t="str">
        <f>'[1]Restoration and Growth'!N80</f>
        <v>Decline</v>
      </c>
      <c r="AH80" s="122" t="str">
        <f>'[1]Restoration and Growth'!O80</f>
        <v>Decline</v>
      </c>
      <c r="AI80" s="122" t="str">
        <f>'[1]Restoration and Growth'!P80</f>
        <v>Grow</v>
      </c>
      <c r="AJ80" s="122" t="str">
        <f>'[1]Restoration and Growth'!Q80</f>
        <v>No CPCP</v>
      </c>
      <c r="AK80" s="139"/>
      <c r="AL80" s="139">
        <f>ROUND(J80*'[1]PBF Run'!$AS$4,3)</f>
        <v>0</v>
      </c>
      <c r="AM80" s="139">
        <f>ROUND(S80*'[1]PBF Run'!$AF$4,3)</f>
        <v>0</v>
      </c>
      <c r="AN80" s="139">
        <f>ROUND(AB80*'[1]PBF Run'!$AJ$4,3)</f>
        <v>0</v>
      </c>
      <c r="AO80" s="139">
        <f t="shared" si="81"/>
        <v>0</v>
      </c>
      <c r="AP80" s="139" t="str">
        <f t="shared" si="98"/>
        <v>NA</v>
      </c>
      <c r="AQ80" s="139"/>
      <c r="AR80" s="374">
        <f>IF(AP80="NA",0,IF(AH80="Decline",E80-D80,IF(U80&gt;=AL80,ROUND(AL80/$BC$6,6),IF(AU80&lt;0,ROUND(AL80/$BC$6,6),ROUND(AU80/$BC$6,6)))))</f>
        <v>0</v>
      </c>
      <c r="AS80" s="9">
        <f t="shared" si="54"/>
        <v>0</v>
      </c>
      <c r="AT80" s="9"/>
      <c r="AU80" s="373">
        <f t="shared" si="55"/>
        <v>0</v>
      </c>
      <c r="AV80" s="439">
        <f t="shared" si="49"/>
        <v>0</v>
      </c>
      <c r="AW80" s="9">
        <f t="shared" si="56"/>
        <v>0</v>
      </c>
      <c r="AX80" s="9"/>
      <c r="AY80" s="373">
        <f t="shared" si="57"/>
        <v>0</v>
      </c>
      <c r="AZ80" s="439">
        <f t="shared" si="82"/>
        <v>0</v>
      </c>
      <c r="BA80" s="9">
        <f t="shared" si="83"/>
        <v>0</v>
      </c>
      <c r="BB80" s="439"/>
      <c r="BC80" s="171">
        <f t="shared" si="84"/>
        <v>0</v>
      </c>
      <c r="BD80" s="171">
        <f t="shared" si="85"/>
        <v>0</v>
      </c>
      <c r="BE80" s="171">
        <f t="shared" si="86"/>
        <v>0</v>
      </c>
      <c r="BF80" s="438">
        <f t="shared" si="87"/>
        <v>0</v>
      </c>
      <c r="BG80" s="389">
        <f t="shared" si="58"/>
        <v>0</v>
      </c>
      <c r="BH80" s="438"/>
      <c r="BI80" s="425">
        <f t="shared" si="59"/>
        <v>7401.2299430000003</v>
      </c>
      <c r="BJ80" s="425">
        <f t="shared" si="60"/>
        <v>110.61</v>
      </c>
      <c r="BK80" s="425">
        <f t="shared" si="61"/>
        <v>0</v>
      </c>
      <c r="BL80" s="438"/>
      <c r="BM80" s="425">
        <f t="shared" si="62"/>
        <v>7401.2299430000003</v>
      </c>
      <c r="BN80" s="425">
        <f t="shared" si="63"/>
        <v>110.61</v>
      </c>
      <c r="BO80" s="425">
        <f t="shared" si="64"/>
        <v>0</v>
      </c>
      <c r="BP80" s="438"/>
      <c r="BQ80" s="372">
        <f t="shared" si="65"/>
        <v>6545.48</v>
      </c>
      <c r="BR80" s="372">
        <f t="shared" si="66"/>
        <v>138.53</v>
      </c>
      <c r="BS80" s="372">
        <f t="shared" si="67"/>
        <v>0</v>
      </c>
      <c r="BU80" s="439">
        <f t="shared" si="68"/>
        <v>0</v>
      </c>
      <c r="BV80" s="439">
        <f t="shared" si="69"/>
        <v>0</v>
      </c>
      <c r="BW80" s="439">
        <f t="shared" si="70"/>
        <v>0</v>
      </c>
      <c r="BY80" s="439">
        <f t="shared" si="71"/>
        <v>0</v>
      </c>
      <c r="BZ80" s="439">
        <f t="shared" si="72"/>
        <v>0</v>
      </c>
      <c r="CA80" s="439">
        <f t="shared" si="73"/>
        <v>0</v>
      </c>
      <c r="CB80" s="439"/>
      <c r="CC80" s="439">
        <f t="shared" si="74"/>
        <v>-855.74994300000003</v>
      </c>
      <c r="CD80" s="439">
        <f t="shared" si="75"/>
        <v>27.92</v>
      </c>
      <c r="CE80" s="374">
        <f t="shared" si="76"/>
        <v>0</v>
      </c>
      <c r="CF80" s="439"/>
      <c r="CG80" s="439">
        <f t="shared" si="88"/>
        <v>0</v>
      </c>
      <c r="CH80" s="439">
        <f t="shared" si="89"/>
        <v>0</v>
      </c>
      <c r="CI80" s="439">
        <f t="shared" si="90"/>
        <v>0</v>
      </c>
      <c r="CJ80" s="439"/>
      <c r="CK80" s="439">
        <v>4636.4928250000003</v>
      </c>
      <c r="CL80" s="439">
        <v>2788.0536374600001</v>
      </c>
      <c r="CM80" s="439">
        <v>3282.8110613200001</v>
      </c>
      <c r="CN80" s="439"/>
      <c r="CO80" s="439">
        <f t="shared" si="91"/>
        <v>0</v>
      </c>
      <c r="CP80" s="439">
        <f t="shared" si="91"/>
        <v>0</v>
      </c>
      <c r="CQ80" s="439">
        <f t="shared" si="91"/>
        <v>0</v>
      </c>
      <c r="CR80" s="439">
        <f t="shared" si="92"/>
        <v>0</v>
      </c>
      <c r="CS80" s="439">
        <f>+'[1]13-14 $86M Workload Restore'!AJ78</f>
        <v>0</v>
      </c>
      <c r="CT80" s="439">
        <f t="shared" si="93"/>
        <v>0</v>
      </c>
      <c r="CV80" s="173">
        <v>0</v>
      </c>
      <c r="CW80" s="439">
        <f t="shared" si="94"/>
        <v>6545.4800000000005</v>
      </c>
      <c r="CX80" s="439">
        <f t="shared" si="77"/>
        <v>138.53</v>
      </c>
      <c r="CY80" s="439">
        <f t="shared" si="77"/>
        <v>0</v>
      </c>
      <c r="DA80" s="439">
        <f t="shared" si="78"/>
        <v>0</v>
      </c>
      <c r="DB80" s="439">
        <f t="shared" si="78"/>
        <v>0</v>
      </c>
      <c r="DC80" s="439">
        <f t="shared" si="78"/>
        <v>0</v>
      </c>
      <c r="DE80" s="371">
        <f t="shared" si="79"/>
        <v>0</v>
      </c>
      <c r="DF80" s="371">
        <f t="shared" si="79"/>
        <v>0</v>
      </c>
      <c r="DG80" s="371">
        <f t="shared" si="79"/>
        <v>0</v>
      </c>
      <c r="DH80" s="439"/>
      <c r="DI80" s="371">
        <f t="shared" si="80"/>
        <v>-9.0949470177292824E-13</v>
      </c>
      <c r="DJ80" s="371">
        <f t="shared" si="80"/>
        <v>0</v>
      </c>
      <c r="DK80" s="371">
        <f t="shared" si="80"/>
        <v>0</v>
      </c>
      <c r="DL80" s="144">
        <f t="shared" si="95"/>
        <v>30348071.246458106</v>
      </c>
      <c r="DM80" s="144">
        <f t="shared" si="96"/>
        <v>386229.07039733382</v>
      </c>
      <c r="DN80" s="144">
        <f t="shared" si="97"/>
        <v>0</v>
      </c>
      <c r="DO80" s="144">
        <f>'[1]PBF Run'!F80*(1+'[1]PBF Run'!$C$4)</f>
        <v>7309668.8917000005</v>
      </c>
      <c r="DP80" s="144">
        <f>'[1]PBF Run'!AA80+'[1]PBF Run'!AB80+'[1]PBF Run'!AC80+'[1]PBF Run'!AD80</f>
        <v>1124565</v>
      </c>
      <c r="DQ80" s="144">
        <f>'[1]PBF Run'!X80</f>
        <v>3889836</v>
      </c>
      <c r="DR80" s="144">
        <f>'[1]PBF Run'!L80*(1+'[1]PBF Run'!$C$4)</f>
        <v>0</v>
      </c>
      <c r="DS80" s="144">
        <f>'[1]PBF Run'!AE80</f>
        <v>43058370</v>
      </c>
      <c r="DT80" s="326">
        <f>DS80-DR80-DQ80-DP80-DO80-DN80-DM80-DL80</f>
        <v>-0.2085554376244545</v>
      </c>
      <c r="DU80" s="144"/>
      <c r="DV80" s="144"/>
    </row>
    <row r="81" spans="1:126" ht="13.5" thickBot="1">
      <c r="A81" s="16" t="s">
        <v>256</v>
      </c>
      <c r="B81" s="116" t="s">
        <v>182</v>
      </c>
      <c r="C81" s="365">
        <f>SUM(C9:C80)</f>
        <v>1033650.0918469999</v>
      </c>
      <c r="D81" s="364">
        <f>SUM(D9:D80)</f>
        <v>1033650.0918469999</v>
      </c>
      <c r="E81" s="364">
        <f t="shared" ref="E81:L81" si="99">ROUND(SUM(E9:E80),2)</f>
        <v>1055775.74</v>
      </c>
      <c r="F81" s="364">
        <f t="shared" si="99"/>
        <v>7311.15</v>
      </c>
      <c r="G81" s="364">
        <f t="shared" si="99"/>
        <v>0</v>
      </c>
      <c r="H81" s="364">
        <f t="shared" si="99"/>
        <v>1023367.54</v>
      </c>
      <c r="I81" s="364">
        <f t="shared" si="99"/>
        <v>-17593.7</v>
      </c>
      <c r="J81" s="364">
        <f t="shared" si="99"/>
        <v>32408.2</v>
      </c>
      <c r="K81" s="364">
        <f t="shared" si="99"/>
        <v>0</v>
      </c>
      <c r="L81" s="363">
        <f t="shared" si="99"/>
        <v>29835.17</v>
      </c>
      <c r="M81" s="364">
        <f>SUM(M9:M80)</f>
        <v>29835.169999999995</v>
      </c>
      <c r="N81" s="364">
        <f t="shared" ref="N81:AC81" si="100">ROUND(SUM(N9:N80),2)</f>
        <v>29305.65</v>
      </c>
      <c r="O81" s="364">
        <f t="shared" si="100"/>
        <v>107.93</v>
      </c>
      <c r="P81" s="364">
        <f t="shared" si="100"/>
        <v>0</v>
      </c>
      <c r="Q81" s="364">
        <f t="shared" si="100"/>
        <v>28305.19</v>
      </c>
      <c r="R81" s="364">
        <f t="shared" si="100"/>
        <v>-241.24</v>
      </c>
      <c r="S81" s="364">
        <f t="shared" si="100"/>
        <v>1000.46</v>
      </c>
      <c r="T81" s="364">
        <f t="shared" si="100"/>
        <v>0</v>
      </c>
      <c r="U81" s="365">
        <f t="shared" si="100"/>
        <v>35579.53</v>
      </c>
      <c r="V81" s="364">
        <f t="shared" si="100"/>
        <v>35579.53</v>
      </c>
      <c r="W81" s="364">
        <f t="shared" si="100"/>
        <v>36459.879999999997</v>
      </c>
      <c r="X81" s="364">
        <f t="shared" si="100"/>
        <v>32.72</v>
      </c>
      <c r="Y81" s="364">
        <f t="shared" si="100"/>
        <v>0</v>
      </c>
      <c r="Z81" s="364">
        <f t="shared" si="100"/>
        <v>34764.550000000003</v>
      </c>
      <c r="AA81" s="364">
        <f t="shared" si="100"/>
        <v>-786.4</v>
      </c>
      <c r="AB81" s="364">
        <f t="shared" si="100"/>
        <v>1695.33</v>
      </c>
      <c r="AC81" s="364">
        <f t="shared" si="100"/>
        <v>0</v>
      </c>
      <c r="AD81" s="364"/>
      <c r="AE81" s="362">
        <f>ROUND(SUM(AE9:AE80),2)</f>
        <v>86047307</v>
      </c>
      <c r="AF81" s="361"/>
      <c r="AG81" s="364"/>
      <c r="AH81" s="364"/>
      <c r="AI81" s="364"/>
      <c r="AJ81" s="364"/>
      <c r="AK81" s="364"/>
      <c r="AL81" s="139">
        <f>SUM(AL9:AL80)</f>
        <v>150260375.47600004</v>
      </c>
      <c r="AM81" s="139">
        <f>SUM(AM9:AM80)</f>
        <v>2789337.2949999999</v>
      </c>
      <c r="AN81" s="139">
        <f>SUM(AN9:AN80)</f>
        <v>5565448.0789999999</v>
      </c>
      <c r="AO81" s="139">
        <f>SUM(AO9:AO80)</f>
        <v>158615160.85000008</v>
      </c>
      <c r="AP81" s="139"/>
      <c r="AR81" s="139">
        <f>SUM(AR9:AR80)</f>
        <v>17640.002940999995</v>
      </c>
      <c r="AS81" s="139">
        <f>SUM(AS9:AS80)</f>
        <v>81787748</v>
      </c>
      <c r="AT81" s="139"/>
      <c r="AU81" s="139">
        <f>SUM(AU9:AU80)</f>
        <v>81787748</v>
      </c>
      <c r="AV81" s="139">
        <f>SUM(AV9:AV80)</f>
        <v>-396.20974100000086</v>
      </c>
      <c r="AW81" s="139">
        <f>SUM(AW9:AW80)</f>
        <v>-1104655</v>
      </c>
      <c r="AX81" s="139"/>
      <c r="AY81" s="373">
        <f>IF(AP81="NA",0,AE81-BA81)</f>
        <v>80683093</v>
      </c>
      <c r="AZ81" s="139">
        <f>SUM(AZ9:AZ80)</f>
        <v>1634.0300000000002</v>
      </c>
      <c r="BA81" s="139">
        <f>SUM(BA9:BA80)</f>
        <v>5364214</v>
      </c>
      <c r="BC81" s="438">
        <f>SUM(BC9:BC80)</f>
        <v>81787748</v>
      </c>
      <c r="BD81" s="438">
        <f>SUM(BD9:BD80)</f>
        <v>-1104655</v>
      </c>
      <c r="BE81" s="438">
        <f>SUM(BE9:BE80)</f>
        <v>5364214</v>
      </c>
      <c r="BF81" s="438">
        <f>SUM(BF9:BF80)</f>
        <v>86047307</v>
      </c>
      <c r="BG81" s="389">
        <f>SUM(BG9:BG80)</f>
        <v>0</v>
      </c>
      <c r="BH81" s="438"/>
      <c r="BI81" s="425">
        <f>SUM(BI9:BI80)</f>
        <v>1033650.0918469999</v>
      </c>
      <c r="BJ81" s="425">
        <f>SUM(BJ9:BJ80)</f>
        <v>29835.169999999995</v>
      </c>
      <c r="BK81" s="425">
        <f>SUM(BK9:BK80)</f>
        <v>35579.529999999977</v>
      </c>
      <c r="BL81" s="438"/>
      <c r="BM81" s="425">
        <f>SUM(BM9:BM80)</f>
        <v>1033650.0918469999</v>
      </c>
      <c r="BN81" s="425">
        <f>SUM(BN9:BN80)</f>
        <v>29835.169999999995</v>
      </c>
      <c r="BO81" s="425">
        <f>SUM(BO9:BO80)</f>
        <v>35579.529999999977</v>
      </c>
      <c r="BP81" s="438"/>
      <c r="BQ81" s="139">
        <f>SUM(BQ9:BQ80)</f>
        <v>1055775.7410000002</v>
      </c>
      <c r="BR81" s="139">
        <f>SUM(BR9:BR80)</f>
        <v>29305.649999999987</v>
      </c>
      <c r="BS81" s="139">
        <f>SUM(BS9:BS80)</f>
        <v>36459.880000000005</v>
      </c>
      <c r="BT81" s="139"/>
      <c r="BU81" s="139">
        <f t="shared" ref="BU81:CA81" si="101">SUM(BU9:BU80)</f>
        <v>7311.1539409999996</v>
      </c>
      <c r="BV81" s="139">
        <f t="shared" si="101"/>
        <v>107.93013400000001</v>
      </c>
      <c r="BW81" s="139">
        <f t="shared" si="101"/>
        <v>32.720127999999995</v>
      </c>
      <c r="BX81" s="139">
        <f t="shared" si="101"/>
        <v>0</v>
      </c>
      <c r="BY81" s="139">
        <f t="shared" si="101"/>
        <v>0</v>
      </c>
      <c r="BZ81" s="139">
        <f t="shared" si="101"/>
        <v>0</v>
      </c>
      <c r="CA81" s="139">
        <f t="shared" si="101"/>
        <v>0</v>
      </c>
      <c r="CB81" s="139"/>
      <c r="CC81" s="139">
        <f>SUM(CC9:CC80)</f>
        <v>-17593.702148999997</v>
      </c>
      <c r="CD81" s="139">
        <f>SUM(CD9:CD80)</f>
        <v>-241.24025899999992</v>
      </c>
      <c r="CE81" s="139">
        <f>SUM(CE9:CE80)</f>
        <v>-786.39999999999986</v>
      </c>
      <c r="CF81" s="139"/>
      <c r="CG81" s="139">
        <f>SUM(CG9:CG80)</f>
        <v>17640.002940999995</v>
      </c>
      <c r="CH81" s="139">
        <f>SUM(CH9:CH80)</f>
        <v>-396.20974100000086</v>
      </c>
      <c r="CI81" s="139">
        <f>SUM(CI9:CI80)</f>
        <v>1634.0300000000002</v>
      </c>
      <c r="CJ81" s="139"/>
      <c r="CK81" s="139"/>
      <c r="CL81" s="139"/>
      <c r="CM81" s="139"/>
      <c r="CN81" s="139"/>
      <c r="CO81" s="360">
        <f t="shared" ref="CO81:CT81" si="102">SUM(CO9:CO80)</f>
        <v>81834973.038268849</v>
      </c>
      <c r="CP81" s="360">
        <f t="shared" si="102"/>
        <v>-1104654.0095921368</v>
      </c>
      <c r="CQ81" s="360">
        <f t="shared" si="102"/>
        <v>5364211.7585287206</v>
      </c>
      <c r="CR81" s="360">
        <f t="shared" si="102"/>
        <v>86094530.787205413</v>
      </c>
      <c r="CS81" s="360">
        <f t="shared" si="102"/>
        <v>86047307</v>
      </c>
      <c r="CT81" s="360">
        <f t="shared" si="102"/>
        <v>47223.787205430635</v>
      </c>
      <c r="CU81" s="139"/>
      <c r="CV81" s="174">
        <f t="shared" ref="CV81:DC81" si="103">SUM(CV9:CV80)</f>
        <v>0</v>
      </c>
      <c r="CW81" s="139">
        <f t="shared" si="103"/>
        <v>1041007.5465800002</v>
      </c>
      <c r="CX81" s="139">
        <f t="shared" si="103"/>
        <v>29305.650133999989</v>
      </c>
      <c r="CY81" s="139">
        <f t="shared" si="103"/>
        <v>36459.880127999997</v>
      </c>
      <c r="CZ81" s="139">
        <f t="shared" si="103"/>
        <v>0</v>
      </c>
      <c r="DA81" s="139">
        <f t="shared" si="103"/>
        <v>14768.194420000003</v>
      </c>
      <c r="DB81" s="139">
        <f t="shared" si="103"/>
        <v>-1.3400000000640677E-4</v>
      </c>
      <c r="DC81" s="139">
        <f t="shared" si="103"/>
        <v>-1.2800000000368073E-4</v>
      </c>
      <c r="DD81" s="139"/>
      <c r="DE81" s="371">
        <f>SUM(DE9:DE80)</f>
        <v>0</v>
      </c>
      <c r="DF81" s="371">
        <f>SUM(DF9:DF80)</f>
        <v>0</v>
      </c>
      <c r="DG81" s="371">
        <f>SUM(DG9:DG80)</f>
        <v>0</v>
      </c>
      <c r="DH81" s="371"/>
      <c r="DI81" s="371">
        <f t="shared" ref="DI81:DT81" si="104">SUM(DI9:DI80)</f>
        <v>8.4128259913995862E-12</v>
      </c>
      <c r="DJ81" s="371">
        <f t="shared" si="104"/>
        <v>1.4743761767022079E-13</v>
      </c>
      <c r="DK81" s="371">
        <f t="shared" si="104"/>
        <v>5.8930638147103309E-13</v>
      </c>
      <c r="DL81" s="144">
        <f t="shared" si="104"/>
        <v>4826624050.7511139</v>
      </c>
      <c r="DM81" s="144">
        <f t="shared" si="104"/>
        <v>81705724.454228863</v>
      </c>
      <c r="DN81" s="144">
        <f t="shared" si="104"/>
        <v>119690897.77859968</v>
      </c>
      <c r="DO81" s="144">
        <f t="shared" si="104"/>
        <v>513504261.73340011</v>
      </c>
      <c r="DP81" s="144">
        <f t="shared" si="104"/>
        <v>1554366</v>
      </c>
      <c r="DQ81" s="144">
        <f t="shared" si="104"/>
        <v>84827269</v>
      </c>
      <c r="DR81" s="144">
        <f t="shared" si="104"/>
        <v>14591393.845000001</v>
      </c>
      <c r="DS81" s="144">
        <f t="shared" si="104"/>
        <v>5642497971</v>
      </c>
      <c r="DT81" s="326">
        <f t="shared" si="104"/>
        <v>7.437658691778779</v>
      </c>
      <c r="DU81" s="144"/>
      <c r="DV81" s="144"/>
    </row>
    <row r="82" spans="1:126">
      <c r="CF82" s="428"/>
    </row>
    <row r="83" spans="1:126">
      <c r="D83" s="359"/>
      <c r="E83" s="424"/>
      <c r="F83" s="16"/>
      <c r="H83" s="139"/>
      <c r="I83" s="139"/>
      <c r="M83" s="359">
        <f>L81-M81</f>
        <v>0</v>
      </c>
      <c r="Q83" s="139"/>
      <c r="V83" s="276"/>
      <c r="W83" s="424"/>
      <c r="Z83" s="139"/>
      <c r="AA83" s="139"/>
      <c r="AB83" s="139"/>
      <c r="DL83" s="439"/>
      <c r="DM83" s="439"/>
      <c r="DN83" s="439"/>
      <c r="DO83" s="439"/>
      <c r="DP83" s="439"/>
    </row>
    <row r="84" spans="1:126">
      <c r="C84" s="358"/>
      <c r="D84" s="202"/>
      <c r="F84" s="424"/>
      <c r="J84" s="139"/>
      <c r="AA84" s="139"/>
      <c r="DL84" s="439"/>
      <c r="DM84" s="439"/>
      <c r="DN84" s="439"/>
      <c r="DO84" s="439"/>
      <c r="DP84" s="439"/>
    </row>
    <row r="85" spans="1:126">
      <c r="E85" s="424"/>
      <c r="M85" s="357"/>
      <c r="N85" s="270"/>
      <c r="AR85" s="139"/>
      <c r="AS85" s="139"/>
      <c r="AT85" s="139"/>
      <c r="AU85" s="139"/>
      <c r="AV85" s="139"/>
      <c r="AW85" s="139"/>
      <c r="AX85" s="139"/>
      <c r="AY85" s="139"/>
      <c r="AZ85" s="139"/>
      <c r="BA85" s="139"/>
      <c r="BB85" s="139"/>
      <c r="BC85" s="139"/>
      <c r="BD85" s="139"/>
      <c r="BE85" s="139"/>
      <c r="BF85" s="139"/>
      <c r="BH85" s="139"/>
      <c r="BI85" s="139"/>
      <c r="BJ85" s="139"/>
      <c r="BK85" s="139"/>
      <c r="BL85" s="139"/>
      <c r="BM85" s="139"/>
      <c r="BN85" s="139"/>
      <c r="BO85" s="139"/>
      <c r="BP85" s="139"/>
      <c r="DL85" s="439"/>
      <c r="DM85" s="439"/>
      <c r="DN85" s="439"/>
      <c r="DO85" s="439"/>
      <c r="DP85" s="439"/>
    </row>
    <row r="86" spans="1:126">
      <c r="DL86" s="439"/>
      <c r="DM86" s="439"/>
      <c r="DN86" s="439"/>
      <c r="DO86" s="439"/>
      <c r="DP86" s="439"/>
    </row>
    <row r="87" spans="1:126">
      <c r="DL87" s="439"/>
      <c r="DM87" s="439"/>
      <c r="DN87" s="439"/>
      <c r="DO87" s="439"/>
      <c r="DP87" s="439"/>
    </row>
    <row r="88" spans="1:126" ht="15">
      <c r="C88" s="356"/>
      <c r="D88" s="355"/>
      <c r="E88" s="354"/>
      <c r="DL88" s="439"/>
      <c r="DM88" s="439"/>
      <c r="DN88" s="439"/>
      <c r="DO88" s="439"/>
      <c r="DP88" s="439"/>
    </row>
    <row r="89" spans="1:126" ht="51.75">
      <c r="C89" s="353"/>
      <c r="D89" s="352"/>
      <c r="F89" s="237" t="s">
        <v>604</v>
      </c>
      <c r="G89" s="352"/>
      <c r="J89" s="237" t="s">
        <v>604</v>
      </c>
    </row>
    <row r="90" spans="1:126" ht="15">
      <c r="C90" s="353"/>
      <c r="D90" s="352"/>
      <c r="E90" s="351"/>
      <c r="G90" s="352"/>
      <c r="I90" s="375"/>
    </row>
    <row r="91" spans="1:126" ht="15">
      <c r="C91" s="353"/>
      <c r="D91" s="352"/>
      <c r="E91" s="351"/>
      <c r="G91" s="352"/>
      <c r="I91" s="375"/>
    </row>
    <row r="92" spans="1:126" ht="15">
      <c r="G92" s="352"/>
      <c r="I92" s="350"/>
    </row>
    <row r="93" spans="1:126" ht="15">
      <c r="G93" s="352"/>
      <c r="I93" s="375"/>
    </row>
    <row r="94" spans="1:126">
      <c r="E94" s="328"/>
    </row>
    <row r="95" spans="1:126">
      <c r="E95" s="328"/>
      <c r="J95" s="375"/>
      <c r="K95" s="122"/>
    </row>
    <row r="96" spans="1:126">
      <c r="C96" s="16"/>
      <c r="E96" s="328"/>
      <c r="J96" s="375"/>
      <c r="K96" s="122"/>
      <c r="X96" s="16"/>
    </row>
    <row r="97" spans="3:24">
      <c r="C97" s="16"/>
      <c r="J97" s="375"/>
      <c r="K97" s="122"/>
      <c r="N97" s="17"/>
      <c r="X97" s="16"/>
    </row>
    <row r="98" spans="3:24">
      <c r="C98" s="16"/>
      <c r="E98" s="237"/>
      <c r="J98" s="375"/>
      <c r="N98" s="237"/>
      <c r="W98" s="237"/>
      <c r="X98" s="16"/>
    </row>
    <row r="99" spans="3:24">
      <c r="C99" s="16"/>
      <c r="E99" s="237"/>
      <c r="I99" s="375"/>
      <c r="J99" s="375"/>
      <c r="N99" s="237"/>
      <c r="W99" s="237"/>
      <c r="X99" s="16"/>
    </row>
    <row r="100" spans="3:24">
      <c r="C100" s="16"/>
      <c r="E100" s="349"/>
      <c r="N100" s="349"/>
      <c r="W100" s="349"/>
      <c r="X100" s="16"/>
    </row>
  </sheetData>
  <mergeCells count="1">
    <mergeCell ref="CK7:CM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dimension ref="A1:ES77"/>
  <sheetViews>
    <sheetView workbookViewId="0">
      <pane xSplit="4" ySplit="1" topLeftCell="AI47" activePane="bottomRight" state="frozen"/>
      <selection pane="topRight" activeCell="E1" sqref="E1"/>
      <selection pane="bottomLeft" activeCell="A2" sqref="A2"/>
      <selection pane="bottomRight" activeCell="AJ74" sqref="AJ74"/>
    </sheetView>
  </sheetViews>
  <sheetFormatPr defaultColWidth="9.140625" defaultRowHeight="12.75"/>
  <cols>
    <col min="1" max="1" width="9.5703125" style="16" bestFit="1" customWidth="1"/>
    <col min="2" max="2" width="6.28515625" style="269" bestFit="1" customWidth="1"/>
    <col min="3" max="3" width="8.5703125" style="16" bestFit="1" customWidth="1"/>
    <col min="4" max="4" width="25" style="116" bestFit="1" customWidth="1"/>
    <col min="5" max="5" width="11.5703125" style="271" bestFit="1" customWidth="1"/>
    <col min="6" max="6" width="12.5703125" style="16" bestFit="1" customWidth="1"/>
    <col min="7" max="7" width="11.7109375" style="16" bestFit="1" customWidth="1"/>
    <col min="8" max="8" width="13.42578125" style="16" bestFit="1" customWidth="1"/>
    <col min="9" max="9" width="14.42578125" style="16" bestFit="1" customWidth="1"/>
    <col min="10" max="10" width="16" style="16" bestFit="1" customWidth="1"/>
    <col min="11" max="11" width="12.7109375" style="16" bestFit="1" customWidth="1"/>
    <col min="12" max="12" width="9.140625" style="16" bestFit="1" customWidth="1"/>
    <col min="13" max="13" width="5.5703125" style="16" bestFit="1" customWidth="1"/>
    <col min="14" max="14" width="10.7109375" style="16" bestFit="1" customWidth="1"/>
    <col min="15" max="15" width="12.7109375" style="16" bestFit="1" customWidth="1"/>
    <col min="16" max="16" width="10.140625" style="16" bestFit="1" customWidth="1"/>
    <col min="17" max="17" width="7.5703125" style="16" bestFit="1" customWidth="1"/>
    <col min="18" max="18" width="5.5703125" style="16" bestFit="1" customWidth="1"/>
    <col min="19" max="19" width="8.140625" style="16" bestFit="1" customWidth="1"/>
    <col min="20" max="20" width="10.140625" style="16" bestFit="1" customWidth="1"/>
    <col min="21" max="21" width="10.42578125" style="16" bestFit="1" customWidth="1"/>
    <col min="22" max="22" width="9" style="16" bestFit="1" customWidth="1"/>
    <col min="23" max="23" width="8.140625" style="16" bestFit="1" customWidth="1"/>
    <col min="24" max="24" width="8.42578125" style="16" bestFit="1" customWidth="1"/>
    <col min="25" max="25" width="11.42578125" style="16" bestFit="1" customWidth="1"/>
    <col min="26" max="26" width="11.140625" style="273" bestFit="1" customWidth="1"/>
    <col min="27" max="27" width="10.140625" style="273" bestFit="1" customWidth="1"/>
    <col min="28" max="28" width="12.28515625" style="273" bestFit="1" customWidth="1"/>
    <col min="29" max="29" width="12.7109375" style="16" bestFit="1" customWidth="1"/>
    <col min="30" max="30" width="9.140625" style="16" bestFit="1" customWidth="1"/>
    <col min="31" max="31" width="7" style="16" bestFit="1" customWidth="1"/>
    <col min="32" max="32" width="10.7109375" style="16" bestFit="1" customWidth="1"/>
    <col min="33" max="34" width="12.7109375" style="16" bestFit="1" customWidth="1"/>
    <col min="35" max="35" width="16.28515625" style="16" bestFit="1" customWidth="1"/>
    <col min="36" max="36" width="14.42578125" style="16" bestFit="1" customWidth="1"/>
    <col min="37" max="37" width="14.42578125" style="17" bestFit="1" customWidth="1"/>
    <col min="38" max="38" width="12.28515625" style="16" bestFit="1" customWidth="1"/>
    <col min="39" max="39" width="15" style="16" bestFit="1" customWidth="1"/>
    <col min="40" max="40" width="11.7109375" style="16" bestFit="1" customWidth="1"/>
    <col min="41" max="41" width="17.85546875" style="16" bestFit="1" customWidth="1"/>
    <col min="42" max="42" width="10.42578125" style="16" bestFit="1" customWidth="1"/>
    <col min="43" max="43" width="11.7109375" style="16" bestFit="1" customWidth="1"/>
    <col min="44" max="44" width="14.42578125" style="16" bestFit="1" customWidth="1"/>
    <col min="45" max="45" width="13.5703125" style="16" bestFit="1" customWidth="1"/>
    <col min="46" max="46" width="12.7109375" style="16" bestFit="1" customWidth="1"/>
    <col min="47" max="47" width="16.85546875" style="16" bestFit="1" customWidth="1"/>
    <col min="48" max="48" width="18.5703125" style="272" bestFit="1" customWidth="1"/>
    <col min="49" max="49" width="14.5703125" style="272" bestFit="1" customWidth="1"/>
    <col min="50" max="50" width="12.42578125" style="16" bestFit="1" customWidth="1"/>
    <col min="51" max="51" width="19.140625" style="16" bestFit="1" customWidth="1"/>
    <col min="52" max="52" width="21.7109375" style="16" bestFit="1" customWidth="1"/>
    <col min="53" max="53" width="13.7109375" style="16" customWidth="1"/>
    <col min="54" max="54" width="14.42578125" style="9" bestFit="1" customWidth="1"/>
    <col min="55" max="55" width="17" style="16" bestFit="1" customWidth="1"/>
    <col min="56" max="56" width="16.7109375" style="16" bestFit="1" customWidth="1"/>
    <col min="57" max="57" width="11.28515625" style="16" bestFit="1" customWidth="1"/>
    <col min="58" max="58" width="11.5703125" style="16" bestFit="1" customWidth="1"/>
    <col min="59" max="59" width="19.42578125" style="16" bestFit="1" customWidth="1"/>
    <col min="60" max="60" width="11.5703125" style="16" bestFit="1" customWidth="1"/>
    <col min="61" max="61" width="11.28515625" style="16" bestFit="1" customWidth="1"/>
    <col min="62" max="62" width="11.7109375" style="16" bestFit="1" customWidth="1"/>
    <col min="63" max="63" width="14.42578125" style="16" bestFit="1" customWidth="1"/>
    <col min="64" max="64" width="14.7109375" style="271" bestFit="1" customWidth="1"/>
    <col min="65" max="65" width="16.42578125" style="16" bestFit="1" customWidth="1"/>
    <col min="66" max="66" width="19.28515625" style="16" bestFit="1" customWidth="1"/>
    <col min="67" max="67" width="15.85546875" style="16" bestFit="1" customWidth="1"/>
    <col min="68" max="68" width="18.5703125" style="16" bestFit="1" customWidth="1"/>
    <col min="69" max="69" width="23.42578125" style="16" bestFit="1" customWidth="1"/>
    <col min="70" max="70" width="14.42578125" style="16" bestFit="1" customWidth="1"/>
    <col min="71" max="71" width="12.7109375" style="16" bestFit="1" customWidth="1"/>
    <col min="72" max="72" width="19.7109375" style="16" bestFit="1" customWidth="1"/>
    <col min="73" max="73" width="14.42578125" style="16" bestFit="1" customWidth="1"/>
    <col min="74" max="74" width="11.42578125" style="16" bestFit="1" customWidth="1"/>
    <col min="75" max="75" width="17.85546875" style="270" bestFit="1" customWidth="1"/>
    <col min="76" max="76" width="18.42578125" style="16" bestFit="1" customWidth="1"/>
    <col min="77" max="77" width="14.42578125" style="16" bestFit="1" customWidth="1"/>
    <col min="78" max="80" width="11.7109375" style="16" bestFit="1" customWidth="1"/>
    <col min="81" max="81" width="12.7109375" style="16" bestFit="1" customWidth="1"/>
    <col min="82" max="82" width="16.42578125" style="269" bestFit="1" customWidth="1"/>
    <col min="83" max="83" width="18.85546875" style="16" bestFit="1" customWidth="1"/>
    <col min="84" max="84" width="20.85546875" style="16" bestFit="1" customWidth="1"/>
    <col min="85" max="85" width="19" style="16" bestFit="1" customWidth="1"/>
    <col min="86" max="86" width="17.28515625" style="16" bestFit="1" customWidth="1"/>
    <col min="87" max="87" width="19.140625" style="16" bestFit="1" customWidth="1"/>
    <col min="88" max="88" width="21.140625" style="16" bestFit="1" customWidth="1"/>
    <col min="89" max="89" width="19.28515625" style="16" bestFit="1" customWidth="1"/>
    <col min="90" max="90" width="17.5703125" style="16" bestFit="1" customWidth="1"/>
    <col min="91" max="91" width="15.7109375" style="16" bestFit="1" customWidth="1"/>
    <col min="92" max="92" width="20" style="16" bestFit="1" customWidth="1"/>
    <col min="93" max="93" width="17.85546875" style="16" bestFit="1" customWidth="1"/>
    <col min="94" max="94" width="20.7109375" style="16" bestFit="1" customWidth="1"/>
    <col min="95" max="95" width="15.85546875" style="16" bestFit="1" customWidth="1"/>
    <col min="96" max="96" width="14.140625" style="16" bestFit="1" customWidth="1"/>
    <col min="97" max="97" width="15" style="16" bestFit="1" customWidth="1"/>
    <col min="98" max="98" width="18.5703125" style="16" bestFit="1" customWidth="1"/>
    <col min="99" max="99" width="17" style="16" bestFit="1" customWidth="1"/>
    <col min="100" max="100" width="24.7109375" style="16" bestFit="1" customWidth="1"/>
    <col min="101" max="107" width="10.140625" style="10" bestFit="1" customWidth="1"/>
    <col min="108" max="112" width="8.5703125" style="10" bestFit="1" customWidth="1"/>
    <col min="113" max="113" width="10.140625" style="10" bestFit="1" customWidth="1"/>
    <col min="114" max="114" width="11.140625" style="144" bestFit="1" customWidth="1"/>
    <col min="115" max="115" width="11.7109375" style="144" bestFit="1" customWidth="1"/>
    <col min="116" max="116" width="11.42578125" style="144" bestFit="1" customWidth="1"/>
    <col min="117" max="117" width="12.28515625" style="144" bestFit="1" customWidth="1"/>
    <col min="118" max="118" width="14" style="144" bestFit="1" customWidth="1"/>
    <col min="119" max="119" width="12.85546875" style="144" bestFit="1" customWidth="1"/>
    <col min="120" max="120" width="14.28515625" style="144" bestFit="1" customWidth="1"/>
    <col min="121" max="121" width="12.5703125" style="144" bestFit="1" customWidth="1"/>
    <col min="122" max="122" width="13.42578125" style="268" bestFit="1" customWidth="1"/>
    <col min="123" max="123" width="14" style="268" bestFit="1" customWidth="1"/>
    <col min="124" max="125" width="14.42578125" style="268" bestFit="1" customWidth="1"/>
    <col min="126" max="126" width="10.140625" style="16" bestFit="1" customWidth="1"/>
    <col min="127" max="127" width="8.140625" style="16" bestFit="1" customWidth="1"/>
    <col min="128" max="128" width="8.42578125" style="16" bestFit="1" customWidth="1"/>
    <col min="129" max="129" width="10.140625" style="16" bestFit="1" customWidth="1"/>
    <col min="130" max="130" width="12.7109375" style="16" bestFit="1" customWidth="1"/>
    <col min="131" max="132" width="10.140625" style="16" bestFit="1" customWidth="1"/>
    <col min="133" max="133" width="12.7109375" style="16" bestFit="1" customWidth="1"/>
    <col min="134" max="134" width="15.85546875" style="171" bestFit="1" customWidth="1"/>
    <col min="135" max="135" width="14.85546875" style="171" bestFit="1" customWidth="1"/>
    <col min="136" max="136" width="10.140625" style="267" bestFit="1" customWidth="1"/>
    <col min="137" max="137" width="8.140625" style="267" bestFit="1" customWidth="1"/>
    <col min="138" max="138" width="10" style="267" bestFit="1" customWidth="1"/>
    <col min="139" max="139" width="10.140625" style="171" bestFit="1" customWidth="1"/>
    <col min="140" max="140" width="11.140625" style="171" bestFit="1" customWidth="1"/>
    <col min="141" max="141" width="16.42578125" style="171" bestFit="1" customWidth="1"/>
    <col min="142" max="142" width="13.85546875" style="16" bestFit="1" customWidth="1"/>
    <col min="143" max="143" width="14.85546875" style="16" bestFit="1" customWidth="1"/>
    <col min="144" max="144" width="11.28515625" style="16" bestFit="1" customWidth="1"/>
    <col min="145" max="145" width="12.7109375" style="16" bestFit="1" customWidth="1"/>
    <col min="146" max="146" width="15.28515625" style="16" bestFit="1" customWidth="1"/>
    <col min="147" max="147" width="15.42578125" style="16" bestFit="1" customWidth="1"/>
    <col min="148" max="148" width="17.5703125" style="16" bestFit="1" customWidth="1"/>
    <col min="149" max="149" width="16.28515625" style="16" bestFit="1" customWidth="1"/>
    <col min="150" max="16384" width="9.140625" style="16"/>
  </cols>
  <sheetData>
    <row r="1" spans="1:149" s="17" customFormat="1">
      <c r="A1" s="285" t="s">
        <v>549</v>
      </c>
      <c r="B1" s="279" t="s">
        <v>548</v>
      </c>
      <c r="C1" s="318" t="s">
        <v>547</v>
      </c>
      <c r="D1" s="318" t="s">
        <v>70</v>
      </c>
      <c r="E1" s="325" t="s">
        <v>546</v>
      </c>
      <c r="F1" s="318" t="s">
        <v>545</v>
      </c>
      <c r="G1" s="318" t="s">
        <v>544</v>
      </c>
      <c r="H1" s="318" t="s">
        <v>543</v>
      </c>
      <c r="I1" s="318" t="s">
        <v>542</v>
      </c>
      <c r="J1" s="318" t="s">
        <v>541</v>
      </c>
      <c r="K1" s="318" t="s">
        <v>540</v>
      </c>
      <c r="L1" s="318" t="s">
        <v>539</v>
      </c>
      <c r="M1" s="318" t="s">
        <v>538</v>
      </c>
      <c r="N1" s="318" t="s">
        <v>537</v>
      </c>
      <c r="O1" s="318" t="s">
        <v>536</v>
      </c>
      <c r="P1" s="318" t="s">
        <v>535</v>
      </c>
      <c r="Q1" s="318" t="s">
        <v>534</v>
      </c>
      <c r="R1" s="318" t="s">
        <v>533</v>
      </c>
      <c r="S1" s="318" t="s">
        <v>532</v>
      </c>
      <c r="T1" s="318" t="s">
        <v>531</v>
      </c>
      <c r="U1" s="318" t="s">
        <v>530</v>
      </c>
      <c r="V1" s="318" t="s">
        <v>529</v>
      </c>
      <c r="W1" s="318" t="s">
        <v>528</v>
      </c>
      <c r="X1" s="318" t="s">
        <v>527</v>
      </c>
      <c r="Y1" s="318" t="s">
        <v>526</v>
      </c>
      <c r="Z1" s="324" t="s">
        <v>525</v>
      </c>
      <c r="AA1" s="323" t="s">
        <v>524</v>
      </c>
      <c r="AB1" s="323" t="s">
        <v>523</v>
      </c>
      <c r="AC1" s="318" t="s">
        <v>522</v>
      </c>
      <c r="AD1" s="318" t="s">
        <v>521</v>
      </c>
      <c r="AE1" s="318" t="s">
        <v>520</v>
      </c>
      <c r="AF1" s="318" t="s">
        <v>519</v>
      </c>
      <c r="AG1" s="318" t="s">
        <v>518</v>
      </c>
      <c r="AH1" s="318" t="s">
        <v>517</v>
      </c>
      <c r="AI1" s="318" t="s">
        <v>516</v>
      </c>
      <c r="AJ1" s="319" t="s">
        <v>515</v>
      </c>
      <c r="AK1" s="319" t="s">
        <v>514</v>
      </c>
      <c r="AL1" s="318" t="s">
        <v>513</v>
      </c>
      <c r="AM1" s="318" t="s">
        <v>512</v>
      </c>
      <c r="AN1" s="318" t="s">
        <v>511</v>
      </c>
      <c r="AO1" s="319" t="s">
        <v>510</v>
      </c>
      <c r="AP1" s="318" t="s">
        <v>509</v>
      </c>
      <c r="AQ1" s="319" t="s">
        <v>508</v>
      </c>
      <c r="AR1" s="319" t="s">
        <v>507</v>
      </c>
      <c r="AS1" s="318" t="s">
        <v>506</v>
      </c>
      <c r="AT1" s="319" t="s">
        <v>505</v>
      </c>
      <c r="AU1" s="319" t="s">
        <v>504</v>
      </c>
      <c r="AV1" s="284" t="s">
        <v>503</v>
      </c>
      <c r="AW1" s="284" t="s">
        <v>502</v>
      </c>
      <c r="AX1" s="318" t="s">
        <v>501</v>
      </c>
      <c r="AY1" s="318" t="s">
        <v>500</v>
      </c>
      <c r="AZ1" s="318" t="s">
        <v>499</v>
      </c>
      <c r="BA1" s="318" t="s">
        <v>498</v>
      </c>
      <c r="BB1" s="322" t="s">
        <v>497</v>
      </c>
      <c r="BC1" s="318" t="s">
        <v>496</v>
      </c>
      <c r="BD1" s="318" t="s">
        <v>495</v>
      </c>
      <c r="BE1" s="319" t="s">
        <v>494</v>
      </c>
      <c r="BF1" s="318" t="s">
        <v>493</v>
      </c>
      <c r="BG1" s="318" t="s">
        <v>492</v>
      </c>
      <c r="BH1" s="318" t="s">
        <v>491</v>
      </c>
      <c r="BI1" s="319" t="s">
        <v>490</v>
      </c>
      <c r="BJ1" s="318" t="s">
        <v>489</v>
      </c>
      <c r="BK1" s="319" t="s">
        <v>488</v>
      </c>
      <c r="BL1" s="321" t="s">
        <v>487</v>
      </c>
      <c r="BM1" s="319" t="s">
        <v>486</v>
      </c>
      <c r="BN1" s="319" t="s">
        <v>485</v>
      </c>
      <c r="BO1" s="319" t="s">
        <v>484</v>
      </c>
      <c r="BP1" s="318" t="s">
        <v>483</v>
      </c>
      <c r="BQ1" s="319" t="s">
        <v>482</v>
      </c>
      <c r="BR1" s="319" t="s">
        <v>481</v>
      </c>
      <c r="BS1" s="318" t="s">
        <v>480</v>
      </c>
      <c r="BT1" s="319" t="s">
        <v>479</v>
      </c>
      <c r="BU1" s="319" t="s">
        <v>478</v>
      </c>
      <c r="BV1" s="318" t="s">
        <v>477</v>
      </c>
      <c r="BW1" s="320" t="s">
        <v>476</v>
      </c>
      <c r="BX1" s="318" t="s">
        <v>475</v>
      </c>
      <c r="BY1" s="319" t="s">
        <v>474</v>
      </c>
      <c r="BZ1" s="318" t="s">
        <v>473</v>
      </c>
      <c r="CA1" s="318" t="s">
        <v>472</v>
      </c>
      <c r="CB1" s="318" t="s">
        <v>471</v>
      </c>
      <c r="CC1" s="318" t="s">
        <v>470</v>
      </c>
      <c r="CD1" s="290" t="s">
        <v>469</v>
      </c>
      <c r="CE1" s="318" t="s">
        <v>468</v>
      </c>
      <c r="CF1" s="318" t="s">
        <v>467</v>
      </c>
      <c r="CG1" s="318" t="s">
        <v>466</v>
      </c>
      <c r="CH1" s="318" t="s">
        <v>465</v>
      </c>
      <c r="CI1" s="318" t="s">
        <v>464</v>
      </c>
      <c r="CJ1" s="318" t="s">
        <v>463</v>
      </c>
      <c r="CK1" s="318" t="s">
        <v>462</v>
      </c>
      <c r="CL1" s="318" t="s">
        <v>461</v>
      </c>
      <c r="CM1" s="318" t="s">
        <v>460</v>
      </c>
      <c r="CN1" s="318" t="s">
        <v>459</v>
      </c>
      <c r="CO1" s="318" t="s">
        <v>458</v>
      </c>
      <c r="CP1" s="318" t="s">
        <v>457</v>
      </c>
      <c r="CQ1" s="318" t="s">
        <v>456</v>
      </c>
      <c r="CR1" s="318" t="s">
        <v>455</v>
      </c>
      <c r="CS1" s="318" t="s">
        <v>454</v>
      </c>
      <c r="CT1" s="318" t="s">
        <v>453</v>
      </c>
      <c r="CU1" s="318" t="s">
        <v>452</v>
      </c>
      <c r="CV1" s="318" t="s">
        <v>451</v>
      </c>
      <c r="CW1" s="317" t="s">
        <v>450</v>
      </c>
      <c r="CX1" s="317" t="s">
        <v>449</v>
      </c>
      <c r="CY1" s="317" t="s">
        <v>448</v>
      </c>
      <c r="CZ1" s="317" t="s">
        <v>447</v>
      </c>
      <c r="DA1" s="317" t="s">
        <v>446</v>
      </c>
      <c r="DB1" s="317" t="s">
        <v>445</v>
      </c>
      <c r="DC1" s="317" t="s">
        <v>444</v>
      </c>
      <c r="DD1" s="317" t="s">
        <v>443</v>
      </c>
      <c r="DE1" s="317" t="s">
        <v>442</v>
      </c>
      <c r="DF1" s="317" t="s">
        <v>441</v>
      </c>
      <c r="DG1" s="317" t="s">
        <v>440</v>
      </c>
      <c r="DH1" s="317" t="s">
        <v>439</v>
      </c>
      <c r="DI1" s="317" t="s">
        <v>438</v>
      </c>
      <c r="DJ1" s="316" t="s">
        <v>437</v>
      </c>
      <c r="DK1" s="316" t="s">
        <v>436</v>
      </c>
      <c r="DL1" s="316" t="s">
        <v>435</v>
      </c>
      <c r="DM1" s="316" t="s">
        <v>434</v>
      </c>
      <c r="DN1" s="316" t="s">
        <v>433</v>
      </c>
      <c r="DO1" s="316" t="s">
        <v>432</v>
      </c>
      <c r="DP1" s="316" t="s">
        <v>431</v>
      </c>
      <c r="DQ1" s="316" t="s">
        <v>430</v>
      </c>
      <c r="DR1" s="315" t="s">
        <v>429</v>
      </c>
      <c r="DS1" s="315" t="s">
        <v>428</v>
      </c>
      <c r="DT1" s="315" t="s">
        <v>427</v>
      </c>
      <c r="DU1" s="314" t="s">
        <v>426</v>
      </c>
      <c r="DV1" s="312" t="s">
        <v>425</v>
      </c>
      <c r="DW1" s="312" t="s">
        <v>424</v>
      </c>
      <c r="DX1" s="312" t="s">
        <v>423</v>
      </c>
      <c r="DY1" s="313" t="s">
        <v>422</v>
      </c>
      <c r="DZ1" s="312" t="s">
        <v>421</v>
      </c>
      <c r="EA1" s="312" t="s">
        <v>420</v>
      </c>
      <c r="EB1" s="312" t="s">
        <v>419</v>
      </c>
      <c r="EC1" s="312" t="s">
        <v>418</v>
      </c>
      <c r="ED1" s="309" t="s">
        <v>417</v>
      </c>
      <c r="EE1" s="309" t="s">
        <v>416</v>
      </c>
      <c r="EF1" s="311" t="s">
        <v>415</v>
      </c>
      <c r="EG1" s="311" t="s">
        <v>414</v>
      </c>
      <c r="EH1" s="311" t="s">
        <v>413</v>
      </c>
      <c r="EI1" s="309" t="s">
        <v>412</v>
      </c>
      <c r="EJ1" s="309" t="s">
        <v>411</v>
      </c>
      <c r="EK1" s="309" t="s">
        <v>410</v>
      </c>
      <c r="EL1" s="309" t="s">
        <v>409</v>
      </c>
      <c r="EM1" s="309" t="s">
        <v>408</v>
      </c>
      <c r="EN1" s="310" t="s">
        <v>98</v>
      </c>
      <c r="EO1" s="310" t="s">
        <v>407</v>
      </c>
      <c r="EP1" s="309" t="s">
        <v>406</v>
      </c>
      <c r="EQ1" s="17" t="s">
        <v>405</v>
      </c>
      <c r="ER1" s="17" t="s">
        <v>404</v>
      </c>
      <c r="ES1" s="17" t="s">
        <v>403</v>
      </c>
    </row>
    <row r="2" spans="1:149">
      <c r="A2" s="291" t="s">
        <v>257</v>
      </c>
      <c r="B2" s="290" t="s">
        <v>402</v>
      </c>
      <c r="C2" s="285" t="s">
        <v>401</v>
      </c>
      <c r="D2" s="289" t="s">
        <v>400</v>
      </c>
      <c r="E2" s="288">
        <f>ROUND('[2]PBF Run'!N9,6)</f>
        <v>4636.4928980000004</v>
      </c>
      <c r="F2" s="300">
        <f>'[2]PBF Run'!$AO$4</f>
        <v>4675.9030433300004</v>
      </c>
      <c r="G2" s="300">
        <f>'[2]PBF Run'!$AE$4</f>
        <v>2788.0536374600001</v>
      </c>
      <c r="H2" s="300">
        <f>'[2]PBF Run'!$AF$4</f>
        <v>2811.7520933800001</v>
      </c>
      <c r="I2" s="300">
        <f>'[2]PBF Run'!$AI$4</f>
        <v>3282.8110613200001</v>
      </c>
      <c r="J2" s="300">
        <f>'[2]PBF Run'!$AJ$4</f>
        <v>3310.71495534</v>
      </c>
      <c r="K2" s="308">
        <f>ROUND([2]FTES!C9,3)</f>
        <v>8462.58</v>
      </c>
      <c r="L2" s="308">
        <f>ROUND([2]FTES!F9,3)</f>
        <v>0</v>
      </c>
      <c r="M2" s="308">
        <f>ROUND('[2]Growth Deficit'!AG9,3)</f>
        <v>0</v>
      </c>
      <c r="N2" s="308">
        <f>ROUND([2]FTES!I9,3)</f>
        <v>0</v>
      </c>
      <c r="O2" s="308">
        <f>ROUND([2]FTES!E9,3)</f>
        <v>8734.1299999999992</v>
      </c>
      <c r="P2" s="308">
        <f>ROUND([2]FTES!L9,3)</f>
        <v>594.39</v>
      </c>
      <c r="Q2" s="308">
        <f>ROUND([2]FTES!O9,3)</f>
        <v>0</v>
      </c>
      <c r="R2" s="308">
        <f>ROUND('[2]Growth Deficit'!$AH9,3)</f>
        <v>0</v>
      </c>
      <c r="S2" s="308">
        <f>ROUND([2]FTES!R9,3)</f>
        <v>0</v>
      </c>
      <c r="T2" s="308">
        <f>ROUND([2]FTES!N9,3)</f>
        <v>618.83000000000004</v>
      </c>
      <c r="U2" s="308">
        <f>ROUND([2]FTES!U9,3)</f>
        <v>324.99</v>
      </c>
      <c r="V2" s="308">
        <f>ROUND([2]FTES!X9,3)</f>
        <v>0</v>
      </c>
      <c r="W2" s="308">
        <f>ROUND('[2]Growth Deficit'!$AI9,3)</f>
        <v>0</v>
      </c>
      <c r="X2" s="308">
        <f>ROUND([2]FTES!AA9,3)</f>
        <v>0</v>
      </c>
      <c r="Y2" s="308">
        <f>ROUND([2]FTES!W9,3)</f>
        <v>344.32</v>
      </c>
      <c r="Z2" s="307">
        <f>'[2]FTES Adjustment'!CW9</f>
        <v>8734.1300979999996</v>
      </c>
      <c r="AA2" s="307">
        <f>'[2]FTES Adjustment'!CX9</f>
        <v>618.83000000000004</v>
      </c>
      <c r="AB2" s="307">
        <f>'[2]FTES Adjustment'!CY9</f>
        <v>344.31999999999994</v>
      </c>
      <c r="AC2" s="275">
        <f t="shared" ref="AC2:AC33" si="0">ROUND(K2+P2+U2,3)</f>
        <v>9381.9599999999991</v>
      </c>
      <c r="AD2" s="275">
        <f t="shared" ref="AD2:AD33" si="1">ROUND(L2+Q2+V2,3)</f>
        <v>0</v>
      </c>
      <c r="AE2" s="275">
        <f t="shared" ref="AE2:AE33" si="2">ROUND(M2+R2+W2,3)</f>
        <v>0</v>
      </c>
      <c r="AF2" s="275">
        <f t="shared" ref="AF2:AF33" si="3">ROUND(N2+S2+X2,3)</f>
        <v>0</v>
      </c>
      <c r="AG2" s="275">
        <f t="shared" ref="AG2:AG33" si="4">ROUND(O2+T2+Y2,3)</f>
        <v>9697.2800000000007</v>
      </c>
      <c r="AH2" s="275">
        <f t="shared" ref="AH2:AH33" si="5">ROUND(Z2+AA2+AB2,3)</f>
        <v>9697.2800000000007</v>
      </c>
      <c r="AI2" s="302">
        <f>'[2]PBF Run'!F9</f>
        <v>5622823</v>
      </c>
      <c r="AJ2" s="302">
        <f>'[2]PBF Run'!H9+'[2]PBF Run'!I9+'[2]PBF Run'!J9+'[2]PBF Run'!L9</f>
        <v>41960764</v>
      </c>
      <c r="AK2" s="306">
        <f>'[2]PBF Run'!J9 + '[2]PBF Run'!$L9</f>
        <v>39236692</v>
      </c>
      <c r="AL2" s="302">
        <f>'[2]PBF Run'!H9</f>
        <v>1657191</v>
      </c>
      <c r="AM2" s="302">
        <f>'[2]PBF Run'!I9</f>
        <v>1066881</v>
      </c>
      <c r="AN2" s="305">
        <f>'[2]Restoration and Growth'!BM9</f>
        <v>0</v>
      </c>
      <c r="AO2" s="278">
        <f t="shared" ref="AO2:AO33" si="6">AI2+AJ2+AN2</f>
        <v>47583587</v>
      </c>
      <c r="AP2" s="300" t="str">
        <f>CONCATENATE('[2]PBF Run'!C4 * 100,"%")</f>
        <v>0.85%</v>
      </c>
      <c r="AQ2" s="302">
        <f>'[2]PBF Run'!O9</f>
        <v>404460</v>
      </c>
      <c r="AR2" s="278">
        <f t="shared" ref="AR2:AR33" si="7">SUM(AO2,AQ2)</f>
        <v>47988047</v>
      </c>
      <c r="AS2" s="302">
        <f>'[2]PBF Run'!$AD9</f>
        <v>0</v>
      </c>
      <c r="AT2" s="302">
        <f>'[2]PBF Run'!$T9</f>
        <v>0</v>
      </c>
      <c r="AU2" s="278">
        <f t="shared" ref="AU2:AU33" si="8">AS2+AT2+EM2+EL2</f>
        <v>952922</v>
      </c>
      <c r="AV2" s="304">
        <f>'[2]Restoration and Growth'!BT9</f>
        <v>0</v>
      </c>
      <c r="AW2" s="304" t="str">
        <f>'[2]Restoration and Growth'!AP9</f>
        <v>Y</v>
      </c>
      <c r="AX2" s="302">
        <f>'[2]Restoration and Growth'!CV9</f>
        <v>0</v>
      </c>
      <c r="AY2" s="302">
        <f>'[2]Growth Deficit'!$AO9</f>
        <v>0</v>
      </c>
      <c r="AZ2" s="302">
        <f>'[2]Growth Deficit'!AO9</f>
        <v>0</v>
      </c>
      <c r="BA2" s="302">
        <f>'[2]Growth Deficit'!AL9</f>
        <v>0</v>
      </c>
      <c r="BB2" s="302">
        <f>'[2]Growth Deficit'!AM9</f>
        <v>0</v>
      </c>
      <c r="BC2" s="302">
        <f>'[2]Growth Deficit'!AN9</f>
        <v>0</v>
      </c>
      <c r="BD2" s="302">
        <f>'[2]Growth Deficit'!AO9</f>
        <v>0</v>
      </c>
      <c r="BE2" s="302">
        <f>'[2]PBF Run'!AA9</f>
        <v>0</v>
      </c>
      <c r="BF2" s="302">
        <f>'[2]PBF Run'!AB9</f>
        <v>0</v>
      </c>
      <c r="BG2" s="302">
        <f>'[2]PBF Run'!AC9</f>
        <v>0</v>
      </c>
      <c r="BH2" s="302">
        <f>'[2]PBF Run'!AD9</f>
        <v>0</v>
      </c>
      <c r="BI2" s="278">
        <f t="shared" ref="BI2:BI33" si="9">BE2+BF2+BG2+BH2</f>
        <v>0</v>
      </c>
      <c r="BJ2" s="302">
        <f>'[2]PBF Run'!X9</f>
        <v>0</v>
      </c>
      <c r="BK2" s="302">
        <f>'[2]PBF Run'!AE9</f>
        <v>49390504</v>
      </c>
      <c r="BL2" s="282">
        <f t="shared" ref="BL2:BL33" si="10">1-BM2/BK2</f>
        <v>0.98518541134951776</v>
      </c>
      <c r="BM2" s="302">
        <f>'[2]PBF Run'!AM9</f>
        <v>731700</v>
      </c>
      <c r="BN2" s="302">
        <f>'[2]PBF Run'!$AN9</f>
        <v>24769099</v>
      </c>
      <c r="BO2" s="302">
        <f>'[2]PBF Run'!$AO9</f>
        <v>0</v>
      </c>
      <c r="BP2" s="302">
        <f>'[2]PBF Run'!AC9</f>
        <v>0</v>
      </c>
      <c r="BQ2" s="278">
        <f t="shared" ref="BQ2:BQ33" si="11">BU2</f>
        <v>24769099</v>
      </c>
      <c r="BR2" s="302">
        <f>'[2]PBF Run'!AJ9</f>
        <v>13719342</v>
      </c>
      <c r="BS2" s="302">
        <f>'[2]PBF Run'!AI9</f>
        <v>2487560</v>
      </c>
      <c r="BT2" s="302">
        <f>'[2]PBF Run'!$AN9</f>
        <v>24769099</v>
      </c>
      <c r="BU2" s="302">
        <f>'[2]PBF Run'!$AN9</f>
        <v>24769099</v>
      </c>
      <c r="BV2" s="302">
        <f>'[2]PBF Run'!BI9</f>
        <v>0</v>
      </c>
      <c r="BW2" s="303">
        <f>'[2]PBF Run'!BH9</f>
        <v>0</v>
      </c>
      <c r="BX2" s="302">
        <f>'[2]PBF Run'!$AQ$4</f>
        <v>69532</v>
      </c>
      <c r="BY2" s="278">
        <f t="shared" ref="BY2:BY33" si="12">BU2+BV2</f>
        <v>24769099</v>
      </c>
      <c r="BZ2" s="302">
        <f>'[2]As of 13-14 R1'!BP9</f>
        <v>0</v>
      </c>
      <c r="CA2" s="302">
        <f>'[2]As of 13-14 R1'!BQ9</f>
        <v>0</v>
      </c>
      <c r="CB2" s="302">
        <f>'[2]As of 13-14 R1'!BR9</f>
        <v>0</v>
      </c>
      <c r="CC2" s="278">
        <f t="shared" ref="CC2:CC33" si="13">BZ2+CA2+CB2</f>
        <v>0</v>
      </c>
      <c r="CD2" s="301">
        <f>'[2]Growth Deficit'!$D$2</f>
        <v>0</v>
      </c>
      <c r="CE2" s="300">
        <f>IF($CS2="S",'[2]Foundation Grant'!C9,0)</f>
        <v>0</v>
      </c>
      <c r="CF2" s="300">
        <f>IF($CS2="S",'[2]Foundation Grant'!D9,0)</f>
        <v>1</v>
      </c>
      <c r="CG2" s="300">
        <f>IF($CS2="S",'[2]Foundation Grant'!E9,0)</f>
        <v>0</v>
      </c>
      <c r="CH2" s="300">
        <f>IF($CS2="S",'[2]Foundation Grant'!F9,0)</f>
        <v>1</v>
      </c>
      <c r="CI2" s="300">
        <f>IF($CS2="M",'[2]Foundation Grant'!C9,0)</f>
        <v>0</v>
      </c>
      <c r="CJ2" s="300">
        <f>IF($CS2="M",'[2]Foundation Grant'!D9,0)</f>
        <v>0</v>
      </c>
      <c r="CK2" s="300">
        <f>IF($CS2="M",'[2]Foundation Grant'!E9,0)</f>
        <v>0</v>
      </c>
      <c r="CL2" s="300">
        <f>IF($CS2="M",'[2]Foundation Grant'!F9,0)</f>
        <v>0</v>
      </c>
      <c r="CM2" s="300">
        <f>'[2]Foundation Grant'!G9</f>
        <v>0</v>
      </c>
      <c r="CN2" s="300">
        <f>'[2]Foundation Grant'!H9</f>
        <v>0</v>
      </c>
      <c r="CO2" s="300">
        <f>'[2]Foundation Grant'!I9</f>
        <v>0</v>
      </c>
      <c r="CP2" s="300">
        <f>'[2]Foundation Grant'!J9</f>
        <v>0</v>
      </c>
      <c r="CQ2" s="300">
        <f>'[2]Foundation Grant'!K9</f>
        <v>0</v>
      </c>
      <c r="CR2" s="299">
        <f>'[2]Foundation Grant'!L9</f>
        <v>0</v>
      </c>
      <c r="CS2" s="300" t="str">
        <f>'[2]Foundation Grant'!M9</f>
        <v>S</v>
      </c>
      <c r="CT2" s="300">
        <f>'[2]Foundation Grant'!N9</f>
        <v>5622823</v>
      </c>
      <c r="CU2" s="299">
        <f>'[2]Foundation Grant'!O9</f>
        <v>0</v>
      </c>
      <c r="CV2" s="299">
        <f>'[2]Foundation Grant'!P9</f>
        <v>1</v>
      </c>
      <c r="CW2" s="298">
        <f>'[2]Foundation Grant'!$C$1</f>
        <v>5622823</v>
      </c>
      <c r="CX2" s="298">
        <f>'[2]Foundation Grant'!$D$1</f>
        <v>4498258</v>
      </c>
      <c r="CY2" s="298">
        <f>'[2]Foundation Grant'!$E$1</f>
        <v>3373694</v>
      </c>
      <c r="CZ2" s="298">
        <f>'[2]Foundation Grant'!$C$2</f>
        <v>4498258</v>
      </c>
      <c r="DA2" s="298">
        <f>'[2]Foundation Grant'!$D$2</f>
        <v>3935976</v>
      </c>
      <c r="DB2" s="298">
        <f>'[2]Foundation Grant'!$E$2</f>
        <v>3373694</v>
      </c>
      <c r="DC2" s="298">
        <f>'[2]Foundation Grant'!$G$1</f>
        <v>1124565</v>
      </c>
      <c r="DD2" s="298">
        <f>'[2]Foundation Grant'!$H$1</f>
        <v>843423</v>
      </c>
      <c r="DE2" s="298">
        <f>'[2]Foundation Grant'!$I$1</f>
        <v>562282</v>
      </c>
      <c r="DF2" s="298">
        <f>'[2]Foundation Grant'!$J$1</f>
        <v>281141</v>
      </c>
      <c r="DG2" s="298">
        <f>'[2]Foundation Grant'!$K$1</f>
        <v>140571</v>
      </c>
      <c r="DH2" s="298">
        <f>'[2]Foundation Grant'!$O$1</f>
        <v>562282</v>
      </c>
      <c r="DI2" s="298">
        <f>'[2]Foundation Grant'!$P$1</f>
        <v>1124565</v>
      </c>
      <c r="DJ2" s="297">
        <f>'[2]basic allocation'!$C$10</f>
        <v>18749</v>
      </c>
      <c r="DK2" s="297">
        <f>'[2]basic allocation'!$D$10</f>
        <v>9375</v>
      </c>
      <c r="DL2" s="297">
        <f>'[2]basic allocation'!$E$10</f>
        <v>9375</v>
      </c>
      <c r="DM2" s="297">
        <f>'[2]basic allocation'!$I$10</f>
        <v>938</v>
      </c>
      <c r="DN2" s="297">
        <f>'[2]basic allocation'!$J$10</f>
        <v>703</v>
      </c>
      <c r="DO2" s="297">
        <f>'[2]basic allocation'!$K$10</f>
        <v>469</v>
      </c>
      <c r="DP2" s="297">
        <f>'[2]basic allocation'!$L$10</f>
        <v>234</v>
      </c>
      <c r="DQ2" s="297">
        <f>'[2]basic allocation'!$M$10</f>
        <v>100</v>
      </c>
      <c r="DR2" s="296">
        <f>'[2]FTES Adjustment'!DQ9</f>
        <v>-9.8000000434694812E-5</v>
      </c>
      <c r="DS2" s="296">
        <f>'[2]FTES Adjustment'!DR9</f>
        <v>0</v>
      </c>
      <c r="DT2" s="296">
        <f>'[2]FTES Adjustment'!DS9</f>
        <v>0</v>
      </c>
      <c r="DU2" s="277">
        <f t="shared" ref="DU2:DU33" si="14">ROUND(DR2+DS2+DT2,3)</f>
        <v>0</v>
      </c>
      <c r="DV2" s="276">
        <f t="shared" ref="DV2:DV33" si="15">EF2</f>
        <v>271.55011300000001</v>
      </c>
      <c r="DW2" s="276">
        <f t="shared" ref="DW2:DW33" si="16">EG2</f>
        <v>24.44</v>
      </c>
      <c r="DX2" s="276">
        <f t="shared" ref="DX2:DX33" si="17">EH2</f>
        <v>19.329999999999998</v>
      </c>
      <c r="DY2" s="276">
        <f t="shared" ref="DY2:DY33" si="18">ROUND(SUM(DV2:DX2),3)</f>
        <v>315.32</v>
      </c>
      <c r="DZ2" s="295">
        <f>ROUND([2]FTES!$D9,3)</f>
        <v>8462.58</v>
      </c>
      <c r="EA2" s="295">
        <f>ROUND([2]FTES!$M9,3)</f>
        <v>594.39</v>
      </c>
      <c r="EB2" s="295">
        <f>ROUND([2]FTES!$V9,3)</f>
        <v>324.99</v>
      </c>
      <c r="EC2" s="276">
        <f t="shared" ref="EC2:EC33" si="19">ROUND(SUM(DZ2:EB2),3)</f>
        <v>9381.9599999999991</v>
      </c>
      <c r="ED2" s="133">
        <v>0</v>
      </c>
      <c r="EE2" s="294">
        <f>'[2]10-11 WkLd126M'!$E7</f>
        <v>1088411</v>
      </c>
      <c r="EF2" s="295">
        <f>'[2]FTES Adjustment'!CG9</f>
        <v>271.55011300000001</v>
      </c>
      <c r="EG2" s="295">
        <f>'[2]FTES Adjustment'!CH9</f>
        <v>24.44</v>
      </c>
      <c r="EH2" s="295">
        <f>'[2]FTES Adjustment'!CI9</f>
        <v>19.329999999999998</v>
      </c>
      <c r="EI2" s="276">
        <f t="shared" ref="EI2:EI33" si="20">SUM(EF2:EH2)</f>
        <v>315.32011299999999</v>
      </c>
      <c r="EJ2" s="294">
        <f>'[2]PBF Run'!$AT9</f>
        <v>0</v>
      </c>
      <c r="EK2" s="294">
        <f>'[2]11-12 Workload Reduction'!H9</f>
        <v>43046382</v>
      </c>
      <c r="EL2" s="294">
        <f>'[2]13-14 $86M Workload Restore'!AI7</f>
        <v>952922</v>
      </c>
      <c r="EM2" s="294">
        <f>'[2]13-14 $86M Workload Restore'!AC7</f>
        <v>0</v>
      </c>
      <c r="EN2" s="294">
        <f>'[2]13-14 deferrals, growth, EPA 1'!BJ9</f>
        <v>7212471</v>
      </c>
      <c r="EO2" s="293">
        <f t="shared" ref="EO2:EO33" si="21">BK2-BM2</f>
        <v>48658804</v>
      </c>
      <c r="EP2" s="292">
        <v>0</v>
      </c>
      <c r="EQ2" s="292">
        <v>0</v>
      </c>
      <c r="ER2" s="292">
        <v>0</v>
      </c>
      <c r="ES2" s="16">
        <f t="shared" ref="ES2:ES33" si="22">SUM(EP2:ER2)</f>
        <v>0</v>
      </c>
    </row>
    <row r="3" spans="1:149">
      <c r="A3" s="291" t="s">
        <v>257</v>
      </c>
      <c r="B3" s="290" t="str">
        <f t="shared" ref="B3:B34" si="23">$B$2</f>
        <v>P2</v>
      </c>
      <c r="C3" s="285" t="s">
        <v>399</v>
      </c>
      <c r="D3" s="289" t="s">
        <v>398</v>
      </c>
      <c r="E3" s="288">
        <f>ROUND('[2]PBF Run'!N10,6)</f>
        <v>4636.4928399999999</v>
      </c>
      <c r="F3" s="285">
        <f t="shared" ref="F3:F34" si="24">F2</f>
        <v>4675.9030433300004</v>
      </c>
      <c r="G3" s="285">
        <f t="shared" ref="G3:G34" si="25">G2</f>
        <v>2788.0536374600001</v>
      </c>
      <c r="H3" s="285">
        <f t="shared" ref="H3:H34" si="26">H2</f>
        <v>2811.7520933800001</v>
      </c>
      <c r="I3" s="285">
        <f t="shared" ref="I3:I34" si="27">I2</f>
        <v>3282.8110613200001</v>
      </c>
      <c r="J3" s="285">
        <f t="shared" ref="J3:J34" si="28">J2</f>
        <v>3310.71495534</v>
      </c>
      <c r="K3" s="308">
        <f>ROUND([2]FTES!C10,3)</f>
        <v>10900.098</v>
      </c>
      <c r="L3" s="308">
        <f>ROUND([2]FTES!F10,3)</f>
        <v>0</v>
      </c>
      <c r="M3" s="308">
        <f>ROUND('[2]Growth Deficit'!AG10,3)</f>
        <v>0</v>
      </c>
      <c r="N3" s="308">
        <f>ROUND([2]FTES!I10,3)</f>
        <v>0</v>
      </c>
      <c r="O3" s="308">
        <f>ROUND([2]FTES!E10,3)</f>
        <v>11292.81</v>
      </c>
      <c r="P3" s="308">
        <f>ROUND([2]FTES!L10,3)</f>
        <v>0</v>
      </c>
      <c r="Q3" s="308">
        <f>ROUND([2]FTES!O10,3)</f>
        <v>0</v>
      </c>
      <c r="R3" s="308">
        <f>ROUND('[2]Growth Deficit'!$AH10,3)</f>
        <v>0</v>
      </c>
      <c r="S3" s="308">
        <f>ROUND([2]FTES!R10,3)</f>
        <v>0</v>
      </c>
      <c r="T3" s="308">
        <f>ROUND([2]FTES!N10,3)</f>
        <v>0</v>
      </c>
      <c r="U3" s="308">
        <f>ROUND([2]FTES!U10,3)</f>
        <v>0</v>
      </c>
      <c r="V3" s="308">
        <f>ROUND([2]FTES!X10,3)</f>
        <v>0</v>
      </c>
      <c r="W3" s="308">
        <f>ROUND('[2]Growth Deficit'!$AI10,3)</f>
        <v>0</v>
      </c>
      <c r="X3" s="308">
        <f>ROUND([2]FTES!AA10,3)</f>
        <v>0</v>
      </c>
      <c r="Y3" s="308">
        <f>ROUND([2]FTES!W10,3)</f>
        <v>0</v>
      </c>
      <c r="Z3" s="307">
        <f>'[2]FTES Adjustment'!CW10</f>
        <v>11292.810094</v>
      </c>
      <c r="AA3" s="307">
        <f>'[2]FTES Adjustment'!CX10</f>
        <v>0</v>
      </c>
      <c r="AB3" s="307">
        <f>'[2]FTES Adjustment'!CY10</f>
        <v>0</v>
      </c>
      <c r="AC3" s="275">
        <f t="shared" si="0"/>
        <v>10900.098</v>
      </c>
      <c r="AD3" s="275">
        <f t="shared" si="1"/>
        <v>0</v>
      </c>
      <c r="AE3" s="275">
        <f t="shared" si="2"/>
        <v>0</v>
      </c>
      <c r="AF3" s="275">
        <f t="shared" si="3"/>
        <v>0</v>
      </c>
      <c r="AG3" s="275">
        <f t="shared" si="4"/>
        <v>11292.81</v>
      </c>
      <c r="AH3" s="275">
        <f t="shared" si="5"/>
        <v>11292.81</v>
      </c>
      <c r="AI3" s="302">
        <f>'[2]PBF Run'!F10</f>
        <v>5622823</v>
      </c>
      <c r="AJ3" s="302">
        <f>'[2]PBF Run'!H10+'[2]PBF Run'!I10+'[2]PBF Run'!J10+'[2]PBF Run'!L10</f>
        <v>50538227</v>
      </c>
      <c r="AK3" s="306">
        <f>'[2]PBF Run'!J10 + '[2]PBF Run'!$L10</f>
        <v>50538227</v>
      </c>
      <c r="AL3" s="302">
        <f>'[2]PBF Run'!H10</f>
        <v>0</v>
      </c>
      <c r="AM3" s="302">
        <f>'[2]PBF Run'!I10</f>
        <v>0</v>
      </c>
      <c r="AN3" s="305">
        <f>'[2]Restoration and Growth'!BM10</f>
        <v>0</v>
      </c>
      <c r="AO3" s="278">
        <f t="shared" si="6"/>
        <v>56161050</v>
      </c>
      <c r="AP3" s="285" t="str">
        <f t="shared" ref="AP3:AP34" si="29">$AP$2</f>
        <v>0.85%</v>
      </c>
      <c r="AQ3" s="302">
        <f>'[2]PBF Run'!O10</f>
        <v>477369</v>
      </c>
      <c r="AR3" s="278">
        <f t="shared" si="7"/>
        <v>56638419</v>
      </c>
      <c r="AS3" s="302">
        <f>'[2]PBF Run'!$AD10</f>
        <v>0</v>
      </c>
      <c r="AT3" s="302">
        <f>'[2]PBF Run'!$T10</f>
        <v>0</v>
      </c>
      <c r="AU3" s="278">
        <f t="shared" si="8"/>
        <v>1302521</v>
      </c>
      <c r="AV3" s="304">
        <f>'[2]Restoration and Growth'!BT10</f>
        <v>0</v>
      </c>
      <c r="AW3" s="304" t="str">
        <f>'[2]Restoration and Growth'!AP10</f>
        <v>Y</v>
      </c>
      <c r="AX3" s="302">
        <f>'[2]Restoration and Growth'!CV10</f>
        <v>0</v>
      </c>
      <c r="AY3" s="302">
        <f>'[2]Growth Deficit'!$AO10</f>
        <v>0</v>
      </c>
      <c r="AZ3" s="302">
        <f>'[2]Growth Deficit'!AO10</f>
        <v>0</v>
      </c>
      <c r="BA3" s="302">
        <f>'[2]Growth Deficit'!AL10</f>
        <v>0</v>
      </c>
      <c r="BB3" s="302">
        <f>'[2]Growth Deficit'!AM10</f>
        <v>0</v>
      </c>
      <c r="BC3" s="302">
        <f>'[2]Growth Deficit'!AN10</f>
        <v>0</v>
      </c>
      <c r="BD3" s="302">
        <f>'[2]Growth Deficit'!AO10</f>
        <v>0</v>
      </c>
      <c r="BE3" s="302">
        <f>'[2]PBF Run'!AA10</f>
        <v>0</v>
      </c>
      <c r="BF3" s="302">
        <f>'[2]PBF Run'!AB10</f>
        <v>0</v>
      </c>
      <c r="BG3" s="302">
        <f>'[2]PBF Run'!AC10</f>
        <v>0</v>
      </c>
      <c r="BH3" s="302">
        <f>'[2]PBF Run'!AD10</f>
        <v>0</v>
      </c>
      <c r="BI3" s="278">
        <f t="shared" si="9"/>
        <v>0</v>
      </c>
      <c r="BJ3" s="302">
        <f>'[2]PBF Run'!X10</f>
        <v>0</v>
      </c>
      <c r="BK3" s="302">
        <f>'[2]PBF Run'!AE10</f>
        <v>58474702</v>
      </c>
      <c r="BL3" s="282">
        <f t="shared" si="10"/>
        <v>0.98518542257812614</v>
      </c>
      <c r="BM3" s="302">
        <f>'[2]PBF Run'!AM10</f>
        <v>866278</v>
      </c>
      <c r="BN3" s="302">
        <f>'[2]PBF Run'!$AN10</f>
        <v>40127067</v>
      </c>
      <c r="BO3" s="302">
        <f>'[2]PBF Run'!$AO10</f>
        <v>0</v>
      </c>
      <c r="BP3" s="302">
        <f>'[2]PBF Run'!AC10</f>
        <v>0</v>
      </c>
      <c r="BQ3" s="278">
        <f t="shared" si="11"/>
        <v>40127067</v>
      </c>
      <c r="BR3" s="302">
        <f>'[2]PBF Run'!AJ10</f>
        <v>5995183</v>
      </c>
      <c r="BS3" s="302">
        <f>'[2]PBF Run'!AI10</f>
        <v>2281628</v>
      </c>
      <c r="BT3" s="302">
        <f>'[2]PBF Run'!$AN10</f>
        <v>40127067</v>
      </c>
      <c r="BU3" s="302">
        <f>'[2]PBF Run'!$AN10</f>
        <v>40127067</v>
      </c>
      <c r="BV3" s="302">
        <f>'[2]PBF Run'!BI10</f>
        <v>0</v>
      </c>
      <c r="BW3" s="303">
        <f>'[2]PBF Run'!BH10</f>
        <v>0</v>
      </c>
      <c r="BX3" s="278">
        <f t="shared" ref="BX3:BX34" si="30">$BX$2</f>
        <v>69532</v>
      </c>
      <c r="BY3" s="278">
        <f t="shared" si="12"/>
        <v>40127067</v>
      </c>
      <c r="BZ3" s="302">
        <f>'[2]As of 13-14 R1'!BP10</f>
        <v>0</v>
      </c>
      <c r="CA3" s="302">
        <f>'[2]As of 13-14 R1'!BQ10</f>
        <v>0</v>
      </c>
      <c r="CB3" s="302">
        <f>'[2]As of 13-14 R1'!BR10</f>
        <v>0</v>
      </c>
      <c r="CC3" s="278">
        <f t="shared" si="13"/>
        <v>0</v>
      </c>
      <c r="CD3" s="301">
        <f>'[2]Growth Deficit'!$D$2</f>
        <v>0</v>
      </c>
      <c r="CE3" s="300">
        <f>IF($CS3="S",'[2]Foundation Grant'!C10,0)</f>
        <v>0</v>
      </c>
      <c r="CF3" s="300">
        <f>IF($CS3="S",'[2]Foundation Grant'!D10,0)</f>
        <v>1</v>
      </c>
      <c r="CG3" s="300">
        <f>IF($CS3="S",'[2]Foundation Grant'!E10,0)</f>
        <v>0</v>
      </c>
      <c r="CH3" s="300">
        <f>IF($CS3="S",'[2]Foundation Grant'!F10,0)</f>
        <v>1</v>
      </c>
      <c r="CI3" s="300">
        <f>IF($CS3="M",'[2]Foundation Grant'!C10,0)</f>
        <v>0</v>
      </c>
      <c r="CJ3" s="300">
        <f>IF($CS3="M",'[2]Foundation Grant'!D10,0)</f>
        <v>0</v>
      </c>
      <c r="CK3" s="300">
        <f>IF($CS3="M",'[2]Foundation Grant'!E10,0)</f>
        <v>0</v>
      </c>
      <c r="CL3" s="300">
        <f>IF($CS3="M",'[2]Foundation Grant'!F10,0)</f>
        <v>0</v>
      </c>
      <c r="CM3" s="300">
        <f>'[2]Foundation Grant'!G10</f>
        <v>1</v>
      </c>
      <c r="CN3" s="300">
        <f>'[2]Foundation Grant'!H10</f>
        <v>0</v>
      </c>
      <c r="CO3" s="300">
        <f>'[2]Foundation Grant'!I10</f>
        <v>0</v>
      </c>
      <c r="CP3" s="300">
        <f>'[2]Foundation Grant'!J10</f>
        <v>0</v>
      </c>
      <c r="CQ3" s="300">
        <f>'[2]Foundation Grant'!K10</f>
        <v>0</v>
      </c>
      <c r="CR3" s="299">
        <f>'[2]Foundation Grant'!L10</f>
        <v>1</v>
      </c>
      <c r="CS3" s="300" t="str">
        <f>'[2]Foundation Grant'!M10</f>
        <v>S</v>
      </c>
      <c r="CT3" s="300">
        <f>'[2]Foundation Grant'!N10</f>
        <v>5622823</v>
      </c>
      <c r="CU3" s="299">
        <f>'[2]Foundation Grant'!O10</f>
        <v>0</v>
      </c>
      <c r="CV3" s="299">
        <f>'[2]Foundation Grant'!P10</f>
        <v>0</v>
      </c>
      <c r="CW3" s="298">
        <f>'[2]Foundation Grant'!$C$1</f>
        <v>5622823</v>
      </c>
      <c r="CX3" s="298">
        <f>'[2]Foundation Grant'!$D$1</f>
        <v>4498258</v>
      </c>
      <c r="CY3" s="298">
        <f>'[2]Foundation Grant'!$E$1</f>
        <v>3373694</v>
      </c>
      <c r="CZ3" s="298">
        <f>'[2]Foundation Grant'!$C$2</f>
        <v>4498258</v>
      </c>
      <c r="DA3" s="298">
        <f>'[2]Foundation Grant'!$D$2</f>
        <v>3935976</v>
      </c>
      <c r="DB3" s="298">
        <f>'[2]Foundation Grant'!$E$2</f>
        <v>3373694</v>
      </c>
      <c r="DC3" s="298">
        <f>'[2]Foundation Grant'!$G$1</f>
        <v>1124565</v>
      </c>
      <c r="DD3" s="298">
        <f>'[2]Foundation Grant'!$H$1</f>
        <v>843423</v>
      </c>
      <c r="DE3" s="298">
        <f>'[2]Foundation Grant'!$I$1</f>
        <v>562282</v>
      </c>
      <c r="DF3" s="298">
        <f>'[2]Foundation Grant'!$J$1</f>
        <v>281141</v>
      </c>
      <c r="DG3" s="298">
        <f>'[2]Foundation Grant'!$K$1</f>
        <v>140571</v>
      </c>
      <c r="DH3" s="298">
        <f>'[2]Foundation Grant'!$O$1</f>
        <v>562282</v>
      </c>
      <c r="DI3" s="298">
        <f>'[2]Foundation Grant'!$P$1</f>
        <v>1124565</v>
      </c>
      <c r="DJ3" s="297">
        <f>'[2]basic allocation'!$C$10</f>
        <v>18749</v>
      </c>
      <c r="DK3" s="297">
        <f>'[2]basic allocation'!$D$10</f>
        <v>9375</v>
      </c>
      <c r="DL3" s="297">
        <f>'[2]basic allocation'!$E$10</f>
        <v>9375</v>
      </c>
      <c r="DM3" s="297">
        <f>'[2]basic allocation'!$I$10</f>
        <v>938</v>
      </c>
      <c r="DN3" s="297">
        <f>'[2]basic allocation'!$J$10</f>
        <v>703</v>
      </c>
      <c r="DO3" s="297">
        <f>'[2]basic allocation'!$K$10</f>
        <v>469</v>
      </c>
      <c r="DP3" s="297">
        <f>'[2]basic allocation'!$L$10</f>
        <v>234</v>
      </c>
      <c r="DQ3" s="297">
        <f>'[2]basic allocation'!$M$10</f>
        <v>100</v>
      </c>
      <c r="DR3" s="296">
        <f>'[2]FTES Adjustment'!DQ10</f>
        <v>-9.4000000899541192E-5</v>
      </c>
      <c r="DS3" s="296">
        <f>'[2]FTES Adjustment'!DR10</f>
        <v>0</v>
      </c>
      <c r="DT3" s="296">
        <f>'[2]FTES Adjustment'!DS10</f>
        <v>0</v>
      </c>
      <c r="DU3" s="277">
        <f t="shared" si="14"/>
        <v>0</v>
      </c>
      <c r="DV3" s="276">
        <f t="shared" si="15"/>
        <v>392.71195</v>
      </c>
      <c r="DW3" s="276">
        <f t="shared" si="16"/>
        <v>0</v>
      </c>
      <c r="DX3" s="276">
        <f t="shared" si="17"/>
        <v>0</v>
      </c>
      <c r="DY3" s="276">
        <f t="shared" si="18"/>
        <v>392.71199999999999</v>
      </c>
      <c r="DZ3" s="295">
        <f>ROUND([2]FTES!$D10,3)</f>
        <v>10900.098</v>
      </c>
      <c r="EA3" s="295">
        <f>ROUND([2]FTES!$M10,3)</f>
        <v>0</v>
      </c>
      <c r="EB3" s="295">
        <f>ROUND([2]FTES!$V10,3)</f>
        <v>0</v>
      </c>
      <c r="EC3" s="276">
        <f t="shared" si="19"/>
        <v>10900.098</v>
      </c>
      <c r="ED3" s="133">
        <v>0</v>
      </c>
      <c r="EE3" s="294">
        <f>'[2]10-11 WkLd126M'!$E8</f>
        <v>1286405</v>
      </c>
      <c r="EF3" s="295">
        <f>'[2]FTES Adjustment'!CG10</f>
        <v>392.71195</v>
      </c>
      <c r="EG3" s="295">
        <f>'[2]FTES Adjustment'!CH10</f>
        <v>0</v>
      </c>
      <c r="EH3" s="295">
        <f>'[2]FTES Adjustment'!CI10</f>
        <v>0</v>
      </c>
      <c r="EI3" s="276">
        <f t="shared" si="20"/>
        <v>392.71195</v>
      </c>
      <c r="EJ3" s="294">
        <f>'[2]PBF Run'!$AT10</f>
        <v>0</v>
      </c>
      <c r="EK3" s="294">
        <f>'[2]11-12 Workload Reduction'!H10</f>
        <v>51884029</v>
      </c>
      <c r="EL3" s="294">
        <f>'[2]13-14 $86M Workload Restore'!AI8</f>
        <v>1302521</v>
      </c>
      <c r="EM3" s="294">
        <f>'[2]13-14 $86M Workload Restore'!AC8</f>
        <v>0</v>
      </c>
      <c r="EN3" s="294">
        <f>'[2]13-14 deferrals, growth, EPA 1'!BJ10</f>
        <v>8637163</v>
      </c>
      <c r="EO3" s="293">
        <f t="shared" si="21"/>
        <v>57608424</v>
      </c>
      <c r="EP3" s="292">
        <v>0</v>
      </c>
      <c r="EQ3" s="292">
        <v>0</v>
      </c>
      <c r="ER3" s="292">
        <v>0</v>
      </c>
      <c r="ES3" s="16">
        <f t="shared" si="22"/>
        <v>0</v>
      </c>
    </row>
    <row r="4" spans="1:149">
      <c r="A4" s="291" t="s">
        <v>257</v>
      </c>
      <c r="B4" s="290" t="str">
        <f t="shared" si="23"/>
        <v>P2</v>
      </c>
      <c r="C4" s="285" t="s">
        <v>397</v>
      </c>
      <c r="D4" s="289" t="s">
        <v>396</v>
      </c>
      <c r="E4" s="288">
        <f>ROUND('[2]PBF Run'!N11,6)</f>
        <v>4636.4928900000004</v>
      </c>
      <c r="F4" s="285">
        <f t="shared" si="24"/>
        <v>4675.9030433300004</v>
      </c>
      <c r="G4" s="285">
        <f t="shared" si="25"/>
        <v>2788.0536374600001</v>
      </c>
      <c r="H4" s="285">
        <f t="shared" si="26"/>
        <v>2811.7520933800001</v>
      </c>
      <c r="I4" s="285">
        <f t="shared" si="27"/>
        <v>3282.8110613200001</v>
      </c>
      <c r="J4" s="285">
        <f t="shared" si="28"/>
        <v>3310.71495534</v>
      </c>
      <c r="K4" s="308">
        <f>ROUND([2]FTES!C11,3)</f>
        <v>2350.018</v>
      </c>
      <c r="L4" s="308">
        <f>ROUND([2]FTES!F11,3)</f>
        <v>0</v>
      </c>
      <c r="M4" s="308">
        <f>ROUND('[2]Growth Deficit'!AG11,3)</f>
        <v>0</v>
      </c>
      <c r="N4" s="308">
        <f>ROUND([2]FTES!I11,3)</f>
        <v>0</v>
      </c>
      <c r="O4" s="308">
        <f>ROUND([2]FTES!E11,3)</f>
        <v>2509.5100000000002</v>
      </c>
      <c r="P4" s="308">
        <f>ROUND([2]FTES!L11,3)</f>
        <v>34.6</v>
      </c>
      <c r="Q4" s="308">
        <f>ROUND([2]FTES!O11,3)</f>
        <v>0</v>
      </c>
      <c r="R4" s="308">
        <f>ROUND('[2]Growth Deficit'!$AH11,3)</f>
        <v>0</v>
      </c>
      <c r="S4" s="308">
        <f>ROUND([2]FTES!R11,3)</f>
        <v>0</v>
      </c>
      <c r="T4" s="308">
        <f>ROUND([2]FTES!N11,3)</f>
        <v>28.82</v>
      </c>
      <c r="U4" s="308">
        <f>ROUND([2]FTES!U11,3)</f>
        <v>0</v>
      </c>
      <c r="V4" s="308">
        <f>ROUND([2]FTES!X11,3)</f>
        <v>0</v>
      </c>
      <c r="W4" s="308">
        <f>ROUND('[2]Growth Deficit'!$AI11,3)</f>
        <v>0</v>
      </c>
      <c r="X4" s="308">
        <f>ROUND([2]FTES!AA11,3)</f>
        <v>0</v>
      </c>
      <c r="Y4" s="308">
        <f>ROUND([2]FTES!W11,3)</f>
        <v>0</v>
      </c>
      <c r="Z4" s="307">
        <f>'[2]FTES Adjustment'!CW11</f>
        <v>2353.4939619999996</v>
      </c>
      <c r="AA4" s="307">
        <f>'[2]FTES Adjustment'!CX11</f>
        <v>28.82</v>
      </c>
      <c r="AB4" s="307">
        <f>'[2]FTES Adjustment'!CY11</f>
        <v>0</v>
      </c>
      <c r="AC4" s="275">
        <f t="shared" si="0"/>
        <v>2384.6179999999999</v>
      </c>
      <c r="AD4" s="275">
        <f t="shared" si="1"/>
        <v>0</v>
      </c>
      <c r="AE4" s="275">
        <f t="shared" si="2"/>
        <v>0</v>
      </c>
      <c r="AF4" s="275">
        <f t="shared" si="3"/>
        <v>0</v>
      </c>
      <c r="AG4" s="275">
        <f t="shared" si="4"/>
        <v>2538.33</v>
      </c>
      <c r="AH4" s="275">
        <f t="shared" si="5"/>
        <v>2382.3139999999999</v>
      </c>
      <c r="AI4" s="302">
        <f>'[2]PBF Run'!F11</f>
        <v>3935976</v>
      </c>
      <c r="AJ4" s="302">
        <f>'[2]PBF Run'!H11+'[2]PBF Run'!I11+'[2]PBF Run'!J11+'[2]PBF Run'!L11</f>
        <v>10992310</v>
      </c>
      <c r="AK4" s="306">
        <f>'[2]PBF Run'!J11 + '[2]PBF Run'!$L11</f>
        <v>10895843</v>
      </c>
      <c r="AL4" s="302">
        <f>'[2]PBF Run'!H11</f>
        <v>96467</v>
      </c>
      <c r="AM4" s="302">
        <f>'[2]PBF Run'!I11</f>
        <v>0</v>
      </c>
      <c r="AN4" s="305">
        <f>'[2]Restoration and Growth'!BM11</f>
        <v>0</v>
      </c>
      <c r="AO4" s="278">
        <f t="shared" si="6"/>
        <v>14928286</v>
      </c>
      <c r="AP4" s="285" t="str">
        <f t="shared" si="29"/>
        <v>0.85%</v>
      </c>
      <c r="AQ4" s="302">
        <f>'[2]PBF Run'!O11</f>
        <v>126890</v>
      </c>
      <c r="AR4" s="278">
        <f t="shared" si="7"/>
        <v>15055176</v>
      </c>
      <c r="AS4" s="302">
        <f>'[2]PBF Run'!$AD11</f>
        <v>0</v>
      </c>
      <c r="AT4" s="302">
        <f>'[2]PBF Run'!$T11</f>
        <v>0</v>
      </c>
      <c r="AU4" s="278">
        <f t="shared" si="8"/>
        <v>0</v>
      </c>
      <c r="AV4" s="304">
        <f>'[2]Restoration and Growth'!BT11</f>
        <v>0</v>
      </c>
      <c r="AW4" s="304" t="str">
        <f>'[2]Restoration and Growth'!AP11</f>
        <v>Y</v>
      </c>
      <c r="AX4" s="302">
        <f>'[2]Restoration and Growth'!CV11</f>
        <v>0</v>
      </c>
      <c r="AY4" s="302">
        <f>'[2]Growth Deficit'!$AO11</f>
        <v>0</v>
      </c>
      <c r="AZ4" s="302">
        <f>'[2]Growth Deficit'!AO11</f>
        <v>0</v>
      </c>
      <c r="BA4" s="302">
        <f>'[2]Growth Deficit'!AL11</f>
        <v>0</v>
      </c>
      <c r="BB4" s="302">
        <f>'[2]Growth Deficit'!AM11</f>
        <v>0</v>
      </c>
      <c r="BC4" s="302">
        <f>'[2]Growth Deficit'!AN11</f>
        <v>0</v>
      </c>
      <c r="BD4" s="302">
        <f>'[2]Growth Deficit'!AO11</f>
        <v>0</v>
      </c>
      <c r="BE4" s="302">
        <f>'[2]PBF Run'!AA11</f>
        <v>0</v>
      </c>
      <c r="BF4" s="302">
        <f>'[2]PBF Run'!AB11</f>
        <v>0</v>
      </c>
      <c r="BG4" s="302">
        <f>'[2]PBF Run'!AC11</f>
        <v>0</v>
      </c>
      <c r="BH4" s="302">
        <f>'[2]PBF Run'!AD11</f>
        <v>0</v>
      </c>
      <c r="BI4" s="278">
        <f t="shared" si="9"/>
        <v>0</v>
      </c>
      <c r="BJ4" s="302">
        <f>'[2]PBF Run'!X11</f>
        <v>0</v>
      </c>
      <c r="BK4" s="302">
        <f>'[2]PBF Run'!AE11</f>
        <v>15055176</v>
      </c>
      <c r="BL4" s="282">
        <f t="shared" si="10"/>
        <v>0.98518542725770852</v>
      </c>
      <c r="BM4" s="302">
        <f>'[2]PBF Run'!AM11</f>
        <v>223036</v>
      </c>
      <c r="BN4" s="302">
        <f>'[2]PBF Run'!$AN11</f>
        <v>9034270</v>
      </c>
      <c r="BO4" s="302">
        <f>'[2]PBF Run'!$AO11</f>
        <v>0</v>
      </c>
      <c r="BP4" s="302">
        <f>'[2]PBF Run'!AC11</f>
        <v>0</v>
      </c>
      <c r="BQ4" s="278">
        <f t="shared" si="11"/>
        <v>9034270</v>
      </c>
      <c r="BR4" s="302">
        <f>'[2]PBF Run'!AJ11</f>
        <v>2935542</v>
      </c>
      <c r="BS4" s="302">
        <f>'[2]PBF Run'!AI11</f>
        <v>473881</v>
      </c>
      <c r="BT4" s="302">
        <f>'[2]PBF Run'!$AN11</f>
        <v>9034270</v>
      </c>
      <c r="BU4" s="302">
        <f>'[2]PBF Run'!$AN11</f>
        <v>9034270</v>
      </c>
      <c r="BV4" s="302">
        <f>'[2]PBF Run'!BI11</f>
        <v>0</v>
      </c>
      <c r="BW4" s="303">
        <f>'[2]PBF Run'!BH11</f>
        <v>0</v>
      </c>
      <c r="BX4" s="278">
        <f t="shared" si="30"/>
        <v>69532</v>
      </c>
      <c r="BY4" s="278">
        <f t="shared" si="12"/>
        <v>9034270</v>
      </c>
      <c r="BZ4" s="302">
        <f>'[2]As of 13-14 R1'!BP11</f>
        <v>0</v>
      </c>
      <c r="CA4" s="302">
        <f>'[2]As of 13-14 R1'!BQ11</f>
        <v>0</v>
      </c>
      <c r="CB4" s="302">
        <f>'[2]As of 13-14 R1'!BR11</f>
        <v>0</v>
      </c>
      <c r="CC4" s="278">
        <f t="shared" si="13"/>
        <v>0</v>
      </c>
      <c r="CD4" s="301">
        <f>'[2]Growth Deficit'!$D$2</f>
        <v>0</v>
      </c>
      <c r="CE4" s="300">
        <f>IF($CS4="S",'[2]Foundation Grant'!C11,0)</f>
        <v>0</v>
      </c>
      <c r="CF4" s="300">
        <f>IF($CS4="S",'[2]Foundation Grant'!D11,0)</f>
        <v>0</v>
      </c>
      <c r="CG4" s="300">
        <f>IF($CS4="S",'[2]Foundation Grant'!E11,0)</f>
        <v>1</v>
      </c>
      <c r="CH4" s="300">
        <f>IF($CS4="S",'[2]Foundation Grant'!F11,0)</f>
        <v>1</v>
      </c>
      <c r="CI4" s="300">
        <f>IF($CS4="M",'[2]Foundation Grant'!C11,0)</f>
        <v>0</v>
      </c>
      <c r="CJ4" s="300">
        <f>IF($CS4="M",'[2]Foundation Grant'!D11,0)</f>
        <v>0</v>
      </c>
      <c r="CK4" s="300">
        <f>IF($CS4="M",'[2]Foundation Grant'!E11,0)</f>
        <v>0</v>
      </c>
      <c r="CL4" s="300">
        <f>IF($CS4="M",'[2]Foundation Grant'!F11,0)</f>
        <v>0</v>
      </c>
      <c r="CM4" s="300">
        <f>'[2]Foundation Grant'!G11</f>
        <v>0</v>
      </c>
      <c r="CN4" s="300">
        <f>'[2]Foundation Grant'!H11</f>
        <v>0</v>
      </c>
      <c r="CO4" s="300">
        <f>'[2]Foundation Grant'!I11</f>
        <v>0</v>
      </c>
      <c r="CP4" s="300">
        <f>'[2]Foundation Grant'!J11</f>
        <v>0</v>
      </c>
      <c r="CQ4" s="300">
        <f>'[2]Foundation Grant'!K11</f>
        <v>0</v>
      </c>
      <c r="CR4" s="299">
        <f>'[2]Foundation Grant'!L11</f>
        <v>0</v>
      </c>
      <c r="CS4" s="300" t="str">
        <f>'[2]Foundation Grant'!M11</f>
        <v>S</v>
      </c>
      <c r="CT4" s="300">
        <f>'[2]Foundation Grant'!N11</f>
        <v>3935976</v>
      </c>
      <c r="CU4" s="299">
        <f>'[2]Foundation Grant'!O11</f>
        <v>1</v>
      </c>
      <c r="CV4" s="299">
        <f>'[2]Foundation Grant'!P11</f>
        <v>0</v>
      </c>
      <c r="CW4" s="298">
        <f>'[2]Foundation Grant'!$C$1</f>
        <v>5622823</v>
      </c>
      <c r="CX4" s="298">
        <f>'[2]Foundation Grant'!$D$1</f>
        <v>4498258</v>
      </c>
      <c r="CY4" s="298">
        <f>'[2]Foundation Grant'!$E$1</f>
        <v>3373694</v>
      </c>
      <c r="CZ4" s="298">
        <f>'[2]Foundation Grant'!$C$2</f>
        <v>4498258</v>
      </c>
      <c r="DA4" s="298">
        <f>'[2]Foundation Grant'!$D$2</f>
        <v>3935976</v>
      </c>
      <c r="DB4" s="298">
        <f>'[2]Foundation Grant'!$E$2</f>
        <v>3373694</v>
      </c>
      <c r="DC4" s="298">
        <f>'[2]Foundation Grant'!$G$1</f>
        <v>1124565</v>
      </c>
      <c r="DD4" s="298">
        <f>'[2]Foundation Grant'!$H$1</f>
        <v>843423</v>
      </c>
      <c r="DE4" s="298">
        <f>'[2]Foundation Grant'!$I$1</f>
        <v>562282</v>
      </c>
      <c r="DF4" s="298">
        <f>'[2]Foundation Grant'!$J$1</f>
        <v>281141</v>
      </c>
      <c r="DG4" s="298">
        <f>'[2]Foundation Grant'!$K$1</f>
        <v>140571</v>
      </c>
      <c r="DH4" s="298">
        <f>'[2]Foundation Grant'!$O$1</f>
        <v>562282</v>
      </c>
      <c r="DI4" s="298">
        <f>'[2]Foundation Grant'!$P$1</f>
        <v>1124565</v>
      </c>
      <c r="DJ4" s="297">
        <f>'[2]basic allocation'!$C$10</f>
        <v>18749</v>
      </c>
      <c r="DK4" s="297">
        <f>'[2]basic allocation'!$D$10</f>
        <v>9375</v>
      </c>
      <c r="DL4" s="297">
        <f>'[2]basic allocation'!$E$10</f>
        <v>9375</v>
      </c>
      <c r="DM4" s="297">
        <f>'[2]basic allocation'!$I$10</f>
        <v>938</v>
      </c>
      <c r="DN4" s="297">
        <f>'[2]basic allocation'!$J$10</f>
        <v>703</v>
      </c>
      <c r="DO4" s="297">
        <f>'[2]basic allocation'!$K$10</f>
        <v>469</v>
      </c>
      <c r="DP4" s="297">
        <f>'[2]basic allocation'!$L$10</f>
        <v>234</v>
      </c>
      <c r="DQ4" s="297">
        <f>'[2]basic allocation'!$M$10</f>
        <v>100</v>
      </c>
      <c r="DR4" s="296">
        <f>'[2]FTES Adjustment'!DQ11</f>
        <v>156.01603800000066</v>
      </c>
      <c r="DS4" s="296">
        <f>'[2]FTES Adjustment'!DR11</f>
        <v>0</v>
      </c>
      <c r="DT4" s="296">
        <f>'[2]FTES Adjustment'!DS11</f>
        <v>0</v>
      </c>
      <c r="DU4" s="277">
        <f t="shared" si="14"/>
        <v>156.01599999999999</v>
      </c>
      <c r="DV4" s="276">
        <f t="shared" si="15"/>
        <v>3.475692</v>
      </c>
      <c r="DW4" s="276">
        <f t="shared" si="16"/>
        <v>-5.7800000000000011</v>
      </c>
      <c r="DX4" s="276">
        <f t="shared" si="17"/>
        <v>0</v>
      </c>
      <c r="DY4" s="276">
        <f t="shared" si="18"/>
        <v>-2.3039999999999998</v>
      </c>
      <c r="DZ4" s="295">
        <f>ROUND([2]FTES!$D11,3)</f>
        <v>2350.018</v>
      </c>
      <c r="EA4" s="295">
        <f>ROUND([2]FTES!$M11,3)</f>
        <v>34.6</v>
      </c>
      <c r="EB4" s="295">
        <f>ROUND([2]FTES!$V11,3)</f>
        <v>0</v>
      </c>
      <c r="EC4" s="276">
        <f t="shared" si="19"/>
        <v>2384.6179999999999</v>
      </c>
      <c r="ED4" s="133">
        <v>0</v>
      </c>
      <c r="EE4" s="294">
        <f>'[2]10-11 WkLd126M'!$E9</f>
        <v>325927</v>
      </c>
      <c r="EF4" s="295">
        <f>'[2]FTES Adjustment'!CG11</f>
        <v>3.475692</v>
      </c>
      <c r="EG4" s="295">
        <f>'[2]FTES Adjustment'!CH11</f>
        <v>-5.7800000000000011</v>
      </c>
      <c r="EH4" s="295">
        <f>'[2]FTES Adjustment'!CI11</f>
        <v>0</v>
      </c>
      <c r="EI4" s="276">
        <f t="shared" si="20"/>
        <v>-2.3043080000000011</v>
      </c>
      <c r="EJ4" s="294">
        <f>'[2]PBF Run'!$AT11</f>
        <v>0</v>
      </c>
      <c r="EK4" s="294">
        <f>'[2]11-12 Workload Reduction'!H11</f>
        <v>10672898</v>
      </c>
      <c r="EL4" s="294">
        <f>'[2]13-14 $86M Workload Restore'!AI9</f>
        <v>0</v>
      </c>
      <c r="EM4" s="294">
        <f>'[2]13-14 $86M Workload Restore'!AC9</f>
        <v>0</v>
      </c>
      <c r="EN4" s="294">
        <f>'[2]13-14 deferrals, growth, EPA 1'!BJ11</f>
        <v>2322123</v>
      </c>
      <c r="EO4" s="293">
        <f t="shared" si="21"/>
        <v>14832140</v>
      </c>
      <c r="EP4" s="292">
        <v>0</v>
      </c>
      <c r="EQ4" s="292">
        <v>0</v>
      </c>
      <c r="ER4" s="292">
        <v>0</v>
      </c>
      <c r="ES4" s="16">
        <f t="shared" si="22"/>
        <v>0</v>
      </c>
    </row>
    <row r="5" spans="1:149">
      <c r="A5" s="291" t="s">
        <v>257</v>
      </c>
      <c r="B5" s="290" t="str">
        <f t="shared" si="23"/>
        <v>P2</v>
      </c>
      <c r="C5" s="285" t="s">
        <v>395</v>
      </c>
      <c r="D5" s="289" t="s">
        <v>394</v>
      </c>
      <c r="E5" s="288">
        <f>ROUND('[2]PBF Run'!N12,6)</f>
        <v>4636.4928659999996</v>
      </c>
      <c r="F5" s="285">
        <f t="shared" si="24"/>
        <v>4675.9030433300004</v>
      </c>
      <c r="G5" s="285">
        <f t="shared" si="25"/>
        <v>2788.0536374600001</v>
      </c>
      <c r="H5" s="285">
        <f t="shared" si="26"/>
        <v>2811.7520933800001</v>
      </c>
      <c r="I5" s="285">
        <f t="shared" si="27"/>
        <v>3282.8110613200001</v>
      </c>
      <c r="J5" s="285">
        <f t="shared" si="28"/>
        <v>3310.71495534</v>
      </c>
      <c r="K5" s="308">
        <f>ROUND([2]FTES!C12,3)</f>
        <v>10107.219999999999</v>
      </c>
      <c r="L5" s="308">
        <f>ROUND([2]FTES!F12,3)</f>
        <v>0</v>
      </c>
      <c r="M5" s="308">
        <f>ROUND('[2]Growth Deficit'!AG12,3)</f>
        <v>0</v>
      </c>
      <c r="N5" s="308">
        <f>ROUND([2]FTES!I12,3)</f>
        <v>-474.9</v>
      </c>
      <c r="O5" s="308">
        <f>ROUND([2]FTES!E12,3)</f>
        <v>9632.32</v>
      </c>
      <c r="P5" s="308">
        <f>ROUND([2]FTES!L12,3)</f>
        <v>1012.38</v>
      </c>
      <c r="Q5" s="308">
        <f>ROUND([2]FTES!O12,3)</f>
        <v>0</v>
      </c>
      <c r="R5" s="308">
        <f>ROUND('[2]Growth Deficit'!$AH12,3)</f>
        <v>0</v>
      </c>
      <c r="S5" s="308">
        <f>ROUND([2]FTES!R12,3)</f>
        <v>174.43</v>
      </c>
      <c r="T5" s="308">
        <f>ROUND([2]FTES!N12,3)</f>
        <v>1186.81</v>
      </c>
      <c r="U5" s="308">
        <f>ROUND([2]FTES!U12,3)</f>
        <v>23.35</v>
      </c>
      <c r="V5" s="308">
        <f>ROUND([2]FTES!X12,3)</f>
        <v>0</v>
      </c>
      <c r="W5" s="308">
        <f>ROUND('[2]Growth Deficit'!$AI12,3)</f>
        <v>0</v>
      </c>
      <c r="X5" s="308">
        <f>ROUND([2]FTES!AA12,3)</f>
        <v>-7.2</v>
      </c>
      <c r="Y5" s="308">
        <f>ROUND([2]FTES!W12,3)</f>
        <v>16.149999999999999</v>
      </c>
      <c r="Z5" s="307">
        <f>'[2]FTES Adjustment'!CW12</f>
        <v>9632.3200000000015</v>
      </c>
      <c r="AA5" s="307">
        <f>'[2]FTES Adjustment'!CX12</f>
        <v>1186.81</v>
      </c>
      <c r="AB5" s="307">
        <f>'[2]FTES Adjustment'!CY12</f>
        <v>16.150000000000002</v>
      </c>
      <c r="AC5" s="275">
        <f t="shared" si="0"/>
        <v>11142.95</v>
      </c>
      <c r="AD5" s="275">
        <f t="shared" si="1"/>
        <v>0</v>
      </c>
      <c r="AE5" s="275">
        <f t="shared" si="2"/>
        <v>0</v>
      </c>
      <c r="AF5" s="275">
        <f t="shared" si="3"/>
        <v>-307.67</v>
      </c>
      <c r="AG5" s="275">
        <f t="shared" si="4"/>
        <v>10835.28</v>
      </c>
      <c r="AH5" s="275">
        <f t="shared" si="5"/>
        <v>10835.28</v>
      </c>
      <c r="AI5" s="302">
        <f>'[2]PBF Run'!F12</f>
        <v>5622823</v>
      </c>
      <c r="AJ5" s="302">
        <f>'[2]PBF Run'!H12+'[2]PBF Run'!I12+'[2]PBF Run'!J12+'[2]PBF Run'!L12</f>
        <v>49761277</v>
      </c>
      <c r="AK5" s="306">
        <f>'[2]PBF Run'!J12 + '[2]PBF Run'!$L12</f>
        <v>46862053</v>
      </c>
      <c r="AL5" s="302">
        <f>'[2]PBF Run'!H12</f>
        <v>2822570</v>
      </c>
      <c r="AM5" s="302">
        <f>'[2]PBF Run'!I12</f>
        <v>76654</v>
      </c>
      <c r="AN5" s="305">
        <f>'[2]Restoration and Growth'!BM12</f>
        <v>-1739185.9196826972</v>
      </c>
      <c r="AO5" s="278">
        <f t="shared" si="6"/>
        <v>53644914.080317304</v>
      </c>
      <c r="AP5" s="285" t="str">
        <f t="shared" si="29"/>
        <v>0.85%</v>
      </c>
      <c r="AQ5" s="302">
        <f>'[2]PBF Run'!O12</f>
        <v>455982</v>
      </c>
      <c r="AR5" s="278">
        <f t="shared" si="7"/>
        <v>54100896.080317304</v>
      </c>
      <c r="AS5" s="302">
        <f>'[2]PBF Run'!$AD12</f>
        <v>0</v>
      </c>
      <c r="AT5" s="302">
        <f>'[2]PBF Run'!$T12</f>
        <v>0</v>
      </c>
      <c r="AU5" s="278">
        <f t="shared" si="8"/>
        <v>1067899</v>
      </c>
      <c r="AV5" s="304">
        <f>'[2]Restoration and Growth'!BT12</f>
        <v>0</v>
      </c>
      <c r="AW5" s="304" t="str">
        <f>'[2]Restoration and Growth'!AP12</f>
        <v>N</v>
      </c>
      <c r="AX5" s="302">
        <f>'[2]Restoration and Growth'!CV12</f>
        <v>0</v>
      </c>
      <c r="AY5" s="302">
        <f>'[2]Growth Deficit'!$AO12</f>
        <v>0</v>
      </c>
      <c r="AZ5" s="302">
        <f>'[2]Growth Deficit'!AO12</f>
        <v>0</v>
      </c>
      <c r="BA5" s="302">
        <f>'[2]Growth Deficit'!AL12</f>
        <v>0</v>
      </c>
      <c r="BB5" s="302">
        <f>'[2]Growth Deficit'!AM12</f>
        <v>0</v>
      </c>
      <c r="BC5" s="302">
        <f>'[2]Growth Deficit'!AN12</f>
        <v>0</v>
      </c>
      <c r="BD5" s="302">
        <f>'[2]Growth Deficit'!AO12</f>
        <v>0</v>
      </c>
      <c r="BE5" s="302">
        <f>'[2]PBF Run'!AA12</f>
        <v>0</v>
      </c>
      <c r="BF5" s="302">
        <f>'[2]PBF Run'!AB12</f>
        <v>0</v>
      </c>
      <c r="BG5" s="302">
        <f>'[2]PBF Run'!AC12</f>
        <v>0</v>
      </c>
      <c r="BH5" s="302">
        <f>'[2]PBF Run'!AD12</f>
        <v>0</v>
      </c>
      <c r="BI5" s="278">
        <f t="shared" si="9"/>
        <v>0</v>
      </c>
      <c r="BJ5" s="302">
        <f>'[2]PBF Run'!X12</f>
        <v>1753969</v>
      </c>
      <c r="BK5" s="302">
        <f>'[2]PBF Run'!AE12</f>
        <v>55854865</v>
      </c>
      <c r="BL5" s="282">
        <f t="shared" si="10"/>
        <v>0.98518542655147412</v>
      </c>
      <c r="BM5" s="302">
        <f>'[2]PBF Run'!AM12</f>
        <v>827466</v>
      </c>
      <c r="BN5" s="302">
        <f>'[2]PBF Run'!$AN12</f>
        <v>31260791</v>
      </c>
      <c r="BO5" s="302">
        <f>'[2]PBF Run'!$AO12</f>
        <v>0</v>
      </c>
      <c r="BP5" s="302">
        <f>'[2]PBF Run'!AC12</f>
        <v>0</v>
      </c>
      <c r="BQ5" s="278">
        <f t="shared" si="11"/>
        <v>31260791</v>
      </c>
      <c r="BR5" s="302">
        <f>'[2]PBF Run'!AJ12</f>
        <v>12147799</v>
      </c>
      <c r="BS5" s="302">
        <f>'[2]PBF Run'!AI12</f>
        <v>2953442</v>
      </c>
      <c r="BT5" s="302">
        <f>'[2]PBF Run'!$AN12</f>
        <v>31260791</v>
      </c>
      <c r="BU5" s="302">
        <f>'[2]PBF Run'!$AN12</f>
        <v>31260791</v>
      </c>
      <c r="BV5" s="302">
        <f>'[2]PBF Run'!BI12</f>
        <v>0</v>
      </c>
      <c r="BW5" s="303">
        <f>'[2]PBF Run'!BH12</f>
        <v>0</v>
      </c>
      <c r="BX5" s="278">
        <f t="shared" si="30"/>
        <v>69532</v>
      </c>
      <c r="BY5" s="278">
        <f t="shared" si="12"/>
        <v>31260791</v>
      </c>
      <c r="BZ5" s="302">
        <f>'[2]As of 13-14 R1'!BP12</f>
        <v>0</v>
      </c>
      <c r="CA5" s="302">
        <f>'[2]As of 13-14 R1'!BQ12</f>
        <v>0</v>
      </c>
      <c r="CB5" s="302">
        <f>'[2]As of 13-14 R1'!BR12</f>
        <v>0</v>
      </c>
      <c r="CC5" s="278">
        <f t="shared" si="13"/>
        <v>0</v>
      </c>
      <c r="CD5" s="301">
        <f>'[2]Growth Deficit'!$D$2</f>
        <v>0</v>
      </c>
      <c r="CE5" s="300">
        <f>IF($CS5="S",'[2]Foundation Grant'!C12,0)</f>
        <v>0</v>
      </c>
      <c r="CF5" s="300">
        <f>IF($CS5="S",'[2]Foundation Grant'!D12,0)</f>
        <v>1</v>
      </c>
      <c r="CG5" s="300">
        <f>IF($CS5="S",'[2]Foundation Grant'!E12,0)</f>
        <v>0</v>
      </c>
      <c r="CH5" s="300">
        <f>IF($CS5="S",'[2]Foundation Grant'!F12,0)</f>
        <v>1</v>
      </c>
      <c r="CI5" s="300">
        <f>IF($CS5="M",'[2]Foundation Grant'!C12,0)</f>
        <v>0</v>
      </c>
      <c r="CJ5" s="300">
        <f>IF($CS5="M",'[2]Foundation Grant'!D12,0)</f>
        <v>0</v>
      </c>
      <c r="CK5" s="300">
        <f>IF($CS5="M",'[2]Foundation Grant'!E12,0)</f>
        <v>0</v>
      </c>
      <c r="CL5" s="300">
        <f>IF($CS5="M",'[2]Foundation Grant'!F12,0)</f>
        <v>0</v>
      </c>
      <c r="CM5" s="300">
        <f>'[2]Foundation Grant'!G12</f>
        <v>0</v>
      </c>
      <c r="CN5" s="300">
        <f>'[2]Foundation Grant'!H12</f>
        <v>0</v>
      </c>
      <c r="CO5" s="300">
        <f>'[2]Foundation Grant'!I12</f>
        <v>0</v>
      </c>
      <c r="CP5" s="300">
        <f>'[2]Foundation Grant'!J12</f>
        <v>0</v>
      </c>
      <c r="CQ5" s="300">
        <f>'[2]Foundation Grant'!K12</f>
        <v>0</v>
      </c>
      <c r="CR5" s="299">
        <f>'[2]Foundation Grant'!L12</f>
        <v>0</v>
      </c>
      <c r="CS5" s="300" t="str">
        <f>'[2]Foundation Grant'!M12</f>
        <v>S</v>
      </c>
      <c r="CT5" s="300">
        <f>'[2]Foundation Grant'!N12</f>
        <v>5622823</v>
      </c>
      <c r="CU5" s="299">
        <f>'[2]Foundation Grant'!O12</f>
        <v>0</v>
      </c>
      <c r="CV5" s="299">
        <f>'[2]Foundation Grant'!P12</f>
        <v>1</v>
      </c>
      <c r="CW5" s="298">
        <f>'[2]Foundation Grant'!$C$1</f>
        <v>5622823</v>
      </c>
      <c r="CX5" s="298">
        <f>'[2]Foundation Grant'!$D$1</f>
        <v>4498258</v>
      </c>
      <c r="CY5" s="298">
        <f>'[2]Foundation Grant'!$E$1</f>
        <v>3373694</v>
      </c>
      <c r="CZ5" s="298">
        <f>'[2]Foundation Grant'!$C$2</f>
        <v>4498258</v>
      </c>
      <c r="DA5" s="298">
        <f>'[2]Foundation Grant'!$D$2</f>
        <v>3935976</v>
      </c>
      <c r="DB5" s="298">
        <f>'[2]Foundation Grant'!$E$2</f>
        <v>3373694</v>
      </c>
      <c r="DC5" s="298">
        <f>'[2]Foundation Grant'!$G$1</f>
        <v>1124565</v>
      </c>
      <c r="DD5" s="298">
        <f>'[2]Foundation Grant'!$H$1</f>
        <v>843423</v>
      </c>
      <c r="DE5" s="298">
        <f>'[2]Foundation Grant'!$I$1</f>
        <v>562282</v>
      </c>
      <c r="DF5" s="298">
        <f>'[2]Foundation Grant'!$J$1</f>
        <v>281141</v>
      </c>
      <c r="DG5" s="298">
        <f>'[2]Foundation Grant'!$K$1</f>
        <v>140571</v>
      </c>
      <c r="DH5" s="298">
        <f>'[2]Foundation Grant'!$O$1</f>
        <v>562282</v>
      </c>
      <c r="DI5" s="298">
        <f>'[2]Foundation Grant'!$P$1</f>
        <v>1124565</v>
      </c>
      <c r="DJ5" s="297">
        <f>'[2]basic allocation'!$C$10</f>
        <v>18749</v>
      </c>
      <c r="DK5" s="297">
        <f>'[2]basic allocation'!$D$10</f>
        <v>9375</v>
      </c>
      <c r="DL5" s="297">
        <f>'[2]basic allocation'!$E$10</f>
        <v>9375</v>
      </c>
      <c r="DM5" s="297">
        <f>'[2]basic allocation'!$I$10</f>
        <v>938</v>
      </c>
      <c r="DN5" s="297">
        <f>'[2]basic allocation'!$J$10</f>
        <v>703</v>
      </c>
      <c r="DO5" s="297">
        <f>'[2]basic allocation'!$K$10</f>
        <v>469</v>
      </c>
      <c r="DP5" s="297">
        <f>'[2]basic allocation'!$L$10</f>
        <v>234</v>
      </c>
      <c r="DQ5" s="297">
        <f>'[2]basic allocation'!$M$10</f>
        <v>100</v>
      </c>
      <c r="DR5" s="296">
        <f>'[2]FTES Adjustment'!DQ12</f>
        <v>0</v>
      </c>
      <c r="DS5" s="296">
        <f>'[2]FTES Adjustment'!DR12</f>
        <v>0</v>
      </c>
      <c r="DT5" s="296">
        <f>'[2]FTES Adjustment'!DS12</f>
        <v>0</v>
      </c>
      <c r="DU5" s="277">
        <f t="shared" si="14"/>
        <v>0</v>
      </c>
      <c r="DV5" s="276">
        <f t="shared" si="15"/>
        <v>0</v>
      </c>
      <c r="DW5" s="276">
        <f t="shared" si="16"/>
        <v>0</v>
      </c>
      <c r="DX5" s="276">
        <f t="shared" si="17"/>
        <v>0</v>
      </c>
      <c r="DY5" s="276">
        <f t="shared" si="18"/>
        <v>0</v>
      </c>
      <c r="DZ5" s="295">
        <f>ROUND([2]FTES!$D12,3)</f>
        <v>10107.219999999999</v>
      </c>
      <c r="EA5" s="295">
        <f>ROUND([2]FTES!$M12,3)</f>
        <v>1012.38</v>
      </c>
      <c r="EB5" s="295">
        <f>ROUND([2]FTES!$V12,3)</f>
        <v>23.35</v>
      </c>
      <c r="EC5" s="276">
        <f t="shared" si="19"/>
        <v>11142.95</v>
      </c>
      <c r="ED5" s="133">
        <v>0</v>
      </c>
      <c r="EE5" s="294">
        <f>'[2]10-11 WkLd126M'!$E10</f>
        <v>1273447</v>
      </c>
      <c r="EF5" s="295">
        <f>'[2]FTES Adjustment'!CG12</f>
        <v>0</v>
      </c>
      <c r="EG5" s="295">
        <f>'[2]FTES Adjustment'!CH12</f>
        <v>0</v>
      </c>
      <c r="EH5" s="295">
        <f>'[2]FTES Adjustment'!CI12</f>
        <v>0</v>
      </c>
      <c r="EI5" s="276">
        <f t="shared" si="20"/>
        <v>0</v>
      </c>
      <c r="EJ5" s="294">
        <f>'[2]PBF Run'!$AT12</f>
        <v>0</v>
      </c>
      <c r="EK5" s="294">
        <f>'[2]11-12 Workload Reduction'!H12</f>
        <v>51305649</v>
      </c>
      <c r="EL5" s="294">
        <f>'[2]13-14 $86M Workload Restore'!AI10</f>
        <v>1067899</v>
      </c>
      <c r="EM5" s="294">
        <f>'[2]13-14 $86M Workload Restore'!AC10</f>
        <v>0</v>
      </c>
      <c r="EN5" s="294">
        <f>'[2]13-14 deferrals, growth, EPA 1'!BJ12</f>
        <v>8307712</v>
      </c>
      <c r="EO5" s="293">
        <f t="shared" si="21"/>
        <v>55027399</v>
      </c>
      <c r="EP5" s="292">
        <v>0</v>
      </c>
      <c r="EQ5" s="292">
        <v>0</v>
      </c>
      <c r="ER5" s="292">
        <v>0</v>
      </c>
      <c r="ES5" s="16">
        <f t="shared" si="22"/>
        <v>0</v>
      </c>
    </row>
    <row r="6" spans="1:149">
      <c r="A6" s="291" t="s">
        <v>257</v>
      </c>
      <c r="B6" s="290" t="str">
        <f t="shared" si="23"/>
        <v>P2</v>
      </c>
      <c r="C6" s="285" t="s">
        <v>393</v>
      </c>
      <c r="D6" s="289" t="s">
        <v>392</v>
      </c>
      <c r="E6" s="288">
        <f>ROUND('[2]PBF Run'!N13,6)</f>
        <v>4636.4928239999999</v>
      </c>
      <c r="F6" s="285">
        <f t="shared" si="24"/>
        <v>4675.9030433300004</v>
      </c>
      <c r="G6" s="285">
        <f t="shared" si="25"/>
        <v>2788.0536374600001</v>
      </c>
      <c r="H6" s="285">
        <f t="shared" si="26"/>
        <v>2811.7520933800001</v>
      </c>
      <c r="I6" s="285">
        <f t="shared" si="27"/>
        <v>3282.8110613200001</v>
      </c>
      <c r="J6" s="285">
        <f t="shared" si="28"/>
        <v>3310.71495534</v>
      </c>
      <c r="K6" s="308">
        <f>ROUND([2]FTES!C13,3)</f>
        <v>9955.19</v>
      </c>
      <c r="L6" s="308">
        <f>ROUND([2]FTES!F13,3)</f>
        <v>755.59199999999998</v>
      </c>
      <c r="M6" s="308">
        <f>ROUND('[2]Growth Deficit'!AG13,3)</f>
        <v>0</v>
      </c>
      <c r="N6" s="308">
        <f>ROUND([2]FTES!I13,3)</f>
        <v>0</v>
      </c>
      <c r="O6" s="308">
        <f>ROUND([2]FTES!E13,3)</f>
        <v>10733.14</v>
      </c>
      <c r="P6" s="308">
        <f>ROUND([2]FTES!L13,3)</f>
        <v>137.06</v>
      </c>
      <c r="Q6" s="308">
        <f>ROUND([2]FTES!O13,3)</f>
        <v>0</v>
      </c>
      <c r="R6" s="308">
        <f>ROUND('[2]Growth Deficit'!$AH13,3)</f>
        <v>0</v>
      </c>
      <c r="S6" s="308">
        <f>ROUND([2]FTES!R13,3)</f>
        <v>0</v>
      </c>
      <c r="T6" s="308">
        <f>ROUND([2]FTES!N13,3)</f>
        <v>154.24</v>
      </c>
      <c r="U6" s="308">
        <f>ROUND([2]FTES!U13,3)</f>
        <v>0</v>
      </c>
      <c r="V6" s="308">
        <f>ROUND([2]FTES!X13,3)</f>
        <v>0</v>
      </c>
      <c r="W6" s="308">
        <f>ROUND('[2]Growth Deficit'!$AI13,3)</f>
        <v>0</v>
      </c>
      <c r="X6" s="308">
        <f>ROUND([2]FTES!AA13,3)</f>
        <v>0</v>
      </c>
      <c r="Y6" s="308">
        <f>ROUND([2]FTES!W13,3)</f>
        <v>0</v>
      </c>
      <c r="Z6" s="307">
        <f>'[2]FTES Adjustment'!CW13</f>
        <v>10733.140049</v>
      </c>
      <c r="AA6" s="307">
        <f>'[2]FTES Adjustment'!CX13</f>
        <v>154.24</v>
      </c>
      <c r="AB6" s="307">
        <f>'[2]FTES Adjustment'!CY13</f>
        <v>0</v>
      </c>
      <c r="AC6" s="275">
        <f t="shared" si="0"/>
        <v>10092.25</v>
      </c>
      <c r="AD6" s="275">
        <f t="shared" si="1"/>
        <v>755.59199999999998</v>
      </c>
      <c r="AE6" s="275">
        <f t="shared" si="2"/>
        <v>0</v>
      </c>
      <c r="AF6" s="275">
        <f t="shared" si="3"/>
        <v>0</v>
      </c>
      <c r="AG6" s="275">
        <f t="shared" si="4"/>
        <v>10887.38</v>
      </c>
      <c r="AH6" s="275">
        <f t="shared" si="5"/>
        <v>10887.38</v>
      </c>
      <c r="AI6" s="302">
        <f>'[2]PBF Run'!F13</f>
        <v>5622823</v>
      </c>
      <c r="AJ6" s="302">
        <f>'[2]PBF Run'!H13+'[2]PBF Run'!I13+'[2]PBF Run'!J13+'[2]PBF Run'!L13</f>
        <v>46539298</v>
      </c>
      <c r="AK6" s="306">
        <f>'[2]PBF Run'!J13 + '[2]PBF Run'!$L13</f>
        <v>46157167</v>
      </c>
      <c r="AL6" s="302">
        <f>'[2]PBF Run'!H13</f>
        <v>382131</v>
      </c>
      <c r="AM6" s="302">
        <f>'[2]PBF Run'!I13</f>
        <v>0</v>
      </c>
      <c r="AN6" s="305">
        <f>'[2]Restoration and Growth'!BM13</f>
        <v>0</v>
      </c>
      <c r="AO6" s="278">
        <f t="shared" si="6"/>
        <v>52162121</v>
      </c>
      <c r="AP6" s="285" t="str">
        <f t="shared" si="29"/>
        <v>0.85%</v>
      </c>
      <c r="AQ6" s="302">
        <f>'[2]PBF Run'!O13</f>
        <v>443378</v>
      </c>
      <c r="AR6" s="278">
        <f t="shared" si="7"/>
        <v>52605499</v>
      </c>
      <c r="AS6" s="302">
        <f>'[2]PBF Run'!$AD13</f>
        <v>0</v>
      </c>
      <c r="AT6" s="302">
        <f>'[2]PBF Run'!$T13</f>
        <v>3533073</v>
      </c>
      <c r="AU6" s="278">
        <f t="shared" si="8"/>
        <v>3533073</v>
      </c>
      <c r="AV6" s="304">
        <f>'[2]Restoration and Growth'!BT13</f>
        <v>0</v>
      </c>
      <c r="AW6" s="304" t="str">
        <f>'[2]Restoration and Growth'!AP13</f>
        <v>N</v>
      </c>
      <c r="AX6" s="302">
        <f>'[2]Restoration and Growth'!CV13</f>
        <v>0</v>
      </c>
      <c r="AY6" s="302">
        <f>'[2]Growth Deficit'!$AO13</f>
        <v>0</v>
      </c>
      <c r="AZ6" s="302">
        <f>'[2]Growth Deficit'!AO13</f>
        <v>0</v>
      </c>
      <c r="BA6" s="302">
        <f>'[2]Growth Deficit'!AL13</f>
        <v>0</v>
      </c>
      <c r="BB6" s="302">
        <f>'[2]Growth Deficit'!AM13</f>
        <v>0</v>
      </c>
      <c r="BC6" s="302">
        <f>'[2]Growth Deficit'!AN13</f>
        <v>0</v>
      </c>
      <c r="BD6" s="302">
        <f>'[2]Growth Deficit'!AO13</f>
        <v>0</v>
      </c>
      <c r="BE6" s="302">
        <f>'[2]PBF Run'!AA13</f>
        <v>0</v>
      </c>
      <c r="BF6" s="302">
        <f>'[2]PBF Run'!AB13</f>
        <v>0</v>
      </c>
      <c r="BG6" s="302">
        <f>'[2]PBF Run'!AC13</f>
        <v>0</v>
      </c>
      <c r="BH6" s="302">
        <f>'[2]PBF Run'!AD13</f>
        <v>0</v>
      </c>
      <c r="BI6" s="278">
        <f t="shared" si="9"/>
        <v>0</v>
      </c>
      <c r="BJ6" s="302">
        <f>'[2]PBF Run'!X13</f>
        <v>0</v>
      </c>
      <c r="BK6" s="302">
        <f>'[2]PBF Run'!AE13</f>
        <v>56291424</v>
      </c>
      <c r="BL6" s="282">
        <f t="shared" si="10"/>
        <v>0.98518541652099612</v>
      </c>
      <c r="BM6" s="302">
        <f>'[2]PBF Run'!AM13</f>
        <v>833934</v>
      </c>
      <c r="BN6" s="302">
        <f>'[2]PBF Run'!$AN13</f>
        <v>20735998</v>
      </c>
      <c r="BO6" s="302">
        <f>'[2]PBF Run'!$AO13</f>
        <v>0</v>
      </c>
      <c r="BP6" s="302">
        <f>'[2]PBF Run'!AC13</f>
        <v>0</v>
      </c>
      <c r="BQ6" s="278">
        <f t="shared" si="11"/>
        <v>20735998</v>
      </c>
      <c r="BR6" s="302">
        <f>'[2]PBF Run'!AJ13</f>
        <v>21938037</v>
      </c>
      <c r="BS6" s="302">
        <f>'[2]PBF Run'!AI13</f>
        <v>4260712</v>
      </c>
      <c r="BT6" s="302">
        <f>'[2]PBF Run'!$AN13</f>
        <v>20735998</v>
      </c>
      <c r="BU6" s="302">
        <f>'[2]PBF Run'!$AN13</f>
        <v>20735998</v>
      </c>
      <c r="BV6" s="302">
        <f>'[2]PBF Run'!BI13</f>
        <v>0</v>
      </c>
      <c r="BW6" s="303">
        <f>'[2]PBF Run'!BH13</f>
        <v>0</v>
      </c>
      <c r="BX6" s="278">
        <f t="shared" si="30"/>
        <v>69532</v>
      </c>
      <c r="BY6" s="278">
        <f t="shared" si="12"/>
        <v>20735998</v>
      </c>
      <c r="BZ6" s="302">
        <f>'[2]As of 13-14 R1'!BP13</f>
        <v>0</v>
      </c>
      <c r="CA6" s="302">
        <f>'[2]As of 13-14 R1'!BQ13</f>
        <v>0</v>
      </c>
      <c r="CB6" s="302">
        <f>'[2]As of 13-14 R1'!BR13</f>
        <v>0</v>
      </c>
      <c r="CC6" s="278">
        <f t="shared" si="13"/>
        <v>0</v>
      </c>
      <c r="CD6" s="301">
        <f>'[2]Growth Deficit'!$D$2</f>
        <v>0</v>
      </c>
      <c r="CE6" s="300">
        <f>IF($CS6="S",'[2]Foundation Grant'!C13,0)</f>
        <v>0</v>
      </c>
      <c r="CF6" s="300">
        <f>IF($CS6="S",'[2]Foundation Grant'!D13,0)</f>
        <v>1</v>
      </c>
      <c r="CG6" s="300">
        <f>IF($CS6="S",'[2]Foundation Grant'!E13,0)</f>
        <v>0</v>
      </c>
      <c r="CH6" s="300">
        <f>IF($CS6="S",'[2]Foundation Grant'!F13,0)</f>
        <v>1</v>
      </c>
      <c r="CI6" s="300">
        <f>IF($CS6="M",'[2]Foundation Grant'!C13,0)</f>
        <v>0</v>
      </c>
      <c r="CJ6" s="300">
        <f>IF($CS6="M",'[2]Foundation Grant'!D13,0)</f>
        <v>0</v>
      </c>
      <c r="CK6" s="300">
        <f>IF($CS6="M",'[2]Foundation Grant'!E13,0)</f>
        <v>0</v>
      </c>
      <c r="CL6" s="300">
        <f>IF($CS6="M",'[2]Foundation Grant'!F13,0)</f>
        <v>0</v>
      </c>
      <c r="CM6" s="300">
        <f>'[2]Foundation Grant'!G13</f>
        <v>0</v>
      </c>
      <c r="CN6" s="300">
        <f>'[2]Foundation Grant'!H13</f>
        <v>0</v>
      </c>
      <c r="CO6" s="300">
        <f>'[2]Foundation Grant'!I13</f>
        <v>0</v>
      </c>
      <c r="CP6" s="300">
        <f>'[2]Foundation Grant'!J13</f>
        <v>0</v>
      </c>
      <c r="CQ6" s="300">
        <f>'[2]Foundation Grant'!K13</f>
        <v>0</v>
      </c>
      <c r="CR6" s="299">
        <f>'[2]Foundation Grant'!L13</f>
        <v>0</v>
      </c>
      <c r="CS6" s="300" t="str">
        <f>'[2]Foundation Grant'!M13</f>
        <v>S</v>
      </c>
      <c r="CT6" s="300">
        <f>'[2]Foundation Grant'!N13</f>
        <v>5622823</v>
      </c>
      <c r="CU6" s="299">
        <f>'[2]Foundation Grant'!O13</f>
        <v>0</v>
      </c>
      <c r="CV6" s="299">
        <f>'[2]Foundation Grant'!P13</f>
        <v>1</v>
      </c>
      <c r="CW6" s="298">
        <f>'[2]Foundation Grant'!$C$1</f>
        <v>5622823</v>
      </c>
      <c r="CX6" s="298">
        <f>'[2]Foundation Grant'!$D$1</f>
        <v>4498258</v>
      </c>
      <c r="CY6" s="298">
        <f>'[2]Foundation Grant'!$E$1</f>
        <v>3373694</v>
      </c>
      <c r="CZ6" s="298">
        <f>'[2]Foundation Grant'!$C$2</f>
        <v>4498258</v>
      </c>
      <c r="DA6" s="298">
        <f>'[2]Foundation Grant'!$D$2</f>
        <v>3935976</v>
      </c>
      <c r="DB6" s="298">
        <f>'[2]Foundation Grant'!$E$2</f>
        <v>3373694</v>
      </c>
      <c r="DC6" s="298">
        <f>'[2]Foundation Grant'!$G$1</f>
        <v>1124565</v>
      </c>
      <c r="DD6" s="298">
        <f>'[2]Foundation Grant'!$H$1</f>
        <v>843423</v>
      </c>
      <c r="DE6" s="298">
        <f>'[2]Foundation Grant'!$I$1</f>
        <v>562282</v>
      </c>
      <c r="DF6" s="298">
        <f>'[2]Foundation Grant'!$J$1</f>
        <v>281141</v>
      </c>
      <c r="DG6" s="298">
        <f>'[2]Foundation Grant'!$K$1</f>
        <v>140571</v>
      </c>
      <c r="DH6" s="298">
        <f>'[2]Foundation Grant'!$O$1</f>
        <v>562282</v>
      </c>
      <c r="DI6" s="298">
        <f>'[2]Foundation Grant'!$P$1</f>
        <v>1124565</v>
      </c>
      <c r="DJ6" s="297">
        <f>'[2]basic allocation'!$C$10</f>
        <v>18749</v>
      </c>
      <c r="DK6" s="297">
        <f>'[2]basic allocation'!$D$10</f>
        <v>9375</v>
      </c>
      <c r="DL6" s="297">
        <f>'[2]basic allocation'!$E$10</f>
        <v>9375</v>
      </c>
      <c r="DM6" s="297">
        <f>'[2]basic allocation'!$I$10</f>
        <v>938</v>
      </c>
      <c r="DN6" s="297">
        <f>'[2]basic allocation'!$J$10</f>
        <v>703</v>
      </c>
      <c r="DO6" s="297">
        <f>'[2]basic allocation'!$K$10</f>
        <v>469</v>
      </c>
      <c r="DP6" s="297">
        <f>'[2]basic allocation'!$L$10</f>
        <v>234</v>
      </c>
      <c r="DQ6" s="297">
        <f>'[2]basic allocation'!$M$10</f>
        <v>100</v>
      </c>
      <c r="DR6" s="296">
        <f>'[2]FTES Adjustment'!DQ13</f>
        <v>-4.9000000217347406E-5</v>
      </c>
      <c r="DS6" s="296">
        <f>'[2]FTES Adjustment'!DR13</f>
        <v>0</v>
      </c>
      <c r="DT6" s="296">
        <f>'[2]FTES Adjustment'!DS13</f>
        <v>0</v>
      </c>
      <c r="DU6" s="277">
        <f t="shared" si="14"/>
        <v>0</v>
      </c>
      <c r="DV6" s="276">
        <f t="shared" si="15"/>
        <v>22.358461999999999</v>
      </c>
      <c r="DW6" s="276">
        <f t="shared" si="16"/>
        <v>17.18</v>
      </c>
      <c r="DX6" s="276">
        <f t="shared" si="17"/>
        <v>0</v>
      </c>
      <c r="DY6" s="276">
        <f t="shared" si="18"/>
        <v>39.537999999999997</v>
      </c>
      <c r="DZ6" s="295">
        <f>ROUND([2]FTES!$D13,3)</f>
        <v>9955.19</v>
      </c>
      <c r="EA6" s="295">
        <f>ROUND([2]FTES!$M13,3)</f>
        <v>137.06</v>
      </c>
      <c r="EB6" s="295">
        <f>ROUND([2]FTES!$V13,3)</f>
        <v>0</v>
      </c>
      <c r="EC6" s="276">
        <f t="shared" si="19"/>
        <v>10092.25</v>
      </c>
      <c r="ED6" s="133">
        <v>0</v>
      </c>
      <c r="EE6" s="294">
        <f>'[2]10-11 WkLd126M'!$E11</f>
        <v>1307023</v>
      </c>
      <c r="EF6" s="295">
        <f>'[2]FTES Adjustment'!CG13</f>
        <v>22.358461999999999</v>
      </c>
      <c r="EG6" s="295">
        <f>'[2]FTES Adjustment'!CH13</f>
        <v>17.18</v>
      </c>
      <c r="EH6" s="295">
        <f>'[2]FTES Adjustment'!CI13</f>
        <v>0</v>
      </c>
      <c r="EI6" s="276">
        <f t="shared" si="20"/>
        <v>39.538461999999996</v>
      </c>
      <c r="EJ6" s="294">
        <f>'[2]PBF Run'!$AT13</f>
        <v>0</v>
      </c>
      <c r="EK6" s="294">
        <f>'[2]11-12 Workload Reduction'!H13</f>
        <v>52567673</v>
      </c>
      <c r="EL6" s="294">
        <f>'[2]13-14 $86M Workload Restore'!AI11</f>
        <v>0</v>
      </c>
      <c r="EM6" s="294">
        <f>'[2]13-14 $86M Workload Restore'!AC11</f>
        <v>0</v>
      </c>
      <c r="EN6" s="294">
        <f>'[2]13-14 deferrals, growth, EPA 1'!BJ13</f>
        <v>8164993</v>
      </c>
      <c r="EO6" s="293">
        <f t="shared" si="21"/>
        <v>55457490</v>
      </c>
      <c r="EP6" s="292">
        <v>0</v>
      </c>
      <c r="EQ6" s="292">
        <v>0</v>
      </c>
      <c r="ER6" s="292">
        <v>0</v>
      </c>
      <c r="ES6" s="16">
        <f t="shared" si="22"/>
        <v>0</v>
      </c>
    </row>
    <row r="7" spans="1:149">
      <c r="A7" s="291" t="s">
        <v>257</v>
      </c>
      <c r="B7" s="290" t="str">
        <f t="shared" si="23"/>
        <v>P2</v>
      </c>
      <c r="C7" s="285" t="s">
        <v>391</v>
      </c>
      <c r="D7" s="289" t="s">
        <v>390</v>
      </c>
      <c r="E7" s="288">
        <f>ROUND('[2]PBF Run'!N14,6)</f>
        <v>4636.4928540000001</v>
      </c>
      <c r="F7" s="285">
        <f t="shared" si="24"/>
        <v>4675.9030433300004</v>
      </c>
      <c r="G7" s="285">
        <f t="shared" si="25"/>
        <v>2788.0536374600001</v>
      </c>
      <c r="H7" s="285">
        <f t="shared" si="26"/>
        <v>2811.7520933800001</v>
      </c>
      <c r="I7" s="285">
        <f t="shared" si="27"/>
        <v>3282.8110613200001</v>
      </c>
      <c r="J7" s="285">
        <f t="shared" si="28"/>
        <v>3310.71495534</v>
      </c>
      <c r="K7" s="308">
        <f>ROUND([2]FTES!C14,3)</f>
        <v>16014.784</v>
      </c>
      <c r="L7" s="308">
        <f>ROUND([2]FTES!F14,3)</f>
        <v>0</v>
      </c>
      <c r="M7" s="308">
        <f>ROUND('[2]Growth Deficit'!AG14,3)</f>
        <v>0</v>
      </c>
      <c r="N7" s="308">
        <f>ROUND([2]FTES!I14,3)</f>
        <v>0</v>
      </c>
      <c r="O7" s="308">
        <f>ROUND([2]FTES!E14,3)</f>
        <v>17021.16</v>
      </c>
      <c r="P7" s="308">
        <f>ROUND([2]FTES!L14,3)</f>
        <v>219.3</v>
      </c>
      <c r="Q7" s="308">
        <f>ROUND([2]FTES!O14,3)</f>
        <v>0</v>
      </c>
      <c r="R7" s="308">
        <f>ROUND('[2]Growth Deficit'!$AH14,3)</f>
        <v>0</v>
      </c>
      <c r="S7" s="308">
        <f>ROUND([2]FTES!R14,3)</f>
        <v>0</v>
      </c>
      <c r="T7" s="308">
        <f>ROUND([2]FTES!N14,3)</f>
        <v>334.47</v>
      </c>
      <c r="U7" s="308">
        <f>ROUND([2]FTES!U14,3)</f>
        <v>198.1</v>
      </c>
      <c r="V7" s="308">
        <f>ROUND([2]FTES!X14,3)</f>
        <v>0</v>
      </c>
      <c r="W7" s="308">
        <f>ROUND('[2]Growth Deficit'!$AI14,3)</f>
        <v>0</v>
      </c>
      <c r="X7" s="308">
        <f>ROUND([2]FTES!AA14,3)</f>
        <v>0</v>
      </c>
      <c r="Y7" s="308">
        <f>ROUND([2]FTES!W14,3)</f>
        <v>125.51</v>
      </c>
      <c r="Z7" s="307">
        <f>'[2]FTES Adjustment'!CW14</f>
        <v>16817.204492000001</v>
      </c>
      <c r="AA7" s="307">
        <f>'[2]FTES Adjustment'!CX14</f>
        <v>334.47</v>
      </c>
      <c r="AB7" s="307">
        <f>'[2]FTES Adjustment'!CY14</f>
        <v>125.51</v>
      </c>
      <c r="AC7" s="275">
        <f t="shared" si="0"/>
        <v>16432.184000000001</v>
      </c>
      <c r="AD7" s="275">
        <f t="shared" si="1"/>
        <v>0</v>
      </c>
      <c r="AE7" s="275">
        <f t="shared" si="2"/>
        <v>0</v>
      </c>
      <c r="AF7" s="275">
        <f t="shared" si="3"/>
        <v>0</v>
      </c>
      <c r="AG7" s="275">
        <f t="shared" si="4"/>
        <v>17481.14</v>
      </c>
      <c r="AH7" s="275">
        <f t="shared" si="5"/>
        <v>17277.184000000001</v>
      </c>
      <c r="AI7" s="302">
        <f>'[2]PBF Run'!F14</f>
        <v>4498258</v>
      </c>
      <c r="AJ7" s="302">
        <f>'[2]PBF Run'!H14+'[2]PBF Run'!I14+'[2]PBF Run'!J14+'[2]PBF Run'!L14</f>
        <v>75514176</v>
      </c>
      <c r="AK7" s="306">
        <f>'[2]PBF Run'!J14 + '[2]PBF Run'!$L14</f>
        <v>74252431</v>
      </c>
      <c r="AL7" s="302">
        <f>'[2]PBF Run'!H14</f>
        <v>611420</v>
      </c>
      <c r="AM7" s="302">
        <f>'[2]PBF Run'!I14</f>
        <v>650325</v>
      </c>
      <c r="AN7" s="305">
        <f>'[2]Restoration and Growth'!BM14</f>
        <v>0</v>
      </c>
      <c r="AO7" s="278">
        <f t="shared" si="6"/>
        <v>80012434</v>
      </c>
      <c r="AP7" s="285" t="str">
        <f t="shared" si="29"/>
        <v>0.85%</v>
      </c>
      <c r="AQ7" s="302">
        <f>'[2]PBF Run'!O14</f>
        <v>680106</v>
      </c>
      <c r="AR7" s="278">
        <f t="shared" si="7"/>
        <v>80692540</v>
      </c>
      <c r="AS7" s="302">
        <f>'[2]PBF Run'!$AD14</f>
        <v>0</v>
      </c>
      <c r="AT7" s="302">
        <f>'[2]PBF Run'!$T14</f>
        <v>0</v>
      </c>
      <c r="AU7" s="278">
        <f t="shared" si="8"/>
        <v>1740214</v>
      </c>
      <c r="AV7" s="304">
        <f>'[2]Restoration and Growth'!BT14</f>
        <v>0</v>
      </c>
      <c r="AW7" s="304" t="str">
        <f>'[2]Restoration and Growth'!AP14</f>
        <v>Y</v>
      </c>
      <c r="AX7" s="302">
        <f>'[2]Restoration and Growth'!CV14</f>
        <v>0</v>
      </c>
      <c r="AY7" s="302">
        <f>'[2]Growth Deficit'!$AO14</f>
        <v>0</v>
      </c>
      <c r="AZ7" s="302">
        <f>'[2]Growth Deficit'!AO14</f>
        <v>0</v>
      </c>
      <c r="BA7" s="302">
        <f>'[2]Growth Deficit'!AL14</f>
        <v>0</v>
      </c>
      <c r="BB7" s="302">
        <f>'[2]Growth Deficit'!AM14</f>
        <v>0</v>
      </c>
      <c r="BC7" s="302">
        <f>'[2]Growth Deficit'!AN14</f>
        <v>0</v>
      </c>
      <c r="BD7" s="302">
        <f>'[2]Growth Deficit'!AO14</f>
        <v>0</v>
      </c>
      <c r="BE7" s="302">
        <f>'[2]PBF Run'!AA14</f>
        <v>0</v>
      </c>
      <c r="BF7" s="302">
        <f>'[2]PBF Run'!AB14</f>
        <v>0</v>
      </c>
      <c r="BG7" s="302">
        <f>'[2]PBF Run'!AC14</f>
        <v>0</v>
      </c>
      <c r="BH7" s="302">
        <f>'[2]PBF Run'!AD14</f>
        <v>0</v>
      </c>
      <c r="BI7" s="278">
        <f t="shared" si="9"/>
        <v>0</v>
      </c>
      <c r="BJ7" s="302">
        <f>'[2]PBF Run'!X14</f>
        <v>0</v>
      </c>
      <c r="BK7" s="302">
        <f>'[2]PBF Run'!AE14</f>
        <v>84528085</v>
      </c>
      <c r="BL7" s="282">
        <f t="shared" si="10"/>
        <v>0.9851854209166101</v>
      </c>
      <c r="BM7" s="302">
        <f>'[2]PBF Run'!AM14</f>
        <v>1252248</v>
      </c>
      <c r="BN7" s="302">
        <f>'[2]PBF Run'!$AN14</f>
        <v>57031909</v>
      </c>
      <c r="BO7" s="302">
        <f>'[2]PBF Run'!$AO14</f>
        <v>0</v>
      </c>
      <c r="BP7" s="302">
        <f>'[2]PBF Run'!AC14</f>
        <v>0</v>
      </c>
      <c r="BQ7" s="278">
        <f t="shared" si="11"/>
        <v>57031909</v>
      </c>
      <c r="BR7" s="302">
        <f>'[2]PBF Run'!AJ14</f>
        <v>8917146</v>
      </c>
      <c r="BS7" s="302">
        <f>'[2]PBF Run'!AI14</f>
        <v>4162770</v>
      </c>
      <c r="BT7" s="302">
        <f>'[2]PBF Run'!$AN14</f>
        <v>57031909</v>
      </c>
      <c r="BU7" s="302">
        <f>'[2]PBF Run'!$AN14</f>
        <v>57031909</v>
      </c>
      <c r="BV7" s="302">
        <f>'[2]PBF Run'!BI14</f>
        <v>0</v>
      </c>
      <c r="BW7" s="303">
        <f>'[2]PBF Run'!BH14</f>
        <v>0</v>
      </c>
      <c r="BX7" s="278">
        <f t="shared" si="30"/>
        <v>69532</v>
      </c>
      <c r="BY7" s="278">
        <f t="shared" si="12"/>
        <v>57031909</v>
      </c>
      <c r="BZ7" s="302">
        <f>'[2]As of 13-14 R1'!BP14</f>
        <v>0</v>
      </c>
      <c r="CA7" s="302">
        <f>'[2]As of 13-14 R1'!BQ14</f>
        <v>0</v>
      </c>
      <c r="CB7" s="302">
        <f>'[2]As of 13-14 R1'!BR14</f>
        <v>0</v>
      </c>
      <c r="CC7" s="278">
        <f t="shared" si="13"/>
        <v>0</v>
      </c>
      <c r="CD7" s="301">
        <f>'[2]Growth Deficit'!$D$2</f>
        <v>0</v>
      </c>
      <c r="CE7" s="300">
        <f>IF($CS7="S",'[2]Foundation Grant'!C14,0)</f>
        <v>0</v>
      </c>
      <c r="CF7" s="300">
        <f>IF($CS7="S",'[2]Foundation Grant'!D14,0)</f>
        <v>1</v>
      </c>
      <c r="CG7" s="300">
        <f>IF($CS7="S",'[2]Foundation Grant'!E14,0)</f>
        <v>0</v>
      </c>
      <c r="CH7" s="300">
        <f>IF($CS7="S",'[2]Foundation Grant'!F14,0)</f>
        <v>1</v>
      </c>
      <c r="CI7" s="300">
        <f>IF($CS7="M",'[2]Foundation Grant'!C14,0)</f>
        <v>0</v>
      </c>
      <c r="CJ7" s="300">
        <f>IF($CS7="M",'[2]Foundation Grant'!D14,0)</f>
        <v>0</v>
      </c>
      <c r="CK7" s="300">
        <f>IF($CS7="M",'[2]Foundation Grant'!E14,0)</f>
        <v>0</v>
      </c>
      <c r="CL7" s="300">
        <f>IF($CS7="M",'[2]Foundation Grant'!F14,0)</f>
        <v>0</v>
      </c>
      <c r="CM7" s="300">
        <f>'[2]Foundation Grant'!G14</f>
        <v>0</v>
      </c>
      <c r="CN7" s="300">
        <f>'[2]Foundation Grant'!H14</f>
        <v>0</v>
      </c>
      <c r="CO7" s="300">
        <f>'[2]Foundation Grant'!I14</f>
        <v>0</v>
      </c>
      <c r="CP7" s="300">
        <f>'[2]Foundation Grant'!J14</f>
        <v>0</v>
      </c>
      <c r="CQ7" s="300">
        <f>'[2]Foundation Grant'!K14</f>
        <v>0</v>
      </c>
      <c r="CR7" s="299">
        <f>'[2]Foundation Grant'!L14</f>
        <v>0</v>
      </c>
      <c r="CS7" s="300" t="str">
        <f>'[2]Foundation Grant'!M14</f>
        <v>S</v>
      </c>
      <c r="CT7" s="300">
        <f>'[2]Foundation Grant'!N14</f>
        <v>4498258</v>
      </c>
      <c r="CU7" s="299">
        <f>'[2]Foundation Grant'!O14</f>
        <v>0</v>
      </c>
      <c r="CV7" s="299">
        <f>'[2]Foundation Grant'!P14</f>
        <v>0</v>
      </c>
      <c r="CW7" s="298">
        <f>'[2]Foundation Grant'!$C$1</f>
        <v>5622823</v>
      </c>
      <c r="CX7" s="298">
        <f>'[2]Foundation Grant'!$D$1</f>
        <v>4498258</v>
      </c>
      <c r="CY7" s="298">
        <f>'[2]Foundation Grant'!$E$1</f>
        <v>3373694</v>
      </c>
      <c r="CZ7" s="298">
        <f>'[2]Foundation Grant'!$C$2</f>
        <v>4498258</v>
      </c>
      <c r="DA7" s="298">
        <f>'[2]Foundation Grant'!$D$2</f>
        <v>3935976</v>
      </c>
      <c r="DB7" s="298">
        <f>'[2]Foundation Grant'!$E$2</f>
        <v>3373694</v>
      </c>
      <c r="DC7" s="298">
        <f>'[2]Foundation Grant'!$G$1</f>
        <v>1124565</v>
      </c>
      <c r="DD7" s="298">
        <f>'[2]Foundation Grant'!$H$1</f>
        <v>843423</v>
      </c>
      <c r="DE7" s="298">
        <f>'[2]Foundation Grant'!$I$1</f>
        <v>562282</v>
      </c>
      <c r="DF7" s="298">
        <f>'[2]Foundation Grant'!$J$1</f>
        <v>281141</v>
      </c>
      <c r="DG7" s="298">
        <f>'[2]Foundation Grant'!$K$1</f>
        <v>140571</v>
      </c>
      <c r="DH7" s="298">
        <f>'[2]Foundation Grant'!$O$1</f>
        <v>562282</v>
      </c>
      <c r="DI7" s="298">
        <f>'[2]Foundation Grant'!$P$1</f>
        <v>1124565</v>
      </c>
      <c r="DJ7" s="297">
        <f>'[2]basic allocation'!$C$10</f>
        <v>18749</v>
      </c>
      <c r="DK7" s="297">
        <f>'[2]basic allocation'!$D$10</f>
        <v>9375</v>
      </c>
      <c r="DL7" s="297">
        <f>'[2]basic allocation'!$E$10</f>
        <v>9375</v>
      </c>
      <c r="DM7" s="297">
        <f>'[2]basic allocation'!$I$10</f>
        <v>938</v>
      </c>
      <c r="DN7" s="297">
        <f>'[2]basic allocation'!$J$10</f>
        <v>703</v>
      </c>
      <c r="DO7" s="297">
        <f>'[2]basic allocation'!$K$10</f>
        <v>469</v>
      </c>
      <c r="DP7" s="297">
        <f>'[2]basic allocation'!$L$10</f>
        <v>234</v>
      </c>
      <c r="DQ7" s="297">
        <f>'[2]basic allocation'!$M$10</f>
        <v>100</v>
      </c>
      <c r="DR7" s="296">
        <f>'[2]FTES Adjustment'!DQ14</f>
        <v>203.9555079999991</v>
      </c>
      <c r="DS7" s="296">
        <f>'[2]FTES Adjustment'!DR14</f>
        <v>0</v>
      </c>
      <c r="DT7" s="296">
        <f>'[2]FTES Adjustment'!DS14</f>
        <v>0</v>
      </c>
      <c r="DU7" s="277">
        <f t="shared" si="14"/>
        <v>203.95599999999999</v>
      </c>
      <c r="DV7" s="276">
        <f t="shared" si="15"/>
        <v>802.420616</v>
      </c>
      <c r="DW7" s="276">
        <f t="shared" si="16"/>
        <v>115.17</v>
      </c>
      <c r="DX7" s="276">
        <f t="shared" si="17"/>
        <v>-72.589999999999989</v>
      </c>
      <c r="DY7" s="276">
        <f t="shared" si="18"/>
        <v>845.00099999999998</v>
      </c>
      <c r="DZ7" s="295">
        <f>ROUND([2]FTES!$D14,3)</f>
        <v>16014.784</v>
      </c>
      <c r="EA7" s="295">
        <f>ROUND([2]FTES!$M14,3)</f>
        <v>219.3</v>
      </c>
      <c r="EB7" s="295">
        <f>ROUND([2]FTES!$V14,3)</f>
        <v>198.1</v>
      </c>
      <c r="EC7" s="276">
        <f t="shared" si="19"/>
        <v>16432.184000000001</v>
      </c>
      <c r="ED7" s="133">
        <v>0</v>
      </c>
      <c r="EE7" s="294">
        <f>'[2]10-11 WkLd126M'!$E12</f>
        <v>1835799</v>
      </c>
      <c r="EF7" s="295">
        <f>'[2]FTES Adjustment'!CG14</f>
        <v>802.420616</v>
      </c>
      <c r="EG7" s="295">
        <f>'[2]FTES Adjustment'!CH14</f>
        <v>115.17</v>
      </c>
      <c r="EH7" s="295">
        <f>'[2]FTES Adjustment'!CI14</f>
        <v>-72.589999999999989</v>
      </c>
      <c r="EI7" s="276">
        <f t="shared" si="20"/>
        <v>845.00061599999992</v>
      </c>
      <c r="EJ7" s="294">
        <f>'[2]PBF Run'!$AT14</f>
        <v>0</v>
      </c>
      <c r="EK7" s="294">
        <f>'[2]11-12 Workload Reduction'!H14</f>
        <v>77513935</v>
      </c>
      <c r="EL7" s="294">
        <f>'[2]13-14 $86M Workload Restore'!AI12</f>
        <v>1740214</v>
      </c>
      <c r="EM7" s="294">
        <f>'[2]13-14 $86M Workload Restore'!AC12</f>
        <v>0</v>
      </c>
      <c r="EN7" s="294">
        <f>'[2]13-14 deferrals, growth, EPA 1'!BJ14</f>
        <v>12163697</v>
      </c>
      <c r="EO7" s="293">
        <f t="shared" si="21"/>
        <v>83275837</v>
      </c>
      <c r="EP7" s="292">
        <v>0</v>
      </c>
      <c r="EQ7" s="292">
        <v>0</v>
      </c>
      <c r="ER7" s="292">
        <v>0</v>
      </c>
      <c r="ES7" s="16">
        <f t="shared" si="22"/>
        <v>0</v>
      </c>
    </row>
    <row r="8" spans="1:149">
      <c r="A8" s="291" t="s">
        <v>257</v>
      </c>
      <c r="B8" s="290" t="str">
        <f t="shared" si="23"/>
        <v>P2</v>
      </c>
      <c r="C8" s="285" t="s">
        <v>389</v>
      </c>
      <c r="D8" s="289" t="s">
        <v>388</v>
      </c>
      <c r="E8" s="288">
        <f>ROUND('[2]PBF Run'!N15,6)</f>
        <v>4636.4928559999998</v>
      </c>
      <c r="F8" s="285">
        <f t="shared" si="24"/>
        <v>4675.9030433300004</v>
      </c>
      <c r="G8" s="285">
        <f t="shared" si="25"/>
        <v>2788.0536374600001</v>
      </c>
      <c r="H8" s="285">
        <f t="shared" si="26"/>
        <v>2811.7520933800001</v>
      </c>
      <c r="I8" s="285">
        <f t="shared" si="27"/>
        <v>3282.8110613200001</v>
      </c>
      <c r="J8" s="285">
        <f t="shared" si="28"/>
        <v>3310.71495534</v>
      </c>
      <c r="K8" s="308">
        <f>ROUND([2]FTES!C15,3)</f>
        <v>16355.73</v>
      </c>
      <c r="L8" s="308">
        <f>ROUND([2]FTES!F15,3)</f>
        <v>0</v>
      </c>
      <c r="M8" s="308">
        <f>ROUND('[2]Growth Deficit'!AG15,3)</f>
        <v>0</v>
      </c>
      <c r="N8" s="308">
        <f>ROUND([2]FTES!I15,3)</f>
        <v>0</v>
      </c>
      <c r="O8" s="308">
        <f>ROUND([2]FTES!E15,3)</f>
        <v>16761.36</v>
      </c>
      <c r="P8" s="308">
        <f>ROUND([2]FTES!L15,3)</f>
        <v>100.65</v>
      </c>
      <c r="Q8" s="308">
        <f>ROUND([2]FTES!O15,3)</f>
        <v>0</v>
      </c>
      <c r="R8" s="308">
        <f>ROUND('[2]Growth Deficit'!$AH15,3)</f>
        <v>0</v>
      </c>
      <c r="S8" s="308">
        <f>ROUND([2]FTES!R15,3)</f>
        <v>0</v>
      </c>
      <c r="T8" s="308">
        <f>ROUND([2]FTES!N15,3)</f>
        <v>99.9</v>
      </c>
      <c r="U8" s="308">
        <f>ROUND([2]FTES!U15,3)</f>
        <v>0</v>
      </c>
      <c r="V8" s="308">
        <f>ROUND([2]FTES!X15,3)</f>
        <v>0</v>
      </c>
      <c r="W8" s="308">
        <f>ROUND('[2]Growth Deficit'!$AI15,3)</f>
        <v>0</v>
      </c>
      <c r="X8" s="308">
        <f>ROUND([2]FTES!AA15,3)</f>
        <v>0</v>
      </c>
      <c r="Y8" s="308">
        <f>ROUND([2]FTES!W15,3)</f>
        <v>0</v>
      </c>
      <c r="Z8" s="307">
        <f>'[2]FTES Adjustment'!CW15</f>
        <v>16761.360032000001</v>
      </c>
      <c r="AA8" s="307">
        <f>'[2]FTES Adjustment'!CX15</f>
        <v>99.9</v>
      </c>
      <c r="AB8" s="307">
        <f>'[2]FTES Adjustment'!CY15</f>
        <v>0</v>
      </c>
      <c r="AC8" s="275">
        <f t="shared" si="0"/>
        <v>16456.38</v>
      </c>
      <c r="AD8" s="275">
        <f t="shared" si="1"/>
        <v>0</v>
      </c>
      <c r="AE8" s="275">
        <f t="shared" si="2"/>
        <v>0</v>
      </c>
      <c r="AF8" s="275">
        <f t="shared" si="3"/>
        <v>0</v>
      </c>
      <c r="AG8" s="275">
        <f t="shared" si="4"/>
        <v>16861.259999999998</v>
      </c>
      <c r="AH8" s="275">
        <f t="shared" si="5"/>
        <v>16861.259999999998</v>
      </c>
      <c r="AI8" s="302">
        <f>'[2]PBF Run'!F15</f>
        <v>7309670</v>
      </c>
      <c r="AJ8" s="302">
        <f>'[2]PBF Run'!H15+'[2]PBF Run'!I15+'[2]PBF Run'!J15+'[2]PBF Run'!L15</f>
        <v>76113843</v>
      </c>
      <c r="AK8" s="306">
        <f>'[2]PBF Run'!J15 + '[2]PBF Run'!$L15</f>
        <v>75833225</v>
      </c>
      <c r="AL8" s="302">
        <f>'[2]PBF Run'!H15</f>
        <v>280618</v>
      </c>
      <c r="AM8" s="302">
        <f>'[2]PBF Run'!I15</f>
        <v>0</v>
      </c>
      <c r="AN8" s="305">
        <f>'[2]Restoration and Growth'!BM15</f>
        <v>0</v>
      </c>
      <c r="AO8" s="278">
        <f t="shared" si="6"/>
        <v>83423513</v>
      </c>
      <c r="AP8" s="285" t="str">
        <f t="shared" si="29"/>
        <v>0.85%</v>
      </c>
      <c r="AQ8" s="302">
        <f>'[2]PBF Run'!O15</f>
        <v>709100</v>
      </c>
      <c r="AR8" s="278">
        <f t="shared" si="7"/>
        <v>84132613</v>
      </c>
      <c r="AS8" s="302">
        <f>'[2]PBF Run'!$AD15</f>
        <v>0</v>
      </c>
      <c r="AT8" s="302">
        <f>'[2]PBF Run'!$T15</f>
        <v>0</v>
      </c>
      <c r="AU8" s="278">
        <f t="shared" si="8"/>
        <v>1497099</v>
      </c>
      <c r="AV8" s="304">
        <f>'[2]Restoration and Growth'!BT15</f>
        <v>0</v>
      </c>
      <c r="AW8" s="304" t="str">
        <f>'[2]Restoration and Growth'!AP15</f>
        <v>N</v>
      </c>
      <c r="AX8" s="302">
        <f>'[2]Restoration and Growth'!CV15</f>
        <v>0</v>
      </c>
      <c r="AY8" s="302">
        <f>'[2]Growth Deficit'!$AO15</f>
        <v>0</v>
      </c>
      <c r="AZ8" s="302">
        <f>'[2]Growth Deficit'!AO15</f>
        <v>0</v>
      </c>
      <c r="BA8" s="302">
        <f>'[2]Growth Deficit'!AL15</f>
        <v>0</v>
      </c>
      <c r="BB8" s="302">
        <f>'[2]Growth Deficit'!AM15</f>
        <v>0</v>
      </c>
      <c r="BC8" s="302">
        <f>'[2]Growth Deficit'!AN15</f>
        <v>0</v>
      </c>
      <c r="BD8" s="302">
        <f>'[2]Growth Deficit'!AO15</f>
        <v>0</v>
      </c>
      <c r="BE8" s="302">
        <f>'[2]PBF Run'!AA15</f>
        <v>0</v>
      </c>
      <c r="BF8" s="302">
        <f>'[2]PBF Run'!AB15</f>
        <v>0</v>
      </c>
      <c r="BG8" s="302">
        <f>'[2]PBF Run'!AC15</f>
        <v>0</v>
      </c>
      <c r="BH8" s="302">
        <f>'[2]PBF Run'!AD15</f>
        <v>0</v>
      </c>
      <c r="BI8" s="278">
        <f t="shared" si="9"/>
        <v>0</v>
      </c>
      <c r="BJ8" s="302">
        <f>'[2]PBF Run'!X15</f>
        <v>0</v>
      </c>
      <c r="BK8" s="302">
        <f>'[2]PBF Run'!AE15</f>
        <v>86027191</v>
      </c>
      <c r="BL8" s="282">
        <f t="shared" si="10"/>
        <v>0.98518541655044856</v>
      </c>
      <c r="BM8" s="302">
        <f>'[2]PBF Run'!AM15</f>
        <v>1274457</v>
      </c>
      <c r="BN8" s="302">
        <f>'[2]PBF Run'!$AN15</f>
        <v>32589817</v>
      </c>
      <c r="BO8" s="302">
        <f>'[2]PBF Run'!$AO15</f>
        <v>0</v>
      </c>
      <c r="BP8" s="302">
        <f>'[2]PBF Run'!AC15</f>
        <v>0</v>
      </c>
      <c r="BQ8" s="278">
        <f t="shared" si="11"/>
        <v>32589817</v>
      </c>
      <c r="BR8" s="302">
        <f>'[2]PBF Run'!AJ15</f>
        <v>31386003</v>
      </c>
      <c r="BS8" s="302">
        <f>'[2]PBF Run'!AI15</f>
        <v>7995087</v>
      </c>
      <c r="BT8" s="302">
        <f>'[2]PBF Run'!$AN15</f>
        <v>32589817</v>
      </c>
      <c r="BU8" s="302">
        <f>'[2]PBF Run'!$AN15</f>
        <v>32589817</v>
      </c>
      <c r="BV8" s="302">
        <f>'[2]PBF Run'!BI15</f>
        <v>0</v>
      </c>
      <c r="BW8" s="303">
        <f>'[2]PBF Run'!BH15</f>
        <v>0</v>
      </c>
      <c r="BX8" s="278">
        <f t="shared" si="30"/>
        <v>69532</v>
      </c>
      <c r="BY8" s="278">
        <f t="shared" si="12"/>
        <v>32589817</v>
      </c>
      <c r="BZ8" s="302">
        <f>'[2]As of 13-14 R1'!BP15</f>
        <v>0</v>
      </c>
      <c r="CA8" s="302">
        <f>'[2]As of 13-14 R1'!BQ15</f>
        <v>0</v>
      </c>
      <c r="CB8" s="302">
        <f>'[2]As of 13-14 R1'!BR15</f>
        <v>0</v>
      </c>
      <c r="CC8" s="278">
        <f t="shared" si="13"/>
        <v>0</v>
      </c>
      <c r="CD8" s="301">
        <f>'[2]Growth Deficit'!$D$2</f>
        <v>0</v>
      </c>
      <c r="CE8" s="300">
        <f>IF($CS8="S",'[2]Foundation Grant'!C15,0)</f>
        <v>0</v>
      </c>
      <c r="CF8" s="300">
        <f>IF($CS8="S",'[2]Foundation Grant'!D15,0)</f>
        <v>0</v>
      </c>
      <c r="CG8" s="300">
        <f>IF($CS8="S",'[2]Foundation Grant'!E15,0)</f>
        <v>0</v>
      </c>
      <c r="CH8" s="300">
        <f>IF($CS8="S",'[2]Foundation Grant'!F15,0)</f>
        <v>0</v>
      </c>
      <c r="CI8" s="300">
        <f>IF($CS8="M",'[2]Foundation Grant'!C15,0)</f>
        <v>0</v>
      </c>
      <c r="CJ8" s="300">
        <f>IF($CS8="M",'[2]Foundation Grant'!D15,0)</f>
        <v>1</v>
      </c>
      <c r="CK8" s="300">
        <f>IF($CS8="M",'[2]Foundation Grant'!E15,0)</f>
        <v>1</v>
      </c>
      <c r="CL8" s="300">
        <f>IF($CS8="M",'[2]Foundation Grant'!F15,0)</f>
        <v>2</v>
      </c>
      <c r="CM8" s="300">
        <f>'[2]Foundation Grant'!G15</f>
        <v>0</v>
      </c>
      <c r="CN8" s="300">
        <f>'[2]Foundation Grant'!H15</f>
        <v>0</v>
      </c>
      <c r="CO8" s="300">
        <f>'[2]Foundation Grant'!I15</f>
        <v>0</v>
      </c>
      <c r="CP8" s="300">
        <f>'[2]Foundation Grant'!J15</f>
        <v>0</v>
      </c>
      <c r="CQ8" s="300">
        <f>'[2]Foundation Grant'!K15</f>
        <v>0</v>
      </c>
      <c r="CR8" s="299">
        <f>'[2]Foundation Grant'!L15</f>
        <v>0</v>
      </c>
      <c r="CS8" s="300" t="str">
        <f>'[2]Foundation Grant'!M15</f>
        <v>M</v>
      </c>
      <c r="CT8" s="300">
        <f>'[2]Foundation Grant'!N15</f>
        <v>7309670</v>
      </c>
      <c r="CU8" s="299">
        <f>'[2]Foundation Grant'!O15</f>
        <v>0</v>
      </c>
      <c r="CV8" s="299">
        <f>'[2]Foundation Grant'!P15</f>
        <v>0</v>
      </c>
      <c r="CW8" s="298">
        <f>'[2]Foundation Grant'!$C$1</f>
        <v>5622823</v>
      </c>
      <c r="CX8" s="298">
        <f>'[2]Foundation Grant'!$D$1</f>
        <v>4498258</v>
      </c>
      <c r="CY8" s="298">
        <f>'[2]Foundation Grant'!$E$1</f>
        <v>3373694</v>
      </c>
      <c r="CZ8" s="298">
        <f>'[2]Foundation Grant'!$C$2</f>
        <v>4498258</v>
      </c>
      <c r="DA8" s="298">
        <f>'[2]Foundation Grant'!$D$2</f>
        <v>3935976</v>
      </c>
      <c r="DB8" s="298">
        <f>'[2]Foundation Grant'!$E$2</f>
        <v>3373694</v>
      </c>
      <c r="DC8" s="298">
        <f>'[2]Foundation Grant'!$G$1</f>
        <v>1124565</v>
      </c>
      <c r="DD8" s="298">
        <f>'[2]Foundation Grant'!$H$1</f>
        <v>843423</v>
      </c>
      <c r="DE8" s="298">
        <f>'[2]Foundation Grant'!$I$1</f>
        <v>562282</v>
      </c>
      <c r="DF8" s="298">
        <f>'[2]Foundation Grant'!$J$1</f>
        <v>281141</v>
      </c>
      <c r="DG8" s="298">
        <f>'[2]Foundation Grant'!$K$1</f>
        <v>140571</v>
      </c>
      <c r="DH8" s="298">
        <f>'[2]Foundation Grant'!$O$1</f>
        <v>562282</v>
      </c>
      <c r="DI8" s="298">
        <f>'[2]Foundation Grant'!$P$1</f>
        <v>1124565</v>
      </c>
      <c r="DJ8" s="297">
        <f>'[2]basic allocation'!$C$10</f>
        <v>18749</v>
      </c>
      <c r="DK8" s="297">
        <f>'[2]basic allocation'!$D$10</f>
        <v>9375</v>
      </c>
      <c r="DL8" s="297">
        <f>'[2]basic allocation'!$E$10</f>
        <v>9375</v>
      </c>
      <c r="DM8" s="297">
        <f>'[2]basic allocation'!$I$10</f>
        <v>938</v>
      </c>
      <c r="DN8" s="297">
        <f>'[2]basic allocation'!$J$10</f>
        <v>703</v>
      </c>
      <c r="DO8" s="297">
        <f>'[2]basic allocation'!$K$10</f>
        <v>469</v>
      </c>
      <c r="DP8" s="297">
        <f>'[2]basic allocation'!$L$10</f>
        <v>234</v>
      </c>
      <c r="DQ8" s="297">
        <f>'[2]basic allocation'!$M$10</f>
        <v>100</v>
      </c>
      <c r="DR8" s="296">
        <f>'[2]FTES Adjustment'!DQ15</f>
        <v>-3.1999999919207767E-5</v>
      </c>
      <c r="DS8" s="296">
        <f>'[2]FTES Adjustment'!DR15</f>
        <v>0</v>
      </c>
      <c r="DT8" s="296">
        <f>'[2]FTES Adjustment'!DS15</f>
        <v>0</v>
      </c>
      <c r="DU8" s="277">
        <f t="shared" si="14"/>
        <v>0</v>
      </c>
      <c r="DV8" s="276">
        <f t="shared" si="15"/>
        <v>405.63009599999998</v>
      </c>
      <c r="DW8" s="276">
        <f t="shared" si="16"/>
        <v>-0.75</v>
      </c>
      <c r="DX8" s="276">
        <f t="shared" si="17"/>
        <v>0</v>
      </c>
      <c r="DY8" s="276">
        <f t="shared" si="18"/>
        <v>404.88</v>
      </c>
      <c r="DZ8" s="295">
        <f>ROUND([2]FTES!$D15,3)</f>
        <v>16355.73</v>
      </c>
      <c r="EA8" s="295">
        <f>ROUND([2]FTES!$M15,3)</f>
        <v>100.65</v>
      </c>
      <c r="EB8" s="295">
        <f>ROUND([2]FTES!$V15,3)</f>
        <v>0</v>
      </c>
      <c r="EC8" s="276">
        <f t="shared" si="19"/>
        <v>16456.38</v>
      </c>
      <c r="ED8" s="133">
        <v>0</v>
      </c>
      <c r="EE8" s="294">
        <f>'[2]10-11 WkLd126M'!$E13</f>
        <v>1916711</v>
      </c>
      <c r="EF8" s="295">
        <f>'[2]FTES Adjustment'!CG15</f>
        <v>405.63009599999998</v>
      </c>
      <c r="EG8" s="295">
        <f>'[2]FTES Adjustment'!CH15</f>
        <v>-0.75</v>
      </c>
      <c r="EH8" s="295">
        <f>'[2]FTES Adjustment'!CI15</f>
        <v>0</v>
      </c>
      <c r="EI8" s="276">
        <f t="shared" si="20"/>
        <v>404.88009599999998</v>
      </c>
      <c r="EJ8" s="294">
        <f>'[2]PBF Run'!$AT15</f>
        <v>0</v>
      </c>
      <c r="EK8" s="294">
        <f>'[2]11-12 Workload Reduction'!H15</f>
        <v>78357577</v>
      </c>
      <c r="EL8" s="294">
        <f>'[2]13-14 $86M Workload Restore'!AI13</f>
        <v>1497099</v>
      </c>
      <c r="EM8" s="294">
        <f>'[2]13-14 $86M Workload Restore'!AC13</f>
        <v>0</v>
      </c>
      <c r="EN8" s="294">
        <f>'[2]13-14 deferrals, growth, EPA 1'!BJ15</f>
        <v>11953693</v>
      </c>
      <c r="EO8" s="293">
        <f t="shared" si="21"/>
        <v>84752734</v>
      </c>
      <c r="EP8" s="292">
        <v>0</v>
      </c>
      <c r="EQ8" s="292">
        <v>0</v>
      </c>
      <c r="ER8" s="292">
        <v>0</v>
      </c>
      <c r="ES8" s="16">
        <f t="shared" si="22"/>
        <v>0</v>
      </c>
    </row>
    <row r="9" spans="1:149">
      <c r="A9" s="291" t="s">
        <v>257</v>
      </c>
      <c r="B9" s="290" t="str">
        <f t="shared" si="23"/>
        <v>P2</v>
      </c>
      <c r="C9" s="285" t="s">
        <v>387</v>
      </c>
      <c r="D9" s="289" t="s">
        <v>386</v>
      </c>
      <c r="E9" s="288">
        <f>ROUND('[2]PBF Run'!N16,6)</f>
        <v>4636.4928339999997</v>
      </c>
      <c r="F9" s="285">
        <f t="shared" si="24"/>
        <v>4675.9030433300004</v>
      </c>
      <c r="G9" s="285">
        <f t="shared" si="25"/>
        <v>2788.0536374600001</v>
      </c>
      <c r="H9" s="285">
        <f t="shared" si="26"/>
        <v>2811.7520933800001</v>
      </c>
      <c r="I9" s="285">
        <f t="shared" si="27"/>
        <v>3282.8110613200001</v>
      </c>
      <c r="J9" s="285">
        <f t="shared" si="28"/>
        <v>3310.71495534</v>
      </c>
      <c r="K9" s="308">
        <f>ROUND([2]FTES!C16,3)</f>
        <v>13680.449000000001</v>
      </c>
      <c r="L9" s="308">
        <f>ROUND([2]FTES!F16,3)</f>
        <v>0</v>
      </c>
      <c r="M9" s="308">
        <f>ROUND('[2]Growth Deficit'!AG16,3)</f>
        <v>0</v>
      </c>
      <c r="N9" s="308">
        <f>ROUND([2]FTES!I16,3)</f>
        <v>0</v>
      </c>
      <c r="O9" s="308">
        <f>ROUND([2]FTES!E16,3)</f>
        <v>14251.65</v>
      </c>
      <c r="P9" s="308">
        <f>ROUND([2]FTES!L16,3)</f>
        <v>336.87</v>
      </c>
      <c r="Q9" s="308">
        <f>ROUND([2]FTES!O16,3)</f>
        <v>0</v>
      </c>
      <c r="R9" s="308">
        <f>ROUND('[2]Growth Deficit'!$AH16,3)</f>
        <v>0</v>
      </c>
      <c r="S9" s="308">
        <f>ROUND([2]FTES!R16,3)</f>
        <v>0</v>
      </c>
      <c r="T9" s="308">
        <f>ROUND([2]FTES!N16,3)</f>
        <v>314.25</v>
      </c>
      <c r="U9" s="308">
        <f>ROUND([2]FTES!U16,3)</f>
        <v>0</v>
      </c>
      <c r="V9" s="308">
        <f>ROUND([2]FTES!X16,3)</f>
        <v>0</v>
      </c>
      <c r="W9" s="308">
        <f>ROUND('[2]Growth Deficit'!$AI16,3)</f>
        <v>0</v>
      </c>
      <c r="X9" s="308">
        <f>ROUND([2]FTES!AA16,3)</f>
        <v>0</v>
      </c>
      <c r="Y9" s="308">
        <f>ROUND([2]FTES!W16,3)</f>
        <v>0</v>
      </c>
      <c r="Z9" s="307">
        <f>'[2]FTES Adjustment'!CW16</f>
        <v>14251.649949999999</v>
      </c>
      <c r="AA9" s="307">
        <f>'[2]FTES Adjustment'!CX16</f>
        <v>314.25</v>
      </c>
      <c r="AB9" s="307">
        <f>'[2]FTES Adjustment'!CY16</f>
        <v>0</v>
      </c>
      <c r="AC9" s="275">
        <f t="shared" si="0"/>
        <v>14017.319</v>
      </c>
      <c r="AD9" s="275">
        <f t="shared" si="1"/>
        <v>0</v>
      </c>
      <c r="AE9" s="275">
        <f t="shared" si="2"/>
        <v>0</v>
      </c>
      <c r="AF9" s="275">
        <f t="shared" si="3"/>
        <v>0</v>
      </c>
      <c r="AG9" s="275">
        <f t="shared" si="4"/>
        <v>14565.9</v>
      </c>
      <c r="AH9" s="275">
        <f t="shared" si="5"/>
        <v>14565.9</v>
      </c>
      <c r="AI9" s="302">
        <f>'[2]PBF Run'!F16</f>
        <v>6747388</v>
      </c>
      <c r="AJ9" s="302">
        <f>'[2]PBF Run'!H16+'[2]PBF Run'!I16+'[2]PBF Run'!J16+'[2]PBF Run'!L16</f>
        <v>64368517</v>
      </c>
      <c r="AK9" s="306">
        <f>'[2]PBF Run'!J16 + '[2]PBF Run'!$L16</f>
        <v>63429305</v>
      </c>
      <c r="AL9" s="302">
        <f>'[2]PBF Run'!H16</f>
        <v>939212</v>
      </c>
      <c r="AM9" s="302">
        <f>'[2]PBF Run'!I16</f>
        <v>0</v>
      </c>
      <c r="AN9" s="305">
        <f>'[2]Restoration and Growth'!BM16</f>
        <v>0</v>
      </c>
      <c r="AO9" s="278">
        <f t="shared" si="6"/>
        <v>71115905</v>
      </c>
      <c r="AP9" s="285" t="str">
        <f t="shared" si="29"/>
        <v>0.85%</v>
      </c>
      <c r="AQ9" s="302">
        <f>'[2]PBF Run'!O16</f>
        <v>604485</v>
      </c>
      <c r="AR9" s="278">
        <f t="shared" si="7"/>
        <v>71720390</v>
      </c>
      <c r="AS9" s="302">
        <f>'[2]PBF Run'!$AD16</f>
        <v>0</v>
      </c>
      <c r="AT9" s="302">
        <f>'[2]PBF Run'!$T16</f>
        <v>0</v>
      </c>
      <c r="AU9" s="278">
        <f t="shared" si="8"/>
        <v>2855980</v>
      </c>
      <c r="AV9" s="304">
        <f>'[2]Restoration and Growth'!BT16</f>
        <v>0</v>
      </c>
      <c r="AW9" s="304" t="str">
        <f>'[2]Restoration and Growth'!AP16</f>
        <v>Y</v>
      </c>
      <c r="AX9" s="302">
        <f>'[2]Restoration and Growth'!CV16</f>
        <v>0</v>
      </c>
      <c r="AY9" s="302">
        <f>'[2]Growth Deficit'!$AO16</f>
        <v>0</v>
      </c>
      <c r="AZ9" s="302">
        <f>'[2]Growth Deficit'!AO16</f>
        <v>0</v>
      </c>
      <c r="BA9" s="302">
        <f>'[2]Growth Deficit'!AL16</f>
        <v>0</v>
      </c>
      <c r="BB9" s="302">
        <f>'[2]Growth Deficit'!AM16</f>
        <v>0</v>
      </c>
      <c r="BC9" s="302">
        <f>'[2]Growth Deficit'!AN16</f>
        <v>0</v>
      </c>
      <c r="BD9" s="302">
        <f>'[2]Growth Deficit'!AO16</f>
        <v>0</v>
      </c>
      <c r="BE9" s="302">
        <f>'[2]PBF Run'!AA16</f>
        <v>0</v>
      </c>
      <c r="BF9" s="302">
        <f>'[2]PBF Run'!AB16</f>
        <v>0</v>
      </c>
      <c r="BG9" s="302">
        <f>'[2]PBF Run'!AC16</f>
        <v>0</v>
      </c>
      <c r="BH9" s="302">
        <f>'[2]PBF Run'!AD16</f>
        <v>0</v>
      </c>
      <c r="BI9" s="278">
        <f t="shared" si="9"/>
        <v>0</v>
      </c>
      <c r="BJ9" s="302">
        <f>'[2]PBF Run'!X16</f>
        <v>0</v>
      </c>
      <c r="BK9" s="302">
        <f>'[2]PBF Run'!AE16</f>
        <v>74327667</v>
      </c>
      <c r="BL9" s="282">
        <f t="shared" si="10"/>
        <v>0.98518542227351225</v>
      </c>
      <c r="BM9" s="302">
        <f>'[2]PBF Run'!AM16</f>
        <v>1101133</v>
      </c>
      <c r="BN9" s="302">
        <f>'[2]PBF Run'!$AN16</f>
        <v>39970457</v>
      </c>
      <c r="BO9" s="302">
        <f>'[2]PBF Run'!$AO16</f>
        <v>0</v>
      </c>
      <c r="BP9" s="302">
        <f>'[2]PBF Run'!AC16</f>
        <v>0</v>
      </c>
      <c r="BQ9" s="278">
        <f t="shared" si="11"/>
        <v>39970457</v>
      </c>
      <c r="BR9" s="302">
        <f>'[2]PBF Run'!AJ16</f>
        <v>17278686</v>
      </c>
      <c r="BS9" s="302">
        <f>'[2]PBF Run'!AI16</f>
        <v>4547200</v>
      </c>
      <c r="BT9" s="302">
        <f>'[2]PBF Run'!$AN16</f>
        <v>39970457</v>
      </c>
      <c r="BU9" s="302">
        <f>'[2]PBF Run'!$AN16</f>
        <v>39970457</v>
      </c>
      <c r="BV9" s="302">
        <f>'[2]PBF Run'!BI16</f>
        <v>0</v>
      </c>
      <c r="BW9" s="303">
        <f>'[2]PBF Run'!BH16</f>
        <v>0</v>
      </c>
      <c r="BX9" s="278">
        <f t="shared" si="30"/>
        <v>69532</v>
      </c>
      <c r="BY9" s="278">
        <f t="shared" si="12"/>
        <v>39970457</v>
      </c>
      <c r="BZ9" s="302">
        <f>'[2]As of 13-14 R1'!BP16</f>
        <v>0</v>
      </c>
      <c r="CA9" s="302">
        <f>'[2]As of 13-14 R1'!BQ16</f>
        <v>0</v>
      </c>
      <c r="CB9" s="302">
        <f>'[2]As of 13-14 R1'!BR16</f>
        <v>5134387</v>
      </c>
      <c r="CC9" s="278">
        <f t="shared" si="13"/>
        <v>5134387</v>
      </c>
      <c r="CD9" s="301">
        <f>'[2]Growth Deficit'!$D$2</f>
        <v>0</v>
      </c>
      <c r="CE9" s="300">
        <f>IF($CS9="S",'[2]Foundation Grant'!C16,0)</f>
        <v>0</v>
      </c>
      <c r="CF9" s="300">
        <f>IF($CS9="S",'[2]Foundation Grant'!D16,0)</f>
        <v>1</v>
      </c>
      <c r="CG9" s="300">
        <f>IF($CS9="S",'[2]Foundation Grant'!E16,0)</f>
        <v>0</v>
      </c>
      <c r="CH9" s="300">
        <f>IF($CS9="S",'[2]Foundation Grant'!F16,0)</f>
        <v>1</v>
      </c>
      <c r="CI9" s="300">
        <f>IF($CS9="M",'[2]Foundation Grant'!C16,0)</f>
        <v>0</v>
      </c>
      <c r="CJ9" s="300">
        <f>IF($CS9="M",'[2]Foundation Grant'!D16,0)</f>
        <v>0</v>
      </c>
      <c r="CK9" s="300">
        <f>IF($CS9="M",'[2]Foundation Grant'!E16,0)</f>
        <v>0</v>
      </c>
      <c r="CL9" s="300">
        <f>IF($CS9="M",'[2]Foundation Grant'!F16,0)</f>
        <v>0</v>
      </c>
      <c r="CM9" s="300">
        <f>'[2]Foundation Grant'!G16</f>
        <v>0</v>
      </c>
      <c r="CN9" s="300">
        <f>'[2]Foundation Grant'!H16</f>
        <v>0</v>
      </c>
      <c r="CO9" s="300">
        <f>'[2]Foundation Grant'!I16</f>
        <v>0</v>
      </c>
      <c r="CP9" s="300">
        <f>'[2]Foundation Grant'!J16</f>
        <v>0</v>
      </c>
      <c r="CQ9" s="300">
        <f>'[2]Foundation Grant'!K16</f>
        <v>0</v>
      </c>
      <c r="CR9" s="299">
        <f>'[2]Foundation Grant'!L16</f>
        <v>0</v>
      </c>
      <c r="CS9" s="300" t="str">
        <f>'[2]Foundation Grant'!M16</f>
        <v>S</v>
      </c>
      <c r="CT9" s="300">
        <f>'[2]Foundation Grant'!N16</f>
        <v>6747388</v>
      </c>
      <c r="CU9" s="299">
        <f>'[2]Foundation Grant'!O16</f>
        <v>0</v>
      </c>
      <c r="CV9" s="299">
        <f>'[2]Foundation Grant'!P16</f>
        <v>2</v>
      </c>
      <c r="CW9" s="298">
        <f>'[2]Foundation Grant'!$C$1</f>
        <v>5622823</v>
      </c>
      <c r="CX9" s="298">
        <f>'[2]Foundation Grant'!$D$1</f>
        <v>4498258</v>
      </c>
      <c r="CY9" s="298">
        <f>'[2]Foundation Grant'!$E$1</f>
        <v>3373694</v>
      </c>
      <c r="CZ9" s="298">
        <f>'[2]Foundation Grant'!$C$2</f>
        <v>4498258</v>
      </c>
      <c r="DA9" s="298">
        <f>'[2]Foundation Grant'!$D$2</f>
        <v>3935976</v>
      </c>
      <c r="DB9" s="298">
        <f>'[2]Foundation Grant'!$E$2</f>
        <v>3373694</v>
      </c>
      <c r="DC9" s="298">
        <f>'[2]Foundation Grant'!$G$1</f>
        <v>1124565</v>
      </c>
      <c r="DD9" s="298">
        <f>'[2]Foundation Grant'!$H$1</f>
        <v>843423</v>
      </c>
      <c r="DE9" s="298">
        <f>'[2]Foundation Grant'!$I$1</f>
        <v>562282</v>
      </c>
      <c r="DF9" s="298">
        <f>'[2]Foundation Grant'!$J$1</f>
        <v>281141</v>
      </c>
      <c r="DG9" s="298">
        <f>'[2]Foundation Grant'!$K$1</f>
        <v>140571</v>
      </c>
      <c r="DH9" s="298">
        <f>'[2]Foundation Grant'!$O$1</f>
        <v>562282</v>
      </c>
      <c r="DI9" s="298">
        <f>'[2]Foundation Grant'!$P$1</f>
        <v>1124565</v>
      </c>
      <c r="DJ9" s="297">
        <f>'[2]basic allocation'!$C$10</f>
        <v>18749</v>
      </c>
      <c r="DK9" s="297">
        <f>'[2]basic allocation'!$D$10</f>
        <v>9375</v>
      </c>
      <c r="DL9" s="297">
        <f>'[2]basic allocation'!$E$10</f>
        <v>9375</v>
      </c>
      <c r="DM9" s="297">
        <f>'[2]basic allocation'!$I$10</f>
        <v>938</v>
      </c>
      <c r="DN9" s="297">
        <f>'[2]basic allocation'!$J$10</f>
        <v>703</v>
      </c>
      <c r="DO9" s="297">
        <f>'[2]basic allocation'!$K$10</f>
        <v>469</v>
      </c>
      <c r="DP9" s="297">
        <f>'[2]basic allocation'!$L$10</f>
        <v>234</v>
      </c>
      <c r="DQ9" s="297">
        <f>'[2]basic allocation'!$M$10</f>
        <v>100</v>
      </c>
      <c r="DR9" s="296">
        <f>'[2]FTES Adjustment'!DQ16</f>
        <v>5.0000000555883162E-5</v>
      </c>
      <c r="DS9" s="296">
        <f>'[2]FTES Adjustment'!DR16</f>
        <v>0</v>
      </c>
      <c r="DT9" s="296">
        <f>'[2]FTES Adjustment'!DS16</f>
        <v>0</v>
      </c>
      <c r="DU9" s="277">
        <f t="shared" si="14"/>
        <v>0</v>
      </c>
      <c r="DV9" s="276">
        <f t="shared" si="15"/>
        <v>571.20068000000003</v>
      </c>
      <c r="DW9" s="276">
        <f t="shared" si="16"/>
        <v>-22.620000000000005</v>
      </c>
      <c r="DX9" s="276">
        <f t="shared" si="17"/>
        <v>0</v>
      </c>
      <c r="DY9" s="276">
        <f t="shared" si="18"/>
        <v>548.58100000000002</v>
      </c>
      <c r="DZ9" s="295">
        <f>ROUND([2]FTES!$D16,3)</f>
        <v>13680.449000000001</v>
      </c>
      <c r="EA9" s="295">
        <f>ROUND([2]FTES!$M16,3)</f>
        <v>336.87</v>
      </c>
      <c r="EB9" s="295">
        <f>ROUND([2]FTES!$V16,3)</f>
        <v>0</v>
      </c>
      <c r="EC9" s="276">
        <f t="shared" si="19"/>
        <v>14017.319</v>
      </c>
      <c r="ED9" s="133">
        <v>0</v>
      </c>
      <c r="EE9" s="294">
        <f>'[2]10-11 WkLd126M'!$E14</f>
        <v>1627870</v>
      </c>
      <c r="EF9" s="295">
        <f>'[2]FTES Adjustment'!CG16</f>
        <v>571.20068000000003</v>
      </c>
      <c r="EG9" s="295">
        <f>'[2]FTES Adjustment'!CH16</f>
        <v>-22.620000000000005</v>
      </c>
      <c r="EH9" s="295">
        <f>'[2]FTES Adjustment'!CI16</f>
        <v>0</v>
      </c>
      <c r="EI9" s="276">
        <f t="shared" si="20"/>
        <v>548.58068000000003</v>
      </c>
      <c r="EJ9" s="294">
        <f>'[2]PBF Run'!$AT16</f>
        <v>0</v>
      </c>
      <c r="EK9" s="294">
        <f>'[2]11-12 Workload Reduction'!H16</f>
        <v>65575111</v>
      </c>
      <c r="EL9" s="294">
        <f>'[2]13-14 $86M Workload Restore'!AI14</f>
        <v>1647259</v>
      </c>
      <c r="EM9" s="294">
        <f>'[2]13-14 $86M Workload Restore'!AC14</f>
        <v>1208721</v>
      </c>
      <c r="EN9" s="294">
        <f>'[2]13-14 deferrals, growth, EPA 1'!BJ16</f>
        <v>10614487</v>
      </c>
      <c r="EO9" s="293">
        <f t="shared" si="21"/>
        <v>73226534</v>
      </c>
      <c r="EP9" s="292">
        <v>0</v>
      </c>
      <c r="EQ9" s="292">
        <v>0</v>
      </c>
      <c r="ER9" s="292">
        <v>0</v>
      </c>
      <c r="ES9" s="16">
        <f t="shared" si="22"/>
        <v>0</v>
      </c>
    </row>
    <row r="10" spans="1:149">
      <c r="A10" s="291" t="s">
        <v>257</v>
      </c>
      <c r="B10" s="290" t="str">
        <f t="shared" si="23"/>
        <v>P2</v>
      </c>
      <c r="C10" s="285" t="s">
        <v>385</v>
      </c>
      <c r="D10" s="289" t="s">
        <v>384</v>
      </c>
      <c r="E10" s="288">
        <f>ROUND('[2]PBF Run'!N17,6)</f>
        <v>4636.4928870000003</v>
      </c>
      <c r="F10" s="285">
        <f t="shared" si="24"/>
        <v>4675.9030433300004</v>
      </c>
      <c r="G10" s="285">
        <f t="shared" si="25"/>
        <v>2788.0536374600001</v>
      </c>
      <c r="H10" s="285">
        <f t="shared" si="26"/>
        <v>2811.7520933800001</v>
      </c>
      <c r="I10" s="285">
        <f t="shared" si="27"/>
        <v>3282.8110613200001</v>
      </c>
      <c r="J10" s="285">
        <f t="shared" si="28"/>
        <v>3310.71495534</v>
      </c>
      <c r="K10" s="308">
        <f>ROUND([2]FTES!C17,3)</f>
        <v>10659.058000000001</v>
      </c>
      <c r="L10" s="308">
        <f>ROUND([2]FTES!F17,3)</f>
        <v>0</v>
      </c>
      <c r="M10" s="308">
        <f>ROUND('[2]Growth Deficit'!AG17,3)</f>
        <v>0</v>
      </c>
      <c r="N10" s="308">
        <f>ROUND([2]FTES!I17,3)</f>
        <v>0</v>
      </c>
      <c r="O10" s="308">
        <f>ROUND([2]FTES!E17,3)</f>
        <v>11323.51</v>
      </c>
      <c r="P10" s="308">
        <f>ROUND([2]FTES!L17,3)</f>
        <v>260.43</v>
      </c>
      <c r="Q10" s="308">
        <f>ROUND([2]FTES!O17,3)</f>
        <v>0</v>
      </c>
      <c r="R10" s="308">
        <f>ROUND('[2]Growth Deficit'!$AH17,3)</f>
        <v>0</v>
      </c>
      <c r="S10" s="308">
        <f>ROUND([2]FTES!R17,3)</f>
        <v>0</v>
      </c>
      <c r="T10" s="308">
        <f>ROUND([2]FTES!N17,3)</f>
        <v>308.69</v>
      </c>
      <c r="U10" s="308">
        <f>ROUND([2]FTES!U17,3)</f>
        <v>0</v>
      </c>
      <c r="V10" s="308">
        <f>ROUND([2]FTES!X17,3)</f>
        <v>0</v>
      </c>
      <c r="W10" s="308">
        <f>ROUND('[2]Growth Deficit'!$AI17,3)</f>
        <v>0</v>
      </c>
      <c r="X10" s="308">
        <f>ROUND([2]FTES!AA17,3)</f>
        <v>0</v>
      </c>
      <c r="Y10" s="308">
        <f>ROUND([2]FTES!W17,3)</f>
        <v>26.94</v>
      </c>
      <c r="Z10" s="307">
        <f>'[2]FTES Adjustment'!CW17</f>
        <v>11155.51705</v>
      </c>
      <c r="AA10" s="307">
        <f>'[2]FTES Adjustment'!CX17</f>
        <v>308.69</v>
      </c>
      <c r="AB10" s="307">
        <f>'[2]FTES Adjustment'!CY17</f>
        <v>26.94</v>
      </c>
      <c r="AC10" s="275">
        <f t="shared" si="0"/>
        <v>10919.487999999999</v>
      </c>
      <c r="AD10" s="275">
        <f t="shared" si="1"/>
        <v>0</v>
      </c>
      <c r="AE10" s="275">
        <f t="shared" si="2"/>
        <v>0</v>
      </c>
      <c r="AF10" s="275">
        <f t="shared" si="3"/>
        <v>0</v>
      </c>
      <c r="AG10" s="275">
        <f t="shared" si="4"/>
        <v>11659.14</v>
      </c>
      <c r="AH10" s="275">
        <f t="shared" si="5"/>
        <v>11491.147000000001</v>
      </c>
      <c r="AI10" s="302">
        <f>'[2]PBF Run'!F17</f>
        <v>4498258</v>
      </c>
      <c r="AJ10" s="302">
        <f>'[2]PBF Run'!H17+'[2]PBF Run'!I17+'[2]PBF Run'!J17+'[2]PBF Run'!L17</f>
        <v>50146738</v>
      </c>
      <c r="AK10" s="306">
        <f>'[2]PBF Run'!J17 + '[2]PBF Run'!$L17</f>
        <v>49420645</v>
      </c>
      <c r="AL10" s="302">
        <f>'[2]PBF Run'!H17</f>
        <v>726093</v>
      </c>
      <c r="AM10" s="302">
        <f>'[2]PBF Run'!I17</f>
        <v>0</v>
      </c>
      <c r="AN10" s="305">
        <f>'[2]Restoration and Growth'!BM17</f>
        <v>0</v>
      </c>
      <c r="AO10" s="278">
        <f t="shared" si="6"/>
        <v>54644996</v>
      </c>
      <c r="AP10" s="285" t="str">
        <f t="shared" si="29"/>
        <v>0.85%</v>
      </c>
      <c r="AQ10" s="302">
        <f>'[2]PBF Run'!O17</f>
        <v>464482</v>
      </c>
      <c r="AR10" s="278">
        <f t="shared" si="7"/>
        <v>55109478</v>
      </c>
      <c r="AS10" s="302">
        <f>'[2]PBF Run'!$AD17</f>
        <v>0</v>
      </c>
      <c r="AT10" s="302">
        <f>'[2]PBF Run'!$T17</f>
        <v>0</v>
      </c>
      <c r="AU10" s="278">
        <f t="shared" si="8"/>
        <v>1332871</v>
      </c>
      <c r="AV10" s="304">
        <f>'[2]Restoration and Growth'!BT17</f>
        <v>0</v>
      </c>
      <c r="AW10" s="304" t="str">
        <f>'[2]Restoration and Growth'!AP17</f>
        <v>Y</v>
      </c>
      <c r="AX10" s="302">
        <f>'[2]Restoration and Growth'!CV17</f>
        <v>0</v>
      </c>
      <c r="AY10" s="302">
        <f>'[2]Growth Deficit'!$AO17</f>
        <v>0</v>
      </c>
      <c r="AZ10" s="302">
        <f>'[2]Growth Deficit'!AO17</f>
        <v>0</v>
      </c>
      <c r="BA10" s="302">
        <f>'[2]Growth Deficit'!AL17</f>
        <v>0</v>
      </c>
      <c r="BB10" s="302">
        <f>'[2]Growth Deficit'!AM17</f>
        <v>0</v>
      </c>
      <c r="BC10" s="302">
        <f>'[2]Growth Deficit'!AN17</f>
        <v>0</v>
      </c>
      <c r="BD10" s="302">
        <f>'[2]Growth Deficit'!AO17</f>
        <v>0</v>
      </c>
      <c r="BE10" s="302">
        <f>'[2]PBF Run'!AA17</f>
        <v>0</v>
      </c>
      <c r="BF10" s="302">
        <f>'[2]PBF Run'!AB17</f>
        <v>0</v>
      </c>
      <c r="BG10" s="302">
        <f>'[2]PBF Run'!AC17</f>
        <v>0</v>
      </c>
      <c r="BH10" s="302">
        <f>'[2]PBF Run'!AD17</f>
        <v>0</v>
      </c>
      <c r="BI10" s="278">
        <f t="shared" si="9"/>
        <v>0</v>
      </c>
      <c r="BJ10" s="302">
        <f>'[2]PBF Run'!X17</f>
        <v>0</v>
      </c>
      <c r="BK10" s="302">
        <f>'[2]PBF Run'!AE17</f>
        <v>57655760</v>
      </c>
      <c r="BL10" s="282">
        <f t="shared" si="10"/>
        <v>0.98518541772756096</v>
      </c>
      <c r="BM10" s="302">
        <f>'[2]PBF Run'!AM17</f>
        <v>854146</v>
      </c>
      <c r="BN10" s="302">
        <f>'[2]PBF Run'!$AN17</f>
        <v>39114864</v>
      </c>
      <c r="BO10" s="302">
        <f>'[2]PBF Run'!$AO17</f>
        <v>0</v>
      </c>
      <c r="BP10" s="302">
        <f>'[2]PBF Run'!AC17</f>
        <v>0</v>
      </c>
      <c r="BQ10" s="278">
        <f t="shared" si="11"/>
        <v>39114864</v>
      </c>
      <c r="BR10" s="302">
        <f>'[2]PBF Run'!AJ17</f>
        <v>4875887</v>
      </c>
      <c r="BS10" s="302">
        <f>'[2]PBF Run'!AI17</f>
        <v>4026230</v>
      </c>
      <c r="BT10" s="302">
        <f>'[2]PBF Run'!$AN17</f>
        <v>39114864</v>
      </c>
      <c r="BU10" s="302">
        <f>'[2]PBF Run'!$AN17</f>
        <v>39114864</v>
      </c>
      <c r="BV10" s="302">
        <f>'[2]PBF Run'!BI17</f>
        <v>0</v>
      </c>
      <c r="BW10" s="303">
        <f>'[2]PBF Run'!BH17</f>
        <v>0</v>
      </c>
      <c r="BX10" s="278">
        <f t="shared" si="30"/>
        <v>69532</v>
      </c>
      <c r="BY10" s="278">
        <f t="shared" si="12"/>
        <v>39114864</v>
      </c>
      <c r="BZ10" s="302">
        <f>'[2]As of 13-14 R1'!BP17</f>
        <v>0</v>
      </c>
      <c r="CA10" s="302">
        <f>'[2]As of 13-14 R1'!BQ17</f>
        <v>0</v>
      </c>
      <c r="CB10" s="302">
        <f>'[2]As of 13-14 R1'!BR17</f>
        <v>0</v>
      </c>
      <c r="CC10" s="278">
        <f t="shared" si="13"/>
        <v>0</v>
      </c>
      <c r="CD10" s="301">
        <f>'[2]Growth Deficit'!$D$2</f>
        <v>0</v>
      </c>
      <c r="CE10" s="300">
        <f>IF($CS10="S",'[2]Foundation Grant'!C17,0)</f>
        <v>0</v>
      </c>
      <c r="CF10" s="300">
        <f>IF($CS10="S",'[2]Foundation Grant'!D17,0)</f>
        <v>1</v>
      </c>
      <c r="CG10" s="300">
        <f>IF($CS10="S",'[2]Foundation Grant'!E17,0)</f>
        <v>0</v>
      </c>
      <c r="CH10" s="300">
        <f>IF($CS10="S",'[2]Foundation Grant'!F17,0)</f>
        <v>1</v>
      </c>
      <c r="CI10" s="300">
        <f>IF($CS10="M",'[2]Foundation Grant'!C17,0)</f>
        <v>0</v>
      </c>
      <c r="CJ10" s="300">
        <f>IF($CS10="M",'[2]Foundation Grant'!D17,0)</f>
        <v>0</v>
      </c>
      <c r="CK10" s="300">
        <f>IF($CS10="M",'[2]Foundation Grant'!E17,0)</f>
        <v>0</v>
      </c>
      <c r="CL10" s="300">
        <f>IF($CS10="M",'[2]Foundation Grant'!F17,0)</f>
        <v>0</v>
      </c>
      <c r="CM10" s="300">
        <f>'[2]Foundation Grant'!G17</f>
        <v>0</v>
      </c>
      <c r="CN10" s="300">
        <f>'[2]Foundation Grant'!H17</f>
        <v>0</v>
      </c>
      <c r="CO10" s="300">
        <f>'[2]Foundation Grant'!I17</f>
        <v>0</v>
      </c>
      <c r="CP10" s="300">
        <f>'[2]Foundation Grant'!J17</f>
        <v>0</v>
      </c>
      <c r="CQ10" s="300">
        <f>'[2]Foundation Grant'!K17</f>
        <v>0</v>
      </c>
      <c r="CR10" s="299">
        <f>'[2]Foundation Grant'!L17</f>
        <v>0</v>
      </c>
      <c r="CS10" s="300" t="str">
        <f>'[2]Foundation Grant'!M17</f>
        <v>S</v>
      </c>
      <c r="CT10" s="300">
        <f>'[2]Foundation Grant'!N17</f>
        <v>4498258</v>
      </c>
      <c r="CU10" s="299">
        <f>'[2]Foundation Grant'!O17</f>
        <v>0</v>
      </c>
      <c r="CV10" s="299">
        <f>'[2]Foundation Grant'!P17</f>
        <v>0</v>
      </c>
      <c r="CW10" s="298">
        <f>'[2]Foundation Grant'!$C$1</f>
        <v>5622823</v>
      </c>
      <c r="CX10" s="298">
        <f>'[2]Foundation Grant'!$D$1</f>
        <v>4498258</v>
      </c>
      <c r="CY10" s="298">
        <f>'[2]Foundation Grant'!$E$1</f>
        <v>3373694</v>
      </c>
      <c r="CZ10" s="298">
        <f>'[2]Foundation Grant'!$C$2</f>
        <v>4498258</v>
      </c>
      <c r="DA10" s="298">
        <f>'[2]Foundation Grant'!$D$2</f>
        <v>3935976</v>
      </c>
      <c r="DB10" s="298">
        <f>'[2]Foundation Grant'!$E$2</f>
        <v>3373694</v>
      </c>
      <c r="DC10" s="298">
        <f>'[2]Foundation Grant'!$G$1</f>
        <v>1124565</v>
      </c>
      <c r="DD10" s="298">
        <f>'[2]Foundation Grant'!$H$1</f>
        <v>843423</v>
      </c>
      <c r="DE10" s="298">
        <f>'[2]Foundation Grant'!$I$1</f>
        <v>562282</v>
      </c>
      <c r="DF10" s="298">
        <f>'[2]Foundation Grant'!$J$1</f>
        <v>281141</v>
      </c>
      <c r="DG10" s="298">
        <f>'[2]Foundation Grant'!$K$1</f>
        <v>140571</v>
      </c>
      <c r="DH10" s="298">
        <f>'[2]Foundation Grant'!$O$1</f>
        <v>562282</v>
      </c>
      <c r="DI10" s="298">
        <f>'[2]Foundation Grant'!$P$1</f>
        <v>1124565</v>
      </c>
      <c r="DJ10" s="297">
        <f>'[2]basic allocation'!$C$10</f>
        <v>18749</v>
      </c>
      <c r="DK10" s="297">
        <f>'[2]basic allocation'!$D$10</f>
        <v>9375</v>
      </c>
      <c r="DL10" s="297">
        <f>'[2]basic allocation'!$E$10</f>
        <v>9375</v>
      </c>
      <c r="DM10" s="297">
        <f>'[2]basic allocation'!$I$10</f>
        <v>938</v>
      </c>
      <c r="DN10" s="297">
        <f>'[2]basic allocation'!$J$10</f>
        <v>703</v>
      </c>
      <c r="DO10" s="297">
        <f>'[2]basic allocation'!$K$10</f>
        <v>469</v>
      </c>
      <c r="DP10" s="297">
        <f>'[2]basic allocation'!$L$10</f>
        <v>234</v>
      </c>
      <c r="DQ10" s="297">
        <f>'[2]basic allocation'!$M$10</f>
        <v>100</v>
      </c>
      <c r="DR10" s="296">
        <f>'[2]FTES Adjustment'!DQ17</f>
        <v>167.99294999999984</v>
      </c>
      <c r="DS10" s="296">
        <f>'[2]FTES Adjustment'!DR17</f>
        <v>0</v>
      </c>
      <c r="DT10" s="296">
        <f>'[2]FTES Adjustment'!DS17</f>
        <v>0</v>
      </c>
      <c r="DU10" s="277">
        <f t="shared" si="14"/>
        <v>167.99299999999999</v>
      </c>
      <c r="DV10" s="276">
        <f t="shared" si="15"/>
        <v>496.45939600000003</v>
      </c>
      <c r="DW10" s="276">
        <f t="shared" si="16"/>
        <v>48.26</v>
      </c>
      <c r="DX10" s="276">
        <f t="shared" si="17"/>
        <v>26.94</v>
      </c>
      <c r="DY10" s="276">
        <f t="shared" si="18"/>
        <v>571.65899999999999</v>
      </c>
      <c r="DZ10" s="295">
        <f>ROUND([2]FTES!$D17,3)</f>
        <v>10659.058000000001</v>
      </c>
      <c r="EA10" s="295">
        <f>ROUND([2]FTES!$M17,3)</f>
        <v>260.43</v>
      </c>
      <c r="EB10" s="295">
        <f>ROUND([2]FTES!$V17,3)</f>
        <v>0</v>
      </c>
      <c r="EC10" s="276">
        <f t="shared" si="19"/>
        <v>10919.487999999999</v>
      </c>
      <c r="ED10" s="133">
        <v>0</v>
      </c>
      <c r="EE10" s="294">
        <f>'[2]10-11 WkLd126M'!$E15</f>
        <v>1252073</v>
      </c>
      <c r="EF10" s="295">
        <f>'[2]FTES Adjustment'!CG17</f>
        <v>496.45939600000003</v>
      </c>
      <c r="EG10" s="295">
        <f>'[2]FTES Adjustment'!CH17</f>
        <v>48.26</v>
      </c>
      <c r="EH10" s="295">
        <f>'[2]FTES Adjustment'!CI17</f>
        <v>26.94</v>
      </c>
      <c r="EI10" s="276">
        <f t="shared" si="20"/>
        <v>571.65939600000013</v>
      </c>
      <c r="EJ10" s="294">
        <f>'[2]PBF Run'!$AT17</f>
        <v>0</v>
      </c>
      <c r="EK10" s="294">
        <f>'[2]11-12 Workload Reduction'!H17</f>
        <v>51458769</v>
      </c>
      <c r="EL10" s="294">
        <f>'[2]13-14 $86M Workload Restore'!AI15</f>
        <v>1292654</v>
      </c>
      <c r="EM10" s="294">
        <f>'[2]13-14 $86M Workload Restore'!AC15</f>
        <v>40217</v>
      </c>
      <c r="EN10" s="294">
        <f>'[2]13-14 deferrals, growth, EPA 1'!BJ17</f>
        <v>8033627</v>
      </c>
      <c r="EO10" s="293">
        <f t="shared" si="21"/>
        <v>56801614</v>
      </c>
      <c r="EP10" s="292">
        <v>0</v>
      </c>
      <c r="EQ10" s="292">
        <v>0</v>
      </c>
      <c r="ER10" s="292">
        <v>0</v>
      </c>
      <c r="ES10" s="16">
        <f t="shared" si="22"/>
        <v>0</v>
      </c>
    </row>
    <row r="11" spans="1:149">
      <c r="A11" s="291" t="s">
        <v>257</v>
      </c>
      <c r="B11" s="290" t="str">
        <f t="shared" si="23"/>
        <v>P2</v>
      </c>
      <c r="C11" s="285" t="s">
        <v>383</v>
      </c>
      <c r="D11" s="289" t="s">
        <v>382</v>
      </c>
      <c r="E11" s="288">
        <f>ROUND('[2]PBF Run'!N18,6)</f>
        <v>4636.4928520000003</v>
      </c>
      <c r="F11" s="285">
        <f t="shared" si="24"/>
        <v>4675.9030433300004</v>
      </c>
      <c r="G11" s="285">
        <f t="shared" si="25"/>
        <v>2788.0536374600001</v>
      </c>
      <c r="H11" s="285">
        <f t="shared" si="26"/>
        <v>2811.7520933800001</v>
      </c>
      <c r="I11" s="285">
        <f t="shared" si="27"/>
        <v>3282.8110613200001</v>
      </c>
      <c r="J11" s="285">
        <f t="shared" si="28"/>
        <v>3310.71495534</v>
      </c>
      <c r="K11" s="308">
        <f>ROUND([2]FTES!C18,3)</f>
        <v>32372.95</v>
      </c>
      <c r="L11" s="308">
        <f>ROUND([2]FTES!F18,3)</f>
        <v>0</v>
      </c>
      <c r="M11" s="308">
        <f>ROUND('[2]Growth Deficit'!AG18,3)</f>
        <v>0</v>
      </c>
      <c r="N11" s="308">
        <f>ROUND([2]FTES!I18,3)</f>
        <v>0</v>
      </c>
      <c r="O11" s="308">
        <f>ROUND([2]FTES!E18,3)</f>
        <v>32431.1</v>
      </c>
      <c r="P11" s="308">
        <f>ROUND([2]FTES!L18,3)</f>
        <v>249.49</v>
      </c>
      <c r="Q11" s="308">
        <f>ROUND([2]FTES!O18,3)</f>
        <v>0</v>
      </c>
      <c r="R11" s="308">
        <f>ROUND('[2]Growth Deficit'!$AH18,3)</f>
        <v>0</v>
      </c>
      <c r="S11" s="308">
        <f>ROUND([2]FTES!R18,3)</f>
        <v>0</v>
      </c>
      <c r="T11" s="308">
        <f>ROUND([2]FTES!N18,3)</f>
        <v>209.29</v>
      </c>
      <c r="U11" s="308">
        <f>ROUND([2]FTES!U18,3)</f>
        <v>0</v>
      </c>
      <c r="V11" s="308">
        <f>ROUND([2]FTES!X18,3)</f>
        <v>0</v>
      </c>
      <c r="W11" s="308">
        <f>ROUND('[2]Growth Deficit'!$AI18,3)</f>
        <v>0</v>
      </c>
      <c r="X11" s="308">
        <f>ROUND([2]FTES!AA18,3)</f>
        <v>0</v>
      </c>
      <c r="Y11" s="308">
        <f>ROUND([2]FTES!W18,3)</f>
        <v>0</v>
      </c>
      <c r="Z11" s="307">
        <f>'[2]FTES Adjustment'!CW18</f>
        <v>32431.099994999997</v>
      </c>
      <c r="AA11" s="307">
        <f>'[2]FTES Adjustment'!CX18</f>
        <v>209.29</v>
      </c>
      <c r="AB11" s="307">
        <f>'[2]FTES Adjustment'!CY18</f>
        <v>0</v>
      </c>
      <c r="AC11" s="275">
        <f t="shared" si="0"/>
        <v>32622.44</v>
      </c>
      <c r="AD11" s="275">
        <f t="shared" si="1"/>
        <v>0</v>
      </c>
      <c r="AE11" s="275">
        <f t="shared" si="2"/>
        <v>0</v>
      </c>
      <c r="AF11" s="275">
        <f t="shared" si="3"/>
        <v>0</v>
      </c>
      <c r="AG11" s="275">
        <f t="shared" si="4"/>
        <v>32640.39</v>
      </c>
      <c r="AH11" s="275">
        <f t="shared" si="5"/>
        <v>32640.39</v>
      </c>
      <c r="AI11" s="302">
        <f>'[2]PBF Run'!F18</f>
        <v>11245646</v>
      </c>
      <c r="AJ11" s="302">
        <f>'[2]PBF Run'!H18+'[2]PBF Run'!I18+'[2]PBF Run'!J18+'[2]PBF Run'!L18</f>
        <v>150792543</v>
      </c>
      <c r="AK11" s="306">
        <f>'[2]PBF Run'!J18 + '[2]PBF Run'!$L18</f>
        <v>150096951</v>
      </c>
      <c r="AL11" s="302">
        <f>'[2]PBF Run'!H18</f>
        <v>695592</v>
      </c>
      <c r="AM11" s="302">
        <f>'[2]PBF Run'!I18</f>
        <v>0</v>
      </c>
      <c r="AN11" s="305">
        <f>'[2]Restoration and Growth'!BM18</f>
        <v>0</v>
      </c>
      <c r="AO11" s="278">
        <f t="shared" si="6"/>
        <v>162038189</v>
      </c>
      <c r="AP11" s="285" t="str">
        <f t="shared" si="29"/>
        <v>0.85%</v>
      </c>
      <c r="AQ11" s="302">
        <f>'[2]PBF Run'!O18</f>
        <v>1377325</v>
      </c>
      <c r="AR11" s="278">
        <f t="shared" si="7"/>
        <v>163415514</v>
      </c>
      <c r="AS11" s="302">
        <f>'[2]PBF Run'!$AD18</f>
        <v>0</v>
      </c>
      <c r="AT11" s="302">
        <f>'[2]PBF Run'!$T18</f>
        <v>0</v>
      </c>
      <c r="AU11" s="278">
        <f t="shared" si="8"/>
        <v>940812</v>
      </c>
      <c r="AV11" s="304">
        <f>'[2]Restoration and Growth'!BT18</f>
        <v>0</v>
      </c>
      <c r="AW11" s="304" t="str">
        <f>'[2]Restoration and Growth'!AP18</f>
        <v>N</v>
      </c>
      <c r="AX11" s="302">
        <f>'[2]Restoration and Growth'!CV18</f>
        <v>0</v>
      </c>
      <c r="AY11" s="302">
        <f>'[2]Growth Deficit'!$AO18</f>
        <v>0</v>
      </c>
      <c r="AZ11" s="302">
        <f>'[2]Growth Deficit'!AO18</f>
        <v>0</v>
      </c>
      <c r="BA11" s="302">
        <f>'[2]Growth Deficit'!AL18</f>
        <v>0</v>
      </c>
      <c r="BB11" s="302">
        <f>'[2]Growth Deficit'!AM18</f>
        <v>0</v>
      </c>
      <c r="BC11" s="302">
        <f>'[2]Growth Deficit'!AN18</f>
        <v>0</v>
      </c>
      <c r="BD11" s="302">
        <f>'[2]Growth Deficit'!AO18</f>
        <v>0</v>
      </c>
      <c r="BE11" s="302">
        <f>'[2]PBF Run'!AA18</f>
        <v>0</v>
      </c>
      <c r="BF11" s="302">
        <f>'[2]PBF Run'!AB18</f>
        <v>0</v>
      </c>
      <c r="BG11" s="302">
        <f>'[2]PBF Run'!AC18</f>
        <v>0</v>
      </c>
      <c r="BH11" s="302">
        <f>'[2]PBF Run'!AD18</f>
        <v>0</v>
      </c>
      <c r="BI11" s="278">
        <f t="shared" si="9"/>
        <v>0</v>
      </c>
      <c r="BJ11" s="302">
        <f>'[2]PBF Run'!X18</f>
        <v>0</v>
      </c>
      <c r="BK11" s="302">
        <f>'[2]PBF Run'!AE18</f>
        <v>163574386</v>
      </c>
      <c r="BL11" s="282">
        <f t="shared" si="10"/>
        <v>0.98518541894450395</v>
      </c>
      <c r="BM11" s="302">
        <f>'[2]PBF Run'!AM18</f>
        <v>2423286</v>
      </c>
      <c r="BN11" s="302">
        <f>'[2]PBF Run'!$AN18</f>
        <v>14364804</v>
      </c>
      <c r="BO11" s="302">
        <f>'[2]PBF Run'!$AO18</f>
        <v>0</v>
      </c>
      <c r="BP11" s="302">
        <f>'[2]PBF Run'!AC18</f>
        <v>0</v>
      </c>
      <c r="BQ11" s="278">
        <f t="shared" si="11"/>
        <v>14364804</v>
      </c>
      <c r="BR11" s="302">
        <f>'[2]PBF Run'!AJ18</f>
        <v>107845734</v>
      </c>
      <c r="BS11" s="302">
        <f>'[2]PBF Run'!AI18</f>
        <v>14526137</v>
      </c>
      <c r="BT11" s="302">
        <f>'[2]PBF Run'!$AN18</f>
        <v>14364804</v>
      </c>
      <c r="BU11" s="302">
        <f>'[2]PBF Run'!$AN18</f>
        <v>14364804</v>
      </c>
      <c r="BV11" s="302">
        <f>'[2]PBF Run'!BI18</f>
        <v>0</v>
      </c>
      <c r="BW11" s="303">
        <f>'[2]PBF Run'!BH18</f>
        <v>0</v>
      </c>
      <c r="BX11" s="278">
        <f t="shared" si="30"/>
        <v>69532</v>
      </c>
      <c r="BY11" s="278">
        <f t="shared" si="12"/>
        <v>14364804</v>
      </c>
      <c r="BZ11" s="302">
        <f>'[2]As of 13-14 R1'!BP18</f>
        <v>0</v>
      </c>
      <c r="CA11" s="302">
        <f>'[2]As of 13-14 R1'!BQ18</f>
        <v>0</v>
      </c>
      <c r="CB11" s="302">
        <f>'[2]As of 13-14 R1'!BR18</f>
        <v>10571923</v>
      </c>
      <c r="CC11" s="278">
        <f t="shared" si="13"/>
        <v>10571923</v>
      </c>
      <c r="CD11" s="301">
        <f>'[2]Growth Deficit'!$D$2</f>
        <v>0</v>
      </c>
      <c r="CE11" s="300">
        <f>IF($CS11="S",'[2]Foundation Grant'!C18,0)</f>
        <v>0</v>
      </c>
      <c r="CF11" s="300">
        <f>IF($CS11="S",'[2]Foundation Grant'!D18,0)</f>
        <v>0</v>
      </c>
      <c r="CG11" s="300">
        <f>IF($CS11="S",'[2]Foundation Grant'!E18,0)</f>
        <v>0</v>
      </c>
      <c r="CH11" s="300">
        <f>IF($CS11="S",'[2]Foundation Grant'!F18,0)</f>
        <v>0</v>
      </c>
      <c r="CI11" s="300">
        <f>IF($CS11="M",'[2]Foundation Grant'!C18,0)</f>
        <v>0</v>
      </c>
      <c r="CJ11" s="300">
        <f>IF($CS11="M",'[2]Foundation Grant'!D18,0)</f>
        <v>2</v>
      </c>
      <c r="CK11" s="300">
        <f>IF($CS11="M",'[2]Foundation Grant'!E18,0)</f>
        <v>1</v>
      </c>
      <c r="CL11" s="300">
        <f>IF($CS11="M",'[2]Foundation Grant'!F18,0)</f>
        <v>3</v>
      </c>
      <c r="CM11" s="300">
        <f>'[2]Foundation Grant'!G18</f>
        <v>0</v>
      </c>
      <c r="CN11" s="300">
        <f>'[2]Foundation Grant'!H18</f>
        <v>0</v>
      </c>
      <c r="CO11" s="300">
        <f>'[2]Foundation Grant'!I18</f>
        <v>0</v>
      </c>
      <c r="CP11" s="300">
        <f>'[2]Foundation Grant'!J18</f>
        <v>0</v>
      </c>
      <c r="CQ11" s="300">
        <f>'[2]Foundation Grant'!K18</f>
        <v>0</v>
      </c>
      <c r="CR11" s="299">
        <f>'[2]Foundation Grant'!L18</f>
        <v>0</v>
      </c>
      <c r="CS11" s="300" t="str">
        <f>'[2]Foundation Grant'!M18</f>
        <v>M</v>
      </c>
      <c r="CT11" s="300">
        <f>'[2]Foundation Grant'!N18</f>
        <v>11245646</v>
      </c>
      <c r="CU11" s="299">
        <f>'[2]Foundation Grant'!O18</f>
        <v>0</v>
      </c>
      <c r="CV11" s="299">
        <f>'[2]Foundation Grant'!P18</f>
        <v>0</v>
      </c>
      <c r="CW11" s="298">
        <f>'[2]Foundation Grant'!$C$1</f>
        <v>5622823</v>
      </c>
      <c r="CX11" s="298">
        <f>'[2]Foundation Grant'!$D$1</f>
        <v>4498258</v>
      </c>
      <c r="CY11" s="298">
        <f>'[2]Foundation Grant'!$E$1</f>
        <v>3373694</v>
      </c>
      <c r="CZ11" s="298">
        <f>'[2]Foundation Grant'!$C$2</f>
        <v>4498258</v>
      </c>
      <c r="DA11" s="298">
        <f>'[2]Foundation Grant'!$D$2</f>
        <v>3935976</v>
      </c>
      <c r="DB11" s="298">
        <f>'[2]Foundation Grant'!$E$2</f>
        <v>3373694</v>
      </c>
      <c r="DC11" s="298">
        <f>'[2]Foundation Grant'!$G$1</f>
        <v>1124565</v>
      </c>
      <c r="DD11" s="298">
        <f>'[2]Foundation Grant'!$H$1</f>
        <v>843423</v>
      </c>
      <c r="DE11" s="298">
        <f>'[2]Foundation Grant'!$I$1</f>
        <v>562282</v>
      </c>
      <c r="DF11" s="298">
        <f>'[2]Foundation Grant'!$J$1</f>
        <v>281141</v>
      </c>
      <c r="DG11" s="298">
        <f>'[2]Foundation Grant'!$K$1</f>
        <v>140571</v>
      </c>
      <c r="DH11" s="298">
        <f>'[2]Foundation Grant'!$O$1</f>
        <v>562282</v>
      </c>
      <c r="DI11" s="298">
        <f>'[2]Foundation Grant'!$P$1</f>
        <v>1124565</v>
      </c>
      <c r="DJ11" s="297">
        <f>'[2]basic allocation'!$C$10</f>
        <v>18749</v>
      </c>
      <c r="DK11" s="297">
        <f>'[2]basic allocation'!$D$10</f>
        <v>9375</v>
      </c>
      <c r="DL11" s="297">
        <f>'[2]basic allocation'!$E$10</f>
        <v>9375</v>
      </c>
      <c r="DM11" s="297">
        <f>'[2]basic allocation'!$I$10</f>
        <v>938</v>
      </c>
      <c r="DN11" s="297">
        <f>'[2]basic allocation'!$J$10</f>
        <v>703</v>
      </c>
      <c r="DO11" s="297">
        <f>'[2]basic allocation'!$K$10</f>
        <v>469</v>
      </c>
      <c r="DP11" s="297">
        <f>'[2]basic allocation'!$L$10</f>
        <v>234</v>
      </c>
      <c r="DQ11" s="297">
        <f>'[2]basic allocation'!$M$10</f>
        <v>100</v>
      </c>
      <c r="DR11" s="296">
        <f>'[2]FTES Adjustment'!DQ18</f>
        <v>5.0000016926787794E-6</v>
      </c>
      <c r="DS11" s="296">
        <f>'[2]FTES Adjustment'!DR18</f>
        <v>0</v>
      </c>
      <c r="DT11" s="296">
        <f>'[2]FTES Adjustment'!DS18</f>
        <v>0</v>
      </c>
      <c r="DU11" s="277">
        <f t="shared" si="14"/>
        <v>0</v>
      </c>
      <c r="DV11" s="276">
        <f t="shared" si="15"/>
        <v>58.150050999999998</v>
      </c>
      <c r="DW11" s="276">
        <f t="shared" si="16"/>
        <v>-40.200000000000017</v>
      </c>
      <c r="DX11" s="276">
        <f t="shared" si="17"/>
        <v>0</v>
      </c>
      <c r="DY11" s="276">
        <f t="shared" si="18"/>
        <v>17.95</v>
      </c>
      <c r="DZ11" s="295">
        <f>ROUND([2]FTES!$D18,3)</f>
        <v>32372.95</v>
      </c>
      <c r="EA11" s="295">
        <f>ROUND([2]FTES!$M18,3)</f>
        <v>249.49</v>
      </c>
      <c r="EB11" s="295">
        <f>ROUND([2]FTES!$V18,3)</f>
        <v>0</v>
      </c>
      <c r="EC11" s="276">
        <f t="shared" si="19"/>
        <v>32622.44</v>
      </c>
      <c r="ED11" s="133">
        <v>0</v>
      </c>
      <c r="EE11" s="294">
        <f>'[2]10-11 WkLd126M'!$E16</f>
        <v>3826969</v>
      </c>
      <c r="EF11" s="295">
        <f>'[2]FTES Adjustment'!CG18</f>
        <v>58.150050999999998</v>
      </c>
      <c r="EG11" s="295">
        <f>'[2]FTES Adjustment'!CH18</f>
        <v>-40.200000000000017</v>
      </c>
      <c r="EH11" s="295">
        <f>'[2]FTES Adjustment'!CI18</f>
        <v>0</v>
      </c>
      <c r="EI11" s="276">
        <f t="shared" si="20"/>
        <v>17.950050999999981</v>
      </c>
      <c r="EJ11" s="294">
        <f>'[2]PBF Run'!$AT18</f>
        <v>0</v>
      </c>
      <c r="EK11" s="294">
        <f>'[2]11-12 Workload Reduction'!H18</f>
        <v>159748634</v>
      </c>
      <c r="EL11" s="294">
        <f>'[2]13-14 $86M Workload Restore'!AI16</f>
        <v>0</v>
      </c>
      <c r="EM11" s="294">
        <f>'[2]13-14 $86M Workload Restore'!AC16</f>
        <v>940812</v>
      </c>
      <c r="EN11" s="294">
        <f>'[2]13-14 deferrals, growth, EPA 1'!BJ18</f>
        <v>23525004</v>
      </c>
      <c r="EO11" s="293">
        <f t="shared" si="21"/>
        <v>161151100</v>
      </c>
      <c r="EP11" s="292">
        <v>0</v>
      </c>
      <c r="EQ11" s="292">
        <v>0</v>
      </c>
      <c r="ER11" s="292">
        <v>0</v>
      </c>
      <c r="ES11" s="16">
        <f t="shared" si="22"/>
        <v>0</v>
      </c>
    </row>
    <row r="12" spans="1:149">
      <c r="A12" s="291" t="s">
        <v>257</v>
      </c>
      <c r="B12" s="290" t="str">
        <f t="shared" si="23"/>
        <v>P2</v>
      </c>
      <c r="C12" s="285" t="s">
        <v>381</v>
      </c>
      <c r="D12" s="289" t="s">
        <v>380</v>
      </c>
      <c r="E12" s="288">
        <f>ROUND('[2]PBF Run'!N19,6)</f>
        <v>4636.4929279999997</v>
      </c>
      <c r="F12" s="285">
        <f t="shared" si="24"/>
        <v>4675.9030433300004</v>
      </c>
      <c r="G12" s="285">
        <f t="shared" si="25"/>
        <v>2788.0536374600001</v>
      </c>
      <c r="H12" s="285">
        <f t="shared" si="26"/>
        <v>2811.7520933800001</v>
      </c>
      <c r="I12" s="285">
        <f t="shared" si="27"/>
        <v>3282.8110613200001</v>
      </c>
      <c r="J12" s="285">
        <f t="shared" si="28"/>
        <v>3310.71495534</v>
      </c>
      <c r="K12" s="308">
        <f>ROUND([2]FTES!C19,3)</f>
        <v>6037.2</v>
      </c>
      <c r="L12" s="308">
        <f>ROUND([2]FTES!F19,3)</f>
        <v>0</v>
      </c>
      <c r="M12" s="308">
        <f>ROUND('[2]Growth Deficit'!AG19,3)</f>
        <v>0</v>
      </c>
      <c r="N12" s="308">
        <f>ROUND([2]FTES!I19,3)</f>
        <v>-209.5</v>
      </c>
      <c r="O12" s="308">
        <f>ROUND([2]FTES!E19,3)</f>
        <v>5827.7</v>
      </c>
      <c r="P12" s="308">
        <f>ROUND([2]FTES!L19,3)</f>
        <v>22.8</v>
      </c>
      <c r="Q12" s="308">
        <f>ROUND([2]FTES!O19,3)</f>
        <v>0</v>
      </c>
      <c r="R12" s="308">
        <f>ROUND('[2]Growth Deficit'!$AH19,3)</f>
        <v>0</v>
      </c>
      <c r="S12" s="308">
        <f>ROUND([2]FTES!R19,3)</f>
        <v>9.5</v>
      </c>
      <c r="T12" s="308">
        <f>ROUND([2]FTES!N19,3)</f>
        <v>32.299999999999997</v>
      </c>
      <c r="U12" s="308">
        <f>ROUND([2]FTES!U19,3)</f>
        <v>0</v>
      </c>
      <c r="V12" s="308">
        <f>ROUND([2]FTES!X19,3)</f>
        <v>0</v>
      </c>
      <c r="W12" s="308">
        <f>ROUND('[2]Growth Deficit'!$AI19,3)</f>
        <v>0</v>
      </c>
      <c r="X12" s="308">
        <f>ROUND([2]FTES!AA19,3)</f>
        <v>0</v>
      </c>
      <c r="Y12" s="308">
        <f>ROUND([2]FTES!W19,3)</f>
        <v>0</v>
      </c>
      <c r="Z12" s="307">
        <f>'[2]FTES Adjustment'!CW19</f>
        <v>5827.7000000000007</v>
      </c>
      <c r="AA12" s="307">
        <f>'[2]FTES Adjustment'!CX19</f>
        <v>32.299999999999997</v>
      </c>
      <c r="AB12" s="307">
        <f>'[2]FTES Adjustment'!CY19</f>
        <v>0</v>
      </c>
      <c r="AC12" s="275">
        <f t="shared" si="0"/>
        <v>6060</v>
      </c>
      <c r="AD12" s="275">
        <f t="shared" si="1"/>
        <v>0</v>
      </c>
      <c r="AE12" s="275">
        <f t="shared" si="2"/>
        <v>0</v>
      </c>
      <c r="AF12" s="275">
        <f t="shared" si="3"/>
        <v>-200</v>
      </c>
      <c r="AG12" s="275">
        <f t="shared" si="4"/>
        <v>5860</v>
      </c>
      <c r="AH12" s="275">
        <f t="shared" si="5"/>
        <v>5860</v>
      </c>
      <c r="AI12" s="302">
        <f>'[2]PBF Run'!F19</f>
        <v>3373694</v>
      </c>
      <c r="AJ12" s="302">
        <f>'[2]PBF Run'!H19+'[2]PBF Run'!I19+'[2]PBF Run'!J19+'[2]PBF Run'!L19</f>
        <v>28055003</v>
      </c>
      <c r="AK12" s="306">
        <f>'[2]PBF Run'!J19 + '[2]PBF Run'!$L19</f>
        <v>27991435</v>
      </c>
      <c r="AL12" s="302">
        <f>'[2]PBF Run'!H19</f>
        <v>63568</v>
      </c>
      <c r="AM12" s="302">
        <f>'[2]PBF Run'!I19</f>
        <v>0</v>
      </c>
      <c r="AN12" s="305">
        <f>'[2]Restoration and Growth'!BM19</f>
        <v>-944858.70104115026</v>
      </c>
      <c r="AO12" s="278">
        <f t="shared" si="6"/>
        <v>30483838.298958849</v>
      </c>
      <c r="AP12" s="285" t="str">
        <f t="shared" si="29"/>
        <v>0.85%</v>
      </c>
      <c r="AQ12" s="302">
        <f>'[2]PBF Run'!O19</f>
        <v>259113</v>
      </c>
      <c r="AR12" s="278">
        <f t="shared" si="7"/>
        <v>30742951.298958849</v>
      </c>
      <c r="AS12" s="302">
        <f>'[2]PBF Run'!$AD19</f>
        <v>0</v>
      </c>
      <c r="AT12" s="302">
        <f>'[2]PBF Run'!$T19</f>
        <v>0</v>
      </c>
      <c r="AU12" s="278">
        <f t="shared" si="8"/>
        <v>268578</v>
      </c>
      <c r="AV12" s="304">
        <f>'[2]Restoration and Growth'!BT19</f>
        <v>0</v>
      </c>
      <c r="AW12" s="304" t="str">
        <f>'[2]Restoration and Growth'!AP19</f>
        <v>N</v>
      </c>
      <c r="AX12" s="302">
        <f>'[2]Restoration and Growth'!CV19</f>
        <v>0</v>
      </c>
      <c r="AY12" s="302">
        <f>'[2]Growth Deficit'!$AO19</f>
        <v>0</v>
      </c>
      <c r="AZ12" s="302">
        <f>'[2]Growth Deficit'!AO19</f>
        <v>0</v>
      </c>
      <c r="BA12" s="302">
        <f>'[2]Growth Deficit'!AL19</f>
        <v>0</v>
      </c>
      <c r="BB12" s="302">
        <f>'[2]Growth Deficit'!AM19</f>
        <v>0</v>
      </c>
      <c r="BC12" s="302">
        <f>'[2]Growth Deficit'!AN19</f>
        <v>0</v>
      </c>
      <c r="BD12" s="302">
        <f>'[2]Growth Deficit'!AO19</f>
        <v>0</v>
      </c>
      <c r="BE12" s="302">
        <f>'[2]PBF Run'!AA19</f>
        <v>0</v>
      </c>
      <c r="BF12" s="302">
        <f>'[2]PBF Run'!AB19</f>
        <v>0</v>
      </c>
      <c r="BG12" s="302">
        <f>'[2]PBF Run'!AC19</f>
        <v>0</v>
      </c>
      <c r="BH12" s="302">
        <f>'[2]PBF Run'!AD19</f>
        <v>0</v>
      </c>
      <c r="BI12" s="278">
        <f t="shared" si="9"/>
        <v>0</v>
      </c>
      <c r="BJ12" s="302">
        <f>'[2]PBF Run'!X19</f>
        <v>952890</v>
      </c>
      <c r="BK12" s="302">
        <f>'[2]PBF Run'!AE19</f>
        <v>31695841</v>
      </c>
      <c r="BL12" s="282">
        <f t="shared" si="10"/>
        <v>0.98518540650175523</v>
      </c>
      <c r="BM12" s="302">
        <f>'[2]PBF Run'!AM19</f>
        <v>469561</v>
      </c>
      <c r="BN12" s="302">
        <f>'[2]PBF Run'!$AN19</f>
        <v>20904143</v>
      </c>
      <c r="BO12" s="302">
        <f>'[2]PBF Run'!$AO19</f>
        <v>0</v>
      </c>
      <c r="BP12" s="302">
        <f>'[2]PBF Run'!AC19</f>
        <v>0</v>
      </c>
      <c r="BQ12" s="278">
        <f t="shared" si="11"/>
        <v>20904143</v>
      </c>
      <c r="BR12" s="302">
        <f>'[2]PBF Run'!AJ19</f>
        <v>4386416</v>
      </c>
      <c r="BS12" s="302">
        <f>'[2]PBF Run'!AI19</f>
        <v>889590</v>
      </c>
      <c r="BT12" s="302">
        <f>'[2]PBF Run'!$AN19</f>
        <v>20904143</v>
      </c>
      <c r="BU12" s="302">
        <f>'[2]PBF Run'!$AN19</f>
        <v>20904143</v>
      </c>
      <c r="BV12" s="302">
        <f>'[2]PBF Run'!BI19</f>
        <v>0</v>
      </c>
      <c r="BW12" s="303">
        <f>'[2]PBF Run'!BH19</f>
        <v>0</v>
      </c>
      <c r="BX12" s="278">
        <f t="shared" si="30"/>
        <v>69532</v>
      </c>
      <c r="BY12" s="278">
        <f t="shared" si="12"/>
        <v>20904143</v>
      </c>
      <c r="BZ12" s="302">
        <f>'[2]As of 13-14 R1'!BP19</f>
        <v>0</v>
      </c>
      <c r="CA12" s="302">
        <f>'[2]As of 13-14 R1'!BQ19</f>
        <v>0</v>
      </c>
      <c r="CB12" s="302">
        <f>'[2]As of 13-14 R1'!BR19</f>
        <v>0</v>
      </c>
      <c r="CC12" s="278">
        <f t="shared" si="13"/>
        <v>0</v>
      </c>
      <c r="CD12" s="301">
        <f>'[2]Growth Deficit'!$D$2</f>
        <v>0</v>
      </c>
      <c r="CE12" s="300">
        <f>IF($CS12="S",'[2]Foundation Grant'!C19,0)</f>
        <v>0</v>
      </c>
      <c r="CF12" s="300">
        <f>IF($CS12="S",'[2]Foundation Grant'!D19,0)</f>
        <v>0</v>
      </c>
      <c r="CG12" s="300">
        <f>IF($CS12="S",'[2]Foundation Grant'!E19,0)</f>
        <v>1</v>
      </c>
      <c r="CH12" s="300">
        <f>IF($CS12="S",'[2]Foundation Grant'!F19,0)</f>
        <v>1</v>
      </c>
      <c r="CI12" s="300">
        <f>IF($CS12="M",'[2]Foundation Grant'!C19,0)</f>
        <v>0</v>
      </c>
      <c r="CJ12" s="300">
        <f>IF($CS12="M",'[2]Foundation Grant'!D19,0)</f>
        <v>0</v>
      </c>
      <c r="CK12" s="300">
        <f>IF($CS12="M",'[2]Foundation Grant'!E19,0)</f>
        <v>0</v>
      </c>
      <c r="CL12" s="300">
        <f>IF($CS12="M",'[2]Foundation Grant'!F19,0)</f>
        <v>0</v>
      </c>
      <c r="CM12" s="300">
        <f>'[2]Foundation Grant'!G19</f>
        <v>0</v>
      </c>
      <c r="CN12" s="300">
        <f>'[2]Foundation Grant'!H19</f>
        <v>0</v>
      </c>
      <c r="CO12" s="300">
        <f>'[2]Foundation Grant'!I19</f>
        <v>0</v>
      </c>
      <c r="CP12" s="300">
        <f>'[2]Foundation Grant'!J19</f>
        <v>0</v>
      </c>
      <c r="CQ12" s="300">
        <f>'[2]Foundation Grant'!K19</f>
        <v>0</v>
      </c>
      <c r="CR12" s="299">
        <f>'[2]Foundation Grant'!L19</f>
        <v>0</v>
      </c>
      <c r="CS12" s="300" t="str">
        <f>'[2]Foundation Grant'!M19</f>
        <v>S</v>
      </c>
      <c r="CT12" s="300">
        <f>'[2]Foundation Grant'!N19</f>
        <v>3373694</v>
      </c>
      <c r="CU12" s="299">
        <f>'[2]Foundation Grant'!O19</f>
        <v>0</v>
      </c>
      <c r="CV12" s="299">
        <f>'[2]Foundation Grant'!P19</f>
        <v>0</v>
      </c>
      <c r="CW12" s="298">
        <f>'[2]Foundation Grant'!$C$1</f>
        <v>5622823</v>
      </c>
      <c r="CX12" s="298">
        <f>'[2]Foundation Grant'!$D$1</f>
        <v>4498258</v>
      </c>
      <c r="CY12" s="298">
        <f>'[2]Foundation Grant'!$E$1</f>
        <v>3373694</v>
      </c>
      <c r="CZ12" s="298">
        <f>'[2]Foundation Grant'!$C$2</f>
        <v>4498258</v>
      </c>
      <c r="DA12" s="298">
        <f>'[2]Foundation Grant'!$D$2</f>
        <v>3935976</v>
      </c>
      <c r="DB12" s="298">
        <f>'[2]Foundation Grant'!$E$2</f>
        <v>3373694</v>
      </c>
      <c r="DC12" s="298">
        <f>'[2]Foundation Grant'!$G$1</f>
        <v>1124565</v>
      </c>
      <c r="DD12" s="298">
        <f>'[2]Foundation Grant'!$H$1</f>
        <v>843423</v>
      </c>
      <c r="DE12" s="298">
        <f>'[2]Foundation Grant'!$I$1</f>
        <v>562282</v>
      </c>
      <c r="DF12" s="298">
        <f>'[2]Foundation Grant'!$J$1</f>
        <v>281141</v>
      </c>
      <c r="DG12" s="298">
        <f>'[2]Foundation Grant'!$K$1</f>
        <v>140571</v>
      </c>
      <c r="DH12" s="298">
        <f>'[2]Foundation Grant'!$O$1</f>
        <v>562282</v>
      </c>
      <c r="DI12" s="298">
        <f>'[2]Foundation Grant'!$P$1</f>
        <v>1124565</v>
      </c>
      <c r="DJ12" s="297">
        <f>'[2]basic allocation'!$C$10</f>
        <v>18749</v>
      </c>
      <c r="DK12" s="297">
        <f>'[2]basic allocation'!$D$10</f>
        <v>9375</v>
      </c>
      <c r="DL12" s="297">
        <f>'[2]basic allocation'!$E$10</f>
        <v>9375</v>
      </c>
      <c r="DM12" s="297">
        <f>'[2]basic allocation'!$I$10</f>
        <v>938</v>
      </c>
      <c r="DN12" s="297">
        <f>'[2]basic allocation'!$J$10</f>
        <v>703</v>
      </c>
      <c r="DO12" s="297">
        <f>'[2]basic allocation'!$K$10</f>
        <v>469</v>
      </c>
      <c r="DP12" s="297">
        <f>'[2]basic allocation'!$L$10</f>
        <v>234</v>
      </c>
      <c r="DQ12" s="297">
        <f>'[2]basic allocation'!$M$10</f>
        <v>100</v>
      </c>
      <c r="DR12" s="296">
        <f>'[2]FTES Adjustment'!DQ19</f>
        <v>0</v>
      </c>
      <c r="DS12" s="296">
        <f>'[2]FTES Adjustment'!DR19</f>
        <v>0</v>
      </c>
      <c r="DT12" s="296">
        <f>'[2]FTES Adjustment'!DS19</f>
        <v>0</v>
      </c>
      <c r="DU12" s="277">
        <f t="shared" si="14"/>
        <v>0</v>
      </c>
      <c r="DV12" s="276">
        <f t="shared" si="15"/>
        <v>0</v>
      </c>
      <c r="DW12" s="276">
        <f t="shared" si="16"/>
        <v>0</v>
      </c>
      <c r="DX12" s="276">
        <f t="shared" si="17"/>
        <v>0</v>
      </c>
      <c r="DY12" s="276">
        <f t="shared" si="18"/>
        <v>0</v>
      </c>
      <c r="DZ12" s="295">
        <f>ROUND([2]FTES!$D19,3)</f>
        <v>6037.2</v>
      </c>
      <c r="EA12" s="295">
        <f>ROUND([2]FTES!$M19,3)</f>
        <v>22.8</v>
      </c>
      <c r="EB12" s="295">
        <f>ROUND([2]FTES!$V19,3)</f>
        <v>0</v>
      </c>
      <c r="EC12" s="276">
        <f t="shared" si="19"/>
        <v>6060</v>
      </c>
      <c r="ED12" s="133">
        <v>0</v>
      </c>
      <c r="EE12" s="294">
        <f>'[2]10-11 WkLd126M'!$E17</f>
        <v>628991</v>
      </c>
      <c r="EF12" s="295">
        <f>'[2]FTES Adjustment'!CG19</f>
        <v>0</v>
      </c>
      <c r="EG12" s="295">
        <f>'[2]FTES Adjustment'!CH19</f>
        <v>0</v>
      </c>
      <c r="EH12" s="295">
        <f>'[2]FTES Adjustment'!CI19</f>
        <v>0</v>
      </c>
      <c r="EI12" s="276">
        <f t="shared" si="20"/>
        <v>0</v>
      </c>
      <c r="EJ12" s="294">
        <f>'[2]PBF Run'!$AT19</f>
        <v>325000</v>
      </c>
      <c r="EK12" s="294">
        <f>'[2]11-12 Workload Reduction'!H19</f>
        <v>29548156</v>
      </c>
      <c r="EL12" s="294">
        <f>'[2]13-14 $86M Workload Restore'!AI17</f>
        <v>124211</v>
      </c>
      <c r="EM12" s="294">
        <f>'[2]13-14 $86M Workload Restore'!AC17</f>
        <v>144367</v>
      </c>
      <c r="EN12" s="294">
        <f>'[2]13-14 deferrals, growth, EPA 1'!BJ19</f>
        <v>4882951</v>
      </c>
      <c r="EO12" s="293">
        <f t="shared" si="21"/>
        <v>31226280</v>
      </c>
      <c r="EP12" s="292">
        <v>0</v>
      </c>
      <c r="EQ12" s="292">
        <v>0</v>
      </c>
      <c r="ER12" s="292">
        <v>0</v>
      </c>
      <c r="ES12" s="16">
        <f t="shared" si="22"/>
        <v>0</v>
      </c>
    </row>
    <row r="13" spans="1:149">
      <c r="A13" s="291" t="s">
        <v>257</v>
      </c>
      <c r="B13" s="290" t="str">
        <f t="shared" si="23"/>
        <v>P2</v>
      </c>
      <c r="C13" s="285" t="s">
        <v>379</v>
      </c>
      <c r="D13" s="289" t="s">
        <v>378</v>
      </c>
      <c r="E13" s="288">
        <f>ROUND('[2]PBF Run'!N20,6)</f>
        <v>4636.4928369999998</v>
      </c>
      <c r="F13" s="285">
        <f t="shared" si="24"/>
        <v>4675.9030433300004</v>
      </c>
      <c r="G13" s="285">
        <f t="shared" si="25"/>
        <v>2788.0536374600001</v>
      </c>
      <c r="H13" s="285">
        <f t="shared" si="26"/>
        <v>2811.7520933800001</v>
      </c>
      <c r="I13" s="285">
        <f t="shared" si="27"/>
        <v>3282.8110613200001</v>
      </c>
      <c r="J13" s="285">
        <f t="shared" si="28"/>
        <v>3310.71495534</v>
      </c>
      <c r="K13" s="308">
        <f>ROUND([2]FTES!C20,3)</f>
        <v>28702.123</v>
      </c>
      <c r="L13" s="308">
        <f>ROUND([2]FTES!F20,3)</f>
        <v>0</v>
      </c>
      <c r="M13" s="308">
        <f>ROUND('[2]Growth Deficit'!AG20,3)</f>
        <v>0</v>
      </c>
      <c r="N13" s="308">
        <f>ROUND([2]FTES!I20,3)</f>
        <v>-442.46300000000002</v>
      </c>
      <c r="O13" s="308">
        <f>ROUND([2]FTES!E20,3)</f>
        <v>28259.66</v>
      </c>
      <c r="P13" s="308">
        <f>ROUND([2]FTES!L20,3)</f>
        <v>71.05</v>
      </c>
      <c r="Q13" s="308">
        <f>ROUND([2]FTES!O20,3)</f>
        <v>0</v>
      </c>
      <c r="R13" s="308">
        <f>ROUND('[2]Growth Deficit'!$AH20,3)</f>
        <v>0</v>
      </c>
      <c r="S13" s="308">
        <f>ROUND([2]FTES!R20,3)</f>
        <v>37.08</v>
      </c>
      <c r="T13" s="308">
        <f>ROUND([2]FTES!N20,3)</f>
        <v>108.13</v>
      </c>
      <c r="U13" s="308">
        <f>ROUND([2]FTES!U20,3)</f>
        <v>0</v>
      </c>
      <c r="V13" s="308">
        <f>ROUND([2]FTES!X20,3)</f>
        <v>0</v>
      </c>
      <c r="W13" s="308">
        <f>ROUND('[2]Growth Deficit'!$AI20,3)</f>
        <v>0</v>
      </c>
      <c r="X13" s="308">
        <f>ROUND([2]FTES!AA20,3)</f>
        <v>0</v>
      </c>
      <c r="Y13" s="308">
        <f>ROUND([2]FTES!W20,3)</f>
        <v>0</v>
      </c>
      <c r="Z13" s="307">
        <f>'[2]FTES Adjustment'!CW20</f>
        <v>28259.660000000003</v>
      </c>
      <c r="AA13" s="307">
        <f>'[2]FTES Adjustment'!CX20</f>
        <v>108.13</v>
      </c>
      <c r="AB13" s="307">
        <f>'[2]FTES Adjustment'!CY20</f>
        <v>0</v>
      </c>
      <c r="AC13" s="275">
        <f t="shared" si="0"/>
        <v>28773.172999999999</v>
      </c>
      <c r="AD13" s="275">
        <f t="shared" si="1"/>
        <v>0</v>
      </c>
      <c r="AE13" s="275">
        <f t="shared" si="2"/>
        <v>0</v>
      </c>
      <c r="AF13" s="275">
        <f t="shared" si="3"/>
        <v>-405.38299999999998</v>
      </c>
      <c r="AG13" s="275">
        <f t="shared" si="4"/>
        <v>28367.79</v>
      </c>
      <c r="AH13" s="275">
        <f t="shared" si="5"/>
        <v>28367.79</v>
      </c>
      <c r="AI13" s="302">
        <f>'[2]PBF Run'!F20</f>
        <v>12932494</v>
      </c>
      <c r="AJ13" s="302">
        <f>'[2]PBF Run'!H20+'[2]PBF Run'!I20+'[2]PBF Run'!J20+'[2]PBF Run'!L20</f>
        <v>133275277</v>
      </c>
      <c r="AK13" s="306">
        <f>'[2]PBF Run'!J20 + '[2]PBF Run'!$L20</f>
        <v>133077186</v>
      </c>
      <c r="AL13" s="302">
        <f>'[2]PBF Run'!H20</f>
        <v>198091</v>
      </c>
      <c r="AM13" s="302">
        <f>'[2]PBF Run'!I20</f>
        <v>0</v>
      </c>
      <c r="AN13" s="305">
        <f>'[2]Restoration and Growth'!BM20</f>
        <v>-1948093.2077342588</v>
      </c>
      <c r="AO13" s="278">
        <f t="shared" si="6"/>
        <v>144259677.79226574</v>
      </c>
      <c r="AP13" s="285" t="str">
        <f t="shared" si="29"/>
        <v>0.85%</v>
      </c>
      <c r="AQ13" s="302">
        <f>'[2]PBF Run'!O20</f>
        <v>1226207</v>
      </c>
      <c r="AR13" s="278">
        <f t="shared" si="7"/>
        <v>145485884.79226574</v>
      </c>
      <c r="AS13" s="302">
        <f>'[2]PBF Run'!$AD20</f>
        <v>0</v>
      </c>
      <c r="AT13" s="302">
        <f>'[2]PBF Run'!$T20</f>
        <v>0</v>
      </c>
      <c r="AU13" s="278">
        <f t="shared" si="8"/>
        <v>4660633</v>
      </c>
      <c r="AV13" s="304">
        <f>'[2]Restoration and Growth'!BT20</f>
        <v>0</v>
      </c>
      <c r="AW13" s="304" t="str">
        <f>'[2]Restoration and Growth'!AP20</f>
        <v>N</v>
      </c>
      <c r="AX13" s="302">
        <f>'[2]Restoration and Growth'!CV20</f>
        <v>0</v>
      </c>
      <c r="AY13" s="302">
        <f>'[2]Growth Deficit'!$AO20</f>
        <v>0</v>
      </c>
      <c r="AZ13" s="302">
        <f>'[2]Growth Deficit'!AO20</f>
        <v>0</v>
      </c>
      <c r="BA13" s="302">
        <f>'[2]Growth Deficit'!AL20</f>
        <v>0</v>
      </c>
      <c r="BB13" s="302">
        <f>'[2]Growth Deficit'!AM20</f>
        <v>0</v>
      </c>
      <c r="BC13" s="302">
        <f>'[2]Growth Deficit'!AN20</f>
        <v>0</v>
      </c>
      <c r="BD13" s="302">
        <f>'[2]Growth Deficit'!AO20</f>
        <v>0</v>
      </c>
      <c r="BE13" s="302">
        <f>'[2]PBF Run'!AA20</f>
        <v>0</v>
      </c>
      <c r="BF13" s="302">
        <f>'[2]PBF Run'!AB20</f>
        <v>0</v>
      </c>
      <c r="BG13" s="302">
        <f>'[2]PBF Run'!AC20</f>
        <v>0</v>
      </c>
      <c r="BH13" s="302">
        <f>'[2]PBF Run'!AD20</f>
        <v>0</v>
      </c>
      <c r="BI13" s="278">
        <f t="shared" si="9"/>
        <v>0</v>
      </c>
      <c r="BJ13" s="302">
        <f>'[2]PBF Run'!X20</f>
        <v>1964652</v>
      </c>
      <c r="BK13" s="302">
        <f>'[2]PBF Run'!AE20</f>
        <v>147450537</v>
      </c>
      <c r="BL13" s="282">
        <f t="shared" si="10"/>
        <v>0.98518541848375907</v>
      </c>
      <c r="BM13" s="302">
        <f>'[2]PBF Run'!AM20</f>
        <v>2184418</v>
      </c>
      <c r="BN13" s="302">
        <f>'[2]PBF Run'!$AN20</f>
        <v>31924183</v>
      </c>
      <c r="BO13" s="302">
        <f>'[2]PBF Run'!$AO20</f>
        <v>0</v>
      </c>
      <c r="BP13" s="302">
        <f>'[2]PBF Run'!AC20</f>
        <v>0</v>
      </c>
      <c r="BQ13" s="278">
        <f t="shared" si="11"/>
        <v>31924183</v>
      </c>
      <c r="BR13" s="302">
        <f>'[2]PBF Run'!AJ20</f>
        <v>75572015</v>
      </c>
      <c r="BS13" s="302">
        <f>'[2]PBF Run'!AI20</f>
        <v>16284669</v>
      </c>
      <c r="BT13" s="302">
        <f>'[2]PBF Run'!$AN20</f>
        <v>31924183</v>
      </c>
      <c r="BU13" s="302">
        <f>'[2]PBF Run'!$AN20</f>
        <v>31924183</v>
      </c>
      <c r="BV13" s="302">
        <f>'[2]PBF Run'!BI20</f>
        <v>0</v>
      </c>
      <c r="BW13" s="303">
        <f>'[2]PBF Run'!BH20</f>
        <v>0</v>
      </c>
      <c r="BX13" s="278">
        <f t="shared" si="30"/>
        <v>69532</v>
      </c>
      <c r="BY13" s="278">
        <f t="shared" si="12"/>
        <v>31924183</v>
      </c>
      <c r="BZ13" s="302">
        <f>'[2]As of 13-14 R1'!BP20</f>
        <v>0</v>
      </c>
      <c r="CA13" s="302">
        <f>'[2]As of 13-14 R1'!BQ20</f>
        <v>0</v>
      </c>
      <c r="CB13" s="302">
        <f>'[2]As of 13-14 R1'!BR20</f>
        <v>2785663</v>
      </c>
      <c r="CC13" s="278">
        <f t="shared" si="13"/>
        <v>2785663</v>
      </c>
      <c r="CD13" s="301">
        <f>'[2]Growth Deficit'!$D$2</f>
        <v>0</v>
      </c>
      <c r="CE13" s="300">
        <f>IF($CS13="S",'[2]Foundation Grant'!C20,0)</f>
        <v>0</v>
      </c>
      <c r="CF13" s="300">
        <f>IF($CS13="S",'[2]Foundation Grant'!D20,0)</f>
        <v>0</v>
      </c>
      <c r="CG13" s="300">
        <f>IF($CS13="S",'[2]Foundation Grant'!E20,0)</f>
        <v>0</v>
      </c>
      <c r="CH13" s="300">
        <f>IF($CS13="S",'[2]Foundation Grant'!F20,0)</f>
        <v>0</v>
      </c>
      <c r="CI13" s="300">
        <f>IF($CS13="M",'[2]Foundation Grant'!C20,0)</f>
        <v>0</v>
      </c>
      <c r="CJ13" s="300">
        <f>IF($CS13="M",'[2]Foundation Grant'!D20,0)</f>
        <v>1</v>
      </c>
      <c r="CK13" s="300">
        <f>IF($CS13="M",'[2]Foundation Grant'!E20,0)</f>
        <v>2</v>
      </c>
      <c r="CL13" s="300">
        <f>IF($CS13="M",'[2]Foundation Grant'!F20,0)</f>
        <v>3</v>
      </c>
      <c r="CM13" s="300">
        <f>'[2]Foundation Grant'!G20</f>
        <v>0</v>
      </c>
      <c r="CN13" s="300">
        <f>'[2]Foundation Grant'!H20</f>
        <v>0</v>
      </c>
      <c r="CO13" s="300">
        <f>'[2]Foundation Grant'!I20</f>
        <v>0</v>
      </c>
      <c r="CP13" s="300">
        <f>'[2]Foundation Grant'!J20</f>
        <v>0</v>
      </c>
      <c r="CQ13" s="300">
        <f>'[2]Foundation Grant'!K20</f>
        <v>0</v>
      </c>
      <c r="CR13" s="299">
        <f>'[2]Foundation Grant'!L20</f>
        <v>0</v>
      </c>
      <c r="CS13" s="300" t="str">
        <f>'[2]Foundation Grant'!M20</f>
        <v>M</v>
      </c>
      <c r="CT13" s="300">
        <f>'[2]Foundation Grant'!N20</f>
        <v>12932494</v>
      </c>
      <c r="CU13" s="299">
        <f>'[2]Foundation Grant'!O20</f>
        <v>0</v>
      </c>
      <c r="CV13" s="299">
        <f>'[2]Foundation Grant'!P20</f>
        <v>2</v>
      </c>
      <c r="CW13" s="298">
        <f>'[2]Foundation Grant'!$C$1</f>
        <v>5622823</v>
      </c>
      <c r="CX13" s="298">
        <f>'[2]Foundation Grant'!$D$1</f>
        <v>4498258</v>
      </c>
      <c r="CY13" s="298">
        <f>'[2]Foundation Grant'!$E$1</f>
        <v>3373694</v>
      </c>
      <c r="CZ13" s="298">
        <f>'[2]Foundation Grant'!$C$2</f>
        <v>4498258</v>
      </c>
      <c r="DA13" s="298">
        <f>'[2]Foundation Grant'!$D$2</f>
        <v>3935976</v>
      </c>
      <c r="DB13" s="298">
        <f>'[2]Foundation Grant'!$E$2</f>
        <v>3373694</v>
      </c>
      <c r="DC13" s="298">
        <f>'[2]Foundation Grant'!$G$1</f>
        <v>1124565</v>
      </c>
      <c r="DD13" s="298">
        <f>'[2]Foundation Grant'!$H$1</f>
        <v>843423</v>
      </c>
      <c r="DE13" s="298">
        <f>'[2]Foundation Grant'!$I$1</f>
        <v>562282</v>
      </c>
      <c r="DF13" s="298">
        <f>'[2]Foundation Grant'!$J$1</f>
        <v>281141</v>
      </c>
      <c r="DG13" s="298">
        <f>'[2]Foundation Grant'!$K$1</f>
        <v>140571</v>
      </c>
      <c r="DH13" s="298">
        <f>'[2]Foundation Grant'!$O$1</f>
        <v>562282</v>
      </c>
      <c r="DI13" s="298">
        <f>'[2]Foundation Grant'!$P$1</f>
        <v>1124565</v>
      </c>
      <c r="DJ13" s="297">
        <f>'[2]basic allocation'!$C$10</f>
        <v>18749</v>
      </c>
      <c r="DK13" s="297">
        <f>'[2]basic allocation'!$D$10</f>
        <v>9375</v>
      </c>
      <c r="DL13" s="297">
        <f>'[2]basic allocation'!$E$10</f>
        <v>9375</v>
      </c>
      <c r="DM13" s="297">
        <f>'[2]basic allocation'!$I$10</f>
        <v>938</v>
      </c>
      <c r="DN13" s="297">
        <f>'[2]basic allocation'!$J$10</f>
        <v>703</v>
      </c>
      <c r="DO13" s="297">
        <f>'[2]basic allocation'!$K$10</f>
        <v>469</v>
      </c>
      <c r="DP13" s="297">
        <f>'[2]basic allocation'!$L$10</f>
        <v>234</v>
      </c>
      <c r="DQ13" s="297">
        <f>'[2]basic allocation'!$M$10</f>
        <v>100</v>
      </c>
      <c r="DR13" s="296">
        <f>'[2]FTES Adjustment'!DQ20</f>
        <v>0</v>
      </c>
      <c r="DS13" s="296">
        <f>'[2]FTES Adjustment'!DR20</f>
        <v>0</v>
      </c>
      <c r="DT13" s="296">
        <f>'[2]FTES Adjustment'!DS20</f>
        <v>0</v>
      </c>
      <c r="DU13" s="277">
        <f t="shared" si="14"/>
        <v>0</v>
      </c>
      <c r="DV13" s="276">
        <f t="shared" si="15"/>
        <v>0</v>
      </c>
      <c r="DW13" s="276">
        <f t="shared" si="16"/>
        <v>0</v>
      </c>
      <c r="DX13" s="276">
        <f t="shared" si="17"/>
        <v>0</v>
      </c>
      <c r="DY13" s="276">
        <f t="shared" si="18"/>
        <v>0</v>
      </c>
      <c r="DZ13" s="295">
        <f>ROUND([2]FTES!$D20,3)</f>
        <v>28702.123</v>
      </c>
      <c r="EA13" s="295">
        <f>ROUND([2]FTES!$M20,3)</f>
        <v>71.05</v>
      </c>
      <c r="EB13" s="295">
        <f>ROUND([2]FTES!$V20,3)</f>
        <v>0</v>
      </c>
      <c r="EC13" s="276">
        <f t="shared" si="19"/>
        <v>28773.172999999999</v>
      </c>
      <c r="ED13" s="133">
        <v>0</v>
      </c>
      <c r="EE13" s="294">
        <f>'[2]10-11 WkLd126M'!$E18</f>
        <v>3370267</v>
      </c>
      <c r="EF13" s="295">
        <f>'[2]FTES Adjustment'!CG20</f>
        <v>0</v>
      </c>
      <c r="EG13" s="295">
        <f>'[2]FTES Adjustment'!CH20</f>
        <v>0</v>
      </c>
      <c r="EH13" s="295">
        <f>'[2]FTES Adjustment'!CI20</f>
        <v>0</v>
      </c>
      <c r="EI13" s="276">
        <f t="shared" si="20"/>
        <v>0</v>
      </c>
      <c r="EJ13" s="294">
        <f>'[2]PBF Run'!$AT20</f>
        <v>0</v>
      </c>
      <c r="EK13" s="294">
        <f>'[2]11-12 Workload Reduction'!H20</f>
        <v>137108953</v>
      </c>
      <c r="EL13" s="294">
        <f>'[2]13-14 $86M Workload Restore'!AI18</f>
        <v>3444204</v>
      </c>
      <c r="EM13" s="294">
        <f>'[2]13-14 $86M Workload Restore'!AC18</f>
        <v>1216429</v>
      </c>
      <c r="EN13" s="294">
        <f>'[2]13-14 deferrals, growth, EPA 1'!BJ20</f>
        <v>19378423</v>
      </c>
      <c r="EO13" s="293">
        <f t="shared" si="21"/>
        <v>145266119</v>
      </c>
      <c r="EP13" s="292">
        <v>0</v>
      </c>
      <c r="EQ13" s="292">
        <v>0</v>
      </c>
      <c r="ER13" s="292">
        <v>0</v>
      </c>
      <c r="ES13" s="16">
        <f t="shared" si="22"/>
        <v>0</v>
      </c>
    </row>
    <row r="14" spans="1:149">
      <c r="A14" s="291" t="s">
        <v>257</v>
      </c>
      <c r="B14" s="290" t="str">
        <f t="shared" si="23"/>
        <v>P2</v>
      </c>
      <c r="C14" s="285" t="s">
        <v>377</v>
      </c>
      <c r="D14" s="289" t="s">
        <v>376</v>
      </c>
      <c r="E14" s="288">
        <f>ROUND('[2]PBF Run'!N21,6)</f>
        <v>4636.4925789999998</v>
      </c>
      <c r="F14" s="285">
        <f t="shared" si="24"/>
        <v>4675.9030433300004</v>
      </c>
      <c r="G14" s="285">
        <f t="shared" si="25"/>
        <v>2788.0536374600001</v>
      </c>
      <c r="H14" s="285">
        <f t="shared" si="26"/>
        <v>2811.7520933800001</v>
      </c>
      <c r="I14" s="285">
        <f t="shared" si="27"/>
        <v>3282.8110613200001</v>
      </c>
      <c r="J14" s="285">
        <f t="shared" si="28"/>
        <v>3310.71495534</v>
      </c>
      <c r="K14" s="308">
        <f>ROUND([2]FTES!C21,3)</f>
        <v>1410.78</v>
      </c>
      <c r="L14" s="308">
        <f>ROUND([2]FTES!F21,3)</f>
        <v>0</v>
      </c>
      <c r="M14" s="308">
        <f>ROUND('[2]Growth Deficit'!AG21,3)</f>
        <v>0</v>
      </c>
      <c r="N14" s="308">
        <f>ROUND([2]FTES!I21,3)</f>
        <v>-10.11</v>
      </c>
      <c r="O14" s="308">
        <f>ROUND([2]FTES!E21,3)</f>
        <v>1400.67</v>
      </c>
      <c r="P14" s="308">
        <f>ROUND([2]FTES!L21,3)</f>
        <v>60.62</v>
      </c>
      <c r="Q14" s="308">
        <f>ROUND([2]FTES!O21,3)</f>
        <v>0</v>
      </c>
      <c r="R14" s="308">
        <f>ROUND('[2]Growth Deficit'!$AH21,3)</f>
        <v>0</v>
      </c>
      <c r="S14" s="308">
        <f>ROUND([2]FTES!R21,3)</f>
        <v>10.67</v>
      </c>
      <c r="T14" s="308">
        <f>ROUND([2]FTES!N21,3)</f>
        <v>71.290000000000006</v>
      </c>
      <c r="U14" s="308">
        <f>ROUND([2]FTES!U21,3)</f>
        <v>3.81</v>
      </c>
      <c r="V14" s="308">
        <f>ROUND([2]FTES!X21,3)</f>
        <v>0</v>
      </c>
      <c r="W14" s="308">
        <f>ROUND('[2]Growth Deficit'!$AI21,3)</f>
        <v>0</v>
      </c>
      <c r="X14" s="308">
        <f>ROUND([2]FTES!AA21,3)</f>
        <v>-3.81</v>
      </c>
      <c r="Y14" s="308">
        <f>ROUND([2]FTES!W21,3)</f>
        <v>0</v>
      </c>
      <c r="Z14" s="307">
        <f>'[2]FTES Adjustment'!CW21</f>
        <v>1400.6700000000003</v>
      </c>
      <c r="AA14" s="307">
        <f>'[2]FTES Adjustment'!CX21</f>
        <v>71.290000000000006</v>
      </c>
      <c r="AB14" s="307">
        <f>'[2]FTES Adjustment'!CY21</f>
        <v>4.4408920985006262E-16</v>
      </c>
      <c r="AC14" s="275">
        <f t="shared" si="0"/>
        <v>1475.21</v>
      </c>
      <c r="AD14" s="275">
        <f t="shared" si="1"/>
        <v>0</v>
      </c>
      <c r="AE14" s="275">
        <f t="shared" si="2"/>
        <v>0</v>
      </c>
      <c r="AF14" s="275">
        <f t="shared" si="3"/>
        <v>-3.25</v>
      </c>
      <c r="AG14" s="275">
        <f t="shared" si="4"/>
        <v>1471.96</v>
      </c>
      <c r="AH14" s="275">
        <f t="shared" si="5"/>
        <v>1471.96</v>
      </c>
      <c r="AI14" s="302">
        <f>'[2]PBF Run'!F21</f>
        <v>3935976</v>
      </c>
      <c r="AJ14" s="302">
        <f>'[2]PBF Run'!H21+'[2]PBF Run'!I21+'[2]PBF Run'!J21+'[2]PBF Run'!L21</f>
        <v>6722591</v>
      </c>
      <c r="AK14" s="306">
        <f>'[2]PBF Run'!J21 + '[2]PBF Run'!$L21</f>
        <v>6541071</v>
      </c>
      <c r="AL14" s="302">
        <f>'[2]PBF Run'!H21</f>
        <v>169012</v>
      </c>
      <c r="AM14" s="302">
        <f>'[2]PBF Run'!I21</f>
        <v>12508</v>
      </c>
      <c r="AN14" s="305">
        <f>'[2]Restoration and Growth'!BM21</f>
        <v>-29634.110064452158</v>
      </c>
      <c r="AO14" s="278">
        <f t="shared" si="6"/>
        <v>10628932.889935547</v>
      </c>
      <c r="AP14" s="285" t="str">
        <f t="shared" si="29"/>
        <v>0.85%</v>
      </c>
      <c r="AQ14" s="302">
        <f>'[2]PBF Run'!O21</f>
        <v>90346</v>
      </c>
      <c r="AR14" s="278">
        <f t="shared" si="7"/>
        <v>10719278.889935547</v>
      </c>
      <c r="AS14" s="302">
        <f>'[2]PBF Run'!$AD21</f>
        <v>0</v>
      </c>
      <c r="AT14" s="302">
        <f>'[2]PBF Run'!$T21</f>
        <v>0</v>
      </c>
      <c r="AU14" s="278">
        <f t="shared" si="8"/>
        <v>0</v>
      </c>
      <c r="AV14" s="304">
        <f>'[2]Restoration and Growth'!BT21</f>
        <v>0</v>
      </c>
      <c r="AW14" s="304" t="str">
        <f>'[2]Restoration and Growth'!AP21</f>
        <v>N</v>
      </c>
      <c r="AX14" s="302">
        <f>'[2]Restoration and Growth'!CV21</f>
        <v>0</v>
      </c>
      <c r="AY14" s="302">
        <f>'[2]Growth Deficit'!$AO21</f>
        <v>0</v>
      </c>
      <c r="AZ14" s="302">
        <f>'[2]Growth Deficit'!AO21</f>
        <v>0</v>
      </c>
      <c r="BA14" s="302">
        <f>'[2]Growth Deficit'!AL21</f>
        <v>0</v>
      </c>
      <c r="BB14" s="302">
        <f>'[2]Growth Deficit'!AM21</f>
        <v>0</v>
      </c>
      <c r="BC14" s="302">
        <f>'[2]Growth Deficit'!AN21</f>
        <v>0</v>
      </c>
      <c r="BD14" s="302">
        <f>'[2]Growth Deficit'!AO21</f>
        <v>0</v>
      </c>
      <c r="BE14" s="302">
        <f>'[2]PBF Run'!AA21</f>
        <v>0</v>
      </c>
      <c r="BF14" s="302">
        <f>'[2]PBF Run'!AB21</f>
        <v>0</v>
      </c>
      <c r="BG14" s="302">
        <f>'[2]PBF Run'!AC21</f>
        <v>0</v>
      </c>
      <c r="BH14" s="302">
        <f>'[2]PBF Run'!AD21</f>
        <v>0</v>
      </c>
      <c r="BI14" s="278">
        <f t="shared" si="9"/>
        <v>0</v>
      </c>
      <c r="BJ14" s="302">
        <f>'[2]PBF Run'!X21</f>
        <v>29886</v>
      </c>
      <c r="BK14" s="302">
        <f>'[2]PBF Run'!AE21</f>
        <v>10749165</v>
      </c>
      <c r="BL14" s="282">
        <f t="shared" si="10"/>
        <v>0.98518545393991064</v>
      </c>
      <c r="BM14" s="302">
        <f>'[2]PBF Run'!AM21</f>
        <v>159244</v>
      </c>
      <c r="BN14" s="302">
        <f>'[2]PBF Run'!$AN21</f>
        <v>7558265</v>
      </c>
      <c r="BO14" s="302">
        <f>'[2]PBF Run'!$AO21</f>
        <v>0</v>
      </c>
      <c r="BP14" s="302">
        <f>'[2]PBF Run'!AC21</f>
        <v>0</v>
      </c>
      <c r="BQ14" s="278">
        <f t="shared" si="11"/>
        <v>7558265</v>
      </c>
      <c r="BR14" s="302">
        <f>'[2]PBF Run'!AJ21</f>
        <v>1092070</v>
      </c>
      <c r="BS14" s="302">
        <f>'[2]PBF Run'!AI21</f>
        <v>213885</v>
      </c>
      <c r="BT14" s="302">
        <f>'[2]PBF Run'!$AN21</f>
        <v>7558265</v>
      </c>
      <c r="BU14" s="302">
        <f>'[2]PBF Run'!$AN21</f>
        <v>7558265</v>
      </c>
      <c r="BV14" s="302">
        <f>'[2]PBF Run'!BI21</f>
        <v>0</v>
      </c>
      <c r="BW14" s="303">
        <f>'[2]PBF Run'!BH21</f>
        <v>0</v>
      </c>
      <c r="BX14" s="278">
        <f t="shared" si="30"/>
        <v>69532</v>
      </c>
      <c r="BY14" s="278">
        <f t="shared" si="12"/>
        <v>7558265</v>
      </c>
      <c r="BZ14" s="302">
        <f>'[2]As of 13-14 R1'!BP21</f>
        <v>0</v>
      </c>
      <c r="CA14" s="302">
        <f>'[2]As of 13-14 R1'!BQ21</f>
        <v>0</v>
      </c>
      <c r="CB14" s="302">
        <f>'[2]As of 13-14 R1'!BR21</f>
        <v>0</v>
      </c>
      <c r="CC14" s="278">
        <f t="shared" si="13"/>
        <v>0</v>
      </c>
      <c r="CD14" s="301">
        <f>'[2]Growth Deficit'!$D$2</f>
        <v>0</v>
      </c>
      <c r="CE14" s="300">
        <f>IF($CS14="S",'[2]Foundation Grant'!C21,0)</f>
        <v>0</v>
      </c>
      <c r="CF14" s="300">
        <f>IF($CS14="S",'[2]Foundation Grant'!D21,0)</f>
        <v>0</v>
      </c>
      <c r="CG14" s="300">
        <f>IF($CS14="S",'[2]Foundation Grant'!E21,0)</f>
        <v>1</v>
      </c>
      <c r="CH14" s="300">
        <f>IF($CS14="S",'[2]Foundation Grant'!F21,0)</f>
        <v>1</v>
      </c>
      <c r="CI14" s="300">
        <f>IF($CS14="M",'[2]Foundation Grant'!C21,0)</f>
        <v>0</v>
      </c>
      <c r="CJ14" s="300">
        <f>IF($CS14="M",'[2]Foundation Grant'!D21,0)</f>
        <v>0</v>
      </c>
      <c r="CK14" s="300">
        <f>IF($CS14="M",'[2]Foundation Grant'!E21,0)</f>
        <v>0</v>
      </c>
      <c r="CL14" s="300">
        <f>IF($CS14="M",'[2]Foundation Grant'!F21,0)</f>
        <v>0</v>
      </c>
      <c r="CM14" s="300">
        <f>'[2]Foundation Grant'!G21</f>
        <v>0</v>
      </c>
      <c r="CN14" s="300">
        <f>'[2]Foundation Grant'!H21</f>
        <v>0</v>
      </c>
      <c r="CO14" s="300">
        <f>'[2]Foundation Grant'!I21</f>
        <v>0</v>
      </c>
      <c r="CP14" s="300">
        <f>'[2]Foundation Grant'!J21</f>
        <v>0</v>
      </c>
      <c r="CQ14" s="300">
        <f>'[2]Foundation Grant'!K21</f>
        <v>0</v>
      </c>
      <c r="CR14" s="299">
        <f>'[2]Foundation Grant'!L21</f>
        <v>0</v>
      </c>
      <c r="CS14" s="300" t="str">
        <f>'[2]Foundation Grant'!M21</f>
        <v>S</v>
      </c>
      <c r="CT14" s="300">
        <f>'[2]Foundation Grant'!N21</f>
        <v>3935976</v>
      </c>
      <c r="CU14" s="299">
        <f>'[2]Foundation Grant'!O21</f>
        <v>1</v>
      </c>
      <c r="CV14" s="299">
        <f>'[2]Foundation Grant'!P21</f>
        <v>0</v>
      </c>
      <c r="CW14" s="298">
        <f>'[2]Foundation Grant'!$C$1</f>
        <v>5622823</v>
      </c>
      <c r="CX14" s="298">
        <f>'[2]Foundation Grant'!$D$1</f>
        <v>4498258</v>
      </c>
      <c r="CY14" s="298">
        <f>'[2]Foundation Grant'!$E$1</f>
        <v>3373694</v>
      </c>
      <c r="CZ14" s="298">
        <f>'[2]Foundation Grant'!$C$2</f>
        <v>4498258</v>
      </c>
      <c r="DA14" s="298">
        <f>'[2]Foundation Grant'!$D$2</f>
        <v>3935976</v>
      </c>
      <c r="DB14" s="298">
        <f>'[2]Foundation Grant'!$E$2</f>
        <v>3373694</v>
      </c>
      <c r="DC14" s="298">
        <f>'[2]Foundation Grant'!$G$1</f>
        <v>1124565</v>
      </c>
      <c r="DD14" s="298">
        <f>'[2]Foundation Grant'!$H$1</f>
        <v>843423</v>
      </c>
      <c r="DE14" s="298">
        <f>'[2]Foundation Grant'!$I$1</f>
        <v>562282</v>
      </c>
      <c r="DF14" s="298">
        <f>'[2]Foundation Grant'!$J$1</f>
        <v>281141</v>
      </c>
      <c r="DG14" s="298">
        <f>'[2]Foundation Grant'!$K$1</f>
        <v>140571</v>
      </c>
      <c r="DH14" s="298">
        <f>'[2]Foundation Grant'!$O$1</f>
        <v>562282</v>
      </c>
      <c r="DI14" s="298">
        <f>'[2]Foundation Grant'!$P$1</f>
        <v>1124565</v>
      </c>
      <c r="DJ14" s="297">
        <f>'[2]basic allocation'!$C$10</f>
        <v>18749</v>
      </c>
      <c r="DK14" s="297">
        <f>'[2]basic allocation'!$D$10</f>
        <v>9375</v>
      </c>
      <c r="DL14" s="297">
        <f>'[2]basic allocation'!$E$10</f>
        <v>9375</v>
      </c>
      <c r="DM14" s="297">
        <f>'[2]basic allocation'!$I$10</f>
        <v>938</v>
      </c>
      <c r="DN14" s="297">
        <f>'[2]basic allocation'!$J$10</f>
        <v>703</v>
      </c>
      <c r="DO14" s="297">
        <f>'[2]basic allocation'!$K$10</f>
        <v>469</v>
      </c>
      <c r="DP14" s="297">
        <f>'[2]basic allocation'!$L$10</f>
        <v>234</v>
      </c>
      <c r="DQ14" s="297">
        <f>'[2]basic allocation'!$M$10</f>
        <v>100</v>
      </c>
      <c r="DR14" s="296">
        <f>'[2]FTES Adjustment'!DQ21</f>
        <v>0</v>
      </c>
      <c r="DS14" s="296">
        <f>'[2]FTES Adjustment'!DR21</f>
        <v>0</v>
      </c>
      <c r="DT14" s="296">
        <f>'[2]FTES Adjustment'!DS21</f>
        <v>-4.4408920985006262E-16</v>
      </c>
      <c r="DU14" s="277">
        <f t="shared" si="14"/>
        <v>0</v>
      </c>
      <c r="DV14" s="276">
        <f t="shared" si="15"/>
        <v>0</v>
      </c>
      <c r="DW14" s="276">
        <f t="shared" si="16"/>
        <v>0</v>
      </c>
      <c r="DX14" s="276">
        <f t="shared" si="17"/>
        <v>0</v>
      </c>
      <c r="DY14" s="276">
        <f t="shared" si="18"/>
        <v>0</v>
      </c>
      <c r="DZ14" s="295">
        <f>ROUND([2]FTES!$D21,3)</f>
        <v>1410.78</v>
      </c>
      <c r="EA14" s="295">
        <f>ROUND([2]FTES!$M21,3)</f>
        <v>60.62</v>
      </c>
      <c r="EB14" s="295">
        <f>ROUND([2]FTES!$V21,3)</f>
        <v>3.81</v>
      </c>
      <c r="EC14" s="276">
        <f t="shared" si="19"/>
        <v>1475.21</v>
      </c>
      <c r="ED14" s="133">
        <v>0</v>
      </c>
      <c r="EE14" s="294">
        <f>'[2]10-11 WkLd126M'!$E19</f>
        <v>242897</v>
      </c>
      <c r="EF14" s="295">
        <f>'[2]FTES Adjustment'!CG21</f>
        <v>0</v>
      </c>
      <c r="EG14" s="295">
        <f>'[2]FTES Adjustment'!CH21</f>
        <v>0</v>
      </c>
      <c r="EH14" s="295">
        <f>'[2]FTES Adjustment'!CI21</f>
        <v>0</v>
      </c>
      <c r="EI14" s="276">
        <f t="shared" si="20"/>
        <v>0</v>
      </c>
      <c r="EJ14" s="294">
        <f>'[2]PBF Run'!$AT21</f>
        <v>0</v>
      </c>
      <c r="EK14" s="294">
        <f>'[2]11-12 Workload Reduction'!H21</f>
        <v>6966801</v>
      </c>
      <c r="EL14" s="294">
        <f>'[2]13-14 $86M Workload Restore'!AI19</f>
        <v>0</v>
      </c>
      <c r="EM14" s="294">
        <f>'[2]13-14 $86M Workload Restore'!AC19</f>
        <v>0</v>
      </c>
      <c r="EN14" s="294">
        <f>'[2]13-14 deferrals, growth, EPA 1'!BJ21</f>
        <v>1746795</v>
      </c>
      <c r="EO14" s="293">
        <f t="shared" si="21"/>
        <v>10589921</v>
      </c>
      <c r="EP14" s="292">
        <v>0</v>
      </c>
      <c r="EQ14" s="292">
        <v>0</v>
      </c>
      <c r="ER14" s="292">
        <v>0</v>
      </c>
      <c r="ES14" s="16">
        <f t="shared" si="22"/>
        <v>0</v>
      </c>
    </row>
    <row r="15" spans="1:149">
      <c r="A15" s="291" t="s">
        <v>257</v>
      </c>
      <c r="B15" s="290" t="str">
        <f t="shared" si="23"/>
        <v>P2</v>
      </c>
      <c r="C15" s="285" t="s">
        <v>375</v>
      </c>
      <c r="D15" s="289" t="s">
        <v>374</v>
      </c>
      <c r="E15" s="288">
        <f>ROUND('[2]PBF Run'!N22,6)</f>
        <v>4636.4928529999997</v>
      </c>
      <c r="F15" s="285">
        <f t="shared" si="24"/>
        <v>4675.9030433300004</v>
      </c>
      <c r="G15" s="285">
        <f t="shared" si="25"/>
        <v>2788.0536374600001</v>
      </c>
      <c r="H15" s="285">
        <f t="shared" si="26"/>
        <v>2811.7520933800001</v>
      </c>
      <c r="I15" s="285">
        <f t="shared" si="27"/>
        <v>3282.8110613200001</v>
      </c>
      <c r="J15" s="285">
        <f t="shared" si="28"/>
        <v>3310.71495534</v>
      </c>
      <c r="K15" s="308">
        <f>ROUND([2]FTES!C22,3)</f>
        <v>6750.0020000000004</v>
      </c>
      <c r="L15" s="308">
        <f>ROUND([2]FTES!F22,3)</f>
        <v>0</v>
      </c>
      <c r="M15" s="308">
        <f>ROUND('[2]Growth Deficit'!AG22,3)</f>
        <v>0</v>
      </c>
      <c r="N15" s="308">
        <f>ROUND([2]FTES!I22,3)</f>
        <v>-20.352</v>
      </c>
      <c r="O15" s="308">
        <f>ROUND([2]FTES!E22,3)</f>
        <v>6729.65</v>
      </c>
      <c r="P15" s="308">
        <f>ROUND([2]FTES!L22,3)</f>
        <v>25.62</v>
      </c>
      <c r="Q15" s="308">
        <f>ROUND([2]FTES!O22,3)</f>
        <v>0</v>
      </c>
      <c r="R15" s="308">
        <f>ROUND('[2]Growth Deficit'!$AH22,3)</f>
        <v>0</v>
      </c>
      <c r="S15" s="308">
        <f>ROUND([2]FTES!R22,3)</f>
        <v>208.87</v>
      </c>
      <c r="T15" s="308">
        <f>ROUND([2]FTES!N22,3)</f>
        <v>234.49</v>
      </c>
      <c r="U15" s="308">
        <f>ROUND([2]FTES!U22,3)</f>
        <v>577.73</v>
      </c>
      <c r="V15" s="308">
        <f>ROUND([2]FTES!X22,3)</f>
        <v>0</v>
      </c>
      <c r="W15" s="308">
        <f>ROUND('[2]Growth Deficit'!$AI22,3)</f>
        <v>0</v>
      </c>
      <c r="X15" s="308">
        <f>ROUND([2]FTES!AA22,3)</f>
        <v>-306.02999999999997</v>
      </c>
      <c r="Y15" s="308">
        <f>ROUND([2]FTES!W22,3)</f>
        <v>271.7</v>
      </c>
      <c r="Z15" s="307">
        <f>'[2]FTES Adjustment'!CW22</f>
        <v>6729.6500000000005</v>
      </c>
      <c r="AA15" s="307">
        <f>'[2]FTES Adjustment'!CX22</f>
        <v>234.49</v>
      </c>
      <c r="AB15" s="307">
        <f>'[2]FTES Adjustment'!CY22</f>
        <v>271.70000000000005</v>
      </c>
      <c r="AC15" s="275">
        <f t="shared" si="0"/>
        <v>7353.3519999999999</v>
      </c>
      <c r="AD15" s="275">
        <f t="shared" si="1"/>
        <v>0</v>
      </c>
      <c r="AE15" s="275">
        <f t="shared" si="2"/>
        <v>0</v>
      </c>
      <c r="AF15" s="275">
        <f t="shared" si="3"/>
        <v>-117.512</v>
      </c>
      <c r="AG15" s="275">
        <f t="shared" si="4"/>
        <v>7235.84</v>
      </c>
      <c r="AH15" s="275">
        <f t="shared" si="5"/>
        <v>7235.84</v>
      </c>
      <c r="AI15" s="302">
        <f>'[2]PBF Run'!F22</f>
        <v>3373694</v>
      </c>
      <c r="AJ15" s="302">
        <f>'[2]PBF Run'!H22+'[2]PBF Run'!I22+'[2]PBF Run'!J22+'[2]PBF Run'!L22</f>
        <v>33264345</v>
      </c>
      <c r="AK15" s="306">
        <f>'[2]PBF Run'!J22 + '[2]PBF Run'!$L22</f>
        <v>31296337</v>
      </c>
      <c r="AL15" s="302">
        <f>'[2]PBF Run'!H22</f>
        <v>71430</v>
      </c>
      <c r="AM15" s="302">
        <f>'[2]PBF Run'!I22</f>
        <v>1896578</v>
      </c>
      <c r="AN15" s="305">
        <f>'[2]Restoration and Growth'!BM22</f>
        <v>-516660.38671294006</v>
      </c>
      <c r="AO15" s="278">
        <f t="shared" si="6"/>
        <v>36121378.613287061</v>
      </c>
      <c r="AP15" s="285" t="str">
        <f t="shared" si="29"/>
        <v>0.85%</v>
      </c>
      <c r="AQ15" s="302">
        <f>'[2]PBF Run'!O22</f>
        <v>307032</v>
      </c>
      <c r="AR15" s="278">
        <f t="shared" si="7"/>
        <v>36428410.613287061</v>
      </c>
      <c r="AS15" s="302">
        <f>'[2]PBF Run'!$AD22</f>
        <v>0</v>
      </c>
      <c r="AT15" s="302">
        <f>'[2]PBF Run'!$T22</f>
        <v>0</v>
      </c>
      <c r="AU15" s="278">
        <f t="shared" si="8"/>
        <v>783951</v>
      </c>
      <c r="AV15" s="304">
        <f>'[2]Restoration and Growth'!BT22</f>
        <v>0</v>
      </c>
      <c r="AW15" s="304" t="str">
        <f>'[2]Restoration and Growth'!AP22</f>
        <v>N</v>
      </c>
      <c r="AX15" s="302">
        <f>'[2]Restoration and Growth'!CV22</f>
        <v>0</v>
      </c>
      <c r="AY15" s="302">
        <f>'[2]Growth Deficit'!$AO22</f>
        <v>0</v>
      </c>
      <c r="AZ15" s="302">
        <f>'[2]Growth Deficit'!AO22</f>
        <v>0</v>
      </c>
      <c r="BA15" s="302">
        <f>'[2]Growth Deficit'!AL22</f>
        <v>0</v>
      </c>
      <c r="BB15" s="302">
        <f>'[2]Growth Deficit'!AM22</f>
        <v>0</v>
      </c>
      <c r="BC15" s="302">
        <f>'[2]Growth Deficit'!AN22</f>
        <v>0</v>
      </c>
      <c r="BD15" s="302">
        <f>'[2]Growth Deficit'!AO22</f>
        <v>0</v>
      </c>
      <c r="BE15" s="302">
        <f>'[2]PBF Run'!AA22</f>
        <v>-1093961</v>
      </c>
      <c r="BF15" s="302">
        <f>'[2]PBF Run'!AB22</f>
        <v>0</v>
      </c>
      <c r="BG15" s="302">
        <f>'[2]PBF Run'!AC22</f>
        <v>0</v>
      </c>
      <c r="BH15" s="302">
        <f>'[2]PBF Run'!AD22</f>
        <v>0</v>
      </c>
      <c r="BI15" s="278">
        <f t="shared" si="9"/>
        <v>-1093961</v>
      </c>
      <c r="BJ15" s="302">
        <f>'[2]PBF Run'!X22</f>
        <v>521052</v>
      </c>
      <c r="BK15" s="302">
        <f>'[2]PBF Run'!AE22</f>
        <v>35855502</v>
      </c>
      <c r="BL15" s="282">
        <f t="shared" si="10"/>
        <v>0.98518542565657008</v>
      </c>
      <c r="BM15" s="302">
        <f>'[2]PBF Run'!AM22</f>
        <v>531184</v>
      </c>
      <c r="BN15" s="302">
        <f>'[2]PBF Run'!$AN22</f>
        <v>7408463</v>
      </c>
      <c r="BO15" s="302">
        <f>'[2]PBF Run'!$AO22</f>
        <v>0</v>
      </c>
      <c r="BP15" s="302">
        <f>'[2]PBF Run'!AC22</f>
        <v>0</v>
      </c>
      <c r="BQ15" s="278">
        <f t="shared" si="11"/>
        <v>7408463</v>
      </c>
      <c r="BR15" s="302">
        <f>'[2]PBF Run'!AJ22</f>
        <v>20314208</v>
      </c>
      <c r="BS15" s="302">
        <f>'[2]PBF Run'!AI22</f>
        <v>2067022</v>
      </c>
      <c r="BT15" s="302">
        <f>'[2]PBF Run'!$AN22</f>
        <v>7408463</v>
      </c>
      <c r="BU15" s="302">
        <f>'[2]PBF Run'!$AN22</f>
        <v>7408463</v>
      </c>
      <c r="BV15" s="302">
        <f>'[2]PBF Run'!BI22</f>
        <v>0</v>
      </c>
      <c r="BW15" s="303">
        <f>'[2]PBF Run'!BH22</f>
        <v>0</v>
      </c>
      <c r="BX15" s="278">
        <f t="shared" si="30"/>
        <v>69532</v>
      </c>
      <c r="BY15" s="278">
        <f t="shared" si="12"/>
        <v>7408463</v>
      </c>
      <c r="BZ15" s="302">
        <f>'[2]As of 13-14 R1'!BP22</f>
        <v>0</v>
      </c>
      <c r="CA15" s="302">
        <f>'[2]As of 13-14 R1'!BQ22</f>
        <v>966455</v>
      </c>
      <c r="CB15" s="302">
        <f>'[2]As of 13-14 R1'!BR22</f>
        <v>0</v>
      </c>
      <c r="CC15" s="278">
        <f t="shared" si="13"/>
        <v>966455</v>
      </c>
      <c r="CD15" s="301">
        <f>'[2]Growth Deficit'!$D$2</f>
        <v>0</v>
      </c>
      <c r="CE15" s="300">
        <f>IF($CS15="S",'[2]Foundation Grant'!C22,0)</f>
        <v>0</v>
      </c>
      <c r="CF15" s="300">
        <f>IF($CS15="S",'[2]Foundation Grant'!D22,0)</f>
        <v>0</v>
      </c>
      <c r="CG15" s="300">
        <f>IF($CS15="S",'[2]Foundation Grant'!E22,0)</f>
        <v>1</v>
      </c>
      <c r="CH15" s="300">
        <f>IF($CS15="S",'[2]Foundation Grant'!F22,0)</f>
        <v>1</v>
      </c>
      <c r="CI15" s="300">
        <f>IF($CS15="M",'[2]Foundation Grant'!C22,0)</f>
        <v>0</v>
      </c>
      <c r="CJ15" s="300">
        <f>IF($CS15="M",'[2]Foundation Grant'!D22,0)</f>
        <v>0</v>
      </c>
      <c r="CK15" s="300">
        <f>IF($CS15="M",'[2]Foundation Grant'!E22,0)</f>
        <v>0</v>
      </c>
      <c r="CL15" s="300">
        <f>IF($CS15="M",'[2]Foundation Grant'!F22,0)</f>
        <v>0</v>
      </c>
      <c r="CM15" s="300">
        <f>'[2]Foundation Grant'!G22</f>
        <v>0</v>
      </c>
      <c r="CN15" s="300">
        <f>'[2]Foundation Grant'!H22</f>
        <v>0</v>
      </c>
      <c r="CO15" s="300">
        <f>'[2]Foundation Grant'!I22</f>
        <v>0</v>
      </c>
      <c r="CP15" s="300">
        <f>'[2]Foundation Grant'!J22</f>
        <v>0</v>
      </c>
      <c r="CQ15" s="300">
        <f>'[2]Foundation Grant'!K22</f>
        <v>0</v>
      </c>
      <c r="CR15" s="299">
        <f>'[2]Foundation Grant'!L22</f>
        <v>0</v>
      </c>
      <c r="CS15" s="300" t="str">
        <f>'[2]Foundation Grant'!M22</f>
        <v>S</v>
      </c>
      <c r="CT15" s="300">
        <f>'[2]Foundation Grant'!N22</f>
        <v>3373694</v>
      </c>
      <c r="CU15" s="299">
        <f>'[2]Foundation Grant'!O22</f>
        <v>0</v>
      </c>
      <c r="CV15" s="299">
        <f>'[2]Foundation Grant'!P22</f>
        <v>0</v>
      </c>
      <c r="CW15" s="298">
        <f>'[2]Foundation Grant'!$C$1</f>
        <v>5622823</v>
      </c>
      <c r="CX15" s="298">
        <f>'[2]Foundation Grant'!$D$1</f>
        <v>4498258</v>
      </c>
      <c r="CY15" s="298">
        <f>'[2]Foundation Grant'!$E$1</f>
        <v>3373694</v>
      </c>
      <c r="CZ15" s="298">
        <f>'[2]Foundation Grant'!$C$2</f>
        <v>4498258</v>
      </c>
      <c r="DA15" s="298">
        <f>'[2]Foundation Grant'!$D$2</f>
        <v>3935976</v>
      </c>
      <c r="DB15" s="298">
        <f>'[2]Foundation Grant'!$E$2</f>
        <v>3373694</v>
      </c>
      <c r="DC15" s="298">
        <f>'[2]Foundation Grant'!$G$1</f>
        <v>1124565</v>
      </c>
      <c r="DD15" s="298">
        <f>'[2]Foundation Grant'!$H$1</f>
        <v>843423</v>
      </c>
      <c r="DE15" s="298">
        <f>'[2]Foundation Grant'!$I$1</f>
        <v>562282</v>
      </c>
      <c r="DF15" s="298">
        <f>'[2]Foundation Grant'!$J$1</f>
        <v>281141</v>
      </c>
      <c r="DG15" s="298">
        <f>'[2]Foundation Grant'!$K$1</f>
        <v>140571</v>
      </c>
      <c r="DH15" s="298">
        <f>'[2]Foundation Grant'!$O$1</f>
        <v>562282</v>
      </c>
      <c r="DI15" s="298">
        <f>'[2]Foundation Grant'!$P$1</f>
        <v>1124565</v>
      </c>
      <c r="DJ15" s="297">
        <f>'[2]basic allocation'!$C$10</f>
        <v>18749</v>
      </c>
      <c r="DK15" s="297">
        <f>'[2]basic allocation'!$D$10</f>
        <v>9375</v>
      </c>
      <c r="DL15" s="297">
        <f>'[2]basic allocation'!$E$10</f>
        <v>9375</v>
      </c>
      <c r="DM15" s="297">
        <f>'[2]basic allocation'!$I$10</f>
        <v>938</v>
      </c>
      <c r="DN15" s="297">
        <f>'[2]basic allocation'!$J$10</f>
        <v>703</v>
      </c>
      <c r="DO15" s="297">
        <f>'[2]basic allocation'!$K$10</f>
        <v>469</v>
      </c>
      <c r="DP15" s="297">
        <f>'[2]basic allocation'!$L$10</f>
        <v>234</v>
      </c>
      <c r="DQ15" s="297">
        <f>'[2]basic allocation'!$M$10</f>
        <v>100</v>
      </c>
      <c r="DR15" s="296">
        <f>'[2]FTES Adjustment'!DQ22</f>
        <v>0</v>
      </c>
      <c r="DS15" s="296">
        <f>'[2]FTES Adjustment'!DR22</f>
        <v>0</v>
      </c>
      <c r="DT15" s="296">
        <f>'[2]FTES Adjustment'!DS22</f>
        <v>0</v>
      </c>
      <c r="DU15" s="277">
        <f t="shared" si="14"/>
        <v>0</v>
      </c>
      <c r="DV15" s="276">
        <f t="shared" si="15"/>
        <v>0</v>
      </c>
      <c r="DW15" s="276">
        <f t="shared" si="16"/>
        <v>0</v>
      </c>
      <c r="DX15" s="276">
        <f t="shared" si="17"/>
        <v>0</v>
      </c>
      <c r="DY15" s="276">
        <f t="shared" si="18"/>
        <v>0</v>
      </c>
      <c r="DZ15" s="295">
        <f>ROUND([2]FTES!$D22,3)</f>
        <v>6750.0020000000004</v>
      </c>
      <c r="EA15" s="295">
        <f>ROUND([2]FTES!$M22,3)</f>
        <v>25.62</v>
      </c>
      <c r="EB15" s="295">
        <f>ROUND([2]FTES!$V22,3)</f>
        <v>577.73</v>
      </c>
      <c r="EC15" s="276">
        <f t="shared" si="19"/>
        <v>7353.3519999999999</v>
      </c>
      <c r="ED15" s="133">
        <v>0</v>
      </c>
      <c r="EE15" s="294">
        <f>'[2]10-11 WkLd126M'!$E20</f>
        <v>861857</v>
      </c>
      <c r="EF15" s="295">
        <f>'[2]FTES Adjustment'!CG22</f>
        <v>0</v>
      </c>
      <c r="EG15" s="295">
        <f>'[2]FTES Adjustment'!CH22</f>
        <v>0</v>
      </c>
      <c r="EH15" s="295">
        <f>'[2]FTES Adjustment'!CI22</f>
        <v>0</v>
      </c>
      <c r="EI15" s="276">
        <f t="shared" si="20"/>
        <v>0</v>
      </c>
      <c r="EJ15" s="294">
        <f>'[2]PBF Run'!$AT22</f>
        <v>0</v>
      </c>
      <c r="EK15" s="294">
        <f>'[2]11-12 Workload Reduction'!H22</f>
        <v>35148291</v>
      </c>
      <c r="EL15" s="294">
        <f>'[2]13-14 $86M Workload Restore'!AI20</f>
        <v>783951</v>
      </c>
      <c r="EM15" s="294">
        <f>'[2]13-14 $86M Workload Restore'!AC20</f>
        <v>0</v>
      </c>
      <c r="EN15" s="294">
        <f>'[2]13-14 deferrals, growth, EPA 1'!BJ22</f>
        <v>5656495</v>
      </c>
      <c r="EO15" s="293">
        <f t="shared" si="21"/>
        <v>35324318</v>
      </c>
      <c r="EP15" s="292">
        <v>0</v>
      </c>
      <c r="EQ15" s="292">
        <v>0</v>
      </c>
      <c r="ER15" s="292">
        <v>0</v>
      </c>
      <c r="ES15" s="16">
        <f t="shared" si="22"/>
        <v>0</v>
      </c>
    </row>
    <row r="16" spans="1:149">
      <c r="A16" s="291" t="s">
        <v>257</v>
      </c>
      <c r="B16" s="290" t="str">
        <f t="shared" si="23"/>
        <v>P2</v>
      </c>
      <c r="C16" s="285" t="s">
        <v>373</v>
      </c>
      <c r="D16" s="289" t="s">
        <v>372</v>
      </c>
      <c r="E16" s="288">
        <f>ROUND('[2]PBF Run'!N23,6)</f>
        <v>4636.4928520000003</v>
      </c>
      <c r="F16" s="285">
        <f t="shared" si="24"/>
        <v>4675.9030433300004</v>
      </c>
      <c r="G16" s="285">
        <f t="shared" si="25"/>
        <v>2788.0536374600001</v>
      </c>
      <c r="H16" s="285">
        <f t="shared" si="26"/>
        <v>2811.7520933800001</v>
      </c>
      <c r="I16" s="285">
        <f t="shared" si="27"/>
        <v>3282.8110613200001</v>
      </c>
      <c r="J16" s="285">
        <f t="shared" si="28"/>
        <v>3310.71495534</v>
      </c>
      <c r="K16" s="308">
        <f>ROUND([2]FTES!C23,3)</f>
        <v>18461.86</v>
      </c>
      <c r="L16" s="308">
        <f>ROUND([2]FTES!F23,3)</f>
        <v>0</v>
      </c>
      <c r="M16" s="308">
        <f>ROUND('[2]Growth Deficit'!AG23,3)</f>
        <v>0</v>
      </c>
      <c r="N16" s="308">
        <f>ROUND([2]FTES!I23,3)</f>
        <v>0</v>
      </c>
      <c r="O16" s="308">
        <f>ROUND([2]FTES!E23,3)</f>
        <v>19137.46</v>
      </c>
      <c r="P16" s="308">
        <f>ROUND([2]FTES!L23,3)</f>
        <v>8.14</v>
      </c>
      <c r="Q16" s="308">
        <f>ROUND([2]FTES!O23,3)</f>
        <v>0</v>
      </c>
      <c r="R16" s="308">
        <f>ROUND('[2]Growth Deficit'!$AH23,3)</f>
        <v>0</v>
      </c>
      <c r="S16" s="308">
        <f>ROUND([2]FTES!R23,3)</f>
        <v>0</v>
      </c>
      <c r="T16" s="308">
        <f>ROUND([2]FTES!N23,3)</f>
        <v>25.54</v>
      </c>
      <c r="U16" s="308">
        <f>ROUND([2]FTES!U23,3)</f>
        <v>0</v>
      </c>
      <c r="V16" s="308">
        <f>ROUND([2]FTES!X23,3)</f>
        <v>0</v>
      </c>
      <c r="W16" s="308">
        <f>ROUND('[2]Growth Deficit'!$AI23,3)</f>
        <v>0</v>
      </c>
      <c r="X16" s="308">
        <f>ROUND([2]FTES!AA23,3)</f>
        <v>0</v>
      </c>
      <c r="Y16" s="308">
        <f>ROUND([2]FTES!W23,3)</f>
        <v>0</v>
      </c>
      <c r="Z16" s="307">
        <f>'[2]FTES Adjustment'!CW23</f>
        <v>19137.459996999998</v>
      </c>
      <c r="AA16" s="307">
        <f>'[2]FTES Adjustment'!CX23</f>
        <v>25.54</v>
      </c>
      <c r="AB16" s="307">
        <f>'[2]FTES Adjustment'!CY23</f>
        <v>0</v>
      </c>
      <c r="AC16" s="275">
        <f t="shared" si="0"/>
        <v>18470</v>
      </c>
      <c r="AD16" s="275">
        <f t="shared" si="1"/>
        <v>0</v>
      </c>
      <c r="AE16" s="275">
        <f t="shared" si="2"/>
        <v>0</v>
      </c>
      <c r="AF16" s="275">
        <f t="shared" si="3"/>
        <v>0</v>
      </c>
      <c r="AG16" s="275">
        <f t="shared" si="4"/>
        <v>19163</v>
      </c>
      <c r="AH16" s="275">
        <f t="shared" si="5"/>
        <v>19163</v>
      </c>
      <c r="AI16" s="302">
        <f>'[2]PBF Run'!F23</f>
        <v>7871952</v>
      </c>
      <c r="AJ16" s="302">
        <f>'[2]PBF Run'!H23+'[2]PBF Run'!I23+'[2]PBF Run'!J23+'[2]PBF Run'!L23</f>
        <v>85620977</v>
      </c>
      <c r="AK16" s="306">
        <f>'[2]PBF Run'!J23 + '[2]PBF Run'!$L23</f>
        <v>85598282</v>
      </c>
      <c r="AL16" s="302">
        <f>'[2]PBF Run'!H23</f>
        <v>22695</v>
      </c>
      <c r="AM16" s="302">
        <f>'[2]PBF Run'!I23</f>
        <v>0</v>
      </c>
      <c r="AN16" s="305">
        <f>'[2]Restoration and Growth'!BM23</f>
        <v>0</v>
      </c>
      <c r="AO16" s="278">
        <f t="shared" si="6"/>
        <v>93492929</v>
      </c>
      <c r="AP16" s="285" t="str">
        <f t="shared" si="29"/>
        <v>0.85%</v>
      </c>
      <c r="AQ16" s="302">
        <f>'[2]PBF Run'!O23</f>
        <v>794690</v>
      </c>
      <c r="AR16" s="278">
        <f t="shared" si="7"/>
        <v>94287619</v>
      </c>
      <c r="AS16" s="302">
        <f>'[2]PBF Run'!$AD23</f>
        <v>0</v>
      </c>
      <c r="AT16" s="302">
        <f>'[2]PBF Run'!$T23</f>
        <v>0</v>
      </c>
      <c r="AU16" s="278">
        <f t="shared" si="8"/>
        <v>1448884</v>
      </c>
      <c r="AV16" s="304">
        <f>'[2]Restoration and Growth'!BT23</f>
        <v>0</v>
      </c>
      <c r="AW16" s="304" t="str">
        <f>'[2]Restoration and Growth'!AP23</f>
        <v>Y</v>
      </c>
      <c r="AX16" s="302">
        <f>'[2]Restoration and Growth'!CV23</f>
        <v>0</v>
      </c>
      <c r="AY16" s="302">
        <f>'[2]Growth Deficit'!$AO23</f>
        <v>0</v>
      </c>
      <c r="AZ16" s="302">
        <f>'[2]Growth Deficit'!AO23</f>
        <v>0</v>
      </c>
      <c r="BA16" s="302">
        <f>'[2]Growth Deficit'!AL23</f>
        <v>0</v>
      </c>
      <c r="BB16" s="302">
        <f>'[2]Growth Deficit'!AM23</f>
        <v>0</v>
      </c>
      <c r="BC16" s="302">
        <f>'[2]Growth Deficit'!AN23</f>
        <v>0</v>
      </c>
      <c r="BD16" s="302">
        <f>'[2]Growth Deficit'!AO23</f>
        <v>0</v>
      </c>
      <c r="BE16" s="302">
        <f>'[2]PBF Run'!AA23</f>
        <v>1107182</v>
      </c>
      <c r="BF16" s="302">
        <f>'[2]PBF Run'!AB23</f>
        <v>0</v>
      </c>
      <c r="BG16" s="302">
        <f>'[2]PBF Run'!AC23</f>
        <v>0</v>
      </c>
      <c r="BH16" s="302">
        <f>'[2]PBF Run'!AD23</f>
        <v>0</v>
      </c>
      <c r="BI16" s="278">
        <f t="shared" si="9"/>
        <v>1107182</v>
      </c>
      <c r="BJ16" s="302">
        <f>'[2]PBF Run'!X23</f>
        <v>0</v>
      </c>
      <c r="BK16" s="302">
        <f>'[2]PBF Run'!AE23</f>
        <v>98602765</v>
      </c>
      <c r="BL16" s="282">
        <f t="shared" si="10"/>
        <v>0.98518541543941496</v>
      </c>
      <c r="BM16" s="302">
        <f>'[2]PBF Run'!AM23</f>
        <v>1460759</v>
      </c>
      <c r="BN16" s="302">
        <f>'[2]PBF Run'!$AN23</f>
        <v>46425248</v>
      </c>
      <c r="BO16" s="302">
        <f>'[2]PBF Run'!$AO23</f>
        <v>0</v>
      </c>
      <c r="BP16" s="302">
        <f>'[2]PBF Run'!AC23</f>
        <v>0</v>
      </c>
      <c r="BQ16" s="278">
        <f t="shared" si="11"/>
        <v>46425248</v>
      </c>
      <c r="BR16" s="302">
        <f>'[2]PBF Run'!AJ23</f>
        <v>28652830</v>
      </c>
      <c r="BS16" s="302">
        <f>'[2]PBF Run'!AI23</f>
        <v>7070793</v>
      </c>
      <c r="BT16" s="302">
        <f>'[2]PBF Run'!$AN23</f>
        <v>46425248</v>
      </c>
      <c r="BU16" s="302">
        <f>'[2]PBF Run'!$AN23</f>
        <v>46425248</v>
      </c>
      <c r="BV16" s="302">
        <f>'[2]PBF Run'!BI23</f>
        <v>0</v>
      </c>
      <c r="BW16" s="303">
        <f>'[2]PBF Run'!BH23</f>
        <v>0</v>
      </c>
      <c r="BX16" s="278">
        <f t="shared" si="30"/>
        <v>69532</v>
      </c>
      <c r="BY16" s="278">
        <f t="shared" si="12"/>
        <v>46425248</v>
      </c>
      <c r="BZ16" s="302">
        <f>'[2]As of 13-14 R1'!BP23</f>
        <v>0</v>
      </c>
      <c r="CA16" s="302">
        <f>'[2]As of 13-14 R1'!BQ23</f>
        <v>0</v>
      </c>
      <c r="CB16" s="302">
        <f>'[2]As of 13-14 R1'!BR23</f>
        <v>0</v>
      </c>
      <c r="CC16" s="278">
        <f t="shared" si="13"/>
        <v>0</v>
      </c>
      <c r="CD16" s="301">
        <f>'[2]Growth Deficit'!$D$2</f>
        <v>0</v>
      </c>
      <c r="CE16" s="300">
        <f>IF($CS16="S",'[2]Foundation Grant'!C23,0)</f>
        <v>0</v>
      </c>
      <c r="CF16" s="300">
        <f>IF($CS16="S",'[2]Foundation Grant'!D23,0)</f>
        <v>1</v>
      </c>
      <c r="CG16" s="300">
        <f>IF($CS16="S",'[2]Foundation Grant'!E23,0)</f>
        <v>1</v>
      </c>
      <c r="CH16" s="300">
        <f>IF($CS16="S",'[2]Foundation Grant'!F23,0)</f>
        <v>2</v>
      </c>
      <c r="CI16" s="300">
        <f>IF($CS16="M",'[2]Foundation Grant'!C23,0)</f>
        <v>0</v>
      </c>
      <c r="CJ16" s="300">
        <f>IF($CS16="M",'[2]Foundation Grant'!D23,0)</f>
        <v>0</v>
      </c>
      <c r="CK16" s="300">
        <f>IF($CS16="M",'[2]Foundation Grant'!E23,0)</f>
        <v>0</v>
      </c>
      <c r="CL16" s="300">
        <f>IF($CS16="M",'[2]Foundation Grant'!F23,0)</f>
        <v>0</v>
      </c>
      <c r="CM16" s="300">
        <f>'[2]Foundation Grant'!G23</f>
        <v>0</v>
      </c>
      <c r="CN16" s="300">
        <f>'[2]Foundation Grant'!H23</f>
        <v>0</v>
      </c>
      <c r="CO16" s="300">
        <f>'[2]Foundation Grant'!I23</f>
        <v>0</v>
      </c>
      <c r="CP16" s="300">
        <f>'[2]Foundation Grant'!J23</f>
        <v>0</v>
      </c>
      <c r="CQ16" s="300">
        <f>'[2]Foundation Grant'!K23</f>
        <v>0</v>
      </c>
      <c r="CR16" s="299">
        <f>'[2]Foundation Grant'!L23</f>
        <v>0</v>
      </c>
      <c r="CS16" s="300" t="str">
        <f>'[2]Foundation Grant'!M23</f>
        <v>S</v>
      </c>
      <c r="CT16" s="300">
        <f>'[2]Foundation Grant'!N23</f>
        <v>7871952</v>
      </c>
      <c r="CU16" s="299">
        <f>'[2]Foundation Grant'!O23</f>
        <v>0</v>
      </c>
      <c r="CV16" s="299">
        <f>'[2]Foundation Grant'!P23</f>
        <v>0</v>
      </c>
      <c r="CW16" s="298">
        <f>'[2]Foundation Grant'!$C$1</f>
        <v>5622823</v>
      </c>
      <c r="CX16" s="298">
        <f>'[2]Foundation Grant'!$D$1</f>
        <v>4498258</v>
      </c>
      <c r="CY16" s="298">
        <f>'[2]Foundation Grant'!$E$1</f>
        <v>3373694</v>
      </c>
      <c r="CZ16" s="298">
        <f>'[2]Foundation Grant'!$C$2</f>
        <v>4498258</v>
      </c>
      <c r="DA16" s="298">
        <f>'[2]Foundation Grant'!$D$2</f>
        <v>3935976</v>
      </c>
      <c r="DB16" s="298">
        <f>'[2]Foundation Grant'!$E$2</f>
        <v>3373694</v>
      </c>
      <c r="DC16" s="298">
        <f>'[2]Foundation Grant'!$G$1</f>
        <v>1124565</v>
      </c>
      <c r="DD16" s="298">
        <f>'[2]Foundation Grant'!$H$1</f>
        <v>843423</v>
      </c>
      <c r="DE16" s="298">
        <f>'[2]Foundation Grant'!$I$1</f>
        <v>562282</v>
      </c>
      <c r="DF16" s="298">
        <f>'[2]Foundation Grant'!$J$1</f>
        <v>281141</v>
      </c>
      <c r="DG16" s="298">
        <f>'[2]Foundation Grant'!$K$1</f>
        <v>140571</v>
      </c>
      <c r="DH16" s="298">
        <f>'[2]Foundation Grant'!$O$1</f>
        <v>562282</v>
      </c>
      <c r="DI16" s="298">
        <f>'[2]Foundation Grant'!$P$1</f>
        <v>1124565</v>
      </c>
      <c r="DJ16" s="297">
        <f>'[2]basic allocation'!$C$10</f>
        <v>18749</v>
      </c>
      <c r="DK16" s="297">
        <f>'[2]basic allocation'!$D$10</f>
        <v>9375</v>
      </c>
      <c r="DL16" s="297">
        <f>'[2]basic allocation'!$E$10</f>
        <v>9375</v>
      </c>
      <c r="DM16" s="297">
        <f>'[2]basic allocation'!$I$10</f>
        <v>938</v>
      </c>
      <c r="DN16" s="297">
        <f>'[2]basic allocation'!$J$10</f>
        <v>703</v>
      </c>
      <c r="DO16" s="297">
        <f>'[2]basic allocation'!$K$10</f>
        <v>469</v>
      </c>
      <c r="DP16" s="297">
        <f>'[2]basic allocation'!$L$10</f>
        <v>234</v>
      </c>
      <c r="DQ16" s="297">
        <f>'[2]basic allocation'!$M$10</f>
        <v>100</v>
      </c>
      <c r="DR16" s="296">
        <f>'[2]FTES Adjustment'!DQ23</f>
        <v>3.0000010156072676E-6</v>
      </c>
      <c r="DS16" s="296">
        <f>'[2]FTES Adjustment'!DR23</f>
        <v>0</v>
      </c>
      <c r="DT16" s="296">
        <f>'[2]FTES Adjustment'!DS23</f>
        <v>0</v>
      </c>
      <c r="DU16" s="277">
        <f t="shared" si="14"/>
        <v>0</v>
      </c>
      <c r="DV16" s="276">
        <f t="shared" si="15"/>
        <v>675.59997899999996</v>
      </c>
      <c r="DW16" s="276">
        <f t="shared" si="16"/>
        <v>17.399999999999999</v>
      </c>
      <c r="DX16" s="276">
        <f t="shared" si="17"/>
        <v>0</v>
      </c>
      <c r="DY16" s="276">
        <f t="shared" si="18"/>
        <v>693</v>
      </c>
      <c r="DZ16" s="295">
        <f>ROUND([2]FTES!$D23,3)</f>
        <v>18461.86</v>
      </c>
      <c r="EA16" s="295">
        <f>ROUND([2]FTES!$M23,3)</f>
        <v>8.14</v>
      </c>
      <c r="EB16" s="295">
        <f>ROUND([2]FTES!$V23,3)</f>
        <v>0</v>
      </c>
      <c r="EC16" s="276">
        <f t="shared" si="19"/>
        <v>18470</v>
      </c>
      <c r="ED16" s="133">
        <v>0</v>
      </c>
      <c r="EE16" s="294">
        <f>'[2]10-11 WkLd126M'!$E21</f>
        <v>2185535</v>
      </c>
      <c r="EF16" s="295">
        <f>'[2]FTES Adjustment'!CG23</f>
        <v>675.59997899999996</v>
      </c>
      <c r="EG16" s="295">
        <f>'[2]FTES Adjustment'!CH23</f>
        <v>17.399999999999999</v>
      </c>
      <c r="EH16" s="295">
        <f>'[2]FTES Adjustment'!CI23</f>
        <v>0</v>
      </c>
      <c r="EI16" s="276">
        <f t="shared" si="20"/>
        <v>692.99997899999994</v>
      </c>
      <c r="EJ16" s="294">
        <f>'[2]PBF Run'!$AT23</f>
        <v>0</v>
      </c>
      <c r="EK16" s="294">
        <f>'[2]11-12 Workload Reduction'!H23</f>
        <v>88696021</v>
      </c>
      <c r="EL16" s="294">
        <f>'[2]13-14 $86M Workload Restore'!AI21</f>
        <v>1401703</v>
      </c>
      <c r="EM16" s="294">
        <f>'[2]13-14 $86M Workload Restore'!AC21</f>
        <v>47181</v>
      </c>
      <c r="EN16" s="294">
        <f>'[2]13-14 deferrals, growth, EPA 1'!BJ23</f>
        <v>14099243</v>
      </c>
      <c r="EO16" s="293">
        <f t="shared" si="21"/>
        <v>97142006</v>
      </c>
      <c r="EP16" s="292">
        <v>0</v>
      </c>
      <c r="EQ16" s="292">
        <v>0</v>
      </c>
      <c r="ER16" s="292">
        <v>0</v>
      </c>
      <c r="ES16" s="16">
        <f t="shared" si="22"/>
        <v>0</v>
      </c>
    </row>
    <row r="17" spans="1:149">
      <c r="A17" s="291" t="s">
        <v>257</v>
      </c>
      <c r="B17" s="290" t="str">
        <f t="shared" si="23"/>
        <v>P2</v>
      </c>
      <c r="C17" s="285" t="s">
        <v>371</v>
      </c>
      <c r="D17" s="289" t="s">
        <v>370</v>
      </c>
      <c r="E17" s="288">
        <f>ROUND('[2]PBF Run'!N24,6)</f>
        <v>4636.492792</v>
      </c>
      <c r="F17" s="285">
        <f t="shared" si="24"/>
        <v>4675.9030433300004</v>
      </c>
      <c r="G17" s="285">
        <f t="shared" si="25"/>
        <v>2788.0536374600001</v>
      </c>
      <c r="H17" s="285">
        <f t="shared" si="26"/>
        <v>2811.7520933800001</v>
      </c>
      <c r="I17" s="285">
        <f t="shared" si="27"/>
        <v>3282.8110613200001</v>
      </c>
      <c r="J17" s="285">
        <f t="shared" si="28"/>
        <v>3310.71495534</v>
      </c>
      <c r="K17" s="308">
        <f>ROUND([2]FTES!C24,3)</f>
        <v>1449.39</v>
      </c>
      <c r="L17" s="308">
        <f>ROUND([2]FTES!F24,3)</f>
        <v>24.82</v>
      </c>
      <c r="M17" s="308">
        <f>ROUND('[2]Growth Deficit'!AG24,3)</f>
        <v>0</v>
      </c>
      <c r="N17" s="308">
        <f>ROUND([2]FTES!I24,3)</f>
        <v>0</v>
      </c>
      <c r="O17" s="308">
        <f>ROUND([2]FTES!E24,3)</f>
        <v>1474.21</v>
      </c>
      <c r="P17" s="308">
        <f>ROUND([2]FTES!L24,3)</f>
        <v>107.77</v>
      </c>
      <c r="Q17" s="308">
        <f>ROUND([2]FTES!O24,3)</f>
        <v>0</v>
      </c>
      <c r="R17" s="308">
        <f>ROUND('[2]Growth Deficit'!$AH24,3)</f>
        <v>0</v>
      </c>
      <c r="S17" s="308">
        <f>ROUND([2]FTES!R24,3)</f>
        <v>0</v>
      </c>
      <c r="T17" s="308">
        <f>ROUND([2]FTES!N24,3)</f>
        <v>79.06</v>
      </c>
      <c r="U17" s="308">
        <f>ROUND([2]FTES!U24,3)</f>
        <v>0</v>
      </c>
      <c r="V17" s="308">
        <f>ROUND([2]FTES!X24,3)</f>
        <v>45.506999999999998</v>
      </c>
      <c r="W17" s="308">
        <f>ROUND('[2]Growth Deficit'!$AI24,3)</f>
        <v>0</v>
      </c>
      <c r="X17" s="308">
        <f>ROUND([2]FTES!AA24,3)</f>
        <v>0</v>
      </c>
      <c r="Y17" s="308">
        <f>ROUND([2]FTES!W24,3)</f>
        <v>69.89</v>
      </c>
      <c r="Z17" s="307">
        <f>'[2]FTES Adjustment'!CW24</f>
        <v>1474.2099559999999</v>
      </c>
      <c r="AA17" s="307">
        <f>'[2]FTES Adjustment'!CX24</f>
        <v>79.059999999999988</v>
      </c>
      <c r="AB17" s="307">
        <f>'[2]FTES Adjustment'!CY24</f>
        <v>69.89</v>
      </c>
      <c r="AC17" s="275">
        <f t="shared" si="0"/>
        <v>1557.16</v>
      </c>
      <c r="AD17" s="275">
        <f t="shared" si="1"/>
        <v>70.326999999999998</v>
      </c>
      <c r="AE17" s="275">
        <f t="shared" si="2"/>
        <v>0</v>
      </c>
      <c r="AF17" s="275">
        <f t="shared" si="3"/>
        <v>0</v>
      </c>
      <c r="AG17" s="275">
        <f t="shared" si="4"/>
        <v>1623.16</v>
      </c>
      <c r="AH17" s="275">
        <f t="shared" si="5"/>
        <v>1623.16</v>
      </c>
      <c r="AI17" s="302">
        <f>'[2]PBF Run'!F24</f>
        <v>3935976</v>
      </c>
      <c r="AJ17" s="302">
        <f>'[2]PBF Run'!H24+'[2]PBF Run'!I24+'[2]PBF Run'!J24+'[2]PBF Run'!L24</f>
        <v>7020555</v>
      </c>
      <c r="AK17" s="306">
        <f>'[2]PBF Run'!J24 + '[2]PBF Run'!$L24</f>
        <v>6720086</v>
      </c>
      <c r="AL17" s="302">
        <f>'[2]PBF Run'!H24</f>
        <v>300469</v>
      </c>
      <c r="AM17" s="302">
        <f>'[2]PBF Run'!I24</f>
        <v>0</v>
      </c>
      <c r="AN17" s="305">
        <f>'[2]Restoration and Growth'!BM24</f>
        <v>0</v>
      </c>
      <c r="AO17" s="278">
        <f t="shared" si="6"/>
        <v>10956531</v>
      </c>
      <c r="AP17" s="285" t="str">
        <f t="shared" si="29"/>
        <v>0.85%</v>
      </c>
      <c r="AQ17" s="302">
        <f>'[2]PBF Run'!O24</f>
        <v>93131</v>
      </c>
      <c r="AR17" s="278">
        <f t="shared" si="7"/>
        <v>11049662</v>
      </c>
      <c r="AS17" s="302">
        <f>'[2]PBF Run'!$AD24</f>
        <v>0</v>
      </c>
      <c r="AT17" s="302">
        <f>'[2]PBF Run'!$T24</f>
        <v>266716</v>
      </c>
      <c r="AU17" s="278">
        <f t="shared" si="8"/>
        <v>266716</v>
      </c>
      <c r="AV17" s="304">
        <f>'[2]Restoration and Growth'!BT24</f>
        <v>0</v>
      </c>
      <c r="AW17" s="304" t="str">
        <f>'[2]Restoration and Growth'!AP24</f>
        <v>N</v>
      </c>
      <c r="AX17" s="302">
        <f>'[2]Restoration and Growth'!CV24</f>
        <v>0</v>
      </c>
      <c r="AY17" s="302">
        <f>'[2]Growth Deficit'!$AO24</f>
        <v>0</v>
      </c>
      <c r="AZ17" s="302">
        <f>'[2]Growth Deficit'!AO24</f>
        <v>0</v>
      </c>
      <c r="BA17" s="302">
        <f>'[2]Growth Deficit'!AL24</f>
        <v>0</v>
      </c>
      <c r="BB17" s="302">
        <f>'[2]Growth Deficit'!AM24</f>
        <v>0</v>
      </c>
      <c r="BC17" s="302">
        <f>'[2]Growth Deficit'!AN24</f>
        <v>0</v>
      </c>
      <c r="BD17" s="302">
        <f>'[2]Growth Deficit'!AO24</f>
        <v>0</v>
      </c>
      <c r="BE17" s="302">
        <f>'[2]PBF Run'!AA24</f>
        <v>0</v>
      </c>
      <c r="BF17" s="302">
        <f>'[2]PBF Run'!AB24</f>
        <v>0</v>
      </c>
      <c r="BG17" s="302">
        <f>'[2]PBF Run'!AC24</f>
        <v>0</v>
      </c>
      <c r="BH17" s="302">
        <f>'[2]PBF Run'!AD24</f>
        <v>0</v>
      </c>
      <c r="BI17" s="278">
        <f t="shared" si="9"/>
        <v>0</v>
      </c>
      <c r="BJ17" s="302">
        <f>'[2]PBF Run'!X24</f>
        <v>0</v>
      </c>
      <c r="BK17" s="302">
        <f>'[2]PBF Run'!AE24</f>
        <v>11316378</v>
      </c>
      <c r="BL17" s="282">
        <f t="shared" si="10"/>
        <v>0.98518545421512083</v>
      </c>
      <c r="BM17" s="302">
        <f>'[2]PBF Run'!AM24</f>
        <v>167647</v>
      </c>
      <c r="BN17" s="302">
        <f>'[2]PBF Run'!$AN24</f>
        <v>3574894</v>
      </c>
      <c r="BO17" s="302">
        <f>'[2]PBF Run'!$AO24</f>
        <v>0</v>
      </c>
      <c r="BP17" s="302">
        <f>'[2]PBF Run'!AC24</f>
        <v>0</v>
      </c>
      <c r="BQ17" s="278">
        <f t="shared" si="11"/>
        <v>3574894</v>
      </c>
      <c r="BR17" s="302">
        <f>'[2]PBF Run'!AJ24</f>
        <v>5149199</v>
      </c>
      <c r="BS17" s="302">
        <f>'[2]PBF Run'!AI24</f>
        <v>682843</v>
      </c>
      <c r="BT17" s="302">
        <f>'[2]PBF Run'!$AN24</f>
        <v>3574894</v>
      </c>
      <c r="BU17" s="302">
        <f>'[2]PBF Run'!$AN24</f>
        <v>3574894</v>
      </c>
      <c r="BV17" s="302">
        <f>'[2]PBF Run'!BI24</f>
        <v>0</v>
      </c>
      <c r="BW17" s="303">
        <f>'[2]PBF Run'!BH24</f>
        <v>0</v>
      </c>
      <c r="BX17" s="278">
        <f t="shared" si="30"/>
        <v>69532</v>
      </c>
      <c r="BY17" s="278">
        <f t="shared" si="12"/>
        <v>3574894</v>
      </c>
      <c r="BZ17" s="302">
        <f>'[2]As of 13-14 R1'!BP24</f>
        <v>0</v>
      </c>
      <c r="CA17" s="302">
        <f>'[2]As of 13-14 R1'!BQ24</f>
        <v>8176</v>
      </c>
      <c r="CB17" s="302">
        <f>'[2]As of 13-14 R1'!BR24</f>
        <v>819795</v>
      </c>
      <c r="CC17" s="278">
        <f t="shared" si="13"/>
        <v>827971</v>
      </c>
      <c r="CD17" s="301">
        <f>'[2]Growth Deficit'!$D$2</f>
        <v>0</v>
      </c>
      <c r="CE17" s="300">
        <f>IF($CS17="S",'[2]Foundation Grant'!C24,0)</f>
        <v>0</v>
      </c>
      <c r="CF17" s="300">
        <f>IF($CS17="S",'[2]Foundation Grant'!D24,0)</f>
        <v>0</v>
      </c>
      <c r="CG17" s="300">
        <f>IF($CS17="S",'[2]Foundation Grant'!E24,0)</f>
        <v>1</v>
      </c>
      <c r="CH17" s="300">
        <f>IF($CS17="S",'[2]Foundation Grant'!F24,0)</f>
        <v>1</v>
      </c>
      <c r="CI17" s="300">
        <f>IF($CS17="M",'[2]Foundation Grant'!C24,0)</f>
        <v>0</v>
      </c>
      <c r="CJ17" s="300">
        <f>IF($CS17="M",'[2]Foundation Grant'!D24,0)</f>
        <v>0</v>
      </c>
      <c r="CK17" s="300">
        <f>IF($CS17="M",'[2]Foundation Grant'!E24,0)</f>
        <v>0</v>
      </c>
      <c r="CL17" s="300">
        <f>IF($CS17="M",'[2]Foundation Grant'!F24,0)</f>
        <v>0</v>
      </c>
      <c r="CM17" s="300">
        <f>'[2]Foundation Grant'!G24</f>
        <v>0</v>
      </c>
      <c r="CN17" s="300">
        <f>'[2]Foundation Grant'!H24</f>
        <v>0</v>
      </c>
      <c r="CO17" s="300">
        <f>'[2]Foundation Grant'!I24</f>
        <v>0</v>
      </c>
      <c r="CP17" s="300">
        <f>'[2]Foundation Grant'!J24</f>
        <v>0</v>
      </c>
      <c r="CQ17" s="300">
        <f>'[2]Foundation Grant'!K24</f>
        <v>0</v>
      </c>
      <c r="CR17" s="299">
        <f>'[2]Foundation Grant'!L24</f>
        <v>0</v>
      </c>
      <c r="CS17" s="300" t="str">
        <f>'[2]Foundation Grant'!M24</f>
        <v>S</v>
      </c>
      <c r="CT17" s="300">
        <f>'[2]Foundation Grant'!N24</f>
        <v>3935976</v>
      </c>
      <c r="CU17" s="299">
        <f>'[2]Foundation Grant'!O24</f>
        <v>1</v>
      </c>
      <c r="CV17" s="299">
        <f>'[2]Foundation Grant'!P24</f>
        <v>0</v>
      </c>
      <c r="CW17" s="298">
        <f>'[2]Foundation Grant'!$C$1</f>
        <v>5622823</v>
      </c>
      <c r="CX17" s="298">
        <f>'[2]Foundation Grant'!$D$1</f>
        <v>4498258</v>
      </c>
      <c r="CY17" s="298">
        <f>'[2]Foundation Grant'!$E$1</f>
        <v>3373694</v>
      </c>
      <c r="CZ17" s="298">
        <f>'[2]Foundation Grant'!$C$2</f>
        <v>4498258</v>
      </c>
      <c r="DA17" s="298">
        <f>'[2]Foundation Grant'!$D$2</f>
        <v>3935976</v>
      </c>
      <c r="DB17" s="298">
        <f>'[2]Foundation Grant'!$E$2</f>
        <v>3373694</v>
      </c>
      <c r="DC17" s="298">
        <f>'[2]Foundation Grant'!$G$1</f>
        <v>1124565</v>
      </c>
      <c r="DD17" s="298">
        <f>'[2]Foundation Grant'!$H$1</f>
        <v>843423</v>
      </c>
      <c r="DE17" s="298">
        <f>'[2]Foundation Grant'!$I$1</f>
        <v>562282</v>
      </c>
      <c r="DF17" s="298">
        <f>'[2]Foundation Grant'!$J$1</f>
        <v>281141</v>
      </c>
      <c r="DG17" s="298">
        <f>'[2]Foundation Grant'!$K$1</f>
        <v>140571</v>
      </c>
      <c r="DH17" s="298">
        <f>'[2]Foundation Grant'!$O$1</f>
        <v>562282</v>
      </c>
      <c r="DI17" s="298">
        <f>'[2]Foundation Grant'!$P$1</f>
        <v>1124565</v>
      </c>
      <c r="DJ17" s="297">
        <f>'[2]basic allocation'!$C$10</f>
        <v>18749</v>
      </c>
      <c r="DK17" s="297">
        <f>'[2]basic allocation'!$D$10</f>
        <v>9375</v>
      </c>
      <c r="DL17" s="297">
        <f>'[2]basic allocation'!$E$10</f>
        <v>9375</v>
      </c>
      <c r="DM17" s="297">
        <f>'[2]basic allocation'!$I$10</f>
        <v>938</v>
      </c>
      <c r="DN17" s="297">
        <f>'[2]basic allocation'!$J$10</f>
        <v>703</v>
      </c>
      <c r="DO17" s="297">
        <f>'[2]basic allocation'!$K$10</f>
        <v>469</v>
      </c>
      <c r="DP17" s="297">
        <f>'[2]basic allocation'!$L$10</f>
        <v>234</v>
      </c>
      <c r="DQ17" s="297">
        <f>'[2]basic allocation'!$M$10</f>
        <v>100</v>
      </c>
      <c r="DR17" s="296">
        <f>'[2]FTES Adjustment'!DQ24</f>
        <v>4.4000000116284355E-5</v>
      </c>
      <c r="DS17" s="296">
        <f>'[2]FTES Adjustment'!DR24</f>
        <v>0</v>
      </c>
      <c r="DT17" s="296">
        <f>'[2]FTES Adjustment'!DS24</f>
        <v>0</v>
      </c>
      <c r="DU17" s="277">
        <f t="shared" si="14"/>
        <v>0</v>
      </c>
      <c r="DV17" s="276">
        <f t="shared" si="15"/>
        <v>0</v>
      </c>
      <c r="DW17" s="276">
        <f t="shared" si="16"/>
        <v>-28.710179000000011</v>
      </c>
      <c r="DX17" s="276">
        <f t="shared" si="17"/>
        <v>24.383213000000001</v>
      </c>
      <c r="DY17" s="276">
        <f t="shared" si="18"/>
        <v>-4.327</v>
      </c>
      <c r="DZ17" s="295">
        <f>ROUND([2]FTES!$D24,3)</f>
        <v>1449.39</v>
      </c>
      <c r="EA17" s="295">
        <f>ROUND([2]FTES!$M24,3)</f>
        <v>107.77</v>
      </c>
      <c r="EB17" s="295">
        <f>ROUND([2]FTES!$V24,3)</f>
        <v>0</v>
      </c>
      <c r="EC17" s="276">
        <f t="shared" si="19"/>
        <v>1557.16</v>
      </c>
      <c r="ED17" s="133">
        <v>0</v>
      </c>
      <c r="EE17" s="294">
        <f>'[2]10-11 WkLd126M'!$E22</f>
        <v>251044</v>
      </c>
      <c r="EF17" s="295">
        <f>'[2]FTES Adjustment'!CG24</f>
        <v>0</v>
      </c>
      <c r="EG17" s="295">
        <f>'[2]FTES Adjustment'!CH24</f>
        <v>-28.710179000000011</v>
      </c>
      <c r="EH17" s="295">
        <f>'[2]FTES Adjustment'!CI24</f>
        <v>24.383213000000001</v>
      </c>
      <c r="EI17" s="276">
        <f t="shared" si="20"/>
        <v>-4.3269660000000094</v>
      </c>
      <c r="EJ17" s="294">
        <f>'[2]PBF Run'!$AT24</f>
        <v>0</v>
      </c>
      <c r="EK17" s="294">
        <f>'[2]11-12 Workload Reduction'!H24</f>
        <v>7330430</v>
      </c>
      <c r="EL17" s="294">
        <f>'[2]13-14 $86M Workload Restore'!AI22</f>
        <v>0</v>
      </c>
      <c r="EM17" s="294">
        <f>'[2]13-14 $86M Workload Restore'!AC22</f>
        <v>0</v>
      </c>
      <c r="EN17" s="294">
        <f>'[2]13-14 deferrals, growth, EPA 1'!BJ24</f>
        <v>1687934</v>
      </c>
      <c r="EO17" s="293">
        <f t="shared" si="21"/>
        <v>11148731</v>
      </c>
      <c r="EP17" s="292">
        <v>0</v>
      </c>
      <c r="EQ17" s="292">
        <v>0</v>
      </c>
      <c r="ER17" s="292">
        <v>0</v>
      </c>
      <c r="ES17" s="16">
        <f t="shared" si="22"/>
        <v>0</v>
      </c>
    </row>
    <row r="18" spans="1:149">
      <c r="A18" s="291" t="s">
        <v>257</v>
      </c>
      <c r="B18" s="290" t="str">
        <f t="shared" si="23"/>
        <v>P2</v>
      </c>
      <c r="C18" s="285" t="s">
        <v>369</v>
      </c>
      <c r="D18" s="289" t="s">
        <v>368</v>
      </c>
      <c r="E18" s="288">
        <f>ROUND('[2]PBF Run'!N25,6)</f>
        <v>4659.7205469999999</v>
      </c>
      <c r="F18" s="285">
        <f t="shared" si="24"/>
        <v>4675.9030433300004</v>
      </c>
      <c r="G18" s="285">
        <f t="shared" si="25"/>
        <v>2788.0536374600001</v>
      </c>
      <c r="H18" s="285">
        <f t="shared" si="26"/>
        <v>2811.7520933800001</v>
      </c>
      <c r="I18" s="285">
        <f t="shared" si="27"/>
        <v>3282.8110613200001</v>
      </c>
      <c r="J18" s="285">
        <f t="shared" si="28"/>
        <v>3310.71495534</v>
      </c>
      <c r="K18" s="308">
        <f>ROUND([2]FTES!C25,3)</f>
        <v>27115.14</v>
      </c>
      <c r="L18" s="308">
        <f>ROUND([2]FTES!F25,3)</f>
        <v>0</v>
      </c>
      <c r="M18" s="308">
        <f>ROUND('[2]Growth Deficit'!AG25,3)</f>
        <v>0</v>
      </c>
      <c r="N18" s="308">
        <f>ROUND([2]FTES!I25,3)</f>
        <v>-521.84</v>
      </c>
      <c r="O18" s="308">
        <f>ROUND([2]FTES!E25,3)</f>
        <v>26593.3</v>
      </c>
      <c r="P18" s="308">
        <f>ROUND([2]FTES!L25,3)</f>
        <v>200.11</v>
      </c>
      <c r="Q18" s="308">
        <f>ROUND([2]FTES!O25,3)</f>
        <v>0</v>
      </c>
      <c r="R18" s="308">
        <f>ROUND('[2]Growth Deficit'!$AH25,3)</f>
        <v>0</v>
      </c>
      <c r="S18" s="308">
        <f>ROUND([2]FTES!R25,3)</f>
        <v>118.2</v>
      </c>
      <c r="T18" s="308">
        <f>ROUND([2]FTES!N25,3)</f>
        <v>318.31</v>
      </c>
      <c r="U18" s="308">
        <f>ROUND([2]FTES!U25,3)</f>
        <v>126.03</v>
      </c>
      <c r="V18" s="308">
        <f>ROUND([2]FTES!X25,3)</f>
        <v>0</v>
      </c>
      <c r="W18" s="308">
        <f>ROUND('[2]Growth Deficit'!$AI25,3)</f>
        <v>0</v>
      </c>
      <c r="X18" s="308">
        <f>ROUND([2]FTES!AA25,3)</f>
        <v>-112.37</v>
      </c>
      <c r="Y18" s="308">
        <f>ROUND([2]FTES!W25,3)</f>
        <v>13.66</v>
      </c>
      <c r="Z18" s="307">
        <f>'[2]FTES Adjustment'!CW25</f>
        <v>26593.3</v>
      </c>
      <c r="AA18" s="307">
        <f>'[2]FTES Adjustment'!CX25</f>
        <v>318.31</v>
      </c>
      <c r="AB18" s="307">
        <f>'[2]FTES Adjustment'!CY25</f>
        <v>13.659999999999997</v>
      </c>
      <c r="AC18" s="275">
        <f t="shared" si="0"/>
        <v>27441.279999999999</v>
      </c>
      <c r="AD18" s="275">
        <f t="shared" si="1"/>
        <v>0</v>
      </c>
      <c r="AE18" s="275">
        <f t="shared" si="2"/>
        <v>0</v>
      </c>
      <c r="AF18" s="275">
        <f t="shared" si="3"/>
        <v>-516.01</v>
      </c>
      <c r="AG18" s="275">
        <f t="shared" si="4"/>
        <v>26925.27</v>
      </c>
      <c r="AH18" s="275">
        <f t="shared" si="5"/>
        <v>26925.27</v>
      </c>
      <c r="AI18" s="302">
        <f>'[2]PBF Run'!F25</f>
        <v>8996517</v>
      </c>
      <c r="AJ18" s="302">
        <f>'[2]PBF Run'!H25+'[2]PBF Run'!I25+'[2]PBF Run'!J25+'[2]PBF Run'!L25</f>
        <v>127320625</v>
      </c>
      <c r="AK18" s="306">
        <f>'[2]PBF Run'!J25 + '[2]PBF Run'!$L25</f>
        <v>126348975</v>
      </c>
      <c r="AL18" s="302">
        <f>'[2]PBF Run'!H25</f>
        <v>557917</v>
      </c>
      <c r="AM18" s="302">
        <f>'[2]PBF Run'!I25</f>
        <v>413733</v>
      </c>
      <c r="AN18" s="305">
        <f>'[2]Restoration and Growth'!BM25</f>
        <v>-2458848.7853247398</v>
      </c>
      <c r="AO18" s="278">
        <f t="shared" si="6"/>
        <v>133858293.21467526</v>
      </c>
      <c r="AP18" s="285" t="str">
        <f t="shared" si="29"/>
        <v>0.85%</v>
      </c>
      <c r="AQ18" s="302">
        <f>'[2]PBF Run'!O25</f>
        <v>1137795</v>
      </c>
      <c r="AR18" s="278">
        <f t="shared" si="7"/>
        <v>134996088.21467525</v>
      </c>
      <c r="AS18" s="302">
        <f>'[2]PBF Run'!$AD25</f>
        <v>0</v>
      </c>
      <c r="AT18" s="302">
        <f>'[2]PBF Run'!$T25</f>
        <v>0</v>
      </c>
      <c r="AU18" s="278">
        <f t="shared" si="8"/>
        <v>0</v>
      </c>
      <c r="AV18" s="304">
        <f>'[2]Restoration and Growth'!BT25</f>
        <v>0</v>
      </c>
      <c r="AW18" s="304" t="str">
        <f>'[2]Restoration and Growth'!AP25</f>
        <v>N</v>
      </c>
      <c r="AX18" s="302">
        <f>'[2]Restoration and Growth'!CV25</f>
        <v>0</v>
      </c>
      <c r="AY18" s="302">
        <f>'[2]Growth Deficit'!$AO25</f>
        <v>0</v>
      </c>
      <c r="AZ18" s="302">
        <f>'[2]Growth Deficit'!AO25</f>
        <v>0</v>
      </c>
      <c r="BA18" s="302">
        <f>'[2]Growth Deficit'!AL25</f>
        <v>0</v>
      </c>
      <c r="BB18" s="302">
        <f>'[2]Growth Deficit'!AM25</f>
        <v>0</v>
      </c>
      <c r="BC18" s="302">
        <f>'[2]Growth Deficit'!AN25</f>
        <v>0</v>
      </c>
      <c r="BD18" s="302">
        <f>'[2]Growth Deficit'!AO25</f>
        <v>0</v>
      </c>
      <c r="BE18" s="302">
        <f>'[2]PBF Run'!AA25</f>
        <v>0</v>
      </c>
      <c r="BF18" s="302">
        <f>'[2]PBF Run'!AB25</f>
        <v>0</v>
      </c>
      <c r="BG18" s="302">
        <f>'[2]PBF Run'!AC25</f>
        <v>0</v>
      </c>
      <c r="BH18" s="302">
        <f>'[2]PBF Run'!AD25</f>
        <v>0</v>
      </c>
      <c r="BI18" s="278">
        <f t="shared" si="9"/>
        <v>0</v>
      </c>
      <c r="BJ18" s="302">
        <f>'[2]PBF Run'!X25</f>
        <v>2479749</v>
      </c>
      <c r="BK18" s="302">
        <f>'[2]PBF Run'!AE25</f>
        <v>137475837</v>
      </c>
      <c r="BL18" s="282">
        <f t="shared" si="10"/>
        <v>0.98518541843829621</v>
      </c>
      <c r="BM18" s="302">
        <f>'[2]PBF Run'!AM25</f>
        <v>2036647</v>
      </c>
      <c r="BN18" s="302">
        <f>'[2]PBF Run'!$AN25</f>
        <v>14567456</v>
      </c>
      <c r="BO18" s="302">
        <f>'[2]PBF Run'!$AO25</f>
        <v>0</v>
      </c>
      <c r="BP18" s="302">
        <f>'[2]PBF Run'!AC25</f>
        <v>0</v>
      </c>
      <c r="BQ18" s="278">
        <f t="shared" si="11"/>
        <v>14567456</v>
      </c>
      <c r="BR18" s="302">
        <f>'[2]PBF Run'!AJ25</f>
        <v>80570312</v>
      </c>
      <c r="BS18" s="302">
        <f>'[2]PBF Run'!AI25</f>
        <v>21266000</v>
      </c>
      <c r="BT18" s="302">
        <f>'[2]PBF Run'!$AN25</f>
        <v>14567456</v>
      </c>
      <c r="BU18" s="302">
        <f>'[2]PBF Run'!$AN25</f>
        <v>14567456</v>
      </c>
      <c r="BV18" s="302">
        <f>'[2]PBF Run'!BI25</f>
        <v>0</v>
      </c>
      <c r="BW18" s="303">
        <f>'[2]PBF Run'!BH25</f>
        <v>0</v>
      </c>
      <c r="BX18" s="278">
        <f t="shared" si="30"/>
        <v>69532</v>
      </c>
      <c r="BY18" s="278">
        <f t="shared" si="12"/>
        <v>14567456</v>
      </c>
      <c r="BZ18" s="302">
        <f>'[2]As of 13-14 R1'!BP25</f>
        <v>1249644</v>
      </c>
      <c r="CA18" s="302">
        <f>'[2]As of 13-14 R1'!BQ25</f>
        <v>0</v>
      </c>
      <c r="CB18" s="302">
        <f>'[2]As of 13-14 R1'!BR25</f>
        <v>7621190</v>
      </c>
      <c r="CC18" s="278">
        <f t="shared" si="13"/>
        <v>8870834</v>
      </c>
      <c r="CD18" s="301">
        <f>'[2]Growth Deficit'!$D$2</f>
        <v>0</v>
      </c>
      <c r="CE18" s="300">
        <f>IF($CS18="S",'[2]Foundation Grant'!C25,0)</f>
        <v>0</v>
      </c>
      <c r="CF18" s="300">
        <f>IF($CS18="S",'[2]Foundation Grant'!D25,0)</f>
        <v>0</v>
      </c>
      <c r="CG18" s="300">
        <f>IF($CS18="S",'[2]Foundation Grant'!E25,0)</f>
        <v>0</v>
      </c>
      <c r="CH18" s="300">
        <f>IF($CS18="S",'[2]Foundation Grant'!F25,0)</f>
        <v>0</v>
      </c>
      <c r="CI18" s="300">
        <f>IF($CS18="M",'[2]Foundation Grant'!C25,0)</f>
        <v>0</v>
      </c>
      <c r="CJ18" s="300">
        <f>IF($CS18="M",'[2]Foundation Grant'!D25,0)</f>
        <v>2</v>
      </c>
      <c r="CK18" s="300">
        <f>IF($CS18="M",'[2]Foundation Grant'!E25,0)</f>
        <v>0</v>
      </c>
      <c r="CL18" s="300">
        <f>IF($CS18="M",'[2]Foundation Grant'!F25,0)</f>
        <v>2</v>
      </c>
      <c r="CM18" s="300">
        <f>'[2]Foundation Grant'!G25</f>
        <v>1</v>
      </c>
      <c r="CN18" s="300">
        <f>'[2]Foundation Grant'!H25</f>
        <v>0</v>
      </c>
      <c r="CO18" s="300">
        <f>'[2]Foundation Grant'!I25</f>
        <v>0</v>
      </c>
      <c r="CP18" s="300">
        <f>'[2]Foundation Grant'!J25</f>
        <v>0</v>
      </c>
      <c r="CQ18" s="300">
        <f>'[2]Foundation Grant'!K25</f>
        <v>0</v>
      </c>
      <c r="CR18" s="299">
        <f>'[2]Foundation Grant'!L25</f>
        <v>1</v>
      </c>
      <c r="CS18" s="300" t="str">
        <f>'[2]Foundation Grant'!M25</f>
        <v>M</v>
      </c>
      <c r="CT18" s="300">
        <f>'[2]Foundation Grant'!N25</f>
        <v>8996517</v>
      </c>
      <c r="CU18" s="299">
        <f>'[2]Foundation Grant'!O25</f>
        <v>0</v>
      </c>
      <c r="CV18" s="299">
        <f>'[2]Foundation Grant'!P25</f>
        <v>0</v>
      </c>
      <c r="CW18" s="298">
        <f>'[2]Foundation Grant'!$C$1</f>
        <v>5622823</v>
      </c>
      <c r="CX18" s="298">
        <f>'[2]Foundation Grant'!$D$1</f>
        <v>4498258</v>
      </c>
      <c r="CY18" s="298">
        <f>'[2]Foundation Grant'!$E$1</f>
        <v>3373694</v>
      </c>
      <c r="CZ18" s="298">
        <f>'[2]Foundation Grant'!$C$2</f>
        <v>4498258</v>
      </c>
      <c r="DA18" s="298">
        <f>'[2]Foundation Grant'!$D$2</f>
        <v>3935976</v>
      </c>
      <c r="DB18" s="298">
        <f>'[2]Foundation Grant'!$E$2</f>
        <v>3373694</v>
      </c>
      <c r="DC18" s="298">
        <f>'[2]Foundation Grant'!$G$1</f>
        <v>1124565</v>
      </c>
      <c r="DD18" s="298">
        <f>'[2]Foundation Grant'!$H$1</f>
        <v>843423</v>
      </c>
      <c r="DE18" s="298">
        <f>'[2]Foundation Grant'!$I$1</f>
        <v>562282</v>
      </c>
      <c r="DF18" s="298">
        <f>'[2]Foundation Grant'!$J$1</f>
        <v>281141</v>
      </c>
      <c r="DG18" s="298">
        <f>'[2]Foundation Grant'!$K$1</f>
        <v>140571</v>
      </c>
      <c r="DH18" s="298">
        <f>'[2]Foundation Grant'!$O$1</f>
        <v>562282</v>
      </c>
      <c r="DI18" s="298">
        <f>'[2]Foundation Grant'!$P$1</f>
        <v>1124565</v>
      </c>
      <c r="DJ18" s="297">
        <f>'[2]basic allocation'!$C$10</f>
        <v>18749</v>
      </c>
      <c r="DK18" s="297">
        <f>'[2]basic allocation'!$D$10</f>
        <v>9375</v>
      </c>
      <c r="DL18" s="297">
        <f>'[2]basic allocation'!$E$10</f>
        <v>9375</v>
      </c>
      <c r="DM18" s="297">
        <f>'[2]basic allocation'!$I$10</f>
        <v>938</v>
      </c>
      <c r="DN18" s="297">
        <f>'[2]basic allocation'!$J$10</f>
        <v>703</v>
      </c>
      <c r="DO18" s="297">
        <f>'[2]basic allocation'!$K$10</f>
        <v>469</v>
      </c>
      <c r="DP18" s="297">
        <f>'[2]basic allocation'!$L$10</f>
        <v>234</v>
      </c>
      <c r="DQ18" s="297">
        <f>'[2]basic allocation'!$M$10</f>
        <v>100</v>
      </c>
      <c r="DR18" s="296">
        <f>'[2]FTES Adjustment'!DQ25</f>
        <v>0</v>
      </c>
      <c r="DS18" s="296">
        <f>'[2]FTES Adjustment'!DR25</f>
        <v>0</v>
      </c>
      <c r="DT18" s="296">
        <f>'[2]FTES Adjustment'!DS25</f>
        <v>0</v>
      </c>
      <c r="DU18" s="277">
        <f t="shared" si="14"/>
        <v>0</v>
      </c>
      <c r="DV18" s="276">
        <f t="shared" si="15"/>
        <v>0</v>
      </c>
      <c r="DW18" s="276">
        <f t="shared" si="16"/>
        <v>0</v>
      </c>
      <c r="DX18" s="276">
        <f t="shared" si="17"/>
        <v>0</v>
      </c>
      <c r="DY18" s="276">
        <f t="shared" si="18"/>
        <v>0</v>
      </c>
      <c r="DZ18" s="295">
        <f>ROUND([2]FTES!$D25,3)</f>
        <v>27115.14</v>
      </c>
      <c r="EA18" s="295">
        <f>ROUND([2]FTES!$M25,3)</f>
        <v>200.11</v>
      </c>
      <c r="EB18" s="295">
        <f>ROUND([2]FTES!$V25,3)</f>
        <v>126.03</v>
      </c>
      <c r="EC18" s="276">
        <f t="shared" si="19"/>
        <v>27441.279999999999</v>
      </c>
      <c r="ED18" s="133">
        <v>0</v>
      </c>
      <c r="EE18" s="294">
        <f>'[2]10-11 WkLd126M'!$E23</f>
        <v>3579663</v>
      </c>
      <c r="EF18" s="295">
        <f>'[2]FTES Adjustment'!CG25</f>
        <v>0</v>
      </c>
      <c r="EG18" s="295">
        <f>'[2]FTES Adjustment'!CH25</f>
        <v>0</v>
      </c>
      <c r="EH18" s="295">
        <f>'[2]FTES Adjustment'!CI25</f>
        <v>0</v>
      </c>
      <c r="EI18" s="276">
        <f t="shared" si="20"/>
        <v>0</v>
      </c>
      <c r="EJ18" s="294">
        <f>'[2]PBF Run'!$AT25</f>
        <v>0</v>
      </c>
      <c r="EK18" s="294">
        <f>'[2]11-12 Workload Reduction'!H25</f>
        <v>140369286</v>
      </c>
      <c r="EL18" s="294">
        <f>'[2]13-14 $86M Workload Restore'!AI23</f>
        <v>0</v>
      </c>
      <c r="EM18" s="294">
        <f>'[2]13-14 $86M Workload Restore'!AC23</f>
        <v>0</v>
      </c>
      <c r="EN18" s="294">
        <f>'[2]13-14 deferrals, growth, EPA 1'!BJ25</f>
        <v>18819480</v>
      </c>
      <c r="EO18" s="293">
        <f t="shared" si="21"/>
        <v>135439190</v>
      </c>
      <c r="EP18" s="292">
        <v>0</v>
      </c>
      <c r="EQ18" s="292">
        <v>0</v>
      </c>
      <c r="ER18" s="292">
        <v>0</v>
      </c>
      <c r="ES18" s="16">
        <f t="shared" si="22"/>
        <v>0</v>
      </c>
    </row>
    <row r="19" spans="1:149">
      <c r="A19" s="291" t="s">
        <v>257</v>
      </c>
      <c r="B19" s="290" t="str">
        <f t="shared" si="23"/>
        <v>P2</v>
      </c>
      <c r="C19" s="285" t="s">
        <v>367</v>
      </c>
      <c r="D19" s="289" t="s">
        <v>366</v>
      </c>
      <c r="E19" s="288">
        <f>ROUND('[2]PBF Run'!N26,6)</f>
        <v>4636.4927729999999</v>
      </c>
      <c r="F19" s="285">
        <f t="shared" si="24"/>
        <v>4675.9030433300004</v>
      </c>
      <c r="G19" s="285">
        <f t="shared" si="25"/>
        <v>2788.0536374600001</v>
      </c>
      <c r="H19" s="285">
        <f t="shared" si="26"/>
        <v>2811.7520933800001</v>
      </c>
      <c r="I19" s="285">
        <f t="shared" si="27"/>
        <v>3282.8110613200001</v>
      </c>
      <c r="J19" s="285">
        <f t="shared" si="28"/>
        <v>3310.71495534</v>
      </c>
      <c r="K19" s="308">
        <f>ROUND([2]FTES!C26,3)</f>
        <v>4598.7830000000004</v>
      </c>
      <c r="L19" s="308">
        <f>ROUND([2]FTES!F26,3)</f>
        <v>0</v>
      </c>
      <c r="M19" s="308">
        <f>ROUND('[2]Growth Deficit'!AG26,3)</f>
        <v>0</v>
      </c>
      <c r="N19" s="308">
        <f>ROUND([2]FTES!I26,3)</f>
        <v>0</v>
      </c>
      <c r="O19" s="308">
        <f>ROUND([2]FTES!E26,3)</f>
        <v>4812.38</v>
      </c>
      <c r="P19" s="308">
        <f>ROUND([2]FTES!L26,3)</f>
        <v>516.5</v>
      </c>
      <c r="Q19" s="308">
        <f>ROUND([2]FTES!O26,3)</f>
        <v>0</v>
      </c>
      <c r="R19" s="308">
        <f>ROUND('[2]Growth Deficit'!$AH26,3)</f>
        <v>0</v>
      </c>
      <c r="S19" s="308">
        <f>ROUND([2]FTES!R26,3)</f>
        <v>0</v>
      </c>
      <c r="T19" s="308">
        <f>ROUND([2]FTES!N26,3)</f>
        <v>480.09</v>
      </c>
      <c r="U19" s="308">
        <f>ROUND([2]FTES!U26,3)</f>
        <v>59.71</v>
      </c>
      <c r="V19" s="308">
        <f>ROUND([2]FTES!X26,3)</f>
        <v>0</v>
      </c>
      <c r="W19" s="308">
        <f>ROUND('[2]Growth Deficit'!$AI26,3)</f>
        <v>0</v>
      </c>
      <c r="X19" s="308">
        <f>ROUND([2]FTES!AA26,3)</f>
        <v>0</v>
      </c>
      <c r="Y19" s="308">
        <f>ROUND([2]FTES!W26,3)</f>
        <v>27.74</v>
      </c>
      <c r="Z19" s="307">
        <f>'[2]FTES Adjustment'!CW26</f>
        <v>4812.3799950000011</v>
      </c>
      <c r="AA19" s="307">
        <f>'[2]FTES Adjustment'!CX26</f>
        <v>480.09</v>
      </c>
      <c r="AB19" s="307">
        <f>'[2]FTES Adjustment'!CY26</f>
        <v>27.74</v>
      </c>
      <c r="AC19" s="275">
        <f t="shared" si="0"/>
        <v>5174.9930000000004</v>
      </c>
      <c r="AD19" s="275">
        <f t="shared" si="1"/>
        <v>0</v>
      </c>
      <c r="AE19" s="275">
        <f t="shared" si="2"/>
        <v>0</v>
      </c>
      <c r="AF19" s="275">
        <f t="shared" si="3"/>
        <v>0</v>
      </c>
      <c r="AG19" s="275">
        <f t="shared" si="4"/>
        <v>5320.21</v>
      </c>
      <c r="AH19" s="275">
        <f t="shared" si="5"/>
        <v>5320.21</v>
      </c>
      <c r="AI19" s="302">
        <f>'[2]PBF Run'!F26</f>
        <v>3935976</v>
      </c>
      <c r="AJ19" s="302">
        <f>'[2]PBF Run'!H26+'[2]PBF Run'!I26+'[2]PBF Run'!J26+'[2]PBF Run'!L26</f>
        <v>22958269</v>
      </c>
      <c r="AK19" s="306">
        <f>'[2]PBF Run'!J26 + '[2]PBF Run'!$L26</f>
        <v>21322222</v>
      </c>
      <c r="AL19" s="302">
        <f>'[2]PBF Run'!H26</f>
        <v>1440030</v>
      </c>
      <c r="AM19" s="302">
        <f>'[2]PBF Run'!I26</f>
        <v>196017</v>
      </c>
      <c r="AN19" s="305">
        <f>'[2]Restoration and Growth'!BM26</f>
        <v>0</v>
      </c>
      <c r="AO19" s="278">
        <f t="shared" si="6"/>
        <v>26894245</v>
      </c>
      <c r="AP19" s="285" t="str">
        <f t="shared" si="29"/>
        <v>0.85%</v>
      </c>
      <c r="AQ19" s="302">
        <f>'[2]PBF Run'!O26</f>
        <v>228601</v>
      </c>
      <c r="AR19" s="278">
        <f t="shared" si="7"/>
        <v>27122846</v>
      </c>
      <c r="AS19" s="302">
        <f>'[2]PBF Run'!$AD26</f>
        <v>0</v>
      </c>
      <c r="AT19" s="302">
        <f>'[2]PBF Run'!$T26</f>
        <v>0</v>
      </c>
      <c r="AU19" s="278">
        <f t="shared" si="8"/>
        <v>525019</v>
      </c>
      <c r="AV19" s="304">
        <f>'[2]Restoration and Growth'!BT26</f>
        <v>0</v>
      </c>
      <c r="AW19" s="304" t="str">
        <f>'[2]Restoration and Growth'!AP26</f>
        <v>Y</v>
      </c>
      <c r="AX19" s="302">
        <f>'[2]Restoration and Growth'!CV26</f>
        <v>0</v>
      </c>
      <c r="AY19" s="302">
        <f>'[2]Growth Deficit'!$AO26</f>
        <v>0</v>
      </c>
      <c r="AZ19" s="302">
        <f>'[2]Growth Deficit'!AO26</f>
        <v>0</v>
      </c>
      <c r="BA19" s="302">
        <f>'[2]Growth Deficit'!AL26</f>
        <v>0</v>
      </c>
      <c r="BB19" s="302">
        <f>'[2]Growth Deficit'!AM26</f>
        <v>0</v>
      </c>
      <c r="BC19" s="302">
        <f>'[2]Growth Deficit'!AN26</f>
        <v>0</v>
      </c>
      <c r="BD19" s="302">
        <f>'[2]Growth Deficit'!AO26</f>
        <v>0</v>
      </c>
      <c r="BE19" s="302">
        <f>'[2]PBF Run'!AA26</f>
        <v>0</v>
      </c>
      <c r="BF19" s="302">
        <f>'[2]PBF Run'!AB26</f>
        <v>0</v>
      </c>
      <c r="BG19" s="302">
        <f>'[2]PBF Run'!AC26</f>
        <v>0</v>
      </c>
      <c r="BH19" s="302">
        <f>'[2]PBF Run'!AD26</f>
        <v>0</v>
      </c>
      <c r="BI19" s="278">
        <f t="shared" si="9"/>
        <v>0</v>
      </c>
      <c r="BJ19" s="302">
        <f>'[2]PBF Run'!X26</f>
        <v>0</v>
      </c>
      <c r="BK19" s="302">
        <f>'[2]PBF Run'!AE26</f>
        <v>27913387</v>
      </c>
      <c r="BL19" s="282">
        <f t="shared" si="10"/>
        <v>0.98518542375384255</v>
      </c>
      <c r="BM19" s="302">
        <f>'[2]PBF Run'!AM26</f>
        <v>413525</v>
      </c>
      <c r="BN19" s="302">
        <f>'[2]PBF Run'!$AN26</f>
        <v>6262762</v>
      </c>
      <c r="BO19" s="302">
        <f>'[2]PBF Run'!$AO26</f>
        <v>0</v>
      </c>
      <c r="BP19" s="302">
        <f>'[2]PBF Run'!AC26</f>
        <v>0</v>
      </c>
      <c r="BQ19" s="278">
        <f t="shared" si="11"/>
        <v>6262762</v>
      </c>
      <c r="BR19" s="302">
        <f>'[2]PBF Run'!AJ26</f>
        <v>15292757</v>
      </c>
      <c r="BS19" s="302">
        <f>'[2]PBF Run'!AI26</f>
        <v>1640844</v>
      </c>
      <c r="BT19" s="302">
        <f>'[2]PBF Run'!$AN26</f>
        <v>6262762</v>
      </c>
      <c r="BU19" s="302">
        <f>'[2]PBF Run'!$AN26</f>
        <v>6262762</v>
      </c>
      <c r="BV19" s="302">
        <f>'[2]PBF Run'!BI26</f>
        <v>0</v>
      </c>
      <c r="BW19" s="303">
        <f>'[2]PBF Run'!BH26</f>
        <v>0</v>
      </c>
      <c r="BX19" s="278">
        <f t="shared" si="30"/>
        <v>69532</v>
      </c>
      <c r="BY19" s="278">
        <f t="shared" si="12"/>
        <v>6262762</v>
      </c>
      <c r="BZ19" s="302">
        <f>'[2]As of 13-14 R1'!BP26</f>
        <v>0</v>
      </c>
      <c r="CA19" s="302">
        <f>'[2]As of 13-14 R1'!BQ26</f>
        <v>0</v>
      </c>
      <c r="CB19" s="302">
        <f>'[2]As of 13-14 R1'!BR26</f>
        <v>0</v>
      </c>
      <c r="CC19" s="278">
        <f t="shared" si="13"/>
        <v>0</v>
      </c>
      <c r="CD19" s="301">
        <f>'[2]Growth Deficit'!$D$2</f>
        <v>0</v>
      </c>
      <c r="CE19" s="300">
        <f>IF($CS19="S",'[2]Foundation Grant'!C26,0)</f>
        <v>0</v>
      </c>
      <c r="CF19" s="300">
        <f>IF($CS19="S",'[2]Foundation Grant'!D26,0)</f>
        <v>0</v>
      </c>
      <c r="CG19" s="300">
        <f>IF($CS19="S",'[2]Foundation Grant'!E26,0)</f>
        <v>1</v>
      </c>
      <c r="CH19" s="300">
        <f>IF($CS19="S",'[2]Foundation Grant'!F26,0)</f>
        <v>1</v>
      </c>
      <c r="CI19" s="300">
        <f>IF($CS19="M",'[2]Foundation Grant'!C26,0)</f>
        <v>0</v>
      </c>
      <c r="CJ19" s="300">
        <f>IF($CS19="M",'[2]Foundation Grant'!D26,0)</f>
        <v>0</v>
      </c>
      <c r="CK19" s="300">
        <f>IF($CS19="M",'[2]Foundation Grant'!E26,0)</f>
        <v>0</v>
      </c>
      <c r="CL19" s="300">
        <f>IF($CS19="M",'[2]Foundation Grant'!F26,0)</f>
        <v>0</v>
      </c>
      <c r="CM19" s="300">
        <f>'[2]Foundation Grant'!G26</f>
        <v>0</v>
      </c>
      <c r="CN19" s="300">
        <f>'[2]Foundation Grant'!H26</f>
        <v>0</v>
      </c>
      <c r="CO19" s="300">
        <f>'[2]Foundation Grant'!I26</f>
        <v>0</v>
      </c>
      <c r="CP19" s="300">
        <f>'[2]Foundation Grant'!J26</f>
        <v>0</v>
      </c>
      <c r="CQ19" s="300">
        <f>'[2]Foundation Grant'!K26</f>
        <v>0</v>
      </c>
      <c r="CR19" s="299">
        <f>'[2]Foundation Grant'!L26</f>
        <v>0</v>
      </c>
      <c r="CS19" s="300" t="str">
        <f>'[2]Foundation Grant'!M26</f>
        <v>S</v>
      </c>
      <c r="CT19" s="300">
        <f>'[2]Foundation Grant'!N26</f>
        <v>3935976</v>
      </c>
      <c r="CU19" s="299">
        <f>'[2]Foundation Grant'!O26</f>
        <v>1</v>
      </c>
      <c r="CV19" s="299">
        <f>'[2]Foundation Grant'!P26</f>
        <v>0</v>
      </c>
      <c r="CW19" s="298">
        <f>'[2]Foundation Grant'!$C$1</f>
        <v>5622823</v>
      </c>
      <c r="CX19" s="298">
        <f>'[2]Foundation Grant'!$D$1</f>
        <v>4498258</v>
      </c>
      <c r="CY19" s="298">
        <f>'[2]Foundation Grant'!$E$1</f>
        <v>3373694</v>
      </c>
      <c r="CZ19" s="298">
        <f>'[2]Foundation Grant'!$C$2</f>
        <v>4498258</v>
      </c>
      <c r="DA19" s="298">
        <f>'[2]Foundation Grant'!$D$2</f>
        <v>3935976</v>
      </c>
      <c r="DB19" s="298">
        <f>'[2]Foundation Grant'!$E$2</f>
        <v>3373694</v>
      </c>
      <c r="DC19" s="298">
        <f>'[2]Foundation Grant'!$G$1</f>
        <v>1124565</v>
      </c>
      <c r="DD19" s="298">
        <f>'[2]Foundation Grant'!$H$1</f>
        <v>843423</v>
      </c>
      <c r="DE19" s="298">
        <f>'[2]Foundation Grant'!$I$1</f>
        <v>562282</v>
      </c>
      <c r="DF19" s="298">
        <f>'[2]Foundation Grant'!$J$1</f>
        <v>281141</v>
      </c>
      <c r="DG19" s="298">
        <f>'[2]Foundation Grant'!$K$1</f>
        <v>140571</v>
      </c>
      <c r="DH19" s="298">
        <f>'[2]Foundation Grant'!$O$1</f>
        <v>562282</v>
      </c>
      <c r="DI19" s="298">
        <f>'[2]Foundation Grant'!$P$1</f>
        <v>1124565</v>
      </c>
      <c r="DJ19" s="297">
        <f>'[2]basic allocation'!$C$10</f>
        <v>18749</v>
      </c>
      <c r="DK19" s="297">
        <f>'[2]basic allocation'!$D$10</f>
        <v>9375</v>
      </c>
      <c r="DL19" s="297">
        <f>'[2]basic allocation'!$E$10</f>
        <v>9375</v>
      </c>
      <c r="DM19" s="297">
        <f>'[2]basic allocation'!$I$10</f>
        <v>938</v>
      </c>
      <c r="DN19" s="297">
        <f>'[2]basic allocation'!$J$10</f>
        <v>703</v>
      </c>
      <c r="DO19" s="297">
        <f>'[2]basic allocation'!$K$10</f>
        <v>469</v>
      </c>
      <c r="DP19" s="297">
        <f>'[2]basic allocation'!$L$10</f>
        <v>234</v>
      </c>
      <c r="DQ19" s="297">
        <f>'[2]basic allocation'!$M$10</f>
        <v>100</v>
      </c>
      <c r="DR19" s="296">
        <f>'[2]FTES Adjustment'!DQ26</f>
        <v>4.999998964194674E-6</v>
      </c>
      <c r="DS19" s="296">
        <f>'[2]FTES Adjustment'!DR26</f>
        <v>0</v>
      </c>
      <c r="DT19" s="296">
        <f>'[2]FTES Adjustment'!DS26</f>
        <v>0</v>
      </c>
      <c r="DU19" s="277">
        <f t="shared" si="14"/>
        <v>0</v>
      </c>
      <c r="DV19" s="276">
        <f t="shared" si="15"/>
        <v>213.59745699999999</v>
      </c>
      <c r="DW19" s="276">
        <f t="shared" si="16"/>
        <v>-36.409999999999911</v>
      </c>
      <c r="DX19" s="276">
        <f t="shared" si="17"/>
        <v>-31.970000000000002</v>
      </c>
      <c r="DY19" s="276">
        <f t="shared" si="18"/>
        <v>145.21700000000001</v>
      </c>
      <c r="DZ19" s="295">
        <f>ROUND([2]FTES!$D26,3)</f>
        <v>4598.7830000000004</v>
      </c>
      <c r="EA19" s="295">
        <f>ROUND([2]FTES!$M26,3)</f>
        <v>516.5</v>
      </c>
      <c r="EB19" s="295">
        <f>ROUND([2]FTES!$V26,3)</f>
        <v>59.71</v>
      </c>
      <c r="EC19" s="276">
        <f t="shared" si="19"/>
        <v>5174.9930000000004</v>
      </c>
      <c r="ED19" s="133">
        <v>0</v>
      </c>
      <c r="EE19" s="294">
        <f>'[2]10-11 WkLd126M'!$E24</f>
        <v>614174</v>
      </c>
      <c r="EF19" s="295">
        <f>'[2]FTES Adjustment'!CG26</f>
        <v>213.59745699999999</v>
      </c>
      <c r="EG19" s="295">
        <f>'[2]FTES Adjustment'!CH26</f>
        <v>-36.409999999999911</v>
      </c>
      <c r="EH19" s="295">
        <f>'[2]FTES Adjustment'!CI26</f>
        <v>-31.970000000000002</v>
      </c>
      <c r="EI19" s="276">
        <f t="shared" si="20"/>
        <v>145.21745700000008</v>
      </c>
      <c r="EJ19" s="294">
        <f>'[2]PBF Run'!$AT26</f>
        <v>0</v>
      </c>
      <c r="EK19" s="294">
        <f>'[2]11-12 Workload Reduction'!H26</f>
        <v>23539137</v>
      </c>
      <c r="EL19" s="294">
        <f>'[2]13-14 $86M Workload Restore'!AI24</f>
        <v>525019</v>
      </c>
      <c r="EM19" s="294">
        <f>'[2]13-14 $86M Workload Restore'!AC24</f>
        <v>0</v>
      </c>
      <c r="EN19" s="294">
        <f>'[2]13-14 deferrals, growth, EPA 1'!BJ26</f>
        <v>4043585</v>
      </c>
      <c r="EO19" s="293">
        <f t="shared" si="21"/>
        <v>27499862</v>
      </c>
      <c r="EP19" s="292">
        <v>0</v>
      </c>
      <c r="EQ19" s="292">
        <v>0</v>
      </c>
      <c r="ER19" s="292">
        <v>0</v>
      </c>
      <c r="ES19" s="16">
        <f t="shared" si="22"/>
        <v>0</v>
      </c>
    </row>
    <row r="20" spans="1:149">
      <c r="A20" s="291" t="s">
        <v>257</v>
      </c>
      <c r="B20" s="290" t="str">
        <f t="shared" si="23"/>
        <v>P2</v>
      </c>
      <c r="C20" s="285" t="s">
        <v>365</v>
      </c>
      <c r="D20" s="289" t="s">
        <v>364</v>
      </c>
      <c r="E20" s="288">
        <f>ROUND('[2]PBF Run'!N27,6)</f>
        <v>4636.4928300000001</v>
      </c>
      <c r="F20" s="285">
        <f t="shared" si="24"/>
        <v>4675.9030433300004</v>
      </c>
      <c r="G20" s="285">
        <f t="shared" si="25"/>
        <v>2788.0536374600001</v>
      </c>
      <c r="H20" s="285">
        <f t="shared" si="26"/>
        <v>2811.7520933800001</v>
      </c>
      <c r="I20" s="285">
        <f t="shared" si="27"/>
        <v>3282.8110613200001</v>
      </c>
      <c r="J20" s="285">
        <f t="shared" si="28"/>
        <v>3310.71495534</v>
      </c>
      <c r="K20" s="308">
        <f>ROUND([2]FTES!C27,3)</f>
        <v>12507.87</v>
      </c>
      <c r="L20" s="308">
        <f>ROUND([2]FTES!F27,3)</f>
        <v>0</v>
      </c>
      <c r="M20" s="308">
        <f>ROUND('[2]Growth Deficit'!AG27,3)</f>
        <v>0</v>
      </c>
      <c r="N20" s="308">
        <f>ROUND([2]FTES!I27,3)</f>
        <v>-589.47</v>
      </c>
      <c r="O20" s="308">
        <f>ROUND([2]FTES!E27,3)</f>
        <v>11918.4</v>
      </c>
      <c r="P20" s="308">
        <f>ROUND([2]FTES!L27,3)</f>
        <v>361.36</v>
      </c>
      <c r="Q20" s="308">
        <f>ROUND([2]FTES!O27,3)</f>
        <v>0</v>
      </c>
      <c r="R20" s="308">
        <f>ROUND('[2]Growth Deficit'!$AH27,3)</f>
        <v>0</v>
      </c>
      <c r="S20" s="308">
        <f>ROUND([2]FTES!R27,3)</f>
        <v>-173.39</v>
      </c>
      <c r="T20" s="308">
        <f>ROUND([2]FTES!N27,3)</f>
        <v>187.97</v>
      </c>
      <c r="U20" s="308">
        <f>ROUND([2]FTES!U27,3)</f>
        <v>2422.29</v>
      </c>
      <c r="V20" s="308">
        <f>ROUND([2]FTES!X27,3)</f>
        <v>0</v>
      </c>
      <c r="W20" s="308">
        <f>ROUND('[2]Growth Deficit'!$AI27,3)</f>
        <v>0</v>
      </c>
      <c r="X20" s="308">
        <f>ROUND([2]FTES!AA27,3)</f>
        <v>259.3</v>
      </c>
      <c r="Y20" s="308">
        <f>ROUND([2]FTES!W27,3)</f>
        <v>2681.59</v>
      </c>
      <c r="Z20" s="307">
        <f>'[2]FTES Adjustment'!CW27</f>
        <v>11918.4</v>
      </c>
      <c r="AA20" s="307">
        <f>'[2]FTES Adjustment'!CX27</f>
        <v>187.9700000000002</v>
      </c>
      <c r="AB20" s="307">
        <f>'[2]FTES Adjustment'!CY27</f>
        <v>2681.59</v>
      </c>
      <c r="AC20" s="275">
        <f t="shared" si="0"/>
        <v>15291.52</v>
      </c>
      <c r="AD20" s="275">
        <f t="shared" si="1"/>
        <v>0</v>
      </c>
      <c r="AE20" s="275">
        <f t="shared" si="2"/>
        <v>0</v>
      </c>
      <c r="AF20" s="275">
        <f t="shared" si="3"/>
        <v>-503.56</v>
      </c>
      <c r="AG20" s="275">
        <f t="shared" si="4"/>
        <v>14787.96</v>
      </c>
      <c r="AH20" s="275">
        <f t="shared" si="5"/>
        <v>14787.96</v>
      </c>
      <c r="AI20" s="302">
        <f>'[2]PBF Run'!F27</f>
        <v>5622823</v>
      </c>
      <c r="AJ20" s="302">
        <f>'[2]PBF Run'!H27+'[2]PBF Run'!I27+'[2]PBF Run'!J27+'[2]PBF Run'!L27</f>
        <v>66952061</v>
      </c>
      <c r="AK20" s="306">
        <f>'[2]PBF Run'!J27 + '[2]PBF Run'!$L27</f>
        <v>57992650</v>
      </c>
      <c r="AL20" s="302">
        <f>'[2]PBF Run'!H27</f>
        <v>1007491</v>
      </c>
      <c r="AM20" s="302">
        <f>'[2]PBF Run'!I27</f>
        <v>7951920</v>
      </c>
      <c r="AN20" s="305">
        <f>'[2]Restoration and Growth'!BM27</f>
        <v>-2365262.2706990582</v>
      </c>
      <c r="AO20" s="278">
        <f t="shared" si="6"/>
        <v>70209621.729300946</v>
      </c>
      <c r="AP20" s="285" t="str">
        <f t="shared" si="29"/>
        <v>0.85%</v>
      </c>
      <c r="AQ20" s="302">
        <f>'[2]PBF Run'!O27</f>
        <v>596782</v>
      </c>
      <c r="AR20" s="278">
        <f t="shared" si="7"/>
        <v>70806403.729300946</v>
      </c>
      <c r="AS20" s="302">
        <f>'[2]PBF Run'!$AD27</f>
        <v>0</v>
      </c>
      <c r="AT20" s="302">
        <f>'[2]PBF Run'!$T27</f>
        <v>0</v>
      </c>
      <c r="AU20" s="278">
        <f t="shared" si="8"/>
        <v>1404728</v>
      </c>
      <c r="AV20" s="304">
        <f>'[2]Restoration and Growth'!BT27</f>
        <v>0</v>
      </c>
      <c r="AW20" s="304" t="str">
        <f>'[2]Restoration and Growth'!AP27</f>
        <v>N</v>
      </c>
      <c r="AX20" s="302">
        <f>'[2]Restoration and Growth'!CV27</f>
        <v>0</v>
      </c>
      <c r="AY20" s="302">
        <f>'[2]Growth Deficit'!$AO27</f>
        <v>0</v>
      </c>
      <c r="AZ20" s="302">
        <f>'[2]Growth Deficit'!AO27</f>
        <v>0</v>
      </c>
      <c r="BA20" s="302">
        <f>'[2]Growth Deficit'!AL27</f>
        <v>0</v>
      </c>
      <c r="BB20" s="302">
        <f>'[2]Growth Deficit'!AM27</f>
        <v>0</v>
      </c>
      <c r="BC20" s="302">
        <f>'[2]Growth Deficit'!AN27</f>
        <v>0</v>
      </c>
      <c r="BD20" s="302">
        <f>'[2]Growth Deficit'!AO27</f>
        <v>0</v>
      </c>
      <c r="BE20" s="302">
        <f>'[2]PBF Run'!AA27</f>
        <v>0</v>
      </c>
      <c r="BF20" s="302">
        <f>'[2]PBF Run'!AB27</f>
        <v>0</v>
      </c>
      <c r="BG20" s="302">
        <f>'[2]PBF Run'!AC27</f>
        <v>0</v>
      </c>
      <c r="BH20" s="302">
        <f>'[2]PBF Run'!AD27</f>
        <v>0</v>
      </c>
      <c r="BI20" s="278">
        <f t="shared" si="9"/>
        <v>0</v>
      </c>
      <c r="BJ20" s="302">
        <f>'[2]PBF Run'!X27</f>
        <v>2385367</v>
      </c>
      <c r="BK20" s="302">
        <f>'[2]PBF Run'!AE27</f>
        <v>73191771</v>
      </c>
      <c r="BL20" s="282">
        <f t="shared" si="10"/>
        <v>0.98518542473852699</v>
      </c>
      <c r="BM20" s="302">
        <f>'[2]PBF Run'!AM27</f>
        <v>1084305</v>
      </c>
      <c r="BN20" s="302">
        <f>'[2]PBF Run'!$AN27</f>
        <v>46114049</v>
      </c>
      <c r="BO20" s="302">
        <f>'[2]PBF Run'!$AO27</f>
        <v>0</v>
      </c>
      <c r="BP20" s="302">
        <f>'[2]PBF Run'!AC27</f>
        <v>0</v>
      </c>
      <c r="BQ20" s="278">
        <f t="shared" si="11"/>
        <v>46114049</v>
      </c>
      <c r="BR20" s="302">
        <f>'[2]PBF Run'!AJ27</f>
        <v>10371640</v>
      </c>
      <c r="BS20" s="302">
        <f>'[2]PBF Run'!AI27</f>
        <v>4344435</v>
      </c>
      <c r="BT20" s="302">
        <f>'[2]PBF Run'!$AN27</f>
        <v>46114049</v>
      </c>
      <c r="BU20" s="302">
        <f>'[2]PBF Run'!$AN27</f>
        <v>46114049</v>
      </c>
      <c r="BV20" s="302">
        <f>'[2]PBF Run'!BI27</f>
        <v>0</v>
      </c>
      <c r="BW20" s="303">
        <f>'[2]PBF Run'!BH27</f>
        <v>0</v>
      </c>
      <c r="BX20" s="278">
        <f t="shared" si="30"/>
        <v>69532</v>
      </c>
      <c r="BY20" s="278">
        <f t="shared" si="12"/>
        <v>46114049</v>
      </c>
      <c r="BZ20" s="302">
        <f>'[2]As of 13-14 R1'!BP27</f>
        <v>0</v>
      </c>
      <c r="CA20" s="302">
        <f>'[2]As of 13-14 R1'!BQ27</f>
        <v>0</v>
      </c>
      <c r="CB20" s="302">
        <f>'[2]As of 13-14 R1'!BR27</f>
        <v>0</v>
      </c>
      <c r="CC20" s="278">
        <f t="shared" si="13"/>
        <v>0</v>
      </c>
      <c r="CD20" s="301">
        <f>'[2]Growth Deficit'!$D$2</f>
        <v>0</v>
      </c>
      <c r="CE20" s="300">
        <f>IF($CS20="S",'[2]Foundation Grant'!C27,0)</f>
        <v>0</v>
      </c>
      <c r="CF20" s="300">
        <f>IF($CS20="S",'[2]Foundation Grant'!D27,0)</f>
        <v>1</v>
      </c>
      <c r="CG20" s="300">
        <f>IF($CS20="S",'[2]Foundation Grant'!E27,0)</f>
        <v>0</v>
      </c>
      <c r="CH20" s="300">
        <f>IF($CS20="S",'[2]Foundation Grant'!F27,0)</f>
        <v>1</v>
      </c>
      <c r="CI20" s="300">
        <f>IF($CS20="M",'[2]Foundation Grant'!C27,0)</f>
        <v>0</v>
      </c>
      <c r="CJ20" s="300">
        <f>IF($CS20="M",'[2]Foundation Grant'!D27,0)</f>
        <v>0</v>
      </c>
      <c r="CK20" s="300">
        <f>IF($CS20="M",'[2]Foundation Grant'!E27,0)</f>
        <v>0</v>
      </c>
      <c r="CL20" s="300">
        <f>IF($CS20="M",'[2]Foundation Grant'!F27,0)</f>
        <v>0</v>
      </c>
      <c r="CM20" s="300">
        <f>'[2]Foundation Grant'!G27</f>
        <v>1</v>
      </c>
      <c r="CN20" s="300">
        <f>'[2]Foundation Grant'!H27</f>
        <v>0</v>
      </c>
      <c r="CO20" s="300">
        <f>'[2]Foundation Grant'!I27</f>
        <v>0</v>
      </c>
      <c r="CP20" s="300">
        <f>'[2]Foundation Grant'!J27</f>
        <v>0</v>
      </c>
      <c r="CQ20" s="300">
        <f>'[2]Foundation Grant'!K27</f>
        <v>0</v>
      </c>
      <c r="CR20" s="299">
        <f>'[2]Foundation Grant'!L27</f>
        <v>1</v>
      </c>
      <c r="CS20" s="300" t="str">
        <f>'[2]Foundation Grant'!M27</f>
        <v>S</v>
      </c>
      <c r="CT20" s="300">
        <f>'[2]Foundation Grant'!N27</f>
        <v>5622823</v>
      </c>
      <c r="CU20" s="299">
        <f>'[2]Foundation Grant'!O27</f>
        <v>0</v>
      </c>
      <c r="CV20" s="299">
        <f>'[2]Foundation Grant'!P27</f>
        <v>0</v>
      </c>
      <c r="CW20" s="298">
        <f>'[2]Foundation Grant'!$C$1</f>
        <v>5622823</v>
      </c>
      <c r="CX20" s="298">
        <f>'[2]Foundation Grant'!$D$1</f>
        <v>4498258</v>
      </c>
      <c r="CY20" s="298">
        <f>'[2]Foundation Grant'!$E$1</f>
        <v>3373694</v>
      </c>
      <c r="CZ20" s="298">
        <f>'[2]Foundation Grant'!$C$2</f>
        <v>4498258</v>
      </c>
      <c r="DA20" s="298">
        <f>'[2]Foundation Grant'!$D$2</f>
        <v>3935976</v>
      </c>
      <c r="DB20" s="298">
        <f>'[2]Foundation Grant'!$E$2</f>
        <v>3373694</v>
      </c>
      <c r="DC20" s="298">
        <f>'[2]Foundation Grant'!$G$1</f>
        <v>1124565</v>
      </c>
      <c r="DD20" s="298">
        <f>'[2]Foundation Grant'!$H$1</f>
        <v>843423</v>
      </c>
      <c r="DE20" s="298">
        <f>'[2]Foundation Grant'!$I$1</f>
        <v>562282</v>
      </c>
      <c r="DF20" s="298">
        <f>'[2]Foundation Grant'!$J$1</f>
        <v>281141</v>
      </c>
      <c r="DG20" s="298">
        <f>'[2]Foundation Grant'!$K$1</f>
        <v>140571</v>
      </c>
      <c r="DH20" s="298">
        <f>'[2]Foundation Grant'!$O$1</f>
        <v>562282</v>
      </c>
      <c r="DI20" s="298">
        <f>'[2]Foundation Grant'!$P$1</f>
        <v>1124565</v>
      </c>
      <c r="DJ20" s="297">
        <f>'[2]basic allocation'!$C$10</f>
        <v>18749</v>
      </c>
      <c r="DK20" s="297">
        <f>'[2]basic allocation'!$D$10</f>
        <v>9375</v>
      </c>
      <c r="DL20" s="297">
        <f>'[2]basic allocation'!$E$10</f>
        <v>9375</v>
      </c>
      <c r="DM20" s="297">
        <f>'[2]basic allocation'!$I$10</f>
        <v>938</v>
      </c>
      <c r="DN20" s="297">
        <f>'[2]basic allocation'!$J$10</f>
        <v>703</v>
      </c>
      <c r="DO20" s="297">
        <f>'[2]basic allocation'!$K$10</f>
        <v>469</v>
      </c>
      <c r="DP20" s="297">
        <f>'[2]basic allocation'!$L$10</f>
        <v>234</v>
      </c>
      <c r="DQ20" s="297">
        <f>'[2]basic allocation'!$M$10</f>
        <v>100</v>
      </c>
      <c r="DR20" s="296">
        <f>'[2]FTES Adjustment'!DQ27</f>
        <v>0</v>
      </c>
      <c r="DS20" s="296">
        <f>'[2]FTES Adjustment'!DR27</f>
        <v>-3.979039320256561E-13</v>
      </c>
      <c r="DT20" s="296">
        <f>'[2]FTES Adjustment'!DS27</f>
        <v>0</v>
      </c>
      <c r="DU20" s="277">
        <f t="shared" si="14"/>
        <v>0</v>
      </c>
      <c r="DV20" s="276">
        <f t="shared" si="15"/>
        <v>0</v>
      </c>
      <c r="DW20" s="276">
        <f t="shared" si="16"/>
        <v>0</v>
      </c>
      <c r="DX20" s="276">
        <f t="shared" si="17"/>
        <v>0</v>
      </c>
      <c r="DY20" s="276">
        <f t="shared" si="18"/>
        <v>0</v>
      </c>
      <c r="DZ20" s="295">
        <f>ROUND([2]FTES!$D27,3)</f>
        <v>12507.87</v>
      </c>
      <c r="EA20" s="295">
        <f>ROUND([2]FTES!$M27,3)</f>
        <v>361.36</v>
      </c>
      <c r="EB20" s="295">
        <f>ROUND([2]FTES!$V27,3)</f>
        <v>2422.29</v>
      </c>
      <c r="EC20" s="276">
        <f t="shared" si="19"/>
        <v>15291.52</v>
      </c>
      <c r="ED20" s="133">
        <v>0</v>
      </c>
      <c r="EE20" s="294">
        <f>'[2]10-11 WkLd126M'!$E25</f>
        <v>1670627</v>
      </c>
      <c r="EF20" s="295">
        <f>'[2]FTES Adjustment'!CG27</f>
        <v>0</v>
      </c>
      <c r="EG20" s="295">
        <f>'[2]FTES Adjustment'!CH27</f>
        <v>0</v>
      </c>
      <c r="EH20" s="295">
        <f>'[2]FTES Adjustment'!CI27</f>
        <v>0</v>
      </c>
      <c r="EI20" s="276">
        <f t="shared" si="20"/>
        <v>0</v>
      </c>
      <c r="EJ20" s="294">
        <f>'[2]PBF Run'!$AT27</f>
        <v>0</v>
      </c>
      <c r="EK20" s="294">
        <f>'[2]11-12 Workload Reduction'!H27</f>
        <v>69034162</v>
      </c>
      <c r="EL20" s="294">
        <f>'[2]13-14 $86M Workload Restore'!AI25</f>
        <v>1404728</v>
      </c>
      <c r="EM20" s="294">
        <f>'[2]13-14 $86M Workload Restore'!AC25</f>
        <v>0</v>
      </c>
      <c r="EN20" s="294">
        <f>'[2]13-14 deferrals, growth, EPA 1'!BJ27</f>
        <v>10920868</v>
      </c>
      <c r="EO20" s="293">
        <f t="shared" si="21"/>
        <v>72107466</v>
      </c>
      <c r="EP20" s="292">
        <v>0</v>
      </c>
      <c r="EQ20" s="292">
        <v>0</v>
      </c>
      <c r="ER20" s="292">
        <v>0</v>
      </c>
      <c r="ES20" s="16">
        <f t="shared" si="22"/>
        <v>0</v>
      </c>
    </row>
    <row r="21" spans="1:149">
      <c r="A21" s="291" t="s">
        <v>257</v>
      </c>
      <c r="B21" s="290" t="str">
        <f t="shared" si="23"/>
        <v>P2</v>
      </c>
      <c r="C21" s="285" t="s">
        <v>363</v>
      </c>
      <c r="D21" s="289" t="s">
        <v>362</v>
      </c>
      <c r="E21" s="288">
        <f>ROUND('[2]PBF Run'!N28,6)</f>
        <v>4636.492835</v>
      </c>
      <c r="F21" s="285">
        <f t="shared" si="24"/>
        <v>4675.9030433300004</v>
      </c>
      <c r="G21" s="285">
        <f t="shared" si="25"/>
        <v>2788.0536374600001</v>
      </c>
      <c r="H21" s="285">
        <f t="shared" si="26"/>
        <v>2811.7520933800001</v>
      </c>
      <c r="I21" s="285">
        <f t="shared" si="27"/>
        <v>3282.8110613200001</v>
      </c>
      <c r="J21" s="285">
        <f t="shared" si="28"/>
        <v>3310.71495534</v>
      </c>
      <c r="K21" s="308">
        <f>ROUND([2]FTES!C28,3)</f>
        <v>17364.116999999998</v>
      </c>
      <c r="L21" s="308">
        <f>ROUND([2]FTES!F28,3)</f>
        <v>0</v>
      </c>
      <c r="M21" s="308">
        <f>ROUND('[2]Growth Deficit'!AG28,3)</f>
        <v>0</v>
      </c>
      <c r="N21" s="308">
        <f>ROUND([2]FTES!I28,3)</f>
        <v>0</v>
      </c>
      <c r="O21" s="308">
        <f>ROUND([2]FTES!E28,3)</f>
        <v>18109.52</v>
      </c>
      <c r="P21" s="308">
        <f>ROUND([2]FTES!L28,3)</f>
        <v>109.51</v>
      </c>
      <c r="Q21" s="308">
        <f>ROUND([2]FTES!O28,3)</f>
        <v>0</v>
      </c>
      <c r="R21" s="308">
        <f>ROUND('[2]Growth Deficit'!$AH28,3)</f>
        <v>0</v>
      </c>
      <c r="S21" s="308">
        <f>ROUND([2]FTES!R28,3)</f>
        <v>0</v>
      </c>
      <c r="T21" s="308">
        <f>ROUND([2]FTES!N28,3)</f>
        <v>83.02</v>
      </c>
      <c r="U21" s="308">
        <f>ROUND([2]FTES!U28,3)</f>
        <v>0</v>
      </c>
      <c r="V21" s="308">
        <f>ROUND([2]FTES!X28,3)</f>
        <v>0</v>
      </c>
      <c r="W21" s="308">
        <f>ROUND('[2]Growth Deficit'!$AI28,3)</f>
        <v>0</v>
      </c>
      <c r="X21" s="308">
        <f>ROUND([2]FTES!AA28,3)</f>
        <v>0</v>
      </c>
      <c r="Y21" s="308">
        <f>ROUND([2]FTES!W28,3)</f>
        <v>0</v>
      </c>
      <c r="Z21" s="307">
        <f>'[2]FTES Adjustment'!CW28</f>
        <v>18109.519956000004</v>
      </c>
      <c r="AA21" s="307">
        <f>'[2]FTES Adjustment'!CX28</f>
        <v>83.02</v>
      </c>
      <c r="AB21" s="307">
        <f>'[2]FTES Adjustment'!CY28</f>
        <v>0</v>
      </c>
      <c r="AC21" s="275">
        <f t="shared" si="0"/>
        <v>17473.627</v>
      </c>
      <c r="AD21" s="275">
        <f t="shared" si="1"/>
        <v>0</v>
      </c>
      <c r="AE21" s="275">
        <f t="shared" si="2"/>
        <v>0</v>
      </c>
      <c r="AF21" s="275">
        <f t="shared" si="3"/>
        <v>0</v>
      </c>
      <c r="AG21" s="275">
        <f t="shared" si="4"/>
        <v>18192.54</v>
      </c>
      <c r="AH21" s="275">
        <f t="shared" si="5"/>
        <v>18192.54</v>
      </c>
      <c r="AI21" s="302">
        <f>'[2]PBF Run'!F28</f>
        <v>7309670</v>
      </c>
      <c r="AJ21" s="302">
        <f>'[2]PBF Run'!H28+'[2]PBF Run'!I28+'[2]PBF Run'!J28+'[2]PBF Run'!L28</f>
        <v>80813924</v>
      </c>
      <c r="AK21" s="306">
        <f>'[2]PBF Run'!J28 + '[2]PBF Run'!$L28</f>
        <v>80508604</v>
      </c>
      <c r="AL21" s="302">
        <f>'[2]PBF Run'!H28</f>
        <v>305320</v>
      </c>
      <c r="AM21" s="302">
        <f>'[2]PBF Run'!I28</f>
        <v>0</v>
      </c>
      <c r="AN21" s="305">
        <f>'[2]Restoration and Growth'!BM28</f>
        <v>0</v>
      </c>
      <c r="AO21" s="278">
        <f t="shared" si="6"/>
        <v>88123594</v>
      </c>
      <c r="AP21" s="285" t="str">
        <f t="shared" si="29"/>
        <v>0.85%</v>
      </c>
      <c r="AQ21" s="302">
        <f>'[2]PBF Run'!O28</f>
        <v>749051</v>
      </c>
      <c r="AR21" s="278">
        <f t="shared" si="7"/>
        <v>88872645</v>
      </c>
      <c r="AS21" s="302">
        <f>'[2]PBF Run'!$AD28</f>
        <v>0</v>
      </c>
      <c r="AT21" s="302">
        <f>'[2]PBF Run'!$T28</f>
        <v>0</v>
      </c>
      <c r="AU21" s="278">
        <f t="shared" si="8"/>
        <v>2066272</v>
      </c>
      <c r="AV21" s="304">
        <f>'[2]Restoration and Growth'!BT28</f>
        <v>0</v>
      </c>
      <c r="AW21" s="304" t="str">
        <f>'[2]Restoration and Growth'!AP28</f>
        <v>Y</v>
      </c>
      <c r="AX21" s="302">
        <f>'[2]Restoration and Growth'!CV28</f>
        <v>0</v>
      </c>
      <c r="AY21" s="302">
        <f>'[2]Growth Deficit'!$AO28</f>
        <v>0</v>
      </c>
      <c r="AZ21" s="302">
        <f>'[2]Growth Deficit'!AO28</f>
        <v>0</v>
      </c>
      <c r="BA21" s="302">
        <f>'[2]Growth Deficit'!AL28</f>
        <v>0</v>
      </c>
      <c r="BB21" s="302">
        <f>'[2]Growth Deficit'!AM28</f>
        <v>0</v>
      </c>
      <c r="BC21" s="302">
        <f>'[2]Growth Deficit'!AN28</f>
        <v>0</v>
      </c>
      <c r="BD21" s="302">
        <f>'[2]Growth Deficit'!AO28</f>
        <v>0</v>
      </c>
      <c r="BE21" s="302">
        <f>'[2]PBF Run'!AA28</f>
        <v>0</v>
      </c>
      <c r="BF21" s="302">
        <f>'[2]PBF Run'!AB28</f>
        <v>0</v>
      </c>
      <c r="BG21" s="302">
        <f>'[2]PBF Run'!AC28</f>
        <v>0</v>
      </c>
      <c r="BH21" s="302">
        <f>'[2]PBF Run'!AD28</f>
        <v>0</v>
      </c>
      <c r="BI21" s="278">
        <f t="shared" si="9"/>
        <v>0</v>
      </c>
      <c r="BJ21" s="302">
        <f>'[2]PBF Run'!X28</f>
        <v>0</v>
      </c>
      <c r="BK21" s="302">
        <f>'[2]PBF Run'!AE28</f>
        <v>92283594</v>
      </c>
      <c r="BL21" s="282">
        <f t="shared" si="10"/>
        <v>0.98518541659745074</v>
      </c>
      <c r="BM21" s="302">
        <f>'[2]PBF Run'!AM28</f>
        <v>1367143</v>
      </c>
      <c r="BN21" s="302">
        <f>'[2]PBF Run'!$AN28</f>
        <v>37837343</v>
      </c>
      <c r="BO21" s="302">
        <f>'[2]PBF Run'!$AO28</f>
        <v>0</v>
      </c>
      <c r="BP21" s="302">
        <f>'[2]PBF Run'!AC28</f>
        <v>0</v>
      </c>
      <c r="BQ21" s="278">
        <f t="shared" si="11"/>
        <v>37837343</v>
      </c>
      <c r="BR21" s="302">
        <f>'[2]PBF Run'!AJ28</f>
        <v>31683825</v>
      </c>
      <c r="BS21" s="302">
        <f>'[2]PBF Run'!AI28</f>
        <v>7509026</v>
      </c>
      <c r="BT21" s="302">
        <f>'[2]PBF Run'!$AN28</f>
        <v>37837343</v>
      </c>
      <c r="BU21" s="302">
        <f>'[2]PBF Run'!$AN28</f>
        <v>37837343</v>
      </c>
      <c r="BV21" s="302">
        <f>'[2]PBF Run'!BI28</f>
        <v>0</v>
      </c>
      <c r="BW21" s="303">
        <f>'[2]PBF Run'!BH28</f>
        <v>0</v>
      </c>
      <c r="BX21" s="278">
        <f t="shared" si="30"/>
        <v>69532</v>
      </c>
      <c r="BY21" s="278">
        <f t="shared" si="12"/>
        <v>37837343</v>
      </c>
      <c r="BZ21" s="302">
        <f>'[2]As of 13-14 R1'!BP28</f>
        <v>0</v>
      </c>
      <c r="CA21" s="302">
        <f>'[2]As of 13-14 R1'!BQ28</f>
        <v>0</v>
      </c>
      <c r="CB21" s="302">
        <f>'[2]As of 13-14 R1'!BR28</f>
        <v>0</v>
      </c>
      <c r="CC21" s="278">
        <f t="shared" si="13"/>
        <v>0</v>
      </c>
      <c r="CD21" s="301">
        <f>'[2]Growth Deficit'!$D$2</f>
        <v>0</v>
      </c>
      <c r="CE21" s="300">
        <f>IF($CS21="S",'[2]Foundation Grant'!C28,0)</f>
        <v>0</v>
      </c>
      <c r="CF21" s="300">
        <f>IF($CS21="S",'[2]Foundation Grant'!D28,0)</f>
        <v>0</v>
      </c>
      <c r="CG21" s="300">
        <f>IF($CS21="S",'[2]Foundation Grant'!E28,0)</f>
        <v>0</v>
      </c>
      <c r="CH21" s="300">
        <f>IF($CS21="S",'[2]Foundation Grant'!F28,0)</f>
        <v>0</v>
      </c>
      <c r="CI21" s="300">
        <f>IF($CS21="M",'[2]Foundation Grant'!C28,0)</f>
        <v>0</v>
      </c>
      <c r="CJ21" s="300">
        <f>IF($CS21="M",'[2]Foundation Grant'!D28,0)</f>
        <v>1</v>
      </c>
      <c r="CK21" s="300">
        <f>IF($CS21="M",'[2]Foundation Grant'!E28,0)</f>
        <v>1</v>
      </c>
      <c r="CL21" s="300">
        <f>IF($CS21="M",'[2]Foundation Grant'!F28,0)</f>
        <v>2</v>
      </c>
      <c r="CM21" s="300">
        <f>'[2]Foundation Grant'!G28</f>
        <v>0</v>
      </c>
      <c r="CN21" s="300">
        <f>'[2]Foundation Grant'!H28</f>
        <v>0</v>
      </c>
      <c r="CO21" s="300">
        <f>'[2]Foundation Grant'!I28</f>
        <v>0</v>
      </c>
      <c r="CP21" s="300">
        <f>'[2]Foundation Grant'!J28</f>
        <v>0</v>
      </c>
      <c r="CQ21" s="300">
        <f>'[2]Foundation Grant'!K28</f>
        <v>0</v>
      </c>
      <c r="CR21" s="299">
        <f>'[2]Foundation Grant'!L28</f>
        <v>0</v>
      </c>
      <c r="CS21" s="300" t="str">
        <f>'[2]Foundation Grant'!M28</f>
        <v>M</v>
      </c>
      <c r="CT21" s="300">
        <f>'[2]Foundation Grant'!N28</f>
        <v>7309670</v>
      </c>
      <c r="CU21" s="299">
        <f>'[2]Foundation Grant'!O28</f>
        <v>0</v>
      </c>
      <c r="CV21" s="299">
        <f>'[2]Foundation Grant'!P28</f>
        <v>0</v>
      </c>
      <c r="CW21" s="298">
        <f>'[2]Foundation Grant'!$C$1</f>
        <v>5622823</v>
      </c>
      <c r="CX21" s="298">
        <f>'[2]Foundation Grant'!$D$1</f>
        <v>4498258</v>
      </c>
      <c r="CY21" s="298">
        <f>'[2]Foundation Grant'!$E$1</f>
        <v>3373694</v>
      </c>
      <c r="CZ21" s="298">
        <f>'[2]Foundation Grant'!$C$2</f>
        <v>4498258</v>
      </c>
      <c r="DA21" s="298">
        <f>'[2]Foundation Grant'!$D$2</f>
        <v>3935976</v>
      </c>
      <c r="DB21" s="298">
        <f>'[2]Foundation Grant'!$E$2</f>
        <v>3373694</v>
      </c>
      <c r="DC21" s="298">
        <f>'[2]Foundation Grant'!$G$1</f>
        <v>1124565</v>
      </c>
      <c r="DD21" s="298">
        <f>'[2]Foundation Grant'!$H$1</f>
        <v>843423</v>
      </c>
      <c r="DE21" s="298">
        <f>'[2]Foundation Grant'!$I$1</f>
        <v>562282</v>
      </c>
      <c r="DF21" s="298">
        <f>'[2]Foundation Grant'!$J$1</f>
        <v>281141</v>
      </c>
      <c r="DG21" s="298">
        <f>'[2]Foundation Grant'!$K$1</f>
        <v>140571</v>
      </c>
      <c r="DH21" s="298">
        <f>'[2]Foundation Grant'!$O$1</f>
        <v>562282</v>
      </c>
      <c r="DI21" s="298">
        <f>'[2]Foundation Grant'!$P$1</f>
        <v>1124565</v>
      </c>
      <c r="DJ21" s="297">
        <f>'[2]basic allocation'!$C$10</f>
        <v>18749</v>
      </c>
      <c r="DK21" s="297">
        <f>'[2]basic allocation'!$D$10</f>
        <v>9375</v>
      </c>
      <c r="DL21" s="297">
        <f>'[2]basic allocation'!$E$10</f>
        <v>9375</v>
      </c>
      <c r="DM21" s="297">
        <f>'[2]basic allocation'!$I$10</f>
        <v>938</v>
      </c>
      <c r="DN21" s="297">
        <f>'[2]basic allocation'!$J$10</f>
        <v>703</v>
      </c>
      <c r="DO21" s="297">
        <f>'[2]basic allocation'!$K$10</f>
        <v>469</v>
      </c>
      <c r="DP21" s="297">
        <f>'[2]basic allocation'!$L$10</f>
        <v>234</v>
      </c>
      <c r="DQ21" s="297">
        <f>'[2]basic allocation'!$M$10</f>
        <v>100</v>
      </c>
      <c r="DR21" s="296">
        <f>'[2]FTES Adjustment'!DQ28</f>
        <v>4.3999996705679223E-5</v>
      </c>
      <c r="DS21" s="296">
        <f>'[2]FTES Adjustment'!DR28</f>
        <v>0</v>
      </c>
      <c r="DT21" s="296">
        <f>'[2]FTES Adjustment'!DS28</f>
        <v>0</v>
      </c>
      <c r="DU21" s="277">
        <f t="shared" si="14"/>
        <v>0</v>
      </c>
      <c r="DV21" s="276">
        <f t="shared" si="15"/>
        <v>745.40296699999999</v>
      </c>
      <c r="DW21" s="276">
        <f t="shared" si="16"/>
        <v>-26.490000000000009</v>
      </c>
      <c r="DX21" s="276">
        <f t="shared" si="17"/>
        <v>0</v>
      </c>
      <c r="DY21" s="276">
        <f t="shared" si="18"/>
        <v>718.91300000000001</v>
      </c>
      <c r="DZ21" s="295">
        <f>ROUND([2]FTES!$D28,3)</f>
        <v>17364.116999999998</v>
      </c>
      <c r="EA21" s="295">
        <f>ROUND([2]FTES!$M28,3)</f>
        <v>109.51</v>
      </c>
      <c r="EB21" s="295">
        <f>ROUND([2]FTES!$V28,3)</f>
        <v>0</v>
      </c>
      <c r="EC21" s="276">
        <f t="shared" si="19"/>
        <v>17473.627</v>
      </c>
      <c r="ED21" s="133">
        <v>0</v>
      </c>
      <c r="EE21" s="294">
        <f>'[2]10-11 WkLd126M'!$E26</f>
        <v>2019097</v>
      </c>
      <c r="EF21" s="295">
        <f>'[2]FTES Adjustment'!CG28</f>
        <v>745.40296699999999</v>
      </c>
      <c r="EG21" s="295">
        <f>'[2]FTES Adjustment'!CH28</f>
        <v>-26.490000000000009</v>
      </c>
      <c r="EH21" s="295">
        <f>'[2]FTES Adjustment'!CI28</f>
        <v>0</v>
      </c>
      <c r="EI21" s="276">
        <f t="shared" si="20"/>
        <v>718.91296699999998</v>
      </c>
      <c r="EJ21" s="294">
        <f>'[2]PBF Run'!$AT28</f>
        <v>0</v>
      </c>
      <c r="EK21" s="294">
        <f>'[2]11-12 Workload Reduction'!H28</f>
        <v>82927688</v>
      </c>
      <c r="EL21" s="294">
        <f>'[2]13-14 $86M Workload Restore'!AI26</f>
        <v>2066272</v>
      </c>
      <c r="EM21" s="294">
        <f>'[2]13-14 $86M Workload Restore'!AC26</f>
        <v>0</v>
      </c>
      <c r="EN21" s="294">
        <f>'[2]13-14 deferrals, growth, EPA 1'!BJ28</f>
        <v>12949494</v>
      </c>
      <c r="EO21" s="293">
        <f t="shared" si="21"/>
        <v>90916451</v>
      </c>
      <c r="EP21" s="292">
        <v>0</v>
      </c>
      <c r="EQ21" s="292">
        <v>0</v>
      </c>
      <c r="ER21" s="292">
        <v>0</v>
      </c>
      <c r="ES21" s="16">
        <f t="shared" si="22"/>
        <v>0</v>
      </c>
    </row>
    <row r="22" spans="1:149">
      <c r="A22" s="291" t="s">
        <v>257</v>
      </c>
      <c r="B22" s="290" t="str">
        <f t="shared" si="23"/>
        <v>P2</v>
      </c>
      <c r="C22" s="285" t="s">
        <v>361</v>
      </c>
      <c r="D22" s="289" t="s">
        <v>360</v>
      </c>
      <c r="E22" s="288">
        <f>ROUND('[2]PBF Run'!N29,6)</f>
        <v>4636.4928289999998</v>
      </c>
      <c r="F22" s="285">
        <f t="shared" si="24"/>
        <v>4675.9030433300004</v>
      </c>
      <c r="G22" s="285">
        <f t="shared" si="25"/>
        <v>2788.0536374600001</v>
      </c>
      <c r="H22" s="285">
        <f t="shared" si="26"/>
        <v>2811.7520933800001</v>
      </c>
      <c r="I22" s="285">
        <f t="shared" si="27"/>
        <v>3282.8110613200001</v>
      </c>
      <c r="J22" s="285">
        <f t="shared" si="28"/>
        <v>3310.71495534</v>
      </c>
      <c r="K22" s="308">
        <f>ROUND([2]FTES!C29,3)</f>
        <v>6711.4920000000002</v>
      </c>
      <c r="L22" s="308">
        <f>ROUND([2]FTES!F29,3)</f>
        <v>0</v>
      </c>
      <c r="M22" s="308">
        <f>ROUND('[2]Growth Deficit'!AG29,3)</f>
        <v>0</v>
      </c>
      <c r="N22" s="308">
        <f>ROUND([2]FTES!I29,3)</f>
        <v>0</v>
      </c>
      <c r="O22" s="308">
        <f>ROUND([2]FTES!E29,3)</f>
        <v>7120.65</v>
      </c>
      <c r="P22" s="308">
        <f>ROUND([2]FTES!L29,3)</f>
        <v>4.6500000000000004</v>
      </c>
      <c r="Q22" s="308">
        <f>ROUND([2]FTES!O29,3)</f>
        <v>0</v>
      </c>
      <c r="R22" s="308">
        <f>ROUND('[2]Growth Deficit'!$AH29,3)</f>
        <v>0</v>
      </c>
      <c r="S22" s="308">
        <f>ROUND([2]FTES!R29,3)</f>
        <v>0</v>
      </c>
      <c r="T22" s="308">
        <f>ROUND([2]FTES!N29,3)</f>
        <v>13.58</v>
      </c>
      <c r="U22" s="308">
        <f>ROUND([2]FTES!U29,3)</f>
        <v>0</v>
      </c>
      <c r="V22" s="308">
        <f>ROUND([2]FTES!X29,3)</f>
        <v>0</v>
      </c>
      <c r="W22" s="308">
        <f>ROUND('[2]Growth Deficit'!$AI29,3)</f>
        <v>0</v>
      </c>
      <c r="X22" s="308">
        <f>ROUND([2]FTES!AA29,3)</f>
        <v>0</v>
      </c>
      <c r="Y22" s="308">
        <f>ROUND([2]FTES!W29,3)</f>
        <v>0</v>
      </c>
      <c r="Z22" s="307">
        <f>'[2]FTES Adjustment'!CW29</f>
        <v>7043.8067300000002</v>
      </c>
      <c r="AA22" s="307">
        <f>'[2]FTES Adjustment'!CX29</f>
        <v>13.58</v>
      </c>
      <c r="AB22" s="307">
        <f>'[2]FTES Adjustment'!CY29</f>
        <v>0</v>
      </c>
      <c r="AC22" s="275">
        <f t="shared" si="0"/>
        <v>6716.1419999999998</v>
      </c>
      <c r="AD22" s="275">
        <f t="shared" si="1"/>
        <v>0</v>
      </c>
      <c r="AE22" s="275">
        <f t="shared" si="2"/>
        <v>0</v>
      </c>
      <c r="AF22" s="275">
        <f t="shared" si="3"/>
        <v>0</v>
      </c>
      <c r="AG22" s="275">
        <f t="shared" si="4"/>
        <v>7134.23</v>
      </c>
      <c r="AH22" s="275">
        <f t="shared" si="5"/>
        <v>7057.3869999999997</v>
      </c>
      <c r="AI22" s="302">
        <f>'[2]PBF Run'!F29</f>
        <v>3654835</v>
      </c>
      <c r="AJ22" s="302">
        <f>'[2]PBF Run'!H29+'[2]PBF Run'!I29+'[2]PBF Run'!J29+'[2]PBF Run'!L29</f>
        <v>31130747</v>
      </c>
      <c r="AK22" s="306">
        <f>'[2]PBF Run'!J29 + '[2]PBF Run'!$L29</f>
        <v>31117783</v>
      </c>
      <c r="AL22" s="302">
        <f>'[2]PBF Run'!H29</f>
        <v>12964</v>
      </c>
      <c r="AM22" s="302">
        <f>'[2]PBF Run'!I29</f>
        <v>0</v>
      </c>
      <c r="AN22" s="305">
        <f>'[2]Restoration and Growth'!BM29</f>
        <v>0</v>
      </c>
      <c r="AO22" s="278">
        <f t="shared" si="6"/>
        <v>34785582</v>
      </c>
      <c r="AP22" s="285" t="str">
        <f t="shared" si="29"/>
        <v>0.85%</v>
      </c>
      <c r="AQ22" s="302">
        <f>'[2]PBF Run'!O29</f>
        <v>295677</v>
      </c>
      <c r="AR22" s="278">
        <f t="shared" si="7"/>
        <v>35081259</v>
      </c>
      <c r="AS22" s="302">
        <f>'[2]PBF Run'!$AD29</f>
        <v>0</v>
      </c>
      <c r="AT22" s="302">
        <f>'[2]PBF Run'!$T29</f>
        <v>0</v>
      </c>
      <c r="AU22" s="278">
        <f t="shared" si="8"/>
        <v>711729</v>
      </c>
      <c r="AV22" s="304">
        <f>'[2]Restoration and Growth'!BT29</f>
        <v>0</v>
      </c>
      <c r="AW22" s="304" t="str">
        <f>'[2]Restoration and Growth'!AP29</f>
        <v>Y</v>
      </c>
      <c r="AX22" s="302">
        <f>'[2]Restoration and Growth'!CV29</f>
        <v>0</v>
      </c>
      <c r="AY22" s="302">
        <f>'[2]Growth Deficit'!$AO29</f>
        <v>0</v>
      </c>
      <c r="AZ22" s="302">
        <f>'[2]Growth Deficit'!AO29</f>
        <v>0</v>
      </c>
      <c r="BA22" s="302">
        <f>'[2]Growth Deficit'!AL29</f>
        <v>0</v>
      </c>
      <c r="BB22" s="302">
        <f>'[2]Growth Deficit'!AM29</f>
        <v>0</v>
      </c>
      <c r="BC22" s="302">
        <f>'[2]Growth Deficit'!AN29</f>
        <v>0</v>
      </c>
      <c r="BD22" s="302">
        <f>'[2]Growth Deficit'!AO29</f>
        <v>0</v>
      </c>
      <c r="BE22" s="302">
        <f>'[2]PBF Run'!AA29</f>
        <v>0</v>
      </c>
      <c r="BF22" s="302">
        <f>'[2]PBF Run'!AB29</f>
        <v>0</v>
      </c>
      <c r="BG22" s="302">
        <f>'[2]PBF Run'!AC29</f>
        <v>0</v>
      </c>
      <c r="BH22" s="302">
        <f>'[2]PBF Run'!AD29</f>
        <v>0</v>
      </c>
      <c r="BI22" s="278">
        <f t="shared" si="9"/>
        <v>0</v>
      </c>
      <c r="BJ22" s="302">
        <f>'[2]PBF Run'!X29</f>
        <v>0</v>
      </c>
      <c r="BK22" s="302">
        <f>'[2]PBF Run'!AE29</f>
        <v>36660241</v>
      </c>
      <c r="BL22" s="282">
        <f t="shared" si="10"/>
        <v>0.98518542199436165</v>
      </c>
      <c r="BM22" s="302">
        <f>'[2]PBF Run'!AM29</f>
        <v>543106</v>
      </c>
      <c r="BN22" s="302">
        <f>'[2]PBF Run'!$AN29</f>
        <v>10024225</v>
      </c>
      <c r="BO22" s="302">
        <f>'[2]PBF Run'!$AO29</f>
        <v>0</v>
      </c>
      <c r="BP22" s="302">
        <f>'[2]PBF Run'!AC29</f>
        <v>0</v>
      </c>
      <c r="BQ22" s="278">
        <f t="shared" si="11"/>
        <v>10024225</v>
      </c>
      <c r="BR22" s="302">
        <f>'[2]PBF Run'!AJ29</f>
        <v>18759801</v>
      </c>
      <c r="BS22" s="302">
        <f>'[2]PBF Run'!AI29</f>
        <v>1588239</v>
      </c>
      <c r="BT22" s="302">
        <f>'[2]PBF Run'!$AN29</f>
        <v>10024225</v>
      </c>
      <c r="BU22" s="302">
        <f>'[2]PBF Run'!$AN29</f>
        <v>10024225</v>
      </c>
      <c r="BV22" s="302">
        <f>'[2]PBF Run'!BI29</f>
        <v>0</v>
      </c>
      <c r="BW22" s="303">
        <f>'[2]PBF Run'!BH29</f>
        <v>0</v>
      </c>
      <c r="BX22" s="278">
        <f t="shared" si="30"/>
        <v>69532</v>
      </c>
      <c r="BY22" s="278">
        <f t="shared" si="12"/>
        <v>10024225</v>
      </c>
      <c r="BZ22" s="302">
        <f>'[2]As of 13-14 R1'!BP29</f>
        <v>0</v>
      </c>
      <c r="CA22" s="302">
        <f>'[2]As of 13-14 R1'!BQ29</f>
        <v>0</v>
      </c>
      <c r="CB22" s="302">
        <f>'[2]As of 13-14 R1'!BR29</f>
        <v>0</v>
      </c>
      <c r="CC22" s="278">
        <f t="shared" si="13"/>
        <v>0</v>
      </c>
      <c r="CD22" s="301">
        <f>'[2]Growth Deficit'!$D$2</f>
        <v>0</v>
      </c>
      <c r="CE22" s="300">
        <f>IF($CS22="S",'[2]Foundation Grant'!C29,0)</f>
        <v>0</v>
      </c>
      <c r="CF22" s="300">
        <f>IF($CS22="S",'[2]Foundation Grant'!D29,0)</f>
        <v>0</v>
      </c>
      <c r="CG22" s="300">
        <f>IF($CS22="S",'[2]Foundation Grant'!E29,0)</f>
        <v>1</v>
      </c>
      <c r="CH22" s="300">
        <f>IF($CS22="S",'[2]Foundation Grant'!F29,0)</f>
        <v>1</v>
      </c>
      <c r="CI22" s="300">
        <f>IF($CS22="M",'[2]Foundation Grant'!C29,0)</f>
        <v>0</v>
      </c>
      <c r="CJ22" s="300">
        <f>IF($CS22="M",'[2]Foundation Grant'!D29,0)</f>
        <v>0</v>
      </c>
      <c r="CK22" s="300">
        <f>IF($CS22="M",'[2]Foundation Grant'!E29,0)</f>
        <v>0</v>
      </c>
      <c r="CL22" s="300">
        <f>IF($CS22="M",'[2]Foundation Grant'!F29,0)</f>
        <v>0</v>
      </c>
      <c r="CM22" s="300">
        <f>'[2]Foundation Grant'!G29</f>
        <v>0</v>
      </c>
      <c r="CN22" s="300">
        <f>'[2]Foundation Grant'!H29</f>
        <v>0</v>
      </c>
      <c r="CO22" s="300">
        <f>'[2]Foundation Grant'!I29</f>
        <v>0</v>
      </c>
      <c r="CP22" s="300">
        <f>'[2]Foundation Grant'!J29</f>
        <v>1</v>
      </c>
      <c r="CQ22" s="300">
        <f>'[2]Foundation Grant'!K29</f>
        <v>0</v>
      </c>
      <c r="CR22" s="299">
        <f>'[2]Foundation Grant'!L29</f>
        <v>1</v>
      </c>
      <c r="CS22" s="300" t="str">
        <f>'[2]Foundation Grant'!M29</f>
        <v>S</v>
      </c>
      <c r="CT22" s="300">
        <f>'[2]Foundation Grant'!N29</f>
        <v>3654835</v>
      </c>
      <c r="CU22" s="299">
        <f>'[2]Foundation Grant'!O29</f>
        <v>0</v>
      </c>
      <c r="CV22" s="299">
        <f>'[2]Foundation Grant'!P29</f>
        <v>0</v>
      </c>
      <c r="CW22" s="298">
        <f>'[2]Foundation Grant'!$C$1</f>
        <v>5622823</v>
      </c>
      <c r="CX22" s="298">
        <f>'[2]Foundation Grant'!$D$1</f>
        <v>4498258</v>
      </c>
      <c r="CY22" s="298">
        <f>'[2]Foundation Grant'!$E$1</f>
        <v>3373694</v>
      </c>
      <c r="CZ22" s="298">
        <f>'[2]Foundation Grant'!$C$2</f>
        <v>4498258</v>
      </c>
      <c r="DA22" s="298">
        <f>'[2]Foundation Grant'!$D$2</f>
        <v>3935976</v>
      </c>
      <c r="DB22" s="298">
        <f>'[2]Foundation Grant'!$E$2</f>
        <v>3373694</v>
      </c>
      <c r="DC22" s="298">
        <f>'[2]Foundation Grant'!$G$1</f>
        <v>1124565</v>
      </c>
      <c r="DD22" s="298">
        <f>'[2]Foundation Grant'!$H$1</f>
        <v>843423</v>
      </c>
      <c r="DE22" s="298">
        <f>'[2]Foundation Grant'!$I$1</f>
        <v>562282</v>
      </c>
      <c r="DF22" s="298">
        <f>'[2]Foundation Grant'!$J$1</f>
        <v>281141</v>
      </c>
      <c r="DG22" s="298">
        <f>'[2]Foundation Grant'!$K$1</f>
        <v>140571</v>
      </c>
      <c r="DH22" s="298">
        <f>'[2]Foundation Grant'!$O$1</f>
        <v>562282</v>
      </c>
      <c r="DI22" s="298">
        <f>'[2]Foundation Grant'!$P$1</f>
        <v>1124565</v>
      </c>
      <c r="DJ22" s="297">
        <f>'[2]basic allocation'!$C$10</f>
        <v>18749</v>
      </c>
      <c r="DK22" s="297">
        <f>'[2]basic allocation'!$D$10</f>
        <v>9375</v>
      </c>
      <c r="DL22" s="297">
        <f>'[2]basic allocation'!$E$10</f>
        <v>9375</v>
      </c>
      <c r="DM22" s="297">
        <f>'[2]basic allocation'!$I$10</f>
        <v>938</v>
      </c>
      <c r="DN22" s="297">
        <f>'[2]basic allocation'!$J$10</f>
        <v>703</v>
      </c>
      <c r="DO22" s="297">
        <f>'[2]basic allocation'!$K$10</f>
        <v>469</v>
      </c>
      <c r="DP22" s="297">
        <f>'[2]basic allocation'!$L$10</f>
        <v>234</v>
      </c>
      <c r="DQ22" s="297">
        <f>'[2]basic allocation'!$M$10</f>
        <v>100</v>
      </c>
      <c r="DR22" s="296">
        <f>'[2]FTES Adjustment'!DQ29</f>
        <v>76.843269999999393</v>
      </c>
      <c r="DS22" s="296">
        <f>'[2]FTES Adjustment'!DR29</f>
        <v>0</v>
      </c>
      <c r="DT22" s="296">
        <f>'[2]FTES Adjustment'!DS29</f>
        <v>0</v>
      </c>
      <c r="DU22" s="277">
        <f t="shared" si="14"/>
        <v>76.843000000000004</v>
      </c>
      <c r="DV22" s="276">
        <f t="shared" si="15"/>
        <v>332.31506000000002</v>
      </c>
      <c r="DW22" s="276">
        <f t="shared" si="16"/>
        <v>8.93</v>
      </c>
      <c r="DX22" s="276">
        <f t="shared" si="17"/>
        <v>0</v>
      </c>
      <c r="DY22" s="276">
        <f t="shared" si="18"/>
        <v>341.245</v>
      </c>
      <c r="DZ22" s="295">
        <f>ROUND([2]FTES!$D29,3)</f>
        <v>6711.4920000000002</v>
      </c>
      <c r="EA22" s="295">
        <f>ROUND([2]FTES!$M29,3)</f>
        <v>4.6500000000000004</v>
      </c>
      <c r="EB22" s="295">
        <f>ROUND([2]FTES!$V29,3)</f>
        <v>0</v>
      </c>
      <c r="EC22" s="276">
        <f t="shared" si="19"/>
        <v>6716.1419999999998</v>
      </c>
      <c r="ED22" s="133">
        <v>0</v>
      </c>
      <c r="EE22" s="294">
        <f>'[2]10-11 WkLd126M'!$E27</f>
        <v>796066</v>
      </c>
      <c r="EF22" s="295">
        <f>'[2]FTES Adjustment'!CG29</f>
        <v>332.31506000000002</v>
      </c>
      <c r="EG22" s="295">
        <f>'[2]FTES Adjustment'!CH29</f>
        <v>8.93</v>
      </c>
      <c r="EH22" s="295">
        <f>'[2]FTES Adjustment'!CI29</f>
        <v>0</v>
      </c>
      <c r="EI22" s="276">
        <f t="shared" si="20"/>
        <v>341.24506000000002</v>
      </c>
      <c r="EJ22" s="294">
        <f>'[2]PBF Run'!$AT29</f>
        <v>0</v>
      </c>
      <c r="EK22" s="294">
        <f>'[2]11-12 Workload Reduction'!H29</f>
        <v>31910245</v>
      </c>
      <c r="EL22" s="294">
        <f>'[2]13-14 $86M Workload Restore'!AI27</f>
        <v>711729</v>
      </c>
      <c r="EM22" s="294">
        <f>'[2]13-14 $86M Workload Restore'!AC27</f>
        <v>0</v>
      </c>
      <c r="EN22" s="294">
        <f>'[2]13-14 deferrals, growth, EPA 1'!BJ29</f>
        <v>5315716</v>
      </c>
      <c r="EO22" s="293">
        <f t="shared" si="21"/>
        <v>36117135</v>
      </c>
      <c r="EP22" s="292">
        <v>0</v>
      </c>
      <c r="EQ22" s="292">
        <v>0</v>
      </c>
      <c r="ER22" s="292">
        <v>0</v>
      </c>
      <c r="ES22" s="16">
        <f t="shared" si="22"/>
        <v>0</v>
      </c>
    </row>
    <row r="23" spans="1:149">
      <c r="A23" s="291" t="s">
        <v>257</v>
      </c>
      <c r="B23" s="290" t="str">
        <f t="shared" si="23"/>
        <v>P2</v>
      </c>
      <c r="C23" s="285" t="s">
        <v>359</v>
      </c>
      <c r="D23" s="289" t="s">
        <v>358</v>
      </c>
      <c r="E23" s="288">
        <f>ROUND('[2]PBF Run'!N30,6)</f>
        <v>4636.4927879999996</v>
      </c>
      <c r="F23" s="285">
        <f t="shared" si="24"/>
        <v>4675.9030433300004</v>
      </c>
      <c r="G23" s="285">
        <f t="shared" si="25"/>
        <v>2788.0536374600001</v>
      </c>
      <c r="H23" s="285">
        <f t="shared" si="26"/>
        <v>2811.7520933800001</v>
      </c>
      <c r="I23" s="285">
        <f t="shared" si="27"/>
        <v>3282.8110613200001</v>
      </c>
      <c r="J23" s="285">
        <f t="shared" si="28"/>
        <v>3310.71495534</v>
      </c>
      <c r="K23" s="308">
        <f>ROUND([2]FTES!C30,3)</f>
        <v>6579.49</v>
      </c>
      <c r="L23" s="308">
        <f>ROUND([2]FTES!F30,3)</f>
        <v>0</v>
      </c>
      <c r="M23" s="308">
        <f>ROUND('[2]Growth Deficit'!AG30,3)</f>
        <v>0</v>
      </c>
      <c r="N23" s="308">
        <f>ROUND([2]FTES!I30,3)</f>
        <v>0</v>
      </c>
      <c r="O23" s="308">
        <f>ROUND([2]FTES!E30,3)</f>
        <v>6817.81</v>
      </c>
      <c r="P23" s="308">
        <f>ROUND([2]FTES!L30,3)</f>
        <v>33.299999999999997</v>
      </c>
      <c r="Q23" s="308">
        <f>ROUND([2]FTES!O30,3)</f>
        <v>0</v>
      </c>
      <c r="R23" s="308">
        <f>ROUND('[2]Growth Deficit'!$AH30,3)</f>
        <v>0</v>
      </c>
      <c r="S23" s="308">
        <f>ROUND([2]FTES!R30,3)</f>
        <v>0</v>
      </c>
      <c r="T23" s="308">
        <f>ROUND([2]FTES!N30,3)</f>
        <v>47.72</v>
      </c>
      <c r="U23" s="308">
        <f>ROUND([2]FTES!U30,3)</f>
        <v>12.21</v>
      </c>
      <c r="V23" s="308">
        <f>ROUND([2]FTES!X30,3)</f>
        <v>0</v>
      </c>
      <c r="W23" s="308">
        <f>ROUND('[2]Growth Deficit'!$AI30,3)</f>
        <v>0</v>
      </c>
      <c r="X23" s="308">
        <f>ROUND([2]FTES!AA30,3)</f>
        <v>0</v>
      </c>
      <c r="Y23" s="308">
        <f>ROUND([2]FTES!W30,3)</f>
        <v>7.9</v>
      </c>
      <c r="Z23" s="307">
        <f>'[2]FTES Adjustment'!CW30</f>
        <v>6817.8099689999999</v>
      </c>
      <c r="AA23" s="307">
        <f>'[2]FTES Adjustment'!CX30</f>
        <v>47.72</v>
      </c>
      <c r="AB23" s="307">
        <f>'[2]FTES Adjustment'!CY30</f>
        <v>7.9</v>
      </c>
      <c r="AC23" s="275">
        <f t="shared" si="0"/>
        <v>6625</v>
      </c>
      <c r="AD23" s="275">
        <f t="shared" si="1"/>
        <v>0</v>
      </c>
      <c r="AE23" s="275">
        <f t="shared" si="2"/>
        <v>0</v>
      </c>
      <c r="AF23" s="275">
        <f t="shared" si="3"/>
        <v>0</v>
      </c>
      <c r="AG23" s="275">
        <f t="shared" si="4"/>
        <v>6873.43</v>
      </c>
      <c r="AH23" s="275">
        <f t="shared" si="5"/>
        <v>6873.43</v>
      </c>
      <c r="AI23" s="302">
        <f>'[2]PBF Run'!F30</f>
        <v>3373694</v>
      </c>
      <c r="AJ23" s="302">
        <f>'[2]PBF Run'!H30+'[2]PBF Run'!I30+'[2]PBF Run'!J30+'[2]PBF Run'!L30</f>
        <v>30638683</v>
      </c>
      <c r="AK23" s="306">
        <f>'[2]PBF Run'!J30 + '[2]PBF Run'!$L30</f>
        <v>30505758</v>
      </c>
      <c r="AL23" s="302">
        <f>'[2]PBF Run'!H30</f>
        <v>92842</v>
      </c>
      <c r="AM23" s="302">
        <f>'[2]PBF Run'!I30</f>
        <v>40083</v>
      </c>
      <c r="AN23" s="305">
        <f>'[2]Restoration and Growth'!BM30</f>
        <v>0</v>
      </c>
      <c r="AO23" s="278">
        <f t="shared" si="6"/>
        <v>34012377</v>
      </c>
      <c r="AP23" s="285" t="str">
        <f t="shared" si="29"/>
        <v>0.85%</v>
      </c>
      <c r="AQ23" s="302">
        <f>'[2]PBF Run'!O30</f>
        <v>289105</v>
      </c>
      <c r="AR23" s="278">
        <f t="shared" si="7"/>
        <v>34301482</v>
      </c>
      <c r="AS23" s="302">
        <f>'[2]PBF Run'!$AD30</f>
        <v>0</v>
      </c>
      <c r="AT23" s="302">
        <f>'[2]PBF Run'!$T30</f>
        <v>0</v>
      </c>
      <c r="AU23" s="278">
        <f t="shared" si="8"/>
        <v>332117</v>
      </c>
      <c r="AV23" s="304">
        <f>'[2]Restoration and Growth'!BT30</f>
        <v>0</v>
      </c>
      <c r="AW23" s="304" t="str">
        <f>'[2]Restoration and Growth'!AP30</f>
        <v>Y</v>
      </c>
      <c r="AX23" s="302">
        <f>'[2]Restoration and Growth'!CV30</f>
        <v>0</v>
      </c>
      <c r="AY23" s="302">
        <f>'[2]Growth Deficit'!$AO30</f>
        <v>0</v>
      </c>
      <c r="AZ23" s="302">
        <f>'[2]Growth Deficit'!AO30</f>
        <v>0</v>
      </c>
      <c r="BA23" s="302">
        <f>'[2]Growth Deficit'!AL30</f>
        <v>0</v>
      </c>
      <c r="BB23" s="302">
        <f>'[2]Growth Deficit'!AM30</f>
        <v>0</v>
      </c>
      <c r="BC23" s="302">
        <f>'[2]Growth Deficit'!AN30</f>
        <v>0</v>
      </c>
      <c r="BD23" s="302">
        <f>'[2]Growth Deficit'!AO30</f>
        <v>0</v>
      </c>
      <c r="BE23" s="302">
        <f>'[2]PBF Run'!AA30</f>
        <v>0</v>
      </c>
      <c r="BF23" s="302">
        <f>'[2]PBF Run'!AB30</f>
        <v>0</v>
      </c>
      <c r="BG23" s="302">
        <f>'[2]PBF Run'!AC30</f>
        <v>0</v>
      </c>
      <c r="BH23" s="302">
        <f>'[2]PBF Run'!AD30</f>
        <v>0</v>
      </c>
      <c r="BI23" s="278">
        <f t="shared" si="9"/>
        <v>0</v>
      </c>
      <c r="BJ23" s="302">
        <f>'[2]PBF Run'!X30</f>
        <v>0</v>
      </c>
      <c r="BK23" s="302">
        <f>'[2]PBF Run'!AE30</f>
        <v>35442119</v>
      </c>
      <c r="BL23" s="282">
        <f t="shared" si="10"/>
        <v>0.98518542302733081</v>
      </c>
      <c r="BM23" s="302">
        <f>'[2]PBF Run'!AM30</f>
        <v>525060</v>
      </c>
      <c r="BN23" s="302">
        <f>'[2]PBF Run'!$AN30</f>
        <v>23394130</v>
      </c>
      <c r="BO23" s="302">
        <f>'[2]PBF Run'!$AO30</f>
        <v>0</v>
      </c>
      <c r="BP23" s="302">
        <f>'[2]PBF Run'!AC30</f>
        <v>0</v>
      </c>
      <c r="BQ23" s="278">
        <f t="shared" si="11"/>
        <v>23394130</v>
      </c>
      <c r="BR23" s="302">
        <f>'[2]PBF Run'!AJ30</f>
        <v>4717818</v>
      </c>
      <c r="BS23" s="302">
        <f>'[2]PBF Run'!AI30</f>
        <v>1195429</v>
      </c>
      <c r="BT23" s="302">
        <f>'[2]PBF Run'!$AN30</f>
        <v>23394130</v>
      </c>
      <c r="BU23" s="302">
        <f>'[2]PBF Run'!$AN30</f>
        <v>23394130</v>
      </c>
      <c r="BV23" s="302">
        <f>'[2]PBF Run'!BI30</f>
        <v>0</v>
      </c>
      <c r="BW23" s="303">
        <f>'[2]PBF Run'!BH30</f>
        <v>0</v>
      </c>
      <c r="BX23" s="278">
        <f t="shared" si="30"/>
        <v>69532</v>
      </c>
      <c r="BY23" s="278">
        <f t="shared" si="12"/>
        <v>23394130</v>
      </c>
      <c r="BZ23" s="302">
        <f>'[2]As of 13-14 R1'!BP30</f>
        <v>0</v>
      </c>
      <c r="CA23" s="302">
        <f>'[2]As of 13-14 R1'!BQ30</f>
        <v>2001759</v>
      </c>
      <c r="CB23" s="302">
        <f>'[2]As of 13-14 R1'!BR30</f>
        <v>292208</v>
      </c>
      <c r="CC23" s="278">
        <f t="shared" si="13"/>
        <v>2293967</v>
      </c>
      <c r="CD23" s="301">
        <f>'[2]Growth Deficit'!$D$2</f>
        <v>0</v>
      </c>
      <c r="CE23" s="300">
        <f>IF($CS23="S",'[2]Foundation Grant'!C30,0)</f>
        <v>0</v>
      </c>
      <c r="CF23" s="300">
        <f>IF($CS23="S",'[2]Foundation Grant'!D30,0)</f>
        <v>0</v>
      </c>
      <c r="CG23" s="300">
        <f>IF($CS23="S",'[2]Foundation Grant'!E30,0)</f>
        <v>1</v>
      </c>
      <c r="CH23" s="300">
        <f>IF($CS23="S",'[2]Foundation Grant'!F30,0)</f>
        <v>1</v>
      </c>
      <c r="CI23" s="300">
        <f>IF($CS23="M",'[2]Foundation Grant'!C30,0)</f>
        <v>0</v>
      </c>
      <c r="CJ23" s="300">
        <f>IF($CS23="M",'[2]Foundation Grant'!D30,0)</f>
        <v>0</v>
      </c>
      <c r="CK23" s="300">
        <f>IF($CS23="M",'[2]Foundation Grant'!E30,0)</f>
        <v>0</v>
      </c>
      <c r="CL23" s="300">
        <f>IF($CS23="M",'[2]Foundation Grant'!F30,0)</f>
        <v>0</v>
      </c>
      <c r="CM23" s="300">
        <f>'[2]Foundation Grant'!G30</f>
        <v>0</v>
      </c>
      <c r="CN23" s="300">
        <f>'[2]Foundation Grant'!H30</f>
        <v>0</v>
      </c>
      <c r="CO23" s="300">
        <f>'[2]Foundation Grant'!I30</f>
        <v>0</v>
      </c>
      <c r="CP23" s="300">
        <f>'[2]Foundation Grant'!J30</f>
        <v>0</v>
      </c>
      <c r="CQ23" s="300">
        <f>'[2]Foundation Grant'!K30</f>
        <v>0</v>
      </c>
      <c r="CR23" s="299">
        <f>'[2]Foundation Grant'!L30</f>
        <v>0</v>
      </c>
      <c r="CS23" s="300" t="str">
        <f>'[2]Foundation Grant'!M30</f>
        <v>S</v>
      </c>
      <c r="CT23" s="300">
        <f>'[2]Foundation Grant'!N30</f>
        <v>3373694</v>
      </c>
      <c r="CU23" s="299">
        <f>'[2]Foundation Grant'!O30</f>
        <v>0</v>
      </c>
      <c r="CV23" s="299">
        <f>'[2]Foundation Grant'!P30</f>
        <v>0</v>
      </c>
      <c r="CW23" s="298">
        <f>'[2]Foundation Grant'!$C$1</f>
        <v>5622823</v>
      </c>
      <c r="CX23" s="298">
        <f>'[2]Foundation Grant'!$D$1</f>
        <v>4498258</v>
      </c>
      <c r="CY23" s="298">
        <f>'[2]Foundation Grant'!$E$1</f>
        <v>3373694</v>
      </c>
      <c r="CZ23" s="298">
        <f>'[2]Foundation Grant'!$C$2</f>
        <v>4498258</v>
      </c>
      <c r="DA23" s="298">
        <f>'[2]Foundation Grant'!$D$2</f>
        <v>3935976</v>
      </c>
      <c r="DB23" s="298">
        <f>'[2]Foundation Grant'!$E$2</f>
        <v>3373694</v>
      </c>
      <c r="DC23" s="298">
        <f>'[2]Foundation Grant'!$G$1</f>
        <v>1124565</v>
      </c>
      <c r="DD23" s="298">
        <f>'[2]Foundation Grant'!$H$1</f>
        <v>843423</v>
      </c>
      <c r="DE23" s="298">
        <f>'[2]Foundation Grant'!$I$1</f>
        <v>562282</v>
      </c>
      <c r="DF23" s="298">
        <f>'[2]Foundation Grant'!$J$1</f>
        <v>281141</v>
      </c>
      <c r="DG23" s="298">
        <f>'[2]Foundation Grant'!$K$1</f>
        <v>140571</v>
      </c>
      <c r="DH23" s="298">
        <f>'[2]Foundation Grant'!$O$1</f>
        <v>562282</v>
      </c>
      <c r="DI23" s="298">
        <f>'[2]Foundation Grant'!$P$1</f>
        <v>1124565</v>
      </c>
      <c r="DJ23" s="297">
        <f>'[2]basic allocation'!$C$10</f>
        <v>18749</v>
      </c>
      <c r="DK23" s="297">
        <f>'[2]basic allocation'!$D$10</f>
        <v>9375</v>
      </c>
      <c r="DL23" s="297">
        <f>'[2]basic allocation'!$E$10</f>
        <v>9375</v>
      </c>
      <c r="DM23" s="297">
        <f>'[2]basic allocation'!$I$10</f>
        <v>938</v>
      </c>
      <c r="DN23" s="297">
        <f>'[2]basic allocation'!$J$10</f>
        <v>703</v>
      </c>
      <c r="DO23" s="297">
        <f>'[2]basic allocation'!$K$10</f>
        <v>469</v>
      </c>
      <c r="DP23" s="297">
        <f>'[2]basic allocation'!$L$10</f>
        <v>234</v>
      </c>
      <c r="DQ23" s="297">
        <f>'[2]basic allocation'!$M$10</f>
        <v>100</v>
      </c>
      <c r="DR23" s="296">
        <f>'[2]FTES Adjustment'!DQ30</f>
        <v>3.1000000490166713E-5</v>
      </c>
      <c r="DS23" s="296">
        <f>'[2]FTES Adjustment'!DR30</f>
        <v>0</v>
      </c>
      <c r="DT23" s="296">
        <f>'[2]FTES Adjustment'!DS30</f>
        <v>0</v>
      </c>
      <c r="DU23" s="277">
        <f t="shared" si="14"/>
        <v>0</v>
      </c>
      <c r="DV23" s="276">
        <f t="shared" si="15"/>
        <v>238.319954</v>
      </c>
      <c r="DW23" s="276">
        <f t="shared" si="16"/>
        <v>14.42</v>
      </c>
      <c r="DX23" s="276">
        <f t="shared" si="17"/>
        <v>-4.3100000000000005</v>
      </c>
      <c r="DY23" s="276">
        <f t="shared" si="18"/>
        <v>248.43</v>
      </c>
      <c r="DZ23" s="295">
        <f>ROUND([2]FTES!$D30,3)</f>
        <v>6579.49</v>
      </c>
      <c r="EA23" s="295">
        <f>ROUND([2]FTES!$M30,3)</f>
        <v>33.299999999999997</v>
      </c>
      <c r="EB23" s="295">
        <f>ROUND([2]FTES!$V30,3)</f>
        <v>12.21</v>
      </c>
      <c r="EC23" s="276">
        <f t="shared" si="19"/>
        <v>6625</v>
      </c>
      <c r="ED23" s="133">
        <v>0</v>
      </c>
      <c r="EE23" s="294">
        <f>'[2]10-11 WkLd126M'!$E28</f>
        <v>798228</v>
      </c>
      <c r="EF23" s="295">
        <f>'[2]FTES Adjustment'!CG30</f>
        <v>238.319954</v>
      </c>
      <c r="EG23" s="295">
        <f>'[2]FTES Adjustment'!CH30</f>
        <v>14.42</v>
      </c>
      <c r="EH23" s="295">
        <f>'[2]FTES Adjustment'!CI30</f>
        <v>-4.3100000000000005</v>
      </c>
      <c r="EI23" s="276">
        <f t="shared" si="20"/>
        <v>248.42995399999998</v>
      </c>
      <c r="EJ23" s="294">
        <f>'[2]PBF Run'!$AT30</f>
        <v>0</v>
      </c>
      <c r="EK23" s="294">
        <f>'[2]11-12 Workload Reduction'!H30</f>
        <v>32308153</v>
      </c>
      <c r="EL23" s="294">
        <f>'[2]13-14 $86M Workload Restore'!AI28</f>
        <v>0</v>
      </c>
      <c r="EM23" s="294">
        <f>'[2]13-14 $86M Workload Restore'!AC28</f>
        <v>332117</v>
      </c>
      <c r="EN23" s="294">
        <f>'[2]13-14 deferrals, growth, EPA 1'!BJ30</f>
        <v>5251171</v>
      </c>
      <c r="EO23" s="293">
        <f t="shared" si="21"/>
        <v>34917059</v>
      </c>
      <c r="EP23" s="292">
        <v>0</v>
      </c>
      <c r="EQ23" s="292">
        <v>0</v>
      </c>
      <c r="ER23" s="292">
        <v>0</v>
      </c>
      <c r="ES23" s="16">
        <f t="shared" si="22"/>
        <v>0</v>
      </c>
    </row>
    <row r="24" spans="1:149">
      <c r="A24" s="291" t="s">
        <v>257</v>
      </c>
      <c r="B24" s="290" t="str">
        <f t="shared" si="23"/>
        <v>P2</v>
      </c>
      <c r="C24" s="285" t="s">
        <v>357</v>
      </c>
      <c r="D24" s="289" t="s">
        <v>356</v>
      </c>
      <c r="E24" s="288">
        <f>ROUND('[2]PBF Run'!N31,6)</f>
        <v>4636.4928529999997</v>
      </c>
      <c r="F24" s="285">
        <f t="shared" si="24"/>
        <v>4675.9030433300004</v>
      </c>
      <c r="G24" s="285">
        <f t="shared" si="25"/>
        <v>2788.0536374600001</v>
      </c>
      <c r="H24" s="285">
        <f t="shared" si="26"/>
        <v>2811.7520933800001</v>
      </c>
      <c r="I24" s="285">
        <f t="shared" si="27"/>
        <v>3282.8110613200001</v>
      </c>
      <c r="J24" s="285">
        <f t="shared" si="28"/>
        <v>3310.71495534</v>
      </c>
      <c r="K24" s="308">
        <f>ROUND([2]FTES!C31,3)</f>
        <v>18897.632000000001</v>
      </c>
      <c r="L24" s="308">
        <f>ROUND([2]FTES!F31,3)</f>
        <v>0</v>
      </c>
      <c r="M24" s="308">
        <f>ROUND('[2]Growth Deficit'!AG31,3)</f>
        <v>0</v>
      </c>
      <c r="N24" s="308">
        <f>ROUND([2]FTES!I31,3)</f>
        <v>0</v>
      </c>
      <c r="O24" s="308">
        <f>ROUND([2]FTES!E31,3)</f>
        <v>19123.07</v>
      </c>
      <c r="P24" s="308">
        <f>ROUND([2]FTES!L31,3)</f>
        <v>41.48</v>
      </c>
      <c r="Q24" s="308">
        <f>ROUND([2]FTES!O31,3)</f>
        <v>0</v>
      </c>
      <c r="R24" s="308">
        <f>ROUND('[2]Growth Deficit'!$AH31,3)</f>
        <v>0</v>
      </c>
      <c r="S24" s="308">
        <f>ROUND([2]FTES!R31,3)</f>
        <v>0</v>
      </c>
      <c r="T24" s="308">
        <f>ROUND([2]FTES!N31,3)</f>
        <v>51.88</v>
      </c>
      <c r="U24" s="308">
        <f>ROUND([2]FTES!U31,3)</f>
        <v>0</v>
      </c>
      <c r="V24" s="308">
        <f>ROUND([2]FTES!X31,3)</f>
        <v>0</v>
      </c>
      <c r="W24" s="308">
        <f>ROUND('[2]Growth Deficit'!$AI31,3)</f>
        <v>0</v>
      </c>
      <c r="X24" s="308">
        <f>ROUND([2]FTES!AA31,3)</f>
        <v>0</v>
      </c>
      <c r="Y24" s="308">
        <f>ROUND([2]FTES!W31,3)</f>
        <v>0</v>
      </c>
      <c r="Z24" s="307">
        <f>'[2]FTES Adjustment'!CW31</f>
        <v>19123.070015000001</v>
      </c>
      <c r="AA24" s="307">
        <f>'[2]FTES Adjustment'!CX31</f>
        <v>51.879999999999995</v>
      </c>
      <c r="AB24" s="307">
        <f>'[2]FTES Adjustment'!CY31</f>
        <v>0</v>
      </c>
      <c r="AC24" s="275">
        <f t="shared" si="0"/>
        <v>18939.112000000001</v>
      </c>
      <c r="AD24" s="275">
        <f t="shared" si="1"/>
        <v>0</v>
      </c>
      <c r="AE24" s="275">
        <f t="shared" si="2"/>
        <v>0</v>
      </c>
      <c r="AF24" s="275">
        <f t="shared" si="3"/>
        <v>0</v>
      </c>
      <c r="AG24" s="275">
        <f t="shared" si="4"/>
        <v>19174.95</v>
      </c>
      <c r="AH24" s="275">
        <f t="shared" si="5"/>
        <v>19174.95</v>
      </c>
      <c r="AI24" s="302">
        <f>'[2]PBF Run'!F31</f>
        <v>14338200</v>
      </c>
      <c r="AJ24" s="302">
        <f>'[2]PBF Run'!H31+'[2]PBF Run'!I31+'[2]PBF Run'!J31+'[2]PBF Run'!L31</f>
        <v>87734385</v>
      </c>
      <c r="AK24" s="306">
        <f>'[2]PBF Run'!J31 + '[2]PBF Run'!$L31</f>
        <v>87618737</v>
      </c>
      <c r="AL24" s="302">
        <f>'[2]PBF Run'!H31</f>
        <v>115648</v>
      </c>
      <c r="AM24" s="302">
        <f>'[2]PBF Run'!I31</f>
        <v>0</v>
      </c>
      <c r="AN24" s="305">
        <f>'[2]Restoration and Growth'!BM31</f>
        <v>0</v>
      </c>
      <c r="AO24" s="278">
        <f t="shared" si="6"/>
        <v>102072585</v>
      </c>
      <c r="AP24" s="285" t="str">
        <f t="shared" si="29"/>
        <v>0.85%</v>
      </c>
      <c r="AQ24" s="302">
        <f>'[2]PBF Run'!O31</f>
        <v>867617</v>
      </c>
      <c r="AR24" s="278">
        <f t="shared" si="7"/>
        <v>102940202</v>
      </c>
      <c r="AS24" s="302">
        <f>'[2]PBF Run'!$AD31</f>
        <v>0</v>
      </c>
      <c r="AT24" s="302">
        <f>'[2]PBF Run'!$T31</f>
        <v>0</v>
      </c>
      <c r="AU24" s="278">
        <f t="shared" si="8"/>
        <v>2006513</v>
      </c>
      <c r="AV24" s="304">
        <f>'[2]Restoration and Growth'!BT31</f>
        <v>0</v>
      </c>
      <c r="AW24" s="304" t="str">
        <f>'[2]Restoration and Growth'!AP31</f>
        <v>N</v>
      </c>
      <c r="AX24" s="302">
        <f>'[2]Restoration and Growth'!CV31</f>
        <v>0</v>
      </c>
      <c r="AY24" s="302">
        <f>'[2]Growth Deficit'!$AO31</f>
        <v>0</v>
      </c>
      <c r="AZ24" s="302">
        <f>'[2]Growth Deficit'!AO31</f>
        <v>0</v>
      </c>
      <c r="BA24" s="302">
        <f>'[2]Growth Deficit'!AL31</f>
        <v>0</v>
      </c>
      <c r="BB24" s="302">
        <f>'[2]Growth Deficit'!AM31</f>
        <v>0</v>
      </c>
      <c r="BC24" s="302">
        <f>'[2]Growth Deficit'!AN31</f>
        <v>0</v>
      </c>
      <c r="BD24" s="302">
        <f>'[2]Growth Deficit'!AO31</f>
        <v>0</v>
      </c>
      <c r="BE24" s="302">
        <f>'[2]PBF Run'!AA31</f>
        <v>0</v>
      </c>
      <c r="BF24" s="302">
        <f>'[2]PBF Run'!AB31</f>
        <v>0</v>
      </c>
      <c r="BG24" s="302">
        <f>'[2]PBF Run'!AC31</f>
        <v>0</v>
      </c>
      <c r="BH24" s="302">
        <f>'[2]PBF Run'!AD31</f>
        <v>0</v>
      </c>
      <c r="BI24" s="278">
        <f t="shared" si="9"/>
        <v>0</v>
      </c>
      <c r="BJ24" s="302">
        <f>'[2]PBF Run'!X31</f>
        <v>0</v>
      </c>
      <c r="BK24" s="302">
        <f>'[2]PBF Run'!AE31</f>
        <v>104023569</v>
      </c>
      <c r="BL24" s="282">
        <f t="shared" si="10"/>
        <v>0.98518541504762247</v>
      </c>
      <c r="BM24" s="302">
        <f>'[2]PBF Run'!AM31</f>
        <v>1541066</v>
      </c>
      <c r="BN24" s="302">
        <f>'[2]PBF Run'!$AN31</f>
        <v>34013834</v>
      </c>
      <c r="BO24" s="302">
        <f>'[2]PBF Run'!$AO31</f>
        <v>0</v>
      </c>
      <c r="BP24" s="302">
        <f>'[2]PBF Run'!AC31</f>
        <v>0</v>
      </c>
      <c r="BQ24" s="278">
        <f t="shared" si="11"/>
        <v>34013834</v>
      </c>
      <c r="BR24" s="302">
        <f>'[2]PBF Run'!AJ31</f>
        <v>46948284</v>
      </c>
      <c r="BS24" s="302">
        <f>'[2]PBF Run'!AI31</f>
        <v>5358899</v>
      </c>
      <c r="BT24" s="302">
        <f>'[2]PBF Run'!$AN31</f>
        <v>34013834</v>
      </c>
      <c r="BU24" s="302">
        <f>'[2]PBF Run'!$AN31</f>
        <v>34013834</v>
      </c>
      <c r="BV24" s="302">
        <f>'[2]PBF Run'!BI31</f>
        <v>0</v>
      </c>
      <c r="BW24" s="303">
        <f>'[2]PBF Run'!BH31</f>
        <v>0</v>
      </c>
      <c r="BX24" s="278">
        <f t="shared" si="30"/>
        <v>69532</v>
      </c>
      <c r="BY24" s="278">
        <f t="shared" si="12"/>
        <v>34013834</v>
      </c>
      <c r="BZ24" s="302">
        <f>'[2]As of 13-14 R1'!BP31</f>
        <v>0</v>
      </c>
      <c r="CA24" s="302">
        <f>'[2]As of 13-14 R1'!BQ31</f>
        <v>0</v>
      </c>
      <c r="CB24" s="302">
        <f>'[2]As of 13-14 R1'!BR31</f>
        <v>0</v>
      </c>
      <c r="CC24" s="278">
        <f t="shared" si="13"/>
        <v>0</v>
      </c>
      <c r="CD24" s="301">
        <f>'[2]Growth Deficit'!$D$2</f>
        <v>0</v>
      </c>
      <c r="CE24" s="300">
        <f>IF($CS24="S",'[2]Foundation Grant'!C31,0)</f>
        <v>0</v>
      </c>
      <c r="CF24" s="300">
        <f>IF($CS24="S",'[2]Foundation Grant'!D31,0)</f>
        <v>0</v>
      </c>
      <c r="CG24" s="300">
        <f>IF($CS24="S",'[2]Foundation Grant'!E31,0)</f>
        <v>0</v>
      </c>
      <c r="CH24" s="300">
        <f>IF($CS24="S",'[2]Foundation Grant'!F31,0)</f>
        <v>0</v>
      </c>
      <c r="CI24" s="300">
        <f>IF($CS24="M",'[2]Foundation Grant'!C31,0)</f>
        <v>0</v>
      </c>
      <c r="CJ24" s="300">
        <f>IF($CS24="M",'[2]Foundation Grant'!D31,0)</f>
        <v>1</v>
      </c>
      <c r="CK24" s="300">
        <f>IF($CS24="M",'[2]Foundation Grant'!E31,0)</f>
        <v>2</v>
      </c>
      <c r="CL24" s="300">
        <f>IF($CS24="M",'[2]Foundation Grant'!F31,0)</f>
        <v>3</v>
      </c>
      <c r="CM24" s="300">
        <f>'[2]Foundation Grant'!G31</f>
        <v>1</v>
      </c>
      <c r="CN24" s="300">
        <f>'[2]Foundation Grant'!H31</f>
        <v>0</v>
      </c>
      <c r="CO24" s="300">
        <f>'[2]Foundation Grant'!I31</f>
        <v>0</v>
      </c>
      <c r="CP24" s="300">
        <f>'[2]Foundation Grant'!J31</f>
        <v>1</v>
      </c>
      <c r="CQ24" s="300">
        <f>'[2]Foundation Grant'!K31</f>
        <v>0</v>
      </c>
      <c r="CR24" s="299">
        <f>'[2]Foundation Grant'!L31</f>
        <v>2</v>
      </c>
      <c r="CS24" s="300" t="str">
        <f>'[2]Foundation Grant'!M31</f>
        <v>M</v>
      </c>
      <c r="CT24" s="300">
        <f>'[2]Foundation Grant'!N31</f>
        <v>14338200</v>
      </c>
      <c r="CU24" s="299">
        <f>'[2]Foundation Grant'!O31</f>
        <v>0</v>
      </c>
      <c r="CV24" s="299">
        <f>'[2]Foundation Grant'!P31</f>
        <v>2</v>
      </c>
      <c r="CW24" s="298">
        <f>'[2]Foundation Grant'!$C$1</f>
        <v>5622823</v>
      </c>
      <c r="CX24" s="298">
        <f>'[2]Foundation Grant'!$D$1</f>
        <v>4498258</v>
      </c>
      <c r="CY24" s="298">
        <f>'[2]Foundation Grant'!$E$1</f>
        <v>3373694</v>
      </c>
      <c r="CZ24" s="298">
        <f>'[2]Foundation Grant'!$C$2</f>
        <v>4498258</v>
      </c>
      <c r="DA24" s="298">
        <f>'[2]Foundation Grant'!$D$2</f>
        <v>3935976</v>
      </c>
      <c r="DB24" s="298">
        <f>'[2]Foundation Grant'!$E$2</f>
        <v>3373694</v>
      </c>
      <c r="DC24" s="298">
        <f>'[2]Foundation Grant'!$G$1</f>
        <v>1124565</v>
      </c>
      <c r="DD24" s="298">
        <f>'[2]Foundation Grant'!$H$1</f>
        <v>843423</v>
      </c>
      <c r="DE24" s="298">
        <f>'[2]Foundation Grant'!$I$1</f>
        <v>562282</v>
      </c>
      <c r="DF24" s="298">
        <f>'[2]Foundation Grant'!$J$1</f>
        <v>281141</v>
      </c>
      <c r="DG24" s="298">
        <f>'[2]Foundation Grant'!$K$1</f>
        <v>140571</v>
      </c>
      <c r="DH24" s="298">
        <f>'[2]Foundation Grant'!$O$1</f>
        <v>562282</v>
      </c>
      <c r="DI24" s="298">
        <f>'[2]Foundation Grant'!$P$1</f>
        <v>1124565</v>
      </c>
      <c r="DJ24" s="297">
        <f>'[2]basic allocation'!$C$10</f>
        <v>18749</v>
      </c>
      <c r="DK24" s="297">
        <f>'[2]basic allocation'!$D$10</f>
        <v>9375</v>
      </c>
      <c r="DL24" s="297">
        <f>'[2]basic allocation'!$E$10</f>
        <v>9375</v>
      </c>
      <c r="DM24" s="297">
        <f>'[2]basic allocation'!$I$10</f>
        <v>938</v>
      </c>
      <c r="DN24" s="297">
        <f>'[2]basic allocation'!$J$10</f>
        <v>703</v>
      </c>
      <c r="DO24" s="297">
        <f>'[2]basic allocation'!$K$10</f>
        <v>469</v>
      </c>
      <c r="DP24" s="297">
        <f>'[2]basic allocation'!$L$10</f>
        <v>234</v>
      </c>
      <c r="DQ24" s="297">
        <f>'[2]basic allocation'!$M$10</f>
        <v>100</v>
      </c>
      <c r="DR24" s="296">
        <f>'[2]FTES Adjustment'!DQ31</f>
        <v>-1.5000001440057531E-5</v>
      </c>
      <c r="DS24" s="296">
        <f>'[2]FTES Adjustment'!DR31</f>
        <v>0</v>
      </c>
      <c r="DT24" s="296">
        <f>'[2]FTES Adjustment'!DS31</f>
        <v>0</v>
      </c>
      <c r="DU24" s="277">
        <f t="shared" si="14"/>
        <v>0</v>
      </c>
      <c r="DV24" s="276">
        <f t="shared" si="15"/>
        <v>225.437737</v>
      </c>
      <c r="DW24" s="276">
        <f t="shared" si="16"/>
        <v>10.4</v>
      </c>
      <c r="DX24" s="276">
        <f t="shared" si="17"/>
        <v>0</v>
      </c>
      <c r="DY24" s="276">
        <f t="shared" si="18"/>
        <v>235.83799999999999</v>
      </c>
      <c r="DZ24" s="295">
        <f>ROUND([2]FTES!$D31,3)</f>
        <v>18897.632000000001</v>
      </c>
      <c r="EA24" s="295">
        <f>ROUND([2]FTES!$M31,3)</f>
        <v>41.48</v>
      </c>
      <c r="EB24" s="295">
        <f>ROUND([2]FTES!$V31,3)</f>
        <v>0</v>
      </c>
      <c r="EC24" s="276">
        <f t="shared" si="19"/>
        <v>18939.112000000001</v>
      </c>
      <c r="ED24" s="133">
        <v>0</v>
      </c>
      <c r="EE24" s="294">
        <f>'[2]10-11 WkLd126M'!$E29</f>
        <v>2331710</v>
      </c>
      <c r="EF24" s="295">
        <f>'[2]FTES Adjustment'!CG31</f>
        <v>225.437737</v>
      </c>
      <c r="EG24" s="295">
        <f>'[2]FTES Adjustment'!CH31</f>
        <v>10.4</v>
      </c>
      <c r="EH24" s="295">
        <f>'[2]FTES Adjustment'!CI31</f>
        <v>0</v>
      </c>
      <c r="EI24" s="276">
        <f t="shared" si="20"/>
        <v>235.837737</v>
      </c>
      <c r="EJ24" s="294">
        <f>'[2]PBF Run'!$AT31</f>
        <v>0</v>
      </c>
      <c r="EK24" s="294">
        <f>'[2]11-12 Workload Reduction'!H31</f>
        <v>89961582</v>
      </c>
      <c r="EL24" s="294">
        <f>'[2]13-14 $86M Workload Restore'!AI29</f>
        <v>2006513</v>
      </c>
      <c r="EM24" s="294">
        <f>'[2]13-14 $86M Workload Restore'!AC29</f>
        <v>0</v>
      </c>
      <c r="EN24" s="294">
        <f>'[2]13-14 deferrals, growth, EPA 1'!BJ31</f>
        <v>15209152</v>
      </c>
      <c r="EO24" s="293">
        <f t="shared" si="21"/>
        <v>102482503</v>
      </c>
      <c r="EP24" s="292">
        <v>0</v>
      </c>
      <c r="EQ24" s="292">
        <v>0</v>
      </c>
      <c r="ER24" s="292">
        <v>0</v>
      </c>
      <c r="ES24" s="16">
        <f t="shared" si="22"/>
        <v>0</v>
      </c>
    </row>
    <row r="25" spans="1:149">
      <c r="A25" s="291" t="s">
        <v>257</v>
      </c>
      <c r="B25" s="290" t="str">
        <f t="shared" si="23"/>
        <v>P2</v>
      </c>
      <c r="C25" s="285" t="s">
        <v>355</v>
      </c>
      <c r="D25" s="289" t="s">
        <v>354</v>
      </c>
      <c r="E25" s="288">
        <f>ROUND('[2]PBF Run'!N32,6)</f>
        <v>4767.695455</v>
      </c>
      <c r="F25" s="285">
        <f t="shared" si="24"/>
        <v>4675.9030433300004</v>
      </c>
      <c r="G25" s="285">
        <f t="shared" si="25"/>
        <v>2788.0536374600001</v>
      </c>
      <c r="H25" s="285">
        <f t="shared" si="26"/>
        <v>2811.7520933800001</v>
      </c>
      <c r="I25" s="285">
        <f t="shared" si="27"/>
        <v>3282.8110613200001</v>
      </c>
      <c r="J25" s="285">
        <f t="shared" si="28"/>
        <v>3310.71495534</v>
      </c>
      <c r="K25" s="308">
        <f>ROUND([2]FTES!C32,3)</f>
        <v>1574.02</v>
      </c>
      <c r="L25" s="308">
        <f>ROUND([2]FTES!F32,3)</f>
        <v>96.085999999999999</v>
      </c>
      <c r="M25" s="308">
        <f>ROUND('[2]Growth Deficit'!AG32,3)</f>
        <v>0</v>
      </c>
      <c r="N25" s="308">
        <f>ROUND([2]FTES!I32,3)</f>
        <v>0</v>
      </c>
      <c r="O25" s="308">
        <f>ROUND([2]FTES!E32,3)</f>
        <v>1677.97</v>
      </c>
      <c r="P25" s="308">
        <f>ROUND([2]FTES!L32,3)</f>
        <v>61.67</v>
      </c>
      <c r="Q25" s="308">
        <f>ROUND([2]FTES!O32,3)</f>
        <v>0</v>
      </c>
      <c r="R25" s="308">
        <f>ROUND('[2]Growth Deficit'!$AH32,3)</f>
        <v>0</v>
      </c>
      <c r="S25" s="308">
        <f>ROUND([2]FTES!R32,3)</f>
        <v>0</v>
      </c>
      <c r="T25" s="308">
        <f>ROUND([2]FTES!N32,3)</f>
        <v>57.93</v>
      </c>
      <c r="U25" s="308">
        <f>ROUND([2]FTES!U32,3)</f>
        <v>32.979999999999997</v>
      </c>
      <c r="V25" s="308">
        <f>ROUND([2]FTES!X32,3)</f>
        <v>0</v>
      </c>
      <c r="W25" s="308">
        <f>ROUND('[2]Growth Deficit'!$AI32,3)</f>
        <v>0</v>
      </c>
      <c r="X25" s="308">
        <f>ROUND([2]FTES!AA32,3)</f>
        <v>0</v>
      </c>
      <c r="Y25" s="308">
        <f>ROUND([2]FTES!W32,3)</f>
        <v>25.05</v>
      </c>
      <c r="Z25" s="307">
        <f>'[2]FTES Adjustment'!CW32</f>
        <v>1677.9699740000001</v>
      </c>
      <c r="AA25" s="307">
        <f>'[2]FTES Adjustment'!CX32</f>
        <v>57.930000000000007</v>
      </c>
      <c r="AB25" s="307">
        <f>'[2]FTES Adjustment'!CY32</f>
        <v>25.05</v>
      </c>
      <c r="AC25" s="275">
        <f t="shared" si="0"/>
        <v>1668.67</v>
      </c>
      <c r="AD25" s="275">
        <f t="shared" si="1"/>
        <v>96.085999999999999</v>
      </c>
      <c r="AE25" s="275">
        <f t="shared" si="2"/>
        <v>0</v>
      </c>
      <c r="AF25" s="275">
        <f t="shared" si="3"/>
        <v>0</v>
      </c>
      <c r="AG25" s="275">
        <f t="shared" si="4"/>
        <v>1760.95</v>
      </c>
      <c r="AH25" s="275">
        <f t="shared" si="5"/>
        <v>1760.95</v>
      </c>
      <c r="AI25" s="302">
        <f>'[2]PBF Run'!F32</f>
        <v>3935976</v>
      </c>
      <c r="AJ25" s="302">
        <f>'[2]PBF Run'!H32+'[2]PBF Run'!I32+'[2]PBF Run'!J32+'[2]PBF Run'!L32</f>
        <v>7784654</v>
      </c>
      <c r="AK25" s="306">
        <f>'[2]PBF Run'!J32 + '[2]PBF Run'!$L32</f>
        <v>7504448</v>
      </c>
      <c r="AL25" s="302">
        <f>'[2]PBF Run'!H32</f>
        <v>171939</v>
      </c>
      <c r="AM25" s="302">
        <f>'[2]PBF Run'!I32</f>
        <v>108267</v>
      </c>
      <c r="AN25" s="305">
        <f>'[2]Restoration and Growth'!BM32</f>
        <v>0</v>
      </c>
      <c r="AO25" s="278">
        <f t="shared" si="6"/>
        <v>11720630</v>
      </c>
      <c r="AP25" s="285" t="str">
        <f t="shared" si="29"/>
        <v>0.85%</v>
      </c>
      <c r="AQ25" s="302">
        <f>'[2]PBF Run'!O32</f>
        <v>99625</v>
      </c>
      <c r="AR25" s="278">
        <f t="shared" si="7"/>
        <v>11820255</v>
      </c>
      <c r="AS25" s="302">
        <f>'[2]PBF Run'!$AD32</f>
        <v>0</v>
      </c>
      <c r="AT25" s="302">
        <f>'[2]PBF Run'!$T32</f>
        <v>449290</v>
      </c>
      <c r="AU25" s="278">
        <f t="shared" si="8"/>
        <v>449290</v>
      </c>
      <c r="AV25" s="304">
        <f>'[2]Restoration and Growth'!BT32</f>
        <v>0</v>
      </c>
      <c r="AW25" s="304" t="str">
        <f>'[2]Restoration and Growth'!AP32</f>
        <v>N</v>
      </c>
      <c r="AX25" s="302">
        <f>'[2]Restoration and Growth'!CV32</f>
        <v>0</v>
      </c>
      <c r="AY25" s="302">
        <f>'[2]Growth Deficit'!$AO32</f>
        <v>0</v>
      </c>
      <c r="AZ25" s="302">
        <f>'[2]Growth Deficit'!AO32</f>
        <v>0</v>
      </c>
      <c r="BA25" s="302">
        <f>'[2]Growth Deficit'!AL32</f>
        <v>0</v>
      </c>
      <c r="BB25" s="302">
        <f>'[2]Growth Deficit'!AM32</f>
        <v>0</v>
      </c>
      <c r="BC25" s="302">
        <f>'[2]Growth Deficit'!AN32</f>
        <v>0</v>
      </c>
      <c r="BD25" s="302">
        <f>'[2]Growth Deficit'!AO32</f>
        <v>0</v>
      </c>
      <c r="BE25" s="302">
        <f>'[2]PBF Run'!AA32</f>
        <v>0</v>
      </c>
      <c r="BF25" s="302">
        <f>'[2]PBF Run'!AB32</f>
        <v>0</v>
      </c>
      <c r="BG25" s="302">
        <f>'[2]PBF Run'!AC32</f>
        <v>0</v>
      </c>
      <c r="BH25" s="302">
        <f>'[2]PBF Run'!AD32</f>
        <v>0</v>
      </c>
      <c r="BI25" s="278">
        <f t="shared" si="9"/>
        <v>0</v>
      </c>
      <c r="BJ25" s="302">
        <f>'[2]PBF Run'!X32</f>
        <v>0</v>
      </c>
      <c r="BK25" s="302">
        <f>'[2]PBF Run'!AE32</f>
        <v>12269545</v>
      </c>
      <c r="BL25" s="282">
        <f t="shared" si="10"/>
        <v>0.98518543271164494</v>
      </c>
      <c r="BM25" s="302">
        <f>'[2]PBF Run'!AM32</f>
        <v>181768</v>
      </c>
      <c r="BN25" s="302">
        <f>'[2]PBF Run'!$AN32</f>
        <v>5672573</v>
      </c>
      <c r="BO25" s="302">
        <f>'[2]PBF Run'!$AO32</f>
        <v>0</v>
      </c>
      <c r="BP25" s="302">
        <f>'[2]PBF Run'!AC32</f>
        <v>0</v>
      </c>
      <c r="BQ25" s="278">
        <f t="shared" si="11"/>
        <v>5672573</v>
      </c>
      <c r="BR25" s="302">
        <f>'[2]PBF Run'!AJ32</f>
        <v>3768586</v>
      </c>
      <c r="BS25" s="302">
        <f>'[2]PBF Run'!AI32</f>
        <v>761590</v>
      </c>
      <c r="BT25" s="302">
        <f>'[2]PBF Run'!$AN32</f>
        <v>5672573</v>
      </c>
      <c r="BU25" s="302">
        <f>'[2]PBF Run'!$AN32</f>
        <v>5672573</v>
      </c>
      <c r="BV25" s="302">
        <f>'[2]PBF Run'!BI32</f>
        <v>0</v>
      </c>
      <c r="BW25" s="303">
        <f>'[2]PBF Run'!BH32</f>
        <v>0</v>
      </c>
      <c r="BX25" s="278">
        <f t="shared" si="30"/>
        <v>69532</v>
      </c>
      <c r="BY25" s="278">
        <f t="shared" si="12"/>
        <v>5672573</v>
      </c>
      <c r="BZ25" s="302">
        <f>'[2]As of 13-14 R1'!BP32</f>
        <v>0</v>
      </c>
      <c r="CA25" s="302">
        <f>'[2]As of 13-14 R1'!BQ32</f>
        <v>11289</v>
      </c>
      <c r="CB25" s="302">
        <f>'[2]As of 13-14 R1'!BR32</f>
        <v>1928032</v>
      </c>
      <c r="CC25" s="278">
        <f t="shared" si="13"/>
        <v>1939321</v>
      </c>
      <c r="CD25" s="301">
        <f>'[2]Growth Deficit'!$D$2</f>
        <v>0</v>
      </c>
      <c r="CE25" s="300">
        <f>IF($CS25="S",'[2]Foundation Grant'!C32,0)</f>
        <v>0</v>
      </c>
      <c r="CF25" s="300">
        <f>IF($CS25="S",'[2]Foundation Grant'!D32,0)</f>
        <v>0</v>
      </c>
      <c r="CG25" s="300">
        <f>IF($CS25="S",'[2]Foundation Grant'!E32,0)</f>
        <v>1</v>
      </c>
      <c r="CH25" s="300">
        <f>IF($CS25="S",'[2]Foundation Grant'!F32,0)</f>
        <v>1</v>
      </c>
      <c r="CI25" s="300">
        <f>IF($CS25="M",'[2]Foundation Grant'!C32,0)</f>
        <v>0</v>
      </c>
      <c r="CJ25" s="300">
        <f>IF($CS25="M",'[2]Foundation Grant'!D32,0)</f>
        <v>0</v>
      </c>
      <c r="CK25" s="300">
        <f>IF($CS25="M",'[2]Foundation Grant'!E32,0)</f>
        <v>0</v>
      </c>
      <c r="CL25" s="300">
        <f>IF($CS25="M",'[2]Foundation Grant'!F32,0)</f>
        <v>0</v>
      </c>
      <c r="CM25" s="300">
        <f>'[2]Foundation Grant'!G32</f>
        <v>0</v>
      </c>
      <c r="CN25" s="300">
        <f>'[2]Foundation Grant'!H32</f>
        <v>0</v>
      </c>
      <c r="CO25" s="300">
        <f>'[2]Foundation Grant'!I32</f>
        <v>0</v>
      </c>
      <c r="CP25" s="300">
        <f>'[2]Foundation Grant'!J32</f>
        <v>0</v>
      </c>
      <c r="CQ25" s="300">
        <f>'[2]Foundation Grant'!K32</f>
        <v>0</v>
      </c>
      <c r="CR25" s="299">
        <f>'[2]Foundation Grant'!L32</f>
        <v>0</v>
      </c>
      <c r="CS25" s="300" t="str">
        <f>'[2]Foundation Grant'!M32</f>
        <v>S</v>
      </c>
      <c r="CT25" s="300">
        <f>'[2]Foundation Grant'!N32</f>
        <v>3935976</v>
      </c>
      <c r="CU25" s="299">
        <f>'[2]Foundation Grant'!O32</f>
        <v>1</v>
      </c>
      <c r="CV25" s="299">
        <f>'[2]Foundation Grant'!P32</f>
        <v>0</v>
      </c>
      <c r="CW25" s="298">
        <f>'[2]Foundation Grant'!$C$1</f>
        <v>5622823</v>
      </c>
      <c r="CX25" s="298">
        <f>'[2]Foundation Grant'!$D$1</f>
        <v>4498258</v>
      </c>
      <c r="CY25" s="298">
        <f>'[2]Foundation Grant'!$E$1</f>
        <v>3373694</v>
      </c>
      <c r="CZ25" s="298">
        <f>'[2]Foundation Grant'!$C$2</f>
        <v>4498258</v>
      </c>
      <c r="DA25" s="298">
        <f>'[2]Foundation Grant'!$D$2</f>
        <v>3935976</v>
      </c>
      <c r="DB25" s="298">
        <f>'[2]Foundation Grant'!$E$2</f>
        <v>3373694</v>
      </c>
      <c r="DC25" s="298">
        <f>'[2]Foundation Grant'!$G$1</f>
        <v>1124565</v>
      </c>
      <c r="DD25" s="298">
        <f>'[2]Foundation Grant'!$H$1</f>
        <v>843423</v>
      </c>
      <c r="DE25" s="298">
        <f>'[2]Foundation Grant'!$I$1</f>
        <v>562282</v>
      </c>
      <c r="DF25" s="298">
        <f>'[2]Foundation Grant'!$J$1</f>
        <v>281141</v>
      </c>
      <c r="DG25" s="298">
        <f>'[2]Foundation Grant'!$K$1</f>
        <v>140571</v>
      </c>
      <c r="DH25" s="298">
        <f>'[2]Foundation Grant'!$O$1</f>
        <v>562282</v>
      </c>
      <c r="DI25" s="298">
        <f>'[2]Foundation Grant'!$P$1</f>
        <v>1124565</v>
      </c>
      <c r="DJ25" s="297">
        <f>'[2]basic allocation'!$C$10</f>
        <v>18749</v>
      </c>
      <c r="DK25" s="297">
        <f>'[2]basic allocation'!$D$10</f>
        <v>9375</v>
      </c>
      <c r="DL25" s="297">
        <f>'[2]basic allocation'!$E$10</f>
        <v>9375</v>
      </c>
      <c r="DM25" s="297">
        <f>'[2]basic allocation'!$I$10</f>
        <v>938</v>
      </c>
      <c r="DN25" s="297">
        <f>'[2]basic allocation'!$J$10</f>
        <v>703</v>
      </c>
      <c r="DO25" s="297">
        <f>'[2]basic allocation'!$K$10</f>
        <v>469</v>
      </c>
      <c r="DP25" s="297">
        <f>'[2]basic allocation'!$L$10</f>
        <v>234</v>
      </c>
      <c r="DQ25" s="297">
        <f>'[2]basic allocation'!$M$10</f>
        <v>100</v>
      </c>
      <c r="DR25" s="296">
        <f>'[2]FTES Adjustment'!DQ32</f>
        <v>2.599999993435631E-5</v>
      </c>
      <c r="DS25" s="296">
        <f>'[2]FTES Adjustment'!DR32</f>
        <v>0</v>
      </c>
      <c r="DT25" s="296">
        <f>'[2]FTES Adjustment'!DS32</f>
        <v>0</v>
      </c>
      <c r="DU25" s="277">
        <f t="shared" si="14"/>
        <v>0</v>
      </c>
      <c r="DV25" s="276">
        <f t="shared" si="15"/>
        <v>7.8637220000000001</v>
      </c>
      <c r="DW25" s="276">
        <f t="shared" si="16"/>
        <v>-3.7398979999999966</v>
      </c>
      <c r="DX25" s="276">
        <f t="shared" si="17"/>
        <v>-7.9300049999999978</v>
      </c>
      <c r="DY25" s="276">
        <f t="shared" si="18"/>
        <v>-3.806</v>
      </c>
      <c r="DZ25" s="295">
        <f>ROUND([2]FTES!$D32,3)</f>
        <v>1574.02</v>
      </c>
      <c r="EA25" s="295">
        <f>ROUND([2]FTES!$M32,3)</f>
        <v>61.67</v>
      </c>
      <c r="EB25" s="295">
        <f>ROUND([2]FTES!$V32,3)</f>
        <v>32.979999999999997</v>
      </c>
      <c r="EC25" s="276">
        <f t="shared" si="19"/>
        <v>1668.67</v>
      </c>
      <c r="ED25" s="133">
        <v>0</v>
      </c>
      <c r="EE25" s="294">
        <f>'[2]10-11 WkLd126M'!$E30</f>
        <v>282228</v>
      </c>
      <c r="EF25" s="295">
        <f>'[2]FTES Adjustment'!CG32</f>
        <v>7.8637220000000001</v>
      </c>
      <c r="EG25" s="295">
        <f>'[2]FTES Adjustment'!CH32</f>
        <v>-3.7398979999999966</v>
      </c>
      <c r="EH25" s="295">
        <f>'[2]FTES Adjustment'!CI32</f>
        <v>-7.9300049999999978</v>
      </c>
      <c r="EI25" s="276">
        <f t="shared" si="20"/>
        <v>-3.8061809999999943</v>
      </c>
      <c r="EJ25" s="294">
        <f>'[2]PBF Run'!$AT32</f>
        <v>0</v>
      </c>
      <c r="EK25" s="294">
        <f>'[2]11-12 Workload Reduction'!H32</f>
        <v>8695985</v>
      </c>
      <c r="EL25" s="294">
        <f>'[2]13-14 $86M Workload Restore'!AI30</f>
        <v>0</v>
      </c>
      <c r="EM25" s="294">
        <f>'[2]13-14 $86M Workload Restore'!AC30</f>
        <v>0</v>
      </c>
      <c r="EN25" s="294">
        <f>'[2]13-14 deferrals, growth, EPA 1'!BJ32</f>
        <v>1781153</v>
      </c>
      <c r="EO25" s="293">
        <f t="shared" si="21"/>
        <v>12087777</v>
      </c>
      <c r="EP25" s="292">
        <v>0</v>
      </c>
      <c r="EQ25" s="292">
        <v>0</v>
      </c>
      <c r="ER25" s="292">
        <v>0</v>
      </c>
      <c r="ES25" s="16">
        <f t="shared" si="22"/>
        <v>0</v>
      </c>
    </row>
    <row r="26" spans="1:149">
      <c r="A26" s="291" t="s">
        <v>257</v>
      </c>
      <c r="B26" s="290" t="str">
        <f t="shared" si="23"/>
        <v>P2</v>
      </c>
      <c r="C26" s="285" t="s">
        <v>353</v>
      </c>
      <c r="D26" s="289" t="s">
        <v>352</v>
      </c>
      <c r="E26" s="288">
        <f>ROUND('[2]PBF Run'!N33,6)</f>
        <v>4744.0092130000003</v>
      </c>
      <c r="F26" s="285">
        <f t="shared" si="24"/>
        <v>4675.9030433300004</v>
      </c>
      <c r="G26" s="285">
        <f t="shared" si="25"/>
        <v>2788.0536374600001</v>
      </c>
      <c r="H26" s="285">
        <f t="shared" si="26"/>
        <v>2811.7520933800001</v>
      </c>
      <c r="I26" s="285">
        <f t="shared" si="27"/>
        <v>3282.8110613200001</v>
      </c>
      <c r="J26" s="285">
        <f t="shared" si="28"/>
        <v>3310.71495534</v>
      </c>
      <c r="K26" s="308">
        <f>ROUND([2]FTES!C33,3)</f>
        <v>1341.56</v>
      </c>
      <c r="L26" s="308">
        <f>ROUND([2]FTES!F33,3)</f>
        <v>293.58</v>
      </c>
      <c r="M26" s="308">
        <f>ROUND('[2]Growth Deficit'!AG33,3)</f>
        <v>0</v>
      </c>
      <c r="N26" s="308">
        <f>ROUND([2]FTES!I33,3)</f>
        <v>0</v>
      </c>
      <c r="O26" s="308">
        <f>ROUND([2]FTES!E33,3)</f>
        <v>1648.73</v>
      </c>
      <c r="P26" s="308">
        <f>ROUND([2]FTES!L33,3)</f>
        <v>74.81</v>
      </c>
      <c r="Q26" s="308">
        <f>ROUND([2]FTES!O33,3)</f>
        <v>0</v>
      </c>
      <c r="R26" s="308">
        <f>ROUND('[2]Growth Deficit'!$AH33,3)</f>
        <v>0</v>
      </c>
      <c r="S26" s="308">
        <f>ROUND([2]FTES!R33,3)</f>
        <v>0</v>
      </c>
      <c r="T26" s="308">
        <f>ROUND([2]FTES!N33,3)</f>
        <v>52.21</v>
      </c>
      <c r="U26" s="308">
        <f>ROUND([2]FTES!U33,3)</f>
        <v>0</v>
      </c>
      <c r="V26" s="308">
        <f>ROUND([2]FTES!X33,3)</f>
        <v>0</v>
      </c>
      <c r="W26" s="308">
        <f>ROUND('[2]Growth Deficit'!$AI33,3)</f>
        <v>0</v>
      </c>
      <c r="X26" s="308">
        <f>ROUND([2]FTES!AA33,3)</f>
        <v>0</v>
      </c>
      <c r="Y26" s="308">
        <f>ROUND([2]FTES!W33,3)</f>
        <v>0</v>
      </c>
      <c r="Z26" s="307">
        <f>'[2]FTES Adjustment'!CW33</f>
        <v>1648.7299699999999</v>
      </c>
      <c r="AA26" s="307">
        <f>'[2]FTES Adjustment'!CX33</f>
        <v>52.21</v>
      </c>
      <c r="AB26" s="307">
        <f>'[2]FTES Adjustment'!CY33</f>
        <v>0</v>
      </c>
      <c r="AC26" s="275">
        <f t="shared" si="0"/>
        <v>1416.37</v>
      </c>
      <c r="AD26" s="275">
        <f t="shared" si="1"/>
        <v>293.58</v>
      </c>
      <c r="AE26" s="275">
        <f t="shared" si="2"/>
        <v>0</v>
      </c>
      <c r="AF26" s="275">
        <f t="shared" si="3"/>
        <v>0</v>
      </c>
      <c r="AG26" s="275">
        <f t="shared" si="4"/>
        <v>1700.94</v>
      </c>
      <c r="AH26" s="275">
        <f t="shared" si="5"/>
        <v>1700.94</v>
      </c>
      <c r="AI26" s="302">
        <f>'[2]PBF Run'!F33</f>
        <v>3935976</v>
      </c>
      <c r="AJ26" s="302">
        <f>'[2]PBF Run'!H33+'[2]PBF Run'!I33+'[2]PBF Run'!J33+'[2]PBF Run'!L33</f>
        <v>6572947</v>
      </c>
      <c r="AK26" s="306">
        <f>'[2]PBF Run'!J33 + '[2]PBF Run'!$L33</f>
        <v>6364373</v>
      </c>
      <c r="AL26" s="302">
        <f>'[2]PBF Run'!H33</f>
        <v>208574</v>
      </c>
      <c r="AM26" s="302">
        <f>'[2]PBF Run'!I33</f>
        <v>0</v>
      </c>
      <c r="AN26" s="305">
        <f>'[2]Restoration and Growth'!BM33</f>
        <v>0</v>
      </c>
      <c r="AO26" s="278">
        <f t="shared" si="6"/>
        <v>10508923</v>
      </c>
      <c r="AP26" s="285" t="str">
        <f t="shared" si="29"/>
        <v>0.85%</v>
      </c>
      <c r="AQ26" s="302">
        <f>'[2]PBF Run'!O33</f>
        <v>89326</v>
      </c>
      <c r="AR26" s="278">
        <f t="shared" si="7"/>
        <v>10598249</v>
      </c>
      <c r="AS26" s="302">
        <f>'[2]PBF Run'!$AD33</f>
        <v>0</v>
      </c>
      <c r="AT26" s="302">
        <f>'[2]PBF Run'!$T33</f>
        <v>1372751</v>
      </c>
      <c r="AU26" s="278">
        <f t="shared" si="8"/>
        <v>1372751</v>
      </c>
      <c r="AV26" s="304">
        <f>'[2]Restoration and Growth'!BT33</f>
        <v>0</v>
      </c>
      <c r="AW26" s="304" t="str">
        <f>'[2]Restoration and Growth'!AP33</f>
        <v>N</v>
      </c>
      <c r="AX26" s="302">
        <f>'[2]Restoration and Growth'!CV33</f>
        <v>0</v>
      </c>
      <c r="AY26" s="302">
        <f>'[2]Growth Deficit'!$AO33</f>
        <v>0</v>
      </c>
      <c r="AZ26" s="302">
        <f>'[2]Growth Deficit'!AO33</f>
        <v>0</v>
      </c>
      <c r="BA26" s="302">
        <f>'[2]Growth Deficit'!AL33</f>
        <v>0</v>
      </c>
      <c r="BB26" s="302">
        <f>'[2]Growth Deficit'!AM33</f>
        <v>0</v>
      </c>
      <c r="BC26" s="302">
        <f>'[2]Growth Deficit'!AN33</f>
        <v>0</v>
      </c>
      <c r="BD26" s="302">
        <f>'[2]Growth Deficit'!AO33</f>
        <v>0</v>
      </c>
      <c r="BE26" s="302">
        <f>'[2]PBF Run'!AA33</f>
        <v>-162047</v>
      </c>
      <c r="BF26" s="302">
        <f>'[2]PBF Run'!AB33</f>
        <v>0</v>
      </c>
      <c r="BG26" s="302">
        <f>'[2]PBF Run'!AC33</f>
        <v>0</v>
      </c>
      <c r="BH26" s="302">
        <f>'[2]PBF Run'!AD33</f>
        <v>0</v>
      </c>
      <c r="BI26" s="278">
        <f t="shared" si="9"/>
        <v>-162047</v>
      </c>
      <c r="BJ26" s="302">
        <f>'[2]PBF Run'!X33</f>
        <v>0</v>
      </c>
      <c r="BK26" s="302">
        <f>'[2]PBF Run'!AE33</f>
        <v>11808953</v>
      </c>
      <c r="BL26" s="282">
        <f t="shared" si="10"/>
        <v>0.98518539281170825</v>
      </c>
      <c r="BM26" s="302">
        <f>'[2]PBF Run'!AM33</f>
        <v>174945</v>
      </c>
      <c r="BN26" s="302">
        <f>'[2]PBF Run'!$AN33</f>
        <v>7971328</v>
      </c>
      <c r="BO26" s="302">
        <f>'[2]PBF Run'!$AO33</f>
        <v>0</v>
      </c>
      <c r="BP26" s="302">
        <f>'[2]PBF Run'!AC33</f>
        <v>0</v>
      </c>
      <c r="BQ26" s="278">
        <f t="shared" si="11"/>
        <v>7971328</v>
      </c>
      <c r="BR26" s="302">
        <f>'[2]PBF Run'!AJ33</f>
        <v>1394371</v>
      </c>
      <c r="BS26" s="302">
        <f>'[2]PBF Run'!AI33</f>
        <v>399399</v>
      </c>
      <c r="BT26" s="302">
        <f>'[2]PBF Run'!$AN33</f>
        <v>7971328</v>
      </c>
      <c r="BU26" s="302">
        <f>'[2]PBF Run'!$AN33</f>
        <v>7971328</v>
      </c>
      <c r="BV26" s="302">
        <f>'[2]PBF Run'!BI33</f>
        <v>0</v>
      </c>
      <c r="BW26" s="303">
        <f>'[2]PBF Run'!BH33</f>
        <v>0</v>
      </c>
      <c r="BX26" s="278">
        <f t="shared" si="30"/>
        <v>69532</v>
      </c>
      <c r="BY26" s="278">
        <f t="shared" si="12"/>
        <v>7971328</v>
      </c>
      <c r="BZ26" s="302">
        <f>'[2]As of 13-14 R1'!BP33</f>
        <v>0</v>
      </c>
      <c r="CA26" s="302">
        <f>'[2]As of 13-14 R1'!BQ33</f>
        <v>0</v>
      </c>
      <c r="CB26" s="302">
        <f>'[2]As of 13-14 R1'!BR33</f>
        <v>1451971</v>
      </c>
      <c r="CC26" s="278">
        <f t="shared" si="13"/>
        <v>1451971</v>
      </c>
      <c r="CD26" s="301">
        <f>'[2]Growth Deficit'!$D$2</f>
        <v>0</v>
      </c>
      <c r="CE26" s="300">
        <f>IF($CS26="S",'[2]Foundation Grant'!C33,0)</f>
        <v>0</v>
      </c>
      <c r="CF26" s="300">
        <f>IF($CS26="S",'[2]Foundation Grant'!D33,0)</f>
        <v>0</v>
      </c>
      <c r="CG26" s="300">
        <f>IF($CS26="S",'[2]Foundation Grant'!E33,0)</f>
        <v>1</v>
      </c>
      <c r="CH26" s="300">
        <f>IF($CS26="S",'[2]Foundation Grant'!F33,0)</f>
        <v>1</v>
      </c>
      <c r="CI26" s="300">
        <f>IF($CS26="M",'[2]Foundation Grant'!C33,0)</f>
        <v>0</v>
      </c>
      <c r="CJ26" s="300">
        <f>IF($CS26="M",'[2]Foundation Grant'!D33,0)</f>
        <v>0</v>
      </c>
      <c r="CK26" s="300">
        <f>IF($CS26="M",'[2]Foundation Grant'!E33,0)</f>
        <v>0</v>
      </c>
      <c r="CL26" s="300">
        <f>IF($CS26="M",'[2]Foundation Grant'!F33,0)</f>
        <v>0</v>
      </c>
      <c r="CM26" s="300">
        <f>'[2]Foundation Grant'!G33</f>
        <v>0</v>
      </c>
      <c r="CN26" s="300">
        <f>'[2]Foundation Grant'!H33</f>
        <v>0</v>
      </c>
      <c r="CO26" s="300">
        <f>'[2]Foundation Grant'!I33</f>
        <v>0</v>
      </c>
      <c r="CP26" s="300">
        <f>'[2]Foundation Grant'!J33</f>
        <v>0</v>
      </c>
      <c r="CQ26" s="300">
        <f>'[2]Foundation Grant'!K33</f>
        <v>0</v>
      </c>
      <c r="CR26" s="299">
        <f>'[2]Foundation Grant'!L33</f>
        <v>0</v>
      </c>
      <c r="CS26" s="300" t="str">
        <f>'[2]Foundation Grant'!M33</f>
        <v>S</v>
      </c>
      <c r="CT26" s="300">
        <f>'[2]Foundation Grant'!N33</f>
        <v>3935976</v>
      </c>
      <c r="CU26" s="299">
        <f>'[2]Foundation Grant'!O33</f>
        <v>1</v>
      </c>
      <c r="CV26" s="299">
        <f>'[2]Foundation Grant'!P33</f>
        <v>0</v>
      </c>
      <c r="CW26" s="298">
        <f>'[2]Foundation Grant'!$C$1</f>
        <v>5622823</v>
      </c>
      <c r="CX26" s="298">
        <f>'[2]Foundation Grant'!$D$1</f>
        <v>4498258</v>
      </c>
      <c r="CY26" s="298">
        <f>'[2]Foundation Grant'!$E$1</f>
        <v>3373694</v>
      </c>
      <c r="CZ26" s="298">
        <f>'[2]Foundation Grant'!$C$2</f>
        <v>4498258</v>
      </c>
      <c r="DA26" s="298">
        <f>'[2]Foundation Grant'!$D$2</f>
        <v>3935976</v>
      </c>
      <c r="DB26" s="298">
        <f>'[2]Foundation Grant'!$E$2</f>
        <v>3373694</v>
      </c>
      <c r="DC26" s="298">
        <f>'[2]Foundation Grant'!$G$1</f>
        <v>1124565</v>
      </c>
      <c r="DD26" s="298">
        <f>'[2]Foundation Grant'!$H$1</f>
        <v>843423</v>
      </c>
      <c r="DE26" s="298">
        <f>'[2]Foundation Grant'!$I$1</f>
        <v>562282</v>
      </c>
      <c r="DF26" s="298">
        <f>'[2]Foundation Grant'!$J$1</f>
        <v>281141</v>
      </c>
      <c r="DG26" s="298">
        <f>'[2]Foundation Grant'!$K$1</f>
        <v>140571</v>
      </c>
      <c r="DH26" s="298">
        <f>'[2]Foundation Grant'!$O$1</f>
        <v>562282</v>
      </c>
      <c r="DI26" s="298">
        <f>'[2]Foundation Grant'!$P$1</f>
        <v>1124565</v>
      </c>
      <c r="DJ26" s="297">
        <f>'[2]basic allocation'!$C$10</f>
        <v>18749</v>
      </c>
      <c r="DK26" s="297">
        <f>'[2]basic allocation'!$D$10</f>
        <v>9375</v>
      </c>
      <c r="DL26" s="297">
        <f>'[2]basic allocation'!$E$10</f>
        <v>9375</v>
      </c>
      <c r="DM26" s="297">
        <f>'[2]basic allocation'!$I$10</f>
        <v>938</v>
      </c>
      <c r="DN26" s="297">
        <f>'[2]basic allocation'!$J$10</f>
        <v>703</v>
      </c>
      <c r="DO26" s="297">
        <f>'[2]basic allocation'!$K$10</f>
        <v>469</v>
      </c>
      <c r="DP26" s="297">
        <f>'[2]basic allocation'!$L$10</f>
        <v>234</v>
      </c>
      <c r="DQ26" s="297">
        <f>'[2]basic allocation'!$M$10</f>
        <v>100</v>
      </c>
      <c r="DR26" s="296">
        <f>'[2]FTES Adjustment'!DQ33</f>
        <v>3.0000000151630957E-5</v>
      </c>
      <c r="DS26" s="296">
        <f>'[2]FTES Adjustment'!DR33</f>
        <v>0</v>
      </c>
      <c r="DT26" s="296">
        <f>'[2]FTES Adjustment'!DS33</f>
        <v>0</v>
      </c>
      <c r="DU26" s="277">
        <f t="shared" si="14"/>
        <v>0</v>
      </c>
      <c r="DV26" s="276">
        <f t="shared" si="15"/>
        <v>13.590102</v>
      </c>
      <c r="DW26" s="276">
        <f t="shared" si="16"/>
        <v>-22.6</v>
      </c>
      <c r="DX26" s="276">
        <f t="shared" si="17"/>
        <v>0</v>
      </c>
      <c r="DY26" s="276">
        <f t="shared" si="18"/>
        <v>-9.01</v>
      </c>
      <c r="DZ26" s="295">
        <f>ROUND([2]FTES!$D33,3)</f>
        <v>1341.56</v>
      </c>
      <c r="EA26" s="295">
        <f>ROUND([2]FTES!$M33,3)</f>
        <v>74.81</v>
      </c>
      <c r="EB26" s="295">
        <f>ROUND([2]FTES!$V33,3)</f>
        <v>0</v>
      </c>
      <c r="EC26" s="276">
        <f t="shared" si="19"/>
        <v>1416.37</v>
      </c>
      <c r="ED26" s="133">
        <v>0</v>
      </c>
      <c r="EE26" s="294">
        <f>'[2]10-11 WkLd126M'!$E31</f>
        <v>275140</v>
      </c>
      <c r="EF26" s="295">
        <f>'[2]FTES Adjustment'!CG33</f>
        <v>13.590102</v>
      </c>
      <c r="EG26" s="295">
        <f>'[2]FTES Adjustment'!CH33</f>
        <v>-22.6</v>
      </c>
      <c r="EH26" s="295">
        <f>'[2]FTES Adjustment'!CI33</f>
        <v>0</v>
      </c>
      <c r="EI26" s="276">
        <f t="shared" si="20"/>
        <v>-9.0098980000000015</v>
      </c>
      <c r="EJ26" s="294">
        <f>'[2]PBF Run'!$AT33</f>
        <v>0</v>
      </c>
      <c r="EK26" s="294">
        <f>'[2]11-12 Workload Reduction'!H33</f>
        <v>8472021</v>
      </c>
      <c r="EL26" s="294">
        <f>'[2]13-14 $86M Workload Restore'!AI31</f>
        <v>0</v>
      </c>
      <c r="EM26" s="294">
        <f>'[2]13-14 $86M Workload Restore'!AC31</f>
        <v>0</v>
      </c>
      <c r="EN26" s="294">
        <f>'[2]13-14 deferrals, growth, EPA 1'!BJ33</f>
        <v>1744051</v>
      </c>
      <c r="EO26" s="293">
        <f t="shared" si="21"/>
        <v>11634008</v>
      </c>
      <c r="EP26" s="292">
        <v>0</v>
      </c>
      <c r="EQ26" s="292">
        <v>0</v>
      </c>
      <c r="ER26" s="292">
        <v>0</v>
      </c>
      <c r="ES26" s="16">
        <f t="shared" si="22"/>
        <v>0</v>
      </c>
    </row>
    <row r="27" spans="1:149" s="645" customFormat="1">
      <c r="A27" s="626" t="s">
        <v>257</v>
      </c>
      <c r="B27" s="627" t="str">
        <f t="shared" si="23"/>
        <v>P2</v>
      </c>
      <c r="C27" s="628" t="s">
        <v>351</v>
      </c>
      <c r="D27" s="629" t="s">
        <v>350</v>
      </c>
      <c r="E27" s="630">
        <f>ROUND('[2]PBF Run'!N34,6)</f>
        <v>4636.492835</v>
      </c>
      <c r="F27" s="628">
        <f t="shared" si="24"/>
        <v>4675.9030433300004</v>
      </c>
      <c r="G27" s="628">
        <f t="shared" si="25"/>
        <v>2788.0536374600001</v>
      </c>
      <c r="H27" s="628">
        <f t="shared" si="26"/>
        <v>2811.7520933800001</v>
      </c>
      <c r="I27" s="628">
        <f t="shared" si="27"/>
        <v>3282.8110613200001</v>
      </c>
      <c r="J27" s="628">
        <f t="shared" si="28"/>
        <v>3310.71495534</v>
      </c>
      <c r="K27" s="631">
        <f>ROUND([2]FTES!C34,3)</f>
        <v>19675.759999999998</v>
      </c>
      <c r="L27" s="631">
        <f>ROUND([2]FTES!F34,3)</f>
        <v>0</v>
      </c>
      <c r="M27" s="631">
        <f>ROUND('[2]Growth Deficit'!AG34,3)</f>
        <v>0</v>
      </c>
      <c r="N27" s="631">
        <f>ROUND([2]FTES!I34,3)</f>
        <v>0</v>
      </c>
      <c r="O27" s="631">
        <f>ROUND([2]FTES!E34,3)</f>
        <v>19922.55</v>
      </c>
      <c r="P27" s="631">
        <f>ROUND([2]FTES!L34,3)</f>
        <v>137.01</v>
      </c>
      <c r="Q27" s="631">
        <f>ROUND([2]FTES!O34,3)</f>
        <v>0</v>
      </c>
      <c r="R27" s="631">
        <f>ROUND('[2]Growth Deficit'!$AH34,3)</f>
        <v>0</v>
      </c>
      <c r="S27" s="631">
        <f>ROUND([2]FTES!R34,3)</f>
        <v>0</v>
      </c>
      <c r="T27" s="631">
        <f>ROUND([2]FTES!N34,3)</f>
        <v>157</v>
      </c>
      <c r="U27" s="631">
        <f>ROUND([2]FTES!U34,3)</f>
        <v>97.36</v>
      </c>
      <c r="V27" s="631">
        <f>ROUND([2]FTES!X34,3)</f>
        <v>0</v>
      </c>
      <c r="W27" s="631">
        <f>ROUND('[2]Growth Deficit'!$AI34,3)</f>
        <v>0</v>
      </c>
      <c r="X27" s="631">
        <f>ROUND([2]FTES!AA34,3)</f>
        <v>0</v>
      </c>
      <c r="Y27" s="631">
        <f>ROUND([2]FTES!W34,3)</f>
        <v>227.63</v>
      </c>
      <c r="Z27" s="632">
        <f>'[2]FTES Adjustment'!CW34</f>
        <v>19922.549921000002</v>
      </c>
      <c r="AA27" s="632">
        <f>'[2]FTES Adjustment'!CX34</f>
        <v>157</v>
      </c>
      <c r="AB27" s="632">
        <f>'[2]FTES Adjustment'!CY34</f>
        <v>227.63</v>
      </c>
      <c r="AC27" s="631">
        <f t="shared" si="0"/>
        <v>19910.13</v>
      </c>
      <c r="AD27" s="631">
        <f t="shared" si="1"/>
        <v>0</v>
      </c>
      <c r="AE27" s="631">
        <f t="shared" si="2"/>
        <v>0</v>
      </c>
      <c r="AF27" s="631">
        <f t="shared" si="3"/>
        <v>0</v>
      </c>
      <c r="AG27" s="631">
        <f t="shared" si="4"/>
        <v>20307.18</v>
      </c>
      <c r="AH27" s="631">
        <f t="shared" si="5"/>
        <v>20307.18</v>
      </c>
      <c r="AI27" s="633">
        <f>'[2]PBF Run'!F34</f>
        <v>6747388</v>
      </c>
      <c r="AJ27" s="633">
        <f>'[2]PBF Run'!H34+'[2]PBF Run'!I34+'[2]PBF Run'!J34+'[2]PBF Run'!L34</f>
        <v>91928125</v>
      </c>
      <c r="AK27" s="634">
        <f>'[2]PBF Run'!J34 + '[2]PBF Run'!$L34</f>
        <v>91226520</v>
      </c>
      <c r="AL27" s="633">
        <f>'[2]PBF Run'!H34</f>
        <v>381991</v>
      </c>
      <c r="AM27" s="633">
        <f>'[2]PBF Run'!I34</f>
        <v>319614</v>
      </c>
      <c r="AN27" s="635">
        <f>'[2]Restoration and Growth'!BM34</f>
        <v>0</v>
      </c>
      <c r="AO27" s="633">
        <f t="shared" si="6"/>
        <v>98675513</v>
      </c>
      <c r="AP27" s="628" t="str">
        <f t="shared" si="29"/>
        <v>0.85%</v>
      </c>
      <c r="AQ27" s="633">
        <f>'[2]PBF Run'!O34</f>
        <v>838742</v>
      </c>
      <c r="AR27" s="633">
        <f t="shared" si="7"/>
        <v>99514255</v>
      </c>
      <c r="AS27" s="633">
        <f>'[2]PBF Run'!$AD34</f>
        <v>0</v>
      </c>
      <c r="AT27" s="633">
        <f>'[2]PBF Run'!$T34</f>
        <v>0</v>
      </c>
      <c r="AU27" s="633">
        <f t="shared" si="8"/>
        <v>1751999</v>
      </c>
      <c r="AV27" s="636">
        <f>'[2]Restoration and Growth'!BT34</f>
        <v>0</v>
      </c>
      <c r="AW27" s="636" t="str">
        <f>'[2]Restoration and Growth'!AP34</f>
        <v>N</v>
      </c>
      <c r="AX27" s="633">
        <f>'[2]Restoration and Growth'!CV34</f>
        <v>0</v>
      </c>
      <c r="AY27" s="633">
        <f>'[2]Growth Deficit'!$AO34</f>
        <v>0</v>
      </c>
      <c r="AZ27" s="633">
        <f>'[2]Growth Deficit'!AO34</f>
        <v>0</v>
      </c>
      <c r="BA27" s="633">
        <f>'[2]Growth Deficit'!AL34</f>
        <v>0</v>
      </c>
      <c r="BB27" s="633">
        <f>'[2]Growth Deficit'!AM34</f>
        <v>0</v>
      </c>
      <c r="BC27" s="633">
        <f>'[2]Growth Deficit'!AN34</f>
        <v>0</v>
      </c>
      <c r="BD27" s="633">
        <f>'[2]Growth Deficit'!AO34</f>
        <v>0</v>
      </c>
      <c r="BE27" s="633">
        <f>'[2]PBF Run'!AA34</f>
        <v>0</v>
      </c>
      <c r="BF27" s="633">
        <f>'[2]PBF Run'!AB34</f>
        <v>0</v>
      </c>
      <c r="BG27" s="633">
        <f>'[2]PBF Run'!AC34</f>
        <v>0</v>
      </c>
      <c r="BH27" s="633">
        <f>'[2]PBF Run'!AD34</f>
        <v>0</v>
      </c>
      <c r="BI27" s="633">
        <f t="shared" si="9"/>
        <v>0</v>
      </c>
      <c r="BJ27" s="633">
        <f>'[2]PBF Run'!X34</f>
        <v>0</v>
      </c>
      <c r="BK27" s="633">
        <f>'[2]PBF Run'!AE34</f>
        <v>101155715</v>
      </c>
      <c r="BL27" s="630">
        <v>0.98365724570000002</v>
      </c>
      <c r="BM27" s="633">
        <v>1653163</v>
      </c>
      <c r="BN27" s="633">
        <v>66323964</v>
      </c>
      <c r="BO27" s="633">
        <f>'[2]PBF Run'!$AO34</f>
        <v>0</v>
      </c>
      <c r="BP27" s="633">
        <f>'[2]PBF Run'!AC34</f>
        <v>0</v>
      </c>
      <c r="BQ27" s="633">
        <f t="shared" si="11"/>
        <v>66323964</v>
      </c>
      <c r="BR27" s="633">
        <f>'[2]PBF Run'!AJ34</f>
        <v>12942295</v>
      </c>
      <c r="BS27" s="633">
        <f>'[2]PBF Run'!AI34</f>
        <v>4488447</v>
      </c>
      <c r="BT27" s="633">
        <v>66323964</v>
      </c>
      <c r="BU27" s="633">
        <v>66323964</v>
      </c>
      <c r="BV27" s="633">
        <f>'[2]PBF Run'!BI34</f>
        <v>0</v>
      </c>
      <c r="BW27" s="637">
        <f>'[2]PBF Run'!BH34</f>
        <v>0</v>
      </c>
      <c r="BX27" s="633">
        <f t="shared" si="30"/>
        <v>69532</v>
      </c>
      <c r="BY27" s="633">
        <v>66323964</v>
      </c>
      <c r="BZ27" s="633">
        <f>'[2]As of 13-14 R1'!BP34</f>
        <v>0</v>
      </c>
      <c r="CA27" s="633">
        <f>'[2]As of 13-14 R1'!BQ34</f>
        <v>0</v>
      </c>
      <c r="CB27" s="633">
        <f>'[2]As of 13-14 R1'!BR34</f>
        <v>0</v>
      </c>
      <c r="CC27" s="633">
        <f t="shared" si="13"/>
        <v>0</v>
      </c>
      <c r="CD27" s="638">
        <f>'[2]Growth Deficit'!$D$2</f>
        <v>0</v>
      </c>
      <c r="CE27" s="628">
        <f>IF($CS27="S",'[2]Foundation Grant'!C34,0)</f>
        <v>1</v>
      </c>
      <c r="CF27" s="628">
        <f>IF($CS27="S",'[2]Foundation Grant'!D34,0)</f>
        <v>0</v>
      </c>
      <c r="CG27" s="628">
        <f>IF($CS27="S",'[2]Foundation Grant'!E34,0)</f>
        <v>0</v>
      </c>
      <c r="CH27" s="628">
        <f>IF($CS27="S",'[2]Foundation Grant'!F34,0)</f>
        <v>1</v>
      </c>
      <c r="CI27" s="628">
        <f>IF($CS27="M",'[2]Foundation Grant'!C34,0)</f>
        <v>0</v>
      </c>
      <c r="CJ27" s="628">
        <f>IF($CS27="M",'[2]Foundation Grant'!D34,0)</f>
        <v>0</v>
      </c>
      <c r="CK27" s="628">
        <f>IF($CS27="M",'[2]Foundation Grant'!E34,0)</f>
        <v>0</v>
      </c>
      <c r="CL27" s="628">
        <f>IF($CS27="M",'[2]Foundation Grant'!F34,0)</f>
        <v>0</v>
      </c>
      <c r="CM27" s="628">
        <f>'[2]Foundation Grant'!G34</f>
        <v>0</v>
      </c>
      <c r="CN27" s="628">
        <f>'[2]Foundation Grant'!H34</f>
        <v>0</v>
      </c>
      <c r="CO27" s="628">
        <f>'[2]Foundation Grant'!I34</f>
        <v>0</v>
      </c>
      <c r="CP27" s="628">
        <f>'[2]Foundation Grant'!J34</f>
        <v>0</v>
      </c>
      <c r="CQ27" s="628">
        <f>'[2]Foundation Grant'!K34</f>
        <v>0</v>
      </c>
      <c r="CR27" s="639">
        <f>'[2]Foundation Grant'!L34</f>
        <v>0</v>
      </c>
      <c r="CS27" s="628" t="str">
        <f>'[2]Foundation Grant'!M34</f>
        <v>S</v>
      </c>
      <c r="CT27" s="628">
        <f>'[2]Foundation Grant'!N34</f>
        <v>6747388</v>
      </c>
      <c r="CU27" s="639">
        <f>'[2]Foundation Grant'!O34</f>
        <v>0</v>
      </c>
      <c r="CV27" s="639">
        <f>'[2]Foundation Grant'!P34</f>
        <v>1</v>
      </c>
      <c r="CW27" s="205">
        <f>'[2]Foundation Grant'!$C$1</f>
        <v>5622823</v>
      </c>
      <c r="CX27" s="205">
        <f>'[2]Foundation Grant'!$D$1</f>
        <v>4498258</v>
      </c>
      <c r="CY27" s="205">
        <f>'[2]Foundation Grant'!$E$1</f>
        <v>3373694</v>
      </c>
      <c r="CZ27" s="205">
        <f>'[2]Foundation Grant'!$C$2</f>
        <v>4498258</v>
      </c>
      <c r="DA27" s="205">
        <f>'[2]Foundation Grant'!$D$2</f>
        <v>3935976</v>
      </c>
      <c r="DB27" s="205">
        <f>'[2]Foundation Grant'!$E$2</f>
        <v>3373694</v>
      </c>
      <c r="DC27" s="205">
        <f>'[2]Foundation Grant'!$G$1</f>
        <v>1124565</v>
      </c>
      <c r="DD27" s="205">
        <f>'[2]Foundation Grant'!$H$1</f>
        <v>843423</v>
      </c>
      <c r="DE27" s="205">
        <f>'[2]Foundation Grant'!$I$1</f>
        <v>562282</v>
      </c>
      <c r="DF27" s="205">
        <f>'[2]Foundation Grant'!$J$1</f>
        <v>281141</v>
      </c>
      <c r="DG27" s="205">
        <f>'[2]Foundation Grant'!$K$1</f>
        <v>140571</v>
      </c>
      <c r="DH27" s="205">
        <f>'[2]Foundation Grant'!$O$1</f>
        <v>562282</v>
      </c>
      <c r="DI27" s="205">
        <f>'[2]Foundation Grant'!$P$1</f>
        <v>1124565</v>
      </c>
      <c r="DJ27" s="640">
        <f>'[2]basic allocation'!$C$10</f>
        <v>18749</v>
      </c>
      <c r="DK27" s="640">
        <f>'[2]basic allocation'!$D$10</f>
        <v>9375</v>
      </c>
      <c r="DL27" s="640">
        <f>'[2]basic allocation'!$E$10</f>
        <v>9375</v>
      </c>
      <c r="DM27" s="640">
        <f>'[2]basic allocation'!$I$10</f>
        <v>938</v>
      </c>
      <c r="DN27" s="640">
        <f>'[2]basic allocation'!$J$10</f>
        <v>703</v>
      </c>
      <c r="DO27" s="640">
        <f>'[2]basic allocation'!$K$10</f>
        <v>469</v>
      </c>
      <c r="DP27" s="640">
        <f>'[2]basic allocation'!$L$10</f>
        <v>234</v>
      </c>
      <c r="DQ27" s="640">
        <f>'[2]basic allocation'!$M$10</f>
        <v>100</v>
      </c>
      <c r="DR27" s="641">
        <f>'[2]FTES Adjustment'!DQ34</f>
        <v>7.8999997640494257E-5</v>
      </c>
      <c r="DS27" s="641">
        <f>'[2]FTES Adjustment'!DR34</f>
        <v>0</v>
      </c>
      <c r="DT27" s="641">
        <f>'[2]FTES Adjustment'!DS34</f>
        <v>0</v>
      </c>
      <c r="DU27" s="641">
        <f t="shared" si="14"/>
        <v>0</v>
      </c>
      <c r="DV27" s="642">
        <f t="shared" si="15"/>
        <v>246.789976</v>
      </c>
      <c r="DW27" s="642">
        <f t="shared" si="16"/>
        <v>19.989999999999998</v>
      </c>
      <c r="DX27" s="642">
        <f t="shared" si="17"/>
        <v>130.27000000000001</v>
      </c>
      <c r="DY27" s="642">
        <f t="shared" si="18"/>
        <v>397.05</v>
      </c>
      <c r="DZ27" s="642">
        <f>ROUND([2]FTES!$D34,3)</f>
        <v>19675.759999999998</v>
      </c>
      <c r="EA27" s="642">
        <f>ROUND([2]FTES!$M34,3)</f>
        <v>137.01</v>
      </c>
      <c r="EB27" s="642">
        <f>ROUND([2]FTES!$V34,3)</f>
        <v>97.36</v>
      </c>
      <c r="EC27" s="642">
        <f t="shared" si="19"/>
        <v>19910.13</v>
      </c>
      <c r="ED27" s="643">
        <v>0</v>
      </c>
      <c r="EE27" s="643">
        <f>'[2]10-11 WkLd126M'!$E32</f>
        <v>2281374</v>
      </c>
      <c r="EF27" s="642">
        <f>'[2]FTES Adjustment'!CG34</f>
        <v>246.789976</v>
      </c>
      <c r="EG27" s="642">
        <f>'[2]FTES Adjustment'!CH34</f>
        <v>19.989999999999998</v>
      </c>
      <c r="EH27" s="642">
        <f>'[2]FTES Adjustment'!CI34</f>
        <v>130.27000000000001</v>
      </c>
      <c r="EI27" s="642">
        <f t="shared" si="20"/>
        <v>397.04997600000002</v>
      </c>
      <c r="EJ27" s="643">
        <f>'[2]PBF Run'!$AT34</f>
        <v>0</v>
      </c>
      <c r="EK27" s="643">
        <f>'[2]11-12 Workload Reduction'!H34</f>
        <v>95188236</v>
      </c>
      <c r="EL27" s="643">
        <f>'[2]13-14 $86M Workload Restore'!AI32</f>
        <v>1574197</v>
      </c>
      <c r="EM27" s="643">
        <f>'[2]13-14 $86M Workload Restore'!AC32</f>
        <v>177802</v>
      </c>
      <c r="EN27" s="643">
        <f>'[2]13-14 deferrals, growth, EPA 1'!BJ34</f>
        <v>15083835</v>
      </c>
      <c r="EO27" s="644">
        <f t="shared" si="21"/>
        <v>99502552</v>
      </c>
      <c r="EP27" s="645">
        <v>0</v>
      </c>
      <c r="EQ27" s="645">
        <v>0</v>
      </c>
      <c r="ER27" s="645">
        <v>0</v>
      </c>
      <c r="ES27" s="645">
        <f t="shared" si="22"/>
        <v>0</v>
      </c>
    </row>
    <row r="28" spans="1:149">
      <c r="A28" s="291" t="s">
        <v>257</v>
      </c>
      <c r="B28" s="290" t="str">
        <f t="shared" si="23"/>
        <v>P2</v>
      </c>
      <c r="C28" s="285" t="s">
        <v>349</v>
      </c>
      <c r="D28" s="289" t="s">
        <v>348</v>
      </c>
      <c r="E28" s="288">
        <f>ROUND('[2]PBF Run'!N35,6)</f>
        <v>4636.4928570000002</v>
      </c>
      <c r="F28" s="285">
        <f t="shared" si="24"/>
        <v>4675.9030433300004</v>
      </c>
      <c r="G28" s="285">
        <f t="shared" si="25"/>
        <v>2788.0536374600001</v>
      </c>
      <c r="H28" s="285">
        <f t="shared" si="26"/>
        <v>2811.7520933800001</v>
      </c>
      <c r="I28" s="285">
        <f t="shared" si="27"/>
        <v>3282.8110613200001</v>
      </c>
      <c r="J28" s="285">
        <f t="shared" si="28"/>
        <v>3310.71495534</v>
      </c>
      <c r="K28" s="308">
        <f>ROUND([2]FTES!C35,3)</f>
        <v>94583.259000000005</v>
      </c>
      <c r="L28" s="308">
        <f>ROUND([2]FTES!F35,3)</f>
        <v>0</v>
      </c>
      <c r="M28" s="308">
        <f>ROUND('[2]Growth Deficit'!AG35,3)</f>
        <v>0</v>
      </c>
      <c r="N28" s="308">
        <f>ROUND([2]FTES!I35,3)</f>
        <v>0</v>
      </c>
      <c r="O28" s="308">
        <f>ROUND([2]FTES!E35,3)</f>
        <v>100542.22</v>
      </c>
      <c r="P28" s="308">
        <f>ROUND([2]FTES!L35,3)</f>
        <v>1934.42</v>
      </c>
      <c r="Q28" s="308">
        <f>ROUND([2]FTES!O35,3)</f>
        <v>0</v>
      </c>
      <c r="R28" s="308">
        <f>ROUND('[2]Growth Deficit'!$AH35,3)</f>
        <v>0</v>
      </c>
      <c r="S28" s="308">
        <f>ROUND([2]FTES!R35,3)</f>
        <v>0</v>
      </c>
      <c r="T28" s="308">
        <f>ROUND([2]FTES!N35,3)</f>
        <v>2290.73</v>
      </c>
      <c r="U28" s="308">
        <f>ROUND([2]FTES!U35,3)</f>
        <v>2909.02</v>
      </c>
      <c r="V28" s="308">
        <f>ROUND([2]FTES!X35,3)</f>
        <v>0</v>
      </c>
      <c r="W28" s="308">
        <f>ROUND('[2]Growth Deficit'!$AI35,3)</f>
        <v>0</v>
      </c>
      <c r="X28" s="308">
        <f>ROUND([2]FTES!AA35,3)</f>
        <v>0</v>
      </c>
      <c r="Y28" s="308">
        <f>ROUND([2]FTES!W35,3)</f>
        <v>3110.2</v>
      </c>
      <c r="Z28" s="307">
        <f>'[2]FTES Adjustment'!CW35</f>
        <v>99151.743855999986</v>
      </c>
      <c r="AA28" s="307">
        <f>'[2]FTES Adjustment'!CX35</f>
        <v>2290.7299999999996</v>
      </c>
      <c r="AB28" s="307">
        <f>'[2]FTES Adjustment'!CY35</f>
        <v>3110.2</v>
      </c>
      <c r="AC28" s="275">
        <f t="shared" si="0"/>
        <v>99426.698999999993</v>
      </c>
      <c r="AD28" s="275">
        <f t="shared" si="1"/>
        <v>0</v>
      </c>
      <c r="AE28" s="275">
        <f t="shared" si="2"/>
        <v>0</v>
      </c>
      <c r="AF28" s="275">
        <f t="shared" si="3"/>
        <v>0</v>
      </c>
      <c r="AG28" s="275">
        <f t="shared" si="4"/>
        <v>105943.15</v>
      </c>
      <c r="AH28" s="275">
        <f t="shared" si="5"/>
        <v>104552.674</v>
      </c>
      <c r="AI28" s="302">
        <f>'[2]PBF Run'!F35</f>
        <v>33736938</v>
      </c>
      <c r="AJ28" s="302">
        <f>'[2]PBF Run'!H35+'[2]PBF Run'!I35+'[2]PBF Run'!J35+'[2]PBF Run'!L35</f>
        <v>453477635</v>
      </c>
      <c r="AK28" s="306">
        <f>'[2]PBF Run'!J35 + '[2]PBF Run'!$L35</f>
        <v>438534605</v>
      </c>
      <c r="AL28" s="302">
        <f>'[2]PBF Run'!H35</f>
        <v>5393267</v>
      </c>
      <c r="AM28" s="302">
        <f>'[2]PBF Run'!I35</f>
        <v>9549763</v>
      </c>
      <c r="AN28" s="305">
        <f>'[2]Restoration and Growth'!BM35</f>
        <v>0</v>
      </c>
      <c r="AO28" s="278">
        <f t="shared" si="6"/>
        <v>487214573</v>
      </c>
      <c r="AP28" s="285" t="str">
        <f t="shared" si="29"/>
        <v>0.85%</v>
      </c>
      <c r="AQ28" s="302">
        <f>'[2]PBF Run'!O35</f>
        <v>4141324</v>
      </c>
      <c r="AR28" s="278">
        <f t="shared" si="7"/>
        <v>491355897</v>
      </c>
      <c r="AS28" s="302">
        <f>'[2]PBF Run'!$AD35</f>
        <v>0</v>
      </c>
      <c r="AT28" s="302">
        <f>'[2]PBF Run'!$T35</f>
        <v>0</v>
      </c>
      <c r="AU28" s="278">
        <f t="shared" si="8"/>
        <v>10380678</v>
      </c>
      <c r="AV28" s="304">
        <f>'[2]Restoration and Growth'!BT35</f>
        <v>0</v>
      </c>
      <c r="AW28" s="304" t="str">
        <f>'[2]Restoration and Growth'!AP35</f>
        <v>Y</v>
      </c>
      <c r="AX28" s="302">
        <f>'[2]Restoration and Growth'!CV35</f>
        <v>0</v>
      </c>
      <c r="AY28" s="302">
        <f>'[2]Growth Deficit'!$AO35</f>
        <v>0</v>
      </c>
      <c r="AZ28" s="302">
        <f>'[2]Growth Deficit'!AO35</f>
        <v>0</v>
      </c>
      <c r="BA28" s="302">
        <f>'[2]Growth Deficit'!AL35</f>
        <v>0</v>
      </c>
      <c r="BB28" s="302">
        <f>'[2]Growth Deficit'!AM35</f>
        <v>0</v>
      </c>
      <c r="BC28" s="302">
        <f>'[2]Growth Deficit'!AN35</f>
        <v>0</v>
      </c>
      <c r="BD28" s="302">
        <f>'[2]Growth Deficit'!AO35</f>
        <v>0</v>
      </c>
      <c r="BE28" s="302">
        <f>'[2]PBF Run'!AA35</f>
        <v>0</v>
      </c>
      <c r="BF28" s="302">
        <f>'[2]PBF Run'!AB35</f>
        <v>0</v>
      </c>
      <c r="BG28" s="302">
        <f>'[2]PBF Run'!AC35</f>
        <v>0</v>
      </c>
      <c r="BH28" s="302">
        <f>'[2]PBF Run'!AD35</f>
        <v>0</v>
      </c>
      <c r="BI28" s="278">
        <f t="shared" si="9"/>
        <v>0</v>
      </c>
      <c r="BJ28" s="302">
        <f>'[2]PBF Run'!X35</f>
        <v>0</v>
      </c>
      <c r="BK28" s="302">
        <f>'[2]PBF Run'!AE35</f>
        <v>514385594</v>
      </c>
      <c r="BL28" s="282">
        <f t="shared" si="10"/>
        <v>0.98518541714836594</v>
      </c>
      <c r="BM28" s="302">
        <f>'[2]PBF Run'!AM35</f>
        <v>7620408</v>
      </c>
      <c r="BN28" s="302">
        <f>'[2]PBF Run'!$AN35</f>
        <v>222868220</v>
      </c>
      <c r="BO28" s="302">
        <f>'[2]PBF Run'!$AO35</f>
        <v>0</v>
      </c>
      <c r="BP28" s="302">
        <f>'[2]PBF Run'!AC35</f>
        <v>0</v>
      </c>
      <c r="BQ28" s="278">
        <f t="shared" si="11"/>
        <v>222868220</v>
      </c>
      <c r="BR28" s="302">
        <f>'[2]PBF Run'!AJ35</f>
        <v>181039938</v>
      </c>
      <c r="BS28" s="302">
        <f>'[2]PBF Run'!AI35</f>
        <v>22243013</v>
      </c>
      <c r="BT28" s="302">
        <f>'[2]PBF Run'!$AN35</f>
        <v>222868220</v>
      </c>
      <c r="BU28" s="302">
        <f>'[2]PBF Run'!$AN35</f>
        <v>222868220</v>
      </c>
      <c r="BV28" s="302">
        <f>'[2]PBF Run'!BI35</f>
        <v>0</v>
      </c>
      <c r="BW28" s="303">
        <f>'[2]PBF Run'!BH35</f>
        <v>0</v>
      </c>
      <c r="BX28" s="278">
        <f t="shared" si="30"/>
        <v>69532</v>
      </c>
      <c r="BY28" s="278">
        <f t="shared" si="12"/>
        <v>222868220</v>
      </c>
      <c r="BZ28" s="302">
        <f>'[2]As of 13-14 R1'!BP35</f>
        <v>0</v>
      </c>
      <c r="CA28" s="302">
        <f>'[2]As of 13-14 R1'!BQ35</f>
        <v>0</v>
      </c>
      <c r="CB28" s="302">
        <f>'[2]As of 13-14 R1'!BR35</f>
        <v>0</v>
      </c>
      <c r="CC28" s="278">
        <f t="shared" si="13"/>
        <v>0</v>
      </c>
      <c r="CD28" s="301">
        <f>'[2]Growth Deficit'!$D$2</f>
        <v>0</v>
      </c>
      <c r="CE28" s="300">
        <f>IF($CS28="S",'[2]Foundation Grant'!C35,0)</f>
        <v>0</v>
      </c>
      <c r="CF28" s="300">
        <f>IF($CS28="S",'[2]Foundation Grant'!D35,0)</f>
        <v>0</v>
      </c>
      <c r="CG28" s="300">
        <f>IF($CS28="S",'[2]Foundation Grant'!E35,0)</f>
        <v>0</v>
      </c>
      <c r="CH28" s="300">
        <f>IF($CS28="S",'[2]Foundation Grant'!F35,0)</f>
        <v>0</v>
      </c>
      <c r="CI28" s="300">
        <f>IF($CS28="M",'[2]Foundation Grant'!C35,0)</f>
        <v>1</v>
      </c>
      <c r="CJ28" s="300">
        <f>IF($CS28="M",'[2]Foundation Grant'!D35,0)</f>
        <v>4</v>
      </c>
      <c r="CK28" s="300">
        <f>IF($CS28="M",'[2]Foundation Grant'!E35,0)</f>
        <v>4</v>
      </c>
      <c r="CL28" s="300">
        <f>IF($CS28="M",'[2]Foundation Grant'!F35,0)</f>
        <v>9</v>
      </c>
      <c r="CM28" s="300">
        <f>'[2]Foundation Grant'!G35</f>
        <v>0</v>
      </c>
      <c r="CN28" s="300">
        <f>'[2]Foundation Grant'!H35</f>
        <v>0</v>
      </c>
      <c r="CO28" s="300">
        <f>'[2]Foundation Grant'!I35</f>
        <v>0</v>
      </c>
      <c r="CP28" s="300">
        <f>'[2]Foundation Grant'!J35</f>
        <v>0</v>
      </c>
      <c r="CQ28" s="300">
        <f>'[2]Foundation Grant'!K35</f>
        <v>0</v>
      </c>
      <c r="CR28" s="299">
        <f>'[2]Foundation Grant'!L35</f>
        <v>0</v>
      </c>
      <c r="CS28" s="300" t="str">
        <f>'[2]Foundation Grant'!M35</f>
        <v>M</v>
      </c>
      <c r="CT28" s="300">
        <f>'[2]Foundation Grant'!N35</f>
        <v>33736938</v>
      </c>
      <c r="CU28" s="299">
        <f>'[2]Foundation Grant'!O35</f>
        <v>0</v>
      </c>
      <c r="CV28" s="299">
        <f>'[2]Foundation Grant'!P35</f>
        <v>0</v>
      </c>
      <c r="CW28" s="298">
        <f>'[2]Foundation Grant'!$C$1</f>
        <v>5622823</v>
      </c>
      <c r="CX28" s="298">
        <f>'[2]Foundation Grant'!$D$1</f>
        <v>4498258</v>
      </c>
      <c r="CY28" s="298">
        <f>'[2]Foundation Grant'!$E$1</f>
        <v>3373694</v>
      </c>
      <c r="CZ28" s="298">
        <f>'[2]Foundation Grant'!$C$2</f>
        <v>4498258</v>
      </c>
      <c r="DA28" s="298">
        <f>'[2]Foundation Grant'!$D$2</f>
        <v>3935976</v>
      </c>
      <c r="DB28" s="298">
        <f>'[2]Foundation Grant'!$E$2</f>
        <v>3373694</v>
      </c>
      <c r="DC28" s="298">
        <f>'[2]Foundation Grant'!$G$1</f>
        <v>1124565</v>
      </c>
      <c r="DD28" s="298">
        <f>'[2]Foundation Grant'!$H$1</f>
        <v>843423</v>
      </c>
      <c r="DE28" s="298">
        <f>'[2]Foundation Grant'!$I$1</f>
        <v>562282</v>
      </c>
      <c r="DF28" s="298">
        <f>'[2]Foundation Grant'!$J$1</f>
        <v>281141</v>
      </c>
      <c r="DG28" s="298">
        <f>'[2]Foundation Grant'!$K$1</f>
        <v>140571</v>
      </c>
      <c r="DH28" s="298">
        <f>'[2]Foundation Grant'!$O$1</f>
        <v>562282</v>
      </c>
      <c r="DI28" s="298">
        <f>'[2]Foundation Grant'!$P$1</f>
        <v>1124565</v>
      </c>
      <c r="DJ28" s="297">
        <f>'[2]basic allocation'!$C$10</f>
        <v>18749</v>
      </c>
      <c r="DK28" s="297">
        <f>'[2]basic allocation'!$D$10</f>
        <v>9375</v>
      </c>
      <c r="DL28" s="297">
        <f>'[2]basic allocation'!$E$10</f>
        <v>9375</v>
      </c>
      <c r="DM28" s="297">
        <f>'[2]basic allocation'!$I$10</f>
        <v>938</v>
      </c>
      <c r="DN28" s="297">
        <f>'[2]basic allocation'!$J$10</f>
        <v>703</v>
      </c>
      <c r="DO28" s="297">
        <f>'[2]basic allocation'!$K$10</f>
        <v>469</v>
      </c>
      <c r="DP28" s="297">
        <f>'[2]basic allocation'!$L$10</f>
        <v>234</v>
      </c>
      <c r="DQ28" s="297">
        <f>'[2]basic allocation'!$M$10</f>
        <v>100</v>
      </c>
      <c r="DR28" s="296">
        <f>'[2]FTES Adjustment'!DQ35</f>
        <v>1390.4761440000148</v>
      </c>
      <c r="DS28" s="296">
        <f>'[2]FTES Adjustment'!DR35</f>
        <v>0</v>
      </c>
      <c r="DT28" s="296">
        <f>'[2]FTES Adjustment'!DS35</f>
        <v>0</v>
      </c>
      <c r="DU28" s="277">
        <f t="shared" si="14"/>
        <v>1390.4760000000001</v>
      </c>
      <c r="DV28" s="276">
        <f t="shared" si="15"/>
        <v>4568.4848039999997</v>
      </c>
      <c r="DW28" s="276">
        <f t="shared" si="16"/>
        <v>356.31</v>
      </c>
      <c r="DX28" s="276">
        <f t="shared" si="17"/>
        <v>201.18</v>
      </c>
      <c r="DY28" s="276">
        <f t="shared" si="18"/>
        <v>5125.9750000000004</v>
      </c>
      <c r="DZ28" s="295">
        <f>ROUND([2]FTES!$D35,3)</f>
        <v>94583.259000000005</v>
      </c>
      <c r="EA28" s="295">
        <f>ROUND([2]FTES!$M35,3)</f>
        <v>1934.42</v>
      </c>
      <c r="EB28" s="295">
        <f>ROUND([2]FTES!$V35,3)</f>
        <v>2909.02</v>
      </c>
      <c r="EC28" s="276">
        <f t="shared" si="19"/>
        <v>99426.698999999993</v>
      </c>
      <c r="ED28" s="133">
        <v>0</v>
      </c>
      <c r="EE28" s="294">
        <f>'[2]10-11 WkLd126M'!$E33</f>
        <v>11171059</v>
      </c>
      <c r="EF28" s="295">
        <f>'[2]FTES Adjustment'!CG35</f>
        <v>4568.4848039999997</v>
      </c>
      <c r="EG28" s="295">
        <f>'[2]FTES Adjustment'!CH35</f>
        <v>356.31</v>
      </c>
      <c r="EH28" s="295">
        <f>'[2]FTES Adjustment'!CI35</f>
        <v>201.18</v>
      </c>
      <c r="EI28" s="276">
        <f t="shared" si="20"/>
        <v>5125.9748040000004</v>
      </c>
      <c r="EJ28" s="294">
        <f>'[2]PBF Run'!$AT35</f>
        <v>0</v>
      </c>
      <c r="EK28" s="294">
        <f>'[2]11-12 Workload Reduction'!H35</f>
        <v>465415614</v>
      </c>
      <c r="EL28" s="294">
        <f>'[2]13-14 $86M Workload Restore'!AI33</f>
        <v>10380678</v>
      </c>
      <c r="EM28" s="294">
        <f>'[2]13-14 $86M Workload Restore'!AC33</f>
        <v>0</v>
      </c>
      <c r="EN28" s="294">
        <f>'[2]13-14 deferrals, growth, EPA 1'!BJ35</f>
        <v>74536779</v>
      </c>
      <c r="EO28" s="293">
        <f t="shared" si="21"/>
        <v>506765186</v>
      </c>
      <c r="EP28" s="292">
        <v>0</v>
      </c>
      <c r="EQ28" s="292">
        <v>0</v>
      </c>
      <c r="ER28" s="292">
        <v>0</v>
      </c>
      <c r="ES28" s="16">
        <f t="shared" si="22"/>
        <v>0</v>
      </c>
    </row>
    <row r="29" spans="1:149">
      <c r="A29" s="291" t="s">
        <v>257</v>
      </c>
      <c r="B29" s="290" t="str">
        <f t="shared" si="23"/>
        <v>P2</v>
      </c>
      <c r="C29" s="285" t="s">
        <v>347</v>
      </c>
      <c r="D29" s="289" t="s">
        <v>346</v>
      </c>
      <c r="E29" s="288">
        <f>ROUND('[2]PBF Run'!N36,6)</f>
        <v>4636.4928600000003</v>
      </c>
      <c r="F29" s="285">
        <f t="shared" si="24"/>
        <v>4675.9030433300004</v>
      </c>
      <c r="G29" s="285">
        <f t="shared" si="25"/>
        <v>2788.0536374600001</v>
      </c>
      <c r="H29" s="285">
        <f t="shared" si="26"/>
        <v>2811.7520933800001</v>
      </c>
      <c r="I29" s="285">
        <f t="shared" si="27"/>
        <v>3282.8110613200001</v>
      </c>
      <c r="J29" s="285">
        <f t="shared" si="28"/>
        <v>3310.71495534</v>
      </c>
      <c r="K29" s="308">
        <f>ROUND([2]FTES!C36,3)</f>
        <v>50013.025000000001</v>
      </c>
      <c r="L29" s="308">
        <f>ROUND([2]FTES!F36,3)</f>
        <v>0</v>
      </c>
      <c r="M29" s="308">
        <f>ROUND('[2]Growth Deficit'!AG36,3)</f>
        <v>0</v>
      </c>
      <c r="N29" s="308">
        <f>ROUND([2]FTES!I36,3)</f>
        <v>0</v>
      </c>
      <c r="O29" s="308">
        <f>ROUND([2]FTES!E36,3)</f>
        <v>51867.93</v>
      </c>
      <c r="P29" s="308">
        <f>ROUND([2]FTES!L36,3)</f>
        <v>20.34</v>
      </c>
      <c r="Q29" s="308">
        <f>ROUND([2]FTES!O36,3)</f>
        <v>0</v>
      </c>
      <c r="R29" s="308">
        <f>ROUND('[2]Growth Deficit'!$AH36,3)</f>
        <v>0</v>
      </c>
      <c r="S29" s="308">
        <f>ROUND([2]FTES!R36,3)</f>
        <v>0</v>
      </c>
      <c r="T29" s="308">
        <f>ROUND([2]FTES!N36,3)</f>
        <v>298.93</v>
      </c>
      <c r="U29" s="308">
        <f>ROUND([2]FTES!U36,3)</f>
        <v>0</v>
      </c>
      <c r="V29" s="308">
        <f>ROUND([2]FTES!X36,3)</f>
        <v>0</v>
      </c>
      <c r="W29" s="308">
        <f>ROUND('[2]Growth Deficit'!$AI36,3)</f>
        <v>0</v>
      </c>
      <c r="X29" s="308">
        <f>ROUND([2]FTES!AA36,3)</f>
        <v>0</v>
      </c>
      <c r="Y29" s="308">
        <f>ROUND([2]FTES!W36,3)</f>
        <v>0</v>
      </c>
      <c r="Z29" s="307">
        <f>'[2]FTES Adjustment'!CW36</f>
        <v>51867.929944999996</v>
      </c>
      <c r="AA29" s="307">
        <f>'[2]FTES Adjustment'!CX36</f>
        <v>298.92999999999995</v>
      </c>
      <c r="AB29" s="307">
        <f>'[2]FTES Adjustment'!CY36</f>
        <v>0</v>
      </c>
      <c r="AC29" s="275">
        <f t="shared" si="0"/>
        <v>50033.364999999998</v>
      </c>
      <c r="AD29" s="275">
        <f t="shared" si="1"/>
        <v>0</v>
      </c>
      <c r="AE29" s="275">
        <f t="shared" si="2"/>
        <v>0</v>
      </c>
      <c r="AF29" s="275">
        <f t="shared" si="3"/>
        <v>0</v>
      </c>
      <c r="AG29" s="275">
        <f t="shared" si="4"/>
        <v>52166.86</v>
      </c>
      <c r="AH29" s="275">
        <f t="shared" si="5"/>
        <v>52166.86</v>
      </c>
      <c r="AI29" s="302">
        <f>'[2]PBF Run'!F36</f>
        <v>19117599</v>
      </c>
      <c r="AJ29" s="302">
        <f>'[2]PBF Run'!H36+'[2]PBF Run'!I36+'[2]PBF Run'!J36+'[2]PBF Run'!L36</f>
        <v>231941742</v>
      </c>
      <c r="AK29" s="306">
        <f>'[2]PBF Run'!J36 + '[2]PBF Run'!$L36</f>
        <v>231885033</v>
      </c>
      <c r="AL29" s="302">
        <f>'[2]PBF Run'!H36</f>
        <v>56709</v>
      </c>
      <c r="AM29" s="302">
        <f>'[2]PBF Run'!I36</f>
        <v>0</v>
      </c>
      <c r="AN29" s="305">
        <f>'[2]Restoration and Growth'!BM36</f>
        <v>0</v>
      </c>
      <c r="AO29" s="278">
        <f t="shared" si="6"/>
        <v>251059341</v>
      </c>
      <c r="AP29" s="285" t="str">
        <f t="shared" si="29"/>
        <v>0.85%</v>
      </c>
      <c r="AQ29" s="302">
        <f>'[2]PBF Run'!O36</f>
        <v>2134004</v>
      </c>
      <c r="AR29" s="278">
        <f t="shared" si="7"/>
        <v>253193345</v>
      </c>
      <c r="AS29" s="302">
        <f>'[2]PBF Run'!$AD36</f>
        <v>0</v>
      </c>
      <c r="AT29" s="302">
        <f>'[2]PBF Run'!$T36</f>
        <v>0</v>
      </c>
      <c r="AU29" s="278">
        <f t="shared" si="8"/>
        <v>5309002</v>
      </c>
      <c r="AV29" s="304">
        <f>'[2]Restoration and Growth'!BT36</f>
        <v>0</v>
      </c>
      <c r="AW29" s="304" t="str">
        <f>'[2]Restoration and Growth'!AP36</f>
        <v>Y</v>
      </c>
      <c r="AX29" s="302">
        <f>'[2]Restoration and Growth'!CV36</f>
        <v>0</v>
      </c>
      <c r="AY29" s="302">
        <f>'[2]Growth Deficit'!$AO36</f>
        <v>0</v>
      </c>
      <c r="AZ29" s="302">
        <f>'[2]Growth Deficit'!AO36</f>
        <v>0</v>
      </c>
      <c r="BA29" s="302">
        <f>'[2]Growth Deficit'!AL36</f>
        <v>0</v>
      </c>
      <c r="BB29" s="302">
        <f>'[2]Growth Deficit'!AM36</f>
        <v>0</v>
      </c>
      <c r="BC29" s="302">
        <f>'[2]Growth Deficit'!AN36</f>
        <v>0</v>
      </c>
      <c r="BD29" s="302">
        <f>'[2]Growth Deficit'!AO36</f>
        <v>0</v>
      </c>
      <c r="BE29" s="302">
        <f>'[2]PBF Run'!AA36</f>
        <v>0</v>
      </c>
      <c r="BF29" s="302">
        <f>'[2]PBF Run'!AB36</f>
        <v>0</v>
      </c>
      <c r="BG29" s="302">
        <f>'[2]PBF Run'!AC36</f>
        <v>0</v>
      </c>
      <c r="BH29" s="302">
        <f>'[2]PBF Run'!AD36</f>
        <v>0</v>
      </c>
      <c r="BI29" s="278">
        <f t="shared" si="9"/>
        <v>0</v>
      </c>
      <c r="BJ29" s="302">
        <f>'[2]PBF Run'!X36</f>
        <v>0</v>
      </c>
      <c r="BK29" s="302">
        <f>'[2]PBF Run'!AE36</f>
        <v>262650027</v>
      </c>
      <c r="BL29" s="282">
        <f t="shared" si="10"/>
        <v>0.9851854193793782</v>
      </c>
      <c r="BM29" s="302">
        <f>'[2]PBF Run'!AM36</f>
        <v>3891050</v>
      </c>
      <c r="BN29" s="302">
        <f>'[2]PBF Run'!$AN36</f>
        <v>147666480</v>
      </c>
      <c r="BO29" s="302">
        <f>'[2]PBF Run'!$AO36</f>
        <v>0</v>
      </c>
      <c r="BP29" s="302">
        <f>'[2]PBF Run'!AC36</f>
        <v>0</v>
      </c>
      <c r="BQ29" s="278">
        <f t="shared" si="11"/>
        <v>147666480</v>
      </c>
      <c r="BR29" s="302">
        <f>'[2]PBF Run'!AJ36</f>
        <v>55557109</v>
      </c>
      <c r="BS29" s="302">
        <f>'[2]PBF Run'!AI36</f>
        <v>14963861</v>
      </c>
      <c r="BT29" s="302">
        <f>'[2]PBF Run'!$AN36</f>
        <v>147666480</v>
      </c>
      <c r="BU29" s="302">
        <f>'[2]PBF Run'!$AN36</f>
        <v>147666480</v>
      </c>
      <c r="BV29" s="302">
        <f>'[2]PBF Run'!BI36</f>
        <v>0</v>
      </c>
      <c r="BW29" s="303">
        <f>'[2]PBF Run'!BH36</f>
        <v>0</v>
      </c>
      <c r="BX29" s="278">
        <f t="shared" si="30"/>
        <v>69532</v>
      </c>
      <c r="BY29" s="278">
        <f t="shared" si="12"/>
        <v>147666480</v>
      </c>
      <c r="BZ29" s="302">
        <f>'[2]As of 13-14 R1'!BP36</f>
        <v>0</v>
      </c>
      <c r="CA29" s="302">
        <f>'[2]As of 13-14 R1'!BQ36</f>
        <v>0</v>
      </c>
      <c r="CB29" s="302">
        <f>'[2]As of 13-14 R1'!BR36</f>
        <v>0</v>
      </c>
      <c r="CC29" s="278">
        <f t="shared" si="13"/>
        <v>0</v>
      </c>
      <c r="CD29" s="301">
        <f>'[2]Growth Deficit'!$D$2</f>
        <v>0</v>
      </c>
      <c r="CE29" s="300">
        <f>IF($CS29="S",'[2]Foundation Grant'!C36,0)</f>
        <v>0</v>
      </c>
      <c r="CF29" s="300">
        <f>IF($CS29="S",'[2]Foundation Grant'!D36,0)</f>
        <v>0</v>
      </c>
      <c r="CG29" s="300">
        <f>IF($CS29="S",'[2]Foundation Grant'!E36,0)</f>
        <v>0</v>
      </c>
      <c r="CH29" s="300">
        <f>IF($CS29="S",'[2]Foundation Grant'!F36,0)</f>
        <v>0</v>
      </c>
      <c r="CI29" s="300">
        <f>IF($CS29="M",'[2]Foundation Grant'!C36,0)</f>
        <v>1</v>
      </c>
      <c r="CJ29" s="300">
        <f>IF($CS29="M",'[2]Foundation Grant'!D36,0)</f>
        <v>2</v>
      </c>
      <c r="CK29" s="300">
        <f>IF($CS29="M",'[2]Foundation Grant'!E36,0)</f>
        <v>1</v>
      </c>
      <c r="CL29" s="300">
        <f>IF($CS29="M",'[2]Foundation Grant'!F36,0)</f>
        <v>4</v>
      </c>
      <c r="CM29" s="300">
        <f>'[2]Foundation Grant'!G36</f>
        <v>1</v>
      </c>
      <c r="CN29" s="300">
        <f>'[2]Foundation Grant'!H36</f>
        <v>0</v>
      </c>
      <c r="CO29" s="300">
        <f>'[2]Foundation Grant'!I36</f>
        <v>0</v>
      </c>
      <c r="CP29" s="300">
        <f>'[2]Foundation Grant'!J36</f>
        <v>0</v>
      </c>
      <c r="CQ29" s="300">
        <f>'[2]Foundation Grant'!K36</f>
        <v>0</v>
      </c>
      <c r="CR29" s="299">
        <f>'[2]Foundation Grant'!L36</f>
        <v>1</v>
      </c>
      <c r="CS29" s="300" t="str">
        <f>'[2]Foundation Grant'!M36</f>
        <v>M</v>
      </c>
      <c r="CT29" s="300">
        <f>'[2]Foundation Grant'!N36</f>
        <v>19117599</v>
      </c>
      <c r="CU29" s="299">
        <f>'[2]Foundation Grant'!O36</f>
        <v>0</v>
      </c>
      <c r="CV29" s="299">
        <f>'[2]Foundation Grant'!P36</f>
        <v>2</v>
      </c>
      <c r="CW29" s="298">
        <f>'[2]Foundation Grant'!$C$1</f>
        <v>5622823</v>
      </c>
      <c r="CX29" s="298">
        <f>'[2]Foundation Grant'!$D$1</f>
        <v>4498258</v>
      </c>
      <c r="CY29" s="298">
        <f>'[2]Foundation Grant'!$E$1</f>
        <v>3373694</v>
      </c>
      <c r="CZ29" s="298">
        <f>'[2]Foundation Grant'!$C$2</f>
        <v>4498258</v>
      </c>
      <c r="DA29" s="298">
        <f>'[2]Foundation Grant'!$D$2</f>
        <v>3935976</v>
      </c>
      <c r="DB29" s="298">
        <f>'[2]Foundation Grant'!$E$2</f>
        <v>3373694</v>
      </c>
      <c r="DC29" s="298">
        <f>'[2]Foundation Grant'!$G$1</f>
        <v>1124565</v>
      </c>
      <c r="DD29" s="298">
        <f>'[2]Foundation Grant'!$H$1</f>
        <v>843423</v>
      </c>
      <c r="DE29" s="298">
        <f>'[2]Foundation Grant'!$I$1</f>
        <v>562282</v>
      </c>
      <c r="DF29" s="298">
        <f>'[2]Foundation Grant'!$J$1</f>
        <v>281141</v>
      </c>
      <c r="DG29" s="298">
        <f>'[2]Foundation Grant'!$K$1</f>
        <v>140571</v>
      </c>
      <c r="DH29" s="298">
        <f>'[2]Foundation Grant'!$O$1</f>
        <v>562282</v>
      </c>
      <c r="DI29" s="298">
        <f>'[2]Foundation Grant'!$P$1</f>
        <v>1124565</v>
      </c>
      <c r="DJ29" s="297">
        <f>'[2]basic allocation'!$C$10</f>
        <v>18749</v>
      </c>
      <c r="DK29" s="297">
        <f>'[2]basic allocation'!$D$10</f>
        <v>9375</v>
      </c>
      <c r="DL29" s="297">
        <f>'[2]basic allocation'!$E$10</f>
        <v>9375</v>
      </c>
      <c r="DM29" s="297">
        <f>'[2]basic allocation'!$I$10</f>
        <v>938</v>
      </c>
      <c r="DN29" s="297">
        <f>'[2]basic allocation'!$J$10</f>
        <v>703</v>
      </c>
      <c r="DO29" s="297">
        <f>'[2]basic allocation'!$K$10</f>
        <v>469</v>
      </c>
      <c r="DP29" s="297">
        <f>'[2]basic allocation'!$L$10</f>
        <v>234</v>
      </c>
      <c r="DQ29" s="297">
        <f>'[2]basic allocation'!$M$10</f>
        <v>100</v>
      </c>
      <c r="DR29" s="296">
        <f>'[2]FTES Adjustment'!DQ36</f>
        <v>5.5000004067551345E-5</v>
      </c>
      <c r="DS29" s="296">
        <f>'[2]FTES Adjustment'!DR36</f>
        <v>0</v>
      </c>
      <c r="DT29" s="296">
        <f>'[2]FTES Adjustment'!DS36</f>
        <v>0</v>
      </c>
      <c r="DU29" s="277">
        <f t="shared" si="14"/>
        <v>0</v>
      </c>
      <c r="DV29" s="276">
        <f t="shared" si="15"/>
        <v>1854.9050139999999</v>
      </c>
      <c r="DW29" s="276">
        <f t="shared" si="16"/>
        <v>278.58999999999997</v>
      </c>
      <c r="DX29" s="276">
        <f t="shared" si="17"/>
        <v>0</v>
      </c>
      <c r="DY29" s="276">
        <f t="shared" si="18"/>
        <v>2133.4949999999999</v>
      </c>
      <c r="DZ29" s="295">
        <f>ROUND([2]FTES!$D36,3)</f>
        <v>50013.025000000001</v>
      </c>
      <c r="EA29" s="295">
        <f>ROUND([2]FTES!$M36,3)</f>
        <v>20.34</v>
      </c>
      <c r="EB29" s="295">
        <f>ROUND([2]FTES!$V36,3)</f>
        <v>0</v>
      </c>
      <c r="EC29" s="276">
        <f t="shared" si="19"/>
        <v>50033.364999999998</v>
      </c>
      <c r="ED29" s="133">
        <v>0</v>
      </c>
      <c r="EE29" s="294">
        <f>'[2]10-11 WkLd126M'!$E34</f>
        <v>5754330</v>
      </c>
      <c r="EF29" s="295">
        <f>'[2]FTES Adjustment'!CG36</f>
        <v>1854.9050139999999</v>
      </c>
      <c r="EG29" s="295">
        <f>'[2]FTES Adjustment'!CH36</f>
        <v>278.58999999999997</v>
      </c>
      <c r="EH29" s="295">
        <f>'[2]FTES Adjustment'!CI36</f>
        <v>0</v>
      </c>
      <c r="EI29" s="276">
        <f t="shared" si="20"/>
        <v>2133.4950140000001</v>
      </c>
      <c r="EJ29" s="294">
        <f>'[2]PBF Run'!$AT36</f>
        <v>0</v>
      </c>
      <c r="EK29" s="294">
        <f>'[2]11-12 Workload Reduction'!H36</f>
        <v>238028047</v>
      </c>
      <c r="EL29" s="294">
        <f>'[2]13-14 $86M Workload Restore'!AI34</f>
        <v>5309002</v>
      </c>
      <c r="EM29" s="294">
        <f>'[2]13-14 $86M Workload Restore'!AC34</f>
        <v>0</v>
      </c>
      <c r="EN29" s="294">
        <f>'[2]13-14 deferrals, growth, EPA 1'!BJ36</f>
        <v>37920228</v>
      </c>
      <c r="EO29" s="293">
        <f t="shared" si="21"/>
        <v>258758977</v>
      </c>
      <c r="EP29" s="292">
        <v>0</v>
      </c>
      <c r="EQ29" s="292">
        <v>0</v>
      </c>
      <c r="ER29" s="292">
        <v>0</v>
      </c>
      <c r="ES29" s="16">
        <f t="shared" si="22"/>
        <v>0</v>
      </c>
    </row>
    <row r="30" spans="1:149">
      <c r="A30" s="291" t="s">
        <v>257</v>
      </c>
      <c r="B30" s="290" t="str">
        <f t="shared" si="23"/>
        <v>P2</v>
      </c>
      <c r="C30" s="285" t="s">
        <v>345</v>
      </c>
      <c r="D30" s="289" t="s">
        <v>344</v>
      </c>
      <c r="E30" s="288">
        <f>ROUND('[2]PBF Run'!N37,6)</f>
        <v>5250.9259510000002</v>
      </c>
      <c r="F30" s="285">
        <f t="shared" si="24"/>
        <v>4675.9030433300004</v>
      </c>
      <c r="G30" s="285">
        <f t="shared" si="25"/>
        <v>2788.0536374600001</v>
      </c>
      <c r="H30" s="285">
        <f t="shared" si="26"/>
        <v>2811.7520933800001</v>
      </c>
      <c r="I30" s="285">
        <f t="shared" si="27"/>
        <v>3282.8110613200001</v>
      </c>
      <c r="J30" s="285">
        <f t="shared" si="28"/>
        <v>3310.71495534</v>
      </c>
      <c r="K30" s="308">
        <f>ROUND([2]FTES!C37,3)</f>
        <v>4133.59</v>
      </c>
      <c r="L30" s="308">
        <f>ROUND([2]FTES!F37,3)</f>
        <v>0</v>
      </c>
      <c r="M30" s="308">
        <f>ROUND('[2]Growth Deficit'!AG37,3)</f>
        <v>0</v>
      </c>
      <c r="N30" s="308">
        <f>ROUND([2]FTES!I37,3)</f>
        <v>-397.57</v>
      </c>
      <c r="O30" s="308">
        <f>ROUND([2]FTES!E37,3)</f>
        <v>3736.02</v>
      </c>
      <c r="P30" s="308">
        <f>ROUND([2]FTES!L37,3)</f>
        <v>232.45</v>
      </c>
      <c r="Q30" s="308">
        <f>ROUND([2]FTES!O37,3)</f>
        <v>0</v>
      </c>
      <c r="R30" s="308">
        <f>ROUND('[2]Growth Deficit'!$AH37,3)</f>
        <v>0</v>
      </c>
      <c r="S30" s="308">
        <f>ROUND([2]FTES!R37,3)</f>
        <v>-65.489999999999995</v>
      </c>
      <c r="T30" s="308">
        <f>ROUND([2]FTES!N37,3)</f>
        <v>166.96</v>
      </c>
      <c r="U30" s="308">
        <f>ROUND([2]FTES!U37,3)</f>
        <v>0</v>
      </c>
      <c r="V30" s="308">
        <f>ROUND([2]FTES!X37,3)</f>
        <v>0</v>
      </c>
      <c r="W30" s="308">
        <f>ROUND('[2]Growth Deficit'!$AI37,3)</f>
        <v>0</v>
      </c>
      <c r="X30" s="308">
        <f>ROUND([2]FTES!AA37,3)</f>
        <v>0</v>
      </c>
      <c r="Y30" s="308">
        <f>ROUND([2]FTES!W37,3)</f>
        <v>0</v>
      </c>
      <c r="Z30" s="307">
        <f>'[2]FTES Adjustment'!CW37</f>
        <v>3736.0199999999991</v>
      </c>
      <c r="AA30" s="307">
        <f>'[2]FTES Adjustment'!CX37</f>
        <v>166.95999999999998</v>
      </c>
      <c r="AB30" s="307">
        <f>'[2]FTES Adjustment'!CY37</f>
        <v>0</v>
      </c>
      <c r="AC30" s="275">
        <f t="shared" si="0"/>
        <v>4366.04</v>
      </c>
      <c r="AD30" s="275">
        <f t="shared" si="1"/>
        <v>0</v>
      </c>
      <c r="AE30" s="275">
        <f t="shared" si="2"/>
        <v>0</v>
      </c>
      <c r="AF30" s="275">
        <f t="shared" si="3"/>
        <v>-463.06</v>
      </c>
      <c r="AG30" s="275">
        <f t="shared" si="4"/>
        <v>3902.98</v>
      </c>
      <c r="AH30" s="275">
        <f t="shared" si="5"/>
        <v>3902.98</v>
      </c>
      <c r="AI30" s="302">
        <f>'[2]PBF Run'!F37</f>
        <v>3373694</v>
      </c>
      <c r="AJ30" s="302">
        <f>'[2]PBF Run'!H37+'[2]PBF Run'!I37+'[2]PBF Run'!J37+'[2]PBF Run'!L37</f>
        <v>22353258</v>
      </c>
      <c r="AK30" s="306">
        <f>'[2]PBF Run'!J37 + '[2]PBF Run'!$L37</f>
        <v>21705175</v>
      </c>
      <c r="AL30" s="302">
        <f>'[2]PBF Run'!H37</f>
        <v>648083</v>
      </c>
      <c r="AM30" s="302">
        <f>'[2]PBF Run'!I37</f>
        <v>0</v>
      </c>
      <c r="AN30" s="305">
        <f>'[2]Restoration and Growth'!BM37</f>
        <v>-2025920.674268716</v>
      </c>
      <c r="AO30" s="278">
        <f t="shared" si="6"/>
        <v>23701031.325731285</v>
      </c>
      <c r="AP30" s="285" t="str">
        <f t="shared" si="29"/>
        <v>0.85%</v>
      </c>
      <c r="AQ30" s="302">
        <f>'[2]PBF Run'!O37</f>
        <v>201459</v>
      </c>
      <c r="AR30" s="278">
        <f t="shared" si="7"/>
        <v>23902490.325731285</v>
      </c>
      <c r="AS30" s="302">
        <f>'[2]PBF Run'!$AD37</f>
        <v>0</v>
      </c>
      <c r="AT30" s="302">
        <f>'[2]PBF Run'!$T37</f>
        <v>0</v>
      </c>
      <c r="AU30" s="278">
        <f t="shared" si="8"/>
        <v>0</v>
      </c>
      <c r="AV30" s="304">
        <f>'[2]Restoration and Growth'!BT37</f>
        <v>0</v>
      </c>
      <c r="AW30" s="304" t="str">
        <f>'[2]Restoration and Growth'!AP37</f>
        <v>Y</v>
      </c>
      <c r="AX30" s="302">
        <f>'[2]Restoration and Growth'!CV37</f>
        <v>0</v>
      </c>
      <c r="AY30" s="302">
        <f>'[2]Growth Deficit'!$AO37</f>
        <v>0</v>
      </c>
      <c r="AZ30" s="302">
        <f>'[2]Growth Deficit'!AO37</f>
        <v>0</v>
      </c>
      <c r="BA30" s="302">
        <f>'[2]Growth Deficit'!AL37</f>
        <v>0</v>
      </c>
      <c r="BB30" s="302">
        <f>'[2]Growth Deficit'!AM37</f>
        <v>0</v>
      </c>
      <c r="BC30" s="302">
        <f>'[2]Growth Deficit'!AN37</f>
        <v>0</v>
      </c>
      <c r="BD30" s="302">
        <f>'[2]Growth Deficit'!AO37</f>
        <v>0</v>
      </c>
      <c r="BE30" s="302">
        <f>'[2]PBF Run'!AA37</f>
        <v>0</v>
      </c>
      <c r="BF30" s="302">
        <f>'[2]PBF Run'!AB37</f>
        <v>0</v>
      </c>
      <c r="BG30" s="302">
        <f>'[2]PBF Run'!AC37</f>
        <v>0</v>
      </c>
      <c r="BH30" s="302">
        <f>'[2]PBF Run'!AD37</f>
        <v>0</v>
      </c>
      <c r="BI30" s="278">
        <f t="shared" si="9"/>
        <v>0</v>
      </c>
      <c r="BJ30" s="302">
        <f>'[2]PBF Run'!X37</f>
        <v>2043141</v>
      </c>
      <c r="BK30" s="302">
        <f>'[2]PBF Run'!AE37</f>
        <v>25945631</v>
      </c>
      <c r="BL30" s="282">
        <f t="shared" si="10"/>
        <v>1</v>
      </c>
      <c r="BM30" s="302">
        <f>'[2]PBF Run'!AM37</f>
        <v>0</v>
      </c>
      <c r="BN30" s="302">
        <f>'[2]PBF Run'!$AN37</f>
        <v>0</v>
      </c>
      <c r="BO30" s="302">
        <f>'[2]PBF Run'!$AO37</f>
        <v>20734918</v>
      </c>
      <c r="BP30" s="302">
        <f>'[2]PBF Run'!AC37</f>
        <v>0</v>
      </c>
      <c r="BQ30" s="278">
        <f t="shared" si="11"/>
        <v>0</v>
      </c>
      <c r="BR30" s="302">
        <f>'[2]PBF Run'!AJ37</f>
        <v>44652773</v>
      </c>
      <c r="BS30" s="302">
        <f>'[2]PBF Run'!AI37</f>
        <v>1637478</v>
      </c>
      <c r="BT30" s="302">
        <f>'[2]PBF Run'!$AN37</f>
        <v>0</v>
      </c>
      <c r="BU30" s="302">
        <f>'[2]PBF Run'!$AN37</f>
        <v>0</v>
      </c>
      <c r="BV30" s="302">
        <f>'[2]PBF Run'!BI37</f>
        <v>0</v>
      </c>
      <c r="BW30" s="303">
        <f>'[2]PBF Run'!BH37</f>
        <v>0</v>
      </c>
      <c r="BX30" s="278">
        <f t="shared" si="30"/>
        <v>69532</v>
      </c>
      <c r="BY30" s="278">
        <f t="shared" si="12"/>
        <v>0</v>
      </c>
      <c r="BZ30" s="302">
        <f>'[2]As of 13-14 R1'!BP37</f>
        <v>250224</v>
      </c>
      <c r="CA30" s="302">
        <f>'[2]As of 13-14 R1'!BQ37</f>
        <v>1564916</v>
      </c>
      <c r="CB30" s="302">
        <f>'[2]As of 13-14 R1'!BR37</f>
        <v>1523043</v>
      </c>
      <c r="CC30" s="278">
        <f t="shared" si="13"/>
        <v>3338183</v>
      </c>
      <c r="CD30" s="301">
        <f>'[2]Growth Deficit'!$D$2</f>
        <v>0</v>
      </c>
      <c r="CE30" s="300">
        <f>IF($CS30="S",'[2]Foundation Grant'!C37,0)</f>
        <v>0</v>
      </c>
      <c r="CF30" s="300">
        <f>IF($CS30="S",'[2]Foundation Grant'!D37,0)</f>
        <v>0</v>
      </c>
      <c r="CG30" s="300">
        <f>IF($CS30="S",'[2]Foundation Grant'!E37,0)</f>
        <v>1</v>
      </c>
      <c r="CH30" s="300">
        <f>IF($CS30="S",'[2]Foundation Grant'!F37,0)</f>
        <v>1</v>
      </c>
      <c r="CI30" s="300">
        <f>IF($CS30="M",'[2]Foundation Grant'!C37,0)</f>
        <v>0</v>
      </c>
      <c r="CJ30" s="300">
        <f>IF($CS30="M",'[2]Foundation Grant'!D37,0)</f>
        <v>0</v>
      </c>
      <c r="CK30" s="300">
        <f>IF($CS30="M",'[2]Foundation Grant'!E37,0)</f>
        <v>0</v>
      </c>
      <c r="CL30" s="300">
        <f>IF($CS30="M",'[2]Foundation Grant'!F37,0)</f>
        <v>0</v>
      </c>
      <c r="CM30" s="300">
        <f>'[2]Foundation Grant'!G37</f>
        <v>0</v>
      </c>
      <c r="CN30" s="300">
        <f>'[2]Foundation Grant'!H37</f>
        <v>0</v>
      </c>
      <c r="CO30" s="300">
        <f>'[2]Foundation Grant'!I37</f>
        <v>0</v>
      </c>
      <c r="CP30" s="300">
        <f>'[2]Foundation Grant'!J37</f>
        <v>0</v>
      </c>
      <c r="CQ30" s="300">
        <f>'[2]Foundation Grant'!K37</f>
        <v>0</v>
      </c>
      <c r="CR30" s="299">
        <f>'[2]Foundation Grant'!L37</f>
        <v>0</v>
      </c>
      <c r="CS30" s="300" t="str">
        <f>'[2]Foundation Grant'!M37</f>
        <v>S</v>
      </c>
      <c r="CT30" s="300">
        <f>'[2]Foundation Grant'!N37</f>
        <v>3373694</v>
      </c>
      <c r="CU30" s="299">
        <f>'[2]Foundation Grant'!O37</f>
        <v>0</v>
      </c>
      <c r="CV30" s="299">
        <f>'[2]Foundation Grant'!P37</f>
        <v>0</v>
      </c>
      <c r="CW30" s="298">
        <f>'[2]Foundation Grant'!$C$1</f>
        <v>5622823</v>
      </c>
      <c r="CX30" s="298">
        <f>'[2]Foundation Grant'!$D$1</f>
        <v>4498258</v>
      </c>
      <c r="CY30" s="298">
        <f>'[2]Foundation Grant'!$E$1</f>
        <v>3373694</v>
      </c>
      <c r="CZ30" s="298">
        <f>'[2]Foundation Grant'!$C$2</f>
        <v>4498258</v>
      </c>
      <c r="DA30" s="298">
        <f>'[2]Foundation Grant'!$D$2</f>
        <v>3935976</v>
      </c>
      <c r="DB30" s="298">
        <f>'[2]Foundation Grant'!$E$2</f>
        <v>3373694</v>
      </c>
      <c r="DC30" s="298">
        <f>'[2]Foundation Grant'!$G$1</f>
        <v>1124565</v>
      </c>
      <c r="DD30" s="298">
        <f>'[2]Foundation Grant'!$H$1</f>
        <v>843423</v>
      </c>
      <c r="DE30" s="298">
        <f>'[2]Foundation Grant'!$I$1</f>
        <v>562282</v>
      </c>
      <c r="DF30" s="298">
        <f>'[2]Foundation Grant'!$J$1</f>
        <v>281141</v>
      </c>
      <c r="DG30" s="298">
        <f>'[2]Foundation Grant'!$K$1</f>
        <v>140571</v>
      </c>
      <c r="DH30" s="298">
        <f>'[2]Foundation Grant'!$O$1</f>
        <v>562282</v>
      </c>
      <c r="DI30" s="298">
        <f>'[2]Foundation Grant'!$P$1</f>
        <v>1124565</v>
      </c>
      <c r="DJ30" s="297">
        <f>'[2]basic allocation'!$C$10</f>
        <v>18749</v>
      </c>
      <c r="DK30" s="297">
        <f>'[2]basic allocation'!$D$10</f>
        <v>9375</v>
      </c>
      <c r="DL30" s="297">
        <f>'[2]basic allocation'!$E$10</f>
        <v>9375</v>
      </c>
      <c r="DM30" s="297">
        <f>'[2]basic allocation'!$I$10</f>
        <v>938</v>
      </c>
      <c r="DN30" s="297">
        <f>'[2]basic allocation'!$J$10</f>
        <v>703</v>
      </c>
      <c r="DO30" s="297">
        <f>'[2]basic allocation'!$K$10</f>
        <v>469</v>
      </c>
      <c r="DP30" s="297">
        <f>'[2]basic allocation'!$L$10</f>
        <v>234</v>
      </c>
      <c r="DQ30" s="297">
        <f>'[2]basic allocation'!$M$10</f>
        <v>100</v>
      </c>
      <c r="DR30" s="296">
        <f>'[2]FTES Adjustment'!DQ37</f>
        <v>0</v>
      </c>
      <c r="DS30" s="296">
        <f>'[2]FTES Adjustment'!DR37</f>
        <v>0</v>
      </c>
      <c r="DT30" s="296">
        <f>'[2]FTES Adjustment'!DS37</f>
        <v>0</v>
      </c>
      <c r="DU30" s="277">
        <f t="shared" si="14"/>
        <v>0</v>
      </c>
      <c r="DV30" s="276">
        <f t="shared" si="15"/>
        <v>0</v>
      </c>
      <c r="DW30" s="276">
        <f t="shared" si="16"/>
        <v>0</v>
      </c>
      <c r="DX30" s="276">
        <f t="shared" si="17"/>
        <v>0</v>
      </c>
      <c r="DY30" s="276">
        <f t="shared" si="18"/>
        <v>0</v>
      </c>
      <c r="DZ30" s="295">
        <f>ROUND([2]FTES!$D37,3)</f>
        <v>4133.59</v>
      </c>
      <c r="EA30" s="295">
        <f>ROUND([2]FTES!$M37,3)</f>
        <v>232.45</v>
      </c>
      <c r="EB30" s="295">
        <f>ROUND([2]FTES!$V37,3)</f>
        <v>0</v>
      </c>
      <c r="EC30" s="276">
        <f t="shared" si="19"/>
        <v>4366.04</v>
      </c>
      <c r="ED30" s="133">
        <v>0</v>
      </c>
      <c r="EE30" s="294">
        <f>'[2]10-11 WkLd126M'!$E35</f>
        <v>0</v>
      </c>
      <c r="EF30" s="295">
        <f>'[2]FTES Adjustment'!CG37</f>
        <v>0</v>
      </c>
      <c r="EG30" s="295">
        <f>'[2]FTES Adjustment'!CH37</f>
        <v>0</v>
      </c>
      <c r="EH30" s="295">
        <f>'[2]FTES Adjustment'!CI37</f>
        <v>0</v>
      </c>
      <c r="EI30" s="276">
        <f t="shared" si="20"/>
        <v>0</v>
      </c>
      <c r="EJ30" s="294">
        <f>'[2]PBF Run'!$AT37</f>
        <v>0</v>
      </c>
      <c r="EK30" s="294">
        <f>'[2]11-12 Workload Reduction'!H37</f>
        <v>26531409</v>
      </c>
      <c r="EL30" s="294">
        <f>'[2]13-14 $86M Workload Restore'!AI35</f>
        <v>0</v>
      </c>
      <c r="EM30" s="294">
        <f>'[2]13-14 $86M Workload Restore'!AC35</f>
        <v>0</v>
      </c>
      <c r="EN30" s="294">
        <f>'[2]13-14 deferrals, growth, EPA 1'!BJ37</f>
        <v>437646</v>
      </c>
      <c r="EO30" s="293">
        <f t="shared" si="21"/>
        <v>25945631</v>
      </c>
      <c r="EP30" s="292">
        <v>0</v>
      </c>
      <c r="EQ30" s="292">
        <v>0</v>
      </c>
      <c r="ER30" s="292">
        <v>0</v>
      </c>
      <c r="ES30" s="16">
        <f t="shared" si="22"/>
        <v>0</v>
      </c>
    </row>
    <row r="31" spans="1:149">
      <c r="A31" s="291" t="s">
        <v>257</v>
      </c>
      <c r="B31" s="290" t="str">
        <f t="shared" si="23"/>
        <v>P2</v>
      </c>
      <c r="C31" s="285" t="s">
        <v>343</v>
      </c>
      <c r="D31" s="289" t="s">
        <v>342</v>
      </c>
      <c r="E31" s="288">
        <f>ROUND('[2]PBF Run'!N38,6)</f>
        <v>4636.4927269999998</v>
      </c>
      <c r="F31" s="285">
        <f t="shared" si="24"/>
        <v>4675.9030433300004</v>
      </c>
      <c r="G31" s="285">
        <f t="shared" si="25"/>
        <v>2788.0536374600001</v>
      </c>
      <c r="H31" s="285">
        <f t="shared" si="26"/>
        <v>2811.7520933800001</v>
      </c>
      <c r="I31" s="285">
        <f t="shared" si="27"/>
        <v>3282.8110613200001</v>
      </c>
      <c r="J31" s="285">
        <f t="shared" si="28"/>
        <v>3310.71495534</v>
      </c>
      <c r="K31" s="308">
        <f>ROUND([2]FTES!C38,3)</f>
        <v>2254.23</v>
      </c>
      <c r="L31" s="308">
        <f>ROUND([2]FTES!F38,3)</f>
        <v>315.74700000000001</v>
      </c>
      <c r="M31" s="308">
        <f>ROUND('[2]Growth Deficit'!AG38,3)</f>
        <v>0</v>
      </c>
      <c r="N31" s="308">
        <f>ROUND([2]FTES!I38,3)</f>
        <v>0</v>
      </c>
      <c r="O31" s="308">
        <f>ROUND([2]FTES!E38,3)</f>
        <v>2571.08</v>
      </c>
      <c r="P31" s="308">
        <f>ROUND([2]FTES!L38,3)</f>
        <v>35.14</v>
      </c>
      <c r="Q31" s="308">
        <f>ROUND([2]FTES!O38,3)</f>
        <v>0</v>
      </c>
      <c r="R31" s="308">
        <f>ROUND('[2]Growth Deficit'!$AH38,3)</f>
        <v>0</v>
      </c>
      <c r="S31" s="308">
        <f>ROUND([2]FTES!R38,3)</f>
        <v>0</v>
      </c>
      <c r="T31" s="308">
        <f>ROUND([2]FTES!N38,3)</f>
        <v>40.5</v>
      </c>
      <c r="U31" s="308">
        <f>ROUND([2]FTES!U38,3)</f>
        <v>54.6</v>
      </c>
      <c r="V31" s="308">
        <f>ROUND([2]FTES!X38,3)</f>
        <v>0</v>
      </c>
      <c r="W31" s="308">
        <f>ROUND('[2]Growth Deficit'!$AI38,3)</f>
        <v>0</v>
      </c>
      <c r="X31" s="308">
        <f>ROUND([2]FTES!AA38,3)</f>
        <v>0</v>
      </c>
      <c r="Y31" s="308">
        <f>ROUND([2]FTES!W38,3)</f>
        <v>48.49</v>
      </c>
      <c r="Z31" s="307">
        <f>'[2]FTES Adjustment'!CW38</f>
        <v>2571.0800260000001</v>
      </c>
      <c r="AA31" s="307">
        <f>'[2]FTES Adjustment'!CX38</f>
        <v>40.5</v>
      </c>
      <c r="AB31" s="307">
        <f>'[2]FTES Adjustment'!CY38</f>
        <v>48.49</v>
      </c>
      <c r="AC31" s="275">
        <f t="shared" si="0"/>
        <v>2343.9699999999998</v>
      </c>
      <c r="AD31" s="275">
        <f t="shared" si="1"/>
        <v>315.74700000000001</v>
      </c>
      <c r="AE31" s="275">
        <f t="shared" si="2"/>
        <v>0</v>
      </c>
      <c r="AF31" s="275">
        <f t="shared" si="3"/>
        <v>0</v>
      </c>
      <c r="AG31" s="275">
        <f t="shared" si="4"/>
        <v>2660.07</v>
      </c>
      <c r="AH31" s="275">
        <f t="shared" si="5"/>
        <v>2660.07</v>
      </c>
      <c r="AI31" s="302">
        <f>'[2]PBF Run'!F38</f>
        <v>4498258</v>
      </c>
      <c r="AJ31" s="302">
        <f>'[2]PBF Run'!H38+'[2]PBF Run'!I38+'[2]PBF Run'!J38+'[2]PBF Run'!L38</f>
        <v>10728934</v>
      </c>
      <c r="AK31" s="306">
        <f>'[2]PBF Run'!J38 + '[2]PBF Run'!$L38</f>
        <v>10451721</v>
      </c>
      <c r="AL31" s="302">
        <f>'[2]PBF Run'!H38</f>
        <v>97972</v>
      </c>
      <c r="AM31" s="302">
        <f>'[2]PBF Run'!I38</f>
        <v>179241</v>
      </c>
      <c r="AN31" s="305">
        <f>'[2]Restoration and Growth'!BM38</f>
        <v>0</v>
      </c>
      <c r="AO31" s="278">
        <f t="shared" si="6"/>
        <v>15227192</v>
      </c>
      <c r="AP31" s="285" t="str">
        <f t="shared" si="29"/>
        <v>0.85%</v>
      </c>
      <c r="AQ31" s="302">
        <f>'[2]PBF Run'!O38</f>
        <v>129431</v>
      </c>
      <c r="AR31" s="278">
        <f t="shared" si="7"/>
        <v>15356623</v>
      </c>
      <c r="AS31" s="302">
        <f>'[2]PBF Run'!$AD38</f>
        <v>0</v>
      </c>
      <c r="AT31" s="302">
        <f>'[2]PBF Run'!$T38</f>
        <v>1476403</v>
      </c>
      <c r="AU31" s="278">
        <f t="shared" si="8"/>
        <v>1476403</v>
      </c>
      <c r="AV31" s="304">
        <f>'[2]Restoration and Growth'!BT38</f>
        <v>0</v>
      </c>
      <c r="AW31" s="304" t="str">
        <f>'[2]Restoration and Growth'!AP38</f>
        <v>N</v>
      </c>
      <c r="AX31" s="302">
        <f>'[2]Restoration and Growth'!CV38</f>
        <v>0</v>
      </c>
      <c r="AY31" s="302">
        <f>'[2]Growth Deficit'!$AO38</f>
        <v>0</v>
      </c>
      <c r="AZ31" s="302">
        <f>'[2]Growth Deficit'!AO38</f>
        <v>0</v>
      </c>
      <c r="BA31" s="302">
        <f>'[2]Growth Deficit'!AL38</f>
        <v>0</v>
      </c>
      <c r="BB31" s="302">
        <f>'[2]Growth Deficit'!AM38</f>
        <v>0</v>
      </c>
      <c r="BC31" s="302">
        <f>'[2]Growth Deficit'!AN38</f>
        <v>0</v>
      </c>
      <c r="BD31" s="302">
        <f>'[2]Growth Deficit'!AO38</f>
        <v>0</v>
      </c>
      <c r="BE31" s="302">
        <f>'[2]PBF Run'!AA38</f>
        <v>0</v>
      </c>
      <c r="BF31" s="302">
        <f>'[2]PBF Run'!AB38</f>
        <v>0</v>
      </c>
      <c r="BG31" s="302">
        <f>'[2]PBF Run'!AC38</f>
        <v>0</v>
      </c>
      <c r="BH31" s="302">
        <f>'[2]PBF Run'!AD38</f>
        <v>0</v>
      </c>
      <c r="BI31" s="278">
        <f t="shared" si="9"/>
        <v>0</v>
      </c>
      <c r="BJ31" s="302">
        <f>'[2]PBF Run'!X38</f>
        <v>0</v>
      </c>
      <c r="BK31" s="302">
        <f>'[2]PBF Run'!AE38</f>
        <v>16833026</v>
      </c>
      <c r="BL31" s="282">
        <f t="shared" si="10"/>
        <v>0.98518543249443091</v>
      </c>
      <c r="BM31" s="302">
        <f>'[2]PBF Run'!AM38</f>
        <v>249374</v>
      </c>
      <c r="BN31" s="302">
        <f>'[2]PBF Run'!$AN38</f>
        <v>7052754</v>
      </c>
      <c r="BO31" s="302">
        <f>'[2]PBF Run'!$AO38</f>
        <v>0</v>
      </c>
      <c r="BP31" s="302">
        <f>'[2]PBF Run'!AC38</f>
        <v>0</v>
      </c>
      <c r="BQ31" s="278">
        <f t="shared" si="11"/>
        <v>7052754</v>
      </c>
      <c r="BR31" s="302">
        <f>'[2]PBF Run'!AJ38</f>
        <v>6254066</v>
      </c>
      <c r="BS31" s="302">
        <f>'[2]PBF Run'!AI38</f>
        <v>621320</v>
      </c>
      <c r="BT31" s="302">
        <f>'[2]PBF Run'!$AN38</f>
        <v>7052754</v>
      </c>
      <c r="BU31" s="302">
        <f>'[2]PBF Run'!$AN38</f>
        <v>7052754</v>
      </c>
      <c r="BV31" s="302">
        <f>'[2]PBF Run'!BI38</f>
        <v>0</v>
      </c>
      <c r="BW31" s="303">
        <f>'[2]PBF Run'!BH38</f>
        <v>0</v>
      </c>
      <c r="BX31" s="278">
        <f t="shared" si="30"/>
        <v>69532</v>
      </c>
      <c r="BY31" s="278">
        <f t="shared" si="12"/>
        <v>7052754</v>
      </c>
      <c r="BZ31" s="302">
        <f>'[2]As of 13-14 R1'!BP38</f>
        <v>0</v>
      </c>
      <c r="CA31" s="302">
        <f>'[2]As of 13-14 R1'!BQ38</f>
        <v>140157</v>
      </c>
      <c r="CB31" s="302">
        <f>'[2]As of 13-14 R1'!BR38</f>
        <v>0</v>
      </c>
      <c r="CC31" s="278">
        <f t="shared" si="13"/>
        <v>140157</v>
      </c>
      <c r="CD31" s="301">
        <f>'[2]Growth Deficit'!$D$2</f>
        <v>0</v>
      </c>
      <c r="CE31" s="300">
        <f>IF($CS31="S",'[2]Foundation Grant'!C38,0)</f>
        <v>0</v>
      </c>
      <c r="CF31" s="300">
        <f>IF($CS31="S",'[2]Foundation Grant'!D38,0)</f>
        <v>0</v>
      </c>
      <c r="CG31" s="300">
        <f>IF($CS31="S",'[2]Foundation Grant'!E38,0)</f>
        <v>1</v>
      </c>
      <c r="CH31" s="300">
        <f>IF($CS31="S",'[2]Foundation Grant'!F38,0)</f>
        <v>1</v>
      </c>
      <c r="CI31" s="300">
        <f>IF($CS31="M",'[2]Foundation Grant'!C38,0)</f>
        <v>0</v>
      </c>
      <c r="CJ31" s="300">
        <f>IF($CS31="M",'[2]Foundation Grant'!D38,0)</f>
        <v>0</v>
      </c>
      <c r="CK31" s="300">
        <f>IF($CS31="M",'[2]Foundation Grant'!E38,0)</f>
        <v>0</v>
      </c>
      <c r="CL31" s="300">
        <f>IF($CS31="M",'[2]Foundation Grant'!F38,0)</f>
        <v>0</v>
      </c>
      <c r="CM31" s="300">
        <f>'[2]Foundation Grant'!G38</f>
        <v>0</v>
      </c>
      <c r="CN31" s="300">
        <f>'[2]Foundation Grant'!H38</f>
        <v>0</v>
      </c>
      <c r="CO31" s="300">
        <f>'[2]Foundation Grant'!I38</f>
        <v>0</v>
      </c>
      <c r="CP31" s="300">
        <f>'[2]Foundation Grant'!J38</f>
        <v>2</v>
      </c>
      <c r="CQ31" s="300">
        <f>'[2]Foundation Grant'!K38</f>
        <v>0</v>
      </c>
      <c r="CR31" s="299">
        <f>'[2]Foundation Grant'!L38</f>
        <v>2</v>
      </c>
      <c r="CS31" s="300" t="str">
        <f>'[2]Foundation Grant'!M38</f>
        <v>S</v>
      </c>
      <c r="CT31" s="300">
        <f>'[2]Foundation Grant'!N38</f>
        <v>4498258</v>
      </c>
      <c r="CU31" s="299">
        <f>'[2]Foundation Grant'!O38</f>
        <v>1</v>
      </c>
      <c r="CV31" s="299">
        <f>'[2]Foundation Grant'!P38</f>
        <v>0</v>
      </c>
      <c r="CW31" s="298">
        <f>'[2]Foundation Grant'!$C$1</f>
        <v>5622823</v>
      </c>
      <c r="CX31" s="298">
        <f>'[2]Foundation Grant'!$D$1</f>
        <v>4498258</v>
      </c>
      <c r="CY31" s="298">
        <f>'[2]Foundation Grant'!$E$1</f>
        <v>3373694</v>
      </c>
      <c r="CZ31" s="298">
        <f>'[2]Foundation Grant'!$C$2</f>
        <v>4498258</v>
      </c>
      <c r="DA31" s="298">
        <f>'[2]Foundation Grant'!$D$2</f>
        <v>3935976</v>
      </c>
      <c r="DB31" s="298">
        <f>'[2]Foundation Grant'!$E$2</f>
        <v>3373694</v>
      </c>
      <c r="DC31" s="298">
        <f>'[2]Foundation Grant'!$G$1</f>
        <v>1124565</v>
      </c>
      <c r="DD31" s="298">
        <f>'[2]Foundation Grant'!$H$1</f>
        <v>843423</v>
      </c>
      <c r="DE31" s="298">
        <f>'[2]Foundation Grant'!$I$1</f>
        <v>562282</v>
      </c>
      <c r="DF31" s="298">
        <f>'[2]Foundation Grant'!$J$1</f>
        <v>281141</v>
      </c>
      <c r="DG31" s="298">
        <f>'[2]Foundation Grant'!$K$1</f>
        <v>140571</v>
      </c>
      <c r="DH31" s="298">
        <f>'[2]Foundation Grant'!$O$1</f>
        <v>562282</v>
      </c>
      <c r="DI31" s="298">
        <f>'[2]Foundation Grant'!$P$1</f>
        <v>1124565</v>
      </c>
      <c r="DJ31" s="297">
        <f>'[2]basic allocation'!$C$10</f>
        <v>18749</v>
      </c>
      <c r="DK31" s="297">
        <f>'[2]basic allocation'!$D$10</f>
        <v>9375</v>
      </c>
      <c r="DL31" s="297">
        <f>'[2]basic allocation'!$E$10</f>
        <v>9375</v>
      </c>
      <c r="DM31" s="297">
        <f>'[2]basic allocation'!$I$10</f>
        <v>938</v>
      </c>
      <c r="DN31" s="297">
        <f>'[2]basic allocation'!$J$10</f>
        <v>703</v>
      </c>
      <c r="DO31" s="297">
        <f>'[2]basic allocation'!$K$10</f>
        <v>469</v>
      </c>
      <c r="DP31" s="297">
        <f>'[2]basic allocation'!$L$10</f>
        <v>234</v>
      </c>
      <c r="DQ31" s="297">
        <f>'[2]basic allocation'!$M$10</f>
        <v>100</v>
      </c>
      <c r="DR31" s="296">
        <f>'[2]FTES Adjustment'!DQ38</f>
        <v>-2.6000000161729986E-5</v>
      </c>
      <c r="DS31" s="296">
        <f>'[2]FTES Adjustment'!DR38</f>
        <v>0</v>
      </c>
      <c r="DT31" s="296">
        <f>'[2]FTES Adjustment'!DS38</f>
        <v>0</v>
      </c>
      <c r="DU31" s="277">
        <f t="shared" si="14"/>
        <v>0</v>
      </c>
      <c r="DV31" s="276">
        <f t="shared" si="15"/>
        <v>1.102889</v>
      </c>
      <c r="DW31" s="276">
        <f t="shared" si="16"/>
        <v>5.36</v>
      </c>
      <c r="DX31" s="276">
        <f t="shared" si="17"/>
        <v>-6.1099999999999994</v>
      </c>
      <c r="DY31" s="276">
        <f t="shared" si="18"/>
        <v>0.35299999999999998</v>
      </c>
      <c r="DZ31" s="295">
        <f>ROUND([2]FTES!$D38,3)</f>
        <v>2254.23</v>
      </c>
      <c r="EA31" s="295">
        <f>ROUND([2]FTES!$M38,3)</f>
        <v>35.14</v>
      </c>
      <c r="EB31" s="295">
        <f>ROUND([2]FTES!$V38,3)</f>
        <v>54.6</v>
      </c>
      <c r="EC31" s="276">
        <f t="shared" si="19"/>
        <v>2343.9699999999998</v>
      </c>
      <c r="ED31" s="133">
        <v>0</v>
      </c>
      <c r="EE31" s="294">
        <f>'[2]10-11 WkLd126M'!$E36</f>
        <v>403157</v>
      </c>
      <c r="EF31" s="295">
        <f>'[2]FTES Adjustment'!CG38</f>
        <v>1.102889</v>
      </c>
      <c r="EG31" s="295">
        <f>'[2]FTES Adjustment'!CH38</f>
        <v>5.36</v>
      </c>
      <c r="EH31" s="295">
        <f>'[2]FTES Adjustment'!CI38</f>
        <v>-6.1099999999999994</v>
      </c>
      <c r="EI31" s="276">
        <f t="shared" si="20"/>
        <v>0.35288900000000112</v>
      </c>
      <c r="EJ31" s="294">
        <f>'[2]PBF Run'!$AT38</f>
        <v>0</v>
      </c>
      <c r="EK31" s="294">
        <f>'[2]11-12 Workload Reduction'!H38</f>
        <v>13914188</v>
      </c>
      <c r="EL31" s="294">
        <f>'[2]13-14 $86M Workload Restore'!AI36</f>
        <v>0</v>
      </c>
      <c r="EM31" s="294">
        <f>'[2]13-14 $86M Workload Restore'!AC36</f>
        <v>0</v>
      </c>
      <c r="EN31" s="294">
        <f>'[2]13-14 deferrals, growth, EPA 1'!BJ38</f>
        <v>2846187</v>
      </c>
      <c r="EO31" s="293">
        <f t="shared" si="21"/>
        <v>16583652</v>
      </c>
      <c r="EP31" s="292">
        <v>0</v>
      </c>
      <c r="EQ31" s="292">
        <v>0</v>
      </c>
      <c r="ER31" s="292">
        <v>0</v>
      </c>
      <c r="ES31" s="16">
        <f t="shared" si="22"/>
        <v>0</v>
      </c>
    </row>
    <row r="32" spans="1:149">
      <c r="A32" s="291" t="s">
        <v>257</v>
      </c>
      <c r="B32" s="290" t="str">
        <f t="shared" si="23"/>
        <v>P2</v>
      </c>
      <c r="C32" s="285" t="s">
        <v>341</v>
      </c>
      <c r="D32" s="289" t="s">
        <v>340</v>
      </c>
      <c r="E32" s="288">
        <f>ROUND('[2]PBF Run'!N39,6)</f>
        <v>4636.4928220000002</v>
      </c>
      <c r="F32" s="285">
        <f t="shared" si="24"/>
        <v>4675.9030433300004</v>
      </c>
      <c r="G32" s="285">
        <f t="shared" si="25"/>
        <v>2788.0536374600001</v>
      </c>
      <c r="H32" s="285">
        <f t="shared" si="26"/>
        <v>2811.7520933800001</v>
      </c>
      <c r="I32" s="285">
        <f t="shared" si="27"/>
        <v>3282.8110613200001</v>
      </c>
      <c r="J32" s="285">
        <f t="shared" si="28"/>
        <v>3310.71495534</v>
      </c>
      <c r="K32" s="308">
        <f>ROUND([2]FTES!C39,3)</f>
        <v>8446.0499999999993</v>
      </c>
      <c r="L32" s="308">
        <f>ROUND([2]FTES!F39,3)</f>
        <v>0</v>
      </c>
      <c r="M32" s="308">
        <f>ROUND('[2]Growth Deficit'!AG39,3)</f>
        <v>0</v>
      </c>
      <c r="N32" s="308">
        <f>ROUND([2]FTES!I39,3)</f>
        <v>0</v>
      </c>
      <c r="O32" s="308">
        <f>ROUND([2]FTES!E39,3)</f>
        <v>8867.09</v>
      </c>
      <c r="P32" s="308">
        <f>ROUND([2]FTES!L39,3)</f>
        <v>313.08</v>
      </c>
      <c r="Q32" s="308">
        <f>ROUND([2]FTES!O39,3)</f>
        <v>0</v>
      </c>
      <c r="R32" s="308">
        <f>ROUND('[2]Growth Deficit'!$AH39,3)</f>
        <v>0</v>
      </c>
      <c r="S32" s="308">
        <f>ROUND([2]FTES!R39,3)</f>
        <v>0</v>
      </c>
      <c r="T32" s="308">
        <f>ROUND([2]FTES!N39,3)</f>
        <v>283.75</v>
      </c>
      <c r="U32" s="308">
        <f>ROUND([2]FTES!U39,3)</f>
        <v>641.54</v>
      </c>
      <c r="V32" s="308">
        <f>ROUND([2]FTES!X39,3)</f>
        <v>0</v>
      </c>
      <c r="W32" s="308">
        <f>ROUND('[2]Growth Deficit'!$AI39,3)</f>
        <v>0</v>
      </c>
      <c r="X32" s="308">
        <f>ROUND([2]FTES!AA39,3)</f>
        <v>0</v>
      </c>
      <c r="Y32" s="308">
        <f>ROUND([2]FTES!W39,3)</f>
        <v>602.28</v>
      </c>
      <c r="Z32" s="307">
        <f>'[2]FTES Adjustment'!CW39</f>
        <v>8867.0899110000009</v>
      </c>
      <c r="AA32" s="307">
        <f>'[2]FTES Adjustment'!CX39</f>
        <v>283.75</v>
      </c>
      <c r="AB32" s="307">
        <f>'[2]FTES Adjustment'!CY39</f>
        <v>602.28</v>
      </c>
      <c r="AC32" s="275">
        <f t="shared" si="0"/>
        <v>9400.67</v>
      </c>
      <c r="AD32" s="275">
        <f t="shared" si="1"/>
        <v>0</v>
      </c>
      <c r="AE32" s="275">
        <f t="shared" si="2"/>
        <v>0</v>
      </c>
      <c r="AF32" s="275">
        <f t="shared" si="3"/>
        <v>0</v>
      </c>
      <c r="AG32" s="275">
        <f t="shared" si="4"/>
        <v>9753.1200000000008</v>
      </c>
      <c r="AH32" s="275">
        <f t="shared" si="5"/>
        <v>9753.1200000000008</v>
      </c>
      <c r="AI32" s="302">
        <f>'[2]PBF Run'!F39</f>
        <v>5622823</v>
      </c>
      <c r="AJ32" s="302">
        <f>'[2]PBF Run'!H39+'[2]PBF Run'!I39+'[2]PBF Run'!J39+'[2]PBF Run'!L39</f>
        <v>42138989</v>
      </c>
      <c r="AK32" s="306">
        <f>'[2]PBF Run'!J39 + '[2]PBF Run'!$L39</f>
        <v>39160050</v>
      </c>
      <c r="AL32" s="302">
        <f>'[2]PBF Run'!H39</f>
        <v>872884</v>
      </c>
      <c r="AM32" s="302">
        <f>'[2]PBF Run'!I39</f>
        <v>2106055</v>
      </c>
      <c r="AN32" s="305">
        <f>'[2]Restoration and Growth'!BM39</f>
        <v>0</v>
      </c>
      <c r="AO32" s="278">
        <f t="shared" si="6"/>
        <v>47761812</v>
      </c>
      <c r="AP32" s="285" t="str">
        <f t="shared" si="29"/>
        <v>0.85%</v>
      </c>
      <c r="AQ32" s="302">
        <f>'[2]PBF Run'!O39</f>
        <v>405975</v>
      </c>
      <c r="AR32" s="278">
        <f t="shared" si="7"/>
        <v>48167787</v>
      </c>
      <c r="AS32" s="302">
        <f>'[2]PBF Run'!$AD39</f>
        <v>0</v>
      </c>
      <c r="AT32" s="302">
        <f>'[2]PBF Run'!$T39</f>
        <v>0</v>
      </c>
      <c r="AU32" s="278">
        <f t="shared" si="8"/>
        <v>757469</v>
      </c>
      <c r="AV32" s="304">
        <f>'[2]Restoration and Growth'!BT39</f>
        <v>0</v>
      </c>
      <c r="AW32" s="304" t="str">
        <f>'[2]Restoration and Growth'!AP39</f>
        <v>Y</v>
      </c>
      <c r="AX32" s="302">
        <f>'[2]Restoration and Growth'!CV39</f>
        <v>0</v>
      </c>
      <c r="AY32" s="302">
        <f>'[2]Growth Deficit'!$AO39</f>
        <v>0</v>
      </c>
      <c r="AZ32" s="302">
        <f>'[2]Growth Deficit'!AO39</f>
        <v>0</v>
      </c>
      <c r="BA32" s="302">
        <f>'[2]Growth Deficit'!AL39</f>
        <v>0</v>
      </c>
      <c r="BB32" s="302">
        <f>'[2]Growth Deficit'!AM39</f>
        <v>0</v>
      </c>
      <c r="BC32" s="302">
        <f>'[2]Growth Deficit'!AN39</f>
        <v>0</v>
      </c>
      <c r="BD32" s="302">
        <f>'[2]Growth Deficit'!AO39</f>
        <v>0</v>
      </c>
      <c r="BE32" s="302">
        <f>'[2]PBF Run'!AA39</f>
        <v>0</v>
      </c>
      <c r="BF32" s="302">
        <f>'[2]PBF Run'!AB39</f>
        <v>0</v>
      </c>
      <c r="BG32" s="302">
        <f>'[2]PBF Run'!AC39</f>
        <v>0</v>
      </c>
      <c r="BH32" s="302">
        <f>'[2]PBF Run'!AD39</f>
        <v>0</v>
      </c>
      <c r="BI32" s="278">
        <f t="shared" si="9"/>
        <v>0</v>
      </c>
      <c r="BJ32" s="302">
        <f>'[2]PBF Run'!X39</f>
        <v>0</v>
      </c>
      <c r="BK32" s="302">
        <f>'[2]PBF Run'!AE39</f>
        <v>49924081</v>
      </c>
      <c r="BL32" s="282">
        <f t="shared" si="10"/>
        <v>0.98518542584689739</v>
      </c>
      <c r="BM32" s="302">
        <f>'[2]PBF Run'!AM39</f>
        <v>739604</v>
      </c>
      <c r="BN32" s="302">
        <f>'[2]PBF Run'!$AN39</f>
        <v>30190174</v>
      </c>
      <c r="BO32" s="302">
        <f>'[2]PBF Run'!$AO39</f>
        <v>0</v>
      </c>
      <c r="BP32" s="302">
        <f>'[2]PBF Run'!AC39</f>
        <v>0</v>
      </c>
      <c r="BQ32" s="278">
        <f t="shared" si="11"/>
        <v>30190174</v>
      </c>
      <c r="BR32" s="302">
        <f>'[2]PBF Run'!AJ39</f>
        <v>9124271</v>
      </c>
      <c r="BS32" s="302">
        <f>'[2]PBF Run'!AI39</f>
        <v>2023876</v>
      </c>
      <c r="BT32" s="302">
        <f>'[2]PBF Run'!$AN39</f>
        <v>30190174</v>
      </c>
      <c r="BU32" s="302">
        <f>'[2]PBF Run'!$AN39</f>
        <v>30190174</v>
      </c>
      <c r="BV32" s="302">
        <f>'[2]PBF Run'!BI39</f>
        <v>0</v>
      </c>
      <c r="BW32" s="303">
        <f>'[2]PBF Run'!BH39</f>
        <v>0</v>
      </c>
      <c r="BX32" s="278">
        <f t="shared" si="30"/>
        <v>69532</v>
      </c>
      <c r="BY32" s="278">
        <f t="shared" si="12"/>
        <v>30190174</v>
      </c>
      <c r="BZ32" s="302">
        <f>'[2]As of 13-14 R1'!BP39</f>
        <v>0</v>
      </c>
      <c r="CA32" s="302">
        <f>'[2]As of 13-14 R1'!BQ39</f>
        <v>0</v>
      </c>
      <c r="CB32" s="302">
        <f>'[2]As of 13-14 R1'!BR39</f>
        <v>0</v>
      </c>
      <c r="CC32" s="278">
        <f t="shared" si="13"/>
        <v>0</v>
      </c>
      <c r="CD32" s="301">
        <f>'[2]Growth Deficit'!$D$2</f>
        <v>0</v>
      </c>
      <c r="CE32" s="300">
        <f>IF($CS32="S",'[2]Foundation Grant'!C39,0)</f>
        <v>0</v>
      </c>
      <c r="CF32" s="300">
        <f>IF($CS32="S",'[2]Foundation Grant'!D39,0)</f>
        <v>1</v>
      </c>
      <c r="CG32" s="300">
        <f>IF($CS32="S",'[2]Foundation Grant'!E39,0)</f>
        <v>0</v>
      </c>
      <c r="CH32" s="300">
        <f>IF($CS32="S",'[2]Foundation Grant'!F39,0)</f>
        <v>1</v>
      </c>
      <c r="CI32" s="300">
        <f>IF($CS32="M",'[2]Foundation Grant'!C39,0)</f>
        <v>0</v>
      </c>
      <c r="CJ32" s="300">
        <f>IF($CS32="M",'[2]Foundation Grant'!D39,0)</f>
        <v>0</v>
      </c>
      <c r="CK32" s="300">
        <f>IF($CS32="M",'[2]Foundation Grant'!E39,0)</f>
        <v>0</v>
      </c>
      <c r="CL32" s="300">
        <f>IF($CS32="M",'[2]Foundation Grant'!F39,0)</f>
        <v>0</v>
      </c>
      <c r="CM32" s="300">
        <f>'[2]Foundation Grant'!G39</f>
        <v>1</v>
      </c>
      <c r="CN32" s="300">
        <f>'[2]Foundation Grant'!H39</f>
        <v>0</v>
      </c>
      <c r="CO32" s="300">
        <f>'[2]Foundation Grant'!I39</f>
        <v>0</v>
      </c>
      <c r="CP32" s="300">
        <f>'[2]Foundation Grant'!J39</f>
        <v>0</v>
      </c>
      <c r="CQ32" s="300">
        <f>'[2]Foundation Grant'!K39</f>
        <v>0</v>
      </c>
      <c r="CR32" s="299">
        <f>'[2]Foundation Grant'!L39</f>
        <v>1</v>
      </c>
      <c r="CS32" s="300" t="str">
        <f>'[2]Foundation Grant'!M39</f>
        <v>S</v>
      </c>
      <c r="CT32" s="300">
        <f>'[2]Foundation Grant'!N39</f>
        <v>5622823</v>
      </c>
      <c r="CU32" s="299">
        <f>'[2]Foundation Grant'!O39</f>
        <v>0</v>
      </c>
      <c r="CV32" s="299">
        <f>'[2]Foundation Grant'!P39</f>
        <v>0</v>
      </c>
      <c r="CW32" s="298">
        <f>'[2]Foundation Grant'!$C$1</f>
        <v>5622823</v>
      </c>
      <c r="CX32" s="298">
        <f>'[2]Foundation Grant'!$D$1</f>
        <v>4498258</v>
      </c>
      <c r="CY32" s="298">
        <f>'[2]Foundation Grant'!$E$1</f>
        <v>3373694</v>
      </c>
      <c r="CZ32" s="298">
        <f>'[2]Foundation Grant'!$C$2</f>
        <v>4498258</v>
      </c>
      <c r="DA32" s="298">
        <f>'[2]Foundation Grant'!$D$2</f>
        <v>3935976</v>
      </c>
      <c r="DB32" s="298">
        <f>'[2]Foundation Grant'!$E$2</f>
        <v>3373694</v>
      </c>
      <c r="DC32" s="298">
        <f>'[2]Foundation Grant'!$G$1</f>
        <v>1124565</v>
      </c>
      <c r="DD32" s="298">
        <f>'[2]Foundation Grant'!$H$1</f>
        <v>843423</v>
      </c>
      <c r="DE32" s="298">
        <f>'[2]Foundation Grant'!$I$1</f>
        <v>562282</v>
      </c>
      <c r="DF32" s="298">
        <f>'[2]Foundation Grant'!$J$1</f>
        <v>281141</v>
      </c>
      <c r="DG32" s="298">
        <f>'[2]Foundation Grant'!$K$1</f>
        <v>140571</v>
      </c>
      <c r="DH32" s="298">
        <f>'[2]Foundation Grant'!$O$1</f>
        <v>562282</v>
      </c>
      <c r="DI32" s="298">
        <f>'[2]Foundation Grant'!$P$1</f>
        <v>1124565</v>
      </c>
      <c r="DJ32" s="297">
        <f>'[2]basic allocation'!$C$10</f>
        <v>18749</v>
      </c>
      <c r="DK32" s="297">
        <f>'[2]basic allocation'!$D$10</f>
        <v>9375</v>
      </c>
      <c r="DL32" s="297">
        <f>'[2]basic allocation'!$E$10</f>
        <v>9375</v>
      </c>
      <c r="DM32" s="297">
        <f>'[2]basic allocation'!$I$10</f>
        <v>938</v>
      </c>
      <c r="DN32" s="297">
        <f>'[2]basic allocation'!$J$10</f>
        <v>703</v>
      </c>
      <c r="DO32" s="297">
        <f>'[2]basic allocation'!$K$10</f>
        <v>469</v>
      </c>
      <c r="DP32" s="297">
        <f>'[2]basic allocation'!$L$10</f>
        <v>234</v>
      </c>
      <c r="DQ32" s="297">
        <f>'[2]basic allocation'!$M$10</f>
        <v>100</v>
      </c>
      <c r="DR32" s="296">
        <f>'[2]FTES Adjustment'!DQ39</f>
        <v>8.8999999206862412E-5</v>
      </c>
      <c r="DS32" s="296">
        <f>'[2]FTES Adjustment'!DR39</f>
        <v>0</v>
      </c>
      <c r="DT32" s="296">
        <f>'[2]FTES Adjustment'!DS39</f>
        <v>0</v>
      </c>
      <c r="DU32" s="277">
        <f t="shared" si="14"/>
        <v>0</v>
      </c>
      <c r="DV32" s="276">
        <f t="shared" si="15"/>
        <v>421.03995400000002</v>
      </c>
      <c r="DW32" s="276">
        <f t="shared" si="16"/>
        <v>-29.330000000000041</v>
      </c>
      <c r="DX32" s="276">
        <f t="shared" si="17"/>
        <v>-39.259999999999991</v>
      </c>
      <c r="DY32" s="276">
        <f t="shared" si="18"/>
        <v>352.45</v>
      </c>
      <c r="DZ32" s="295">
        <f>ROUND([2]FTES!$D39,3)</f>
        <v>8446.0499999999993</v>
      </c>
      <c r="EA32" s="295">
        <f>ROUND([2]FTES!$M39,3)</f>
        <v>313.08</v>
      </c>
      <c r="EB32" s="295">
        <f>ROUND([2]FTES!$V39,3)</f>
        <v>641.54</v>
      </c>
      <c r="EC32" s="276">
        <f t="shared" si="19"/>
        <v>9400.67</v>
      </c>
      <c r="ED32" s="133">
        <v>0</v>
      </c>
      <c r="EE32" s="294">
        <f>'[2]10-11 WkLd126M'!$E37</f>
        <v>1101498</v>
      </c>
      <c r="EF32" s="295">
        <f>'[2]FTES Adjustment'!CG39</f>
        <v>421.03995400000002</v>
      </c>
      <c r="EG32" s="295">
        <f>'[2]FTES Adjustment'!CH39</f>
        <v>-29.330000000000041</v>
      </c>
      <c r="EH32" s="295">
        <f>'[2]FTES Adjustment'!CI39</f>
        <v>-39.259999999999991</v>
      </c>
      <c r="EI32" s="276">
        <f t="shared" si="20"/>
        <v>352.44995399999999</v>
      </c>
      <c r="EJ32" s="294">
        <f>'[2]PBF Run'!$AT39</f>
        <v>0</v>
      </c>
      <c r="EK32" s="294">
        <f>'[2]11-12 Workload Reduction'!H39</f>
        <v>43630543</v>
      </c>
      <c r="EL32" s="294">
        <f>'[2]13-14 $86M Workload Restore'!AI37</f>
        <v>698302</v>
      </c>
      <c r="EM32" s="294">
        <f>'[2]13-14 $86M Workload Restore'!AC37</f>
        <v>59167</v>
      </c>
      <c r="EN32" s="294">
        <f>'[2]13-14 deferrals, growth, EPA 1'!BJ39</f>
        <v>7406838</v>
      </c>
      <c r="EO32" s="293">
        <f t="shared" si="21"/>
        <v>49184477</v>
      </c>
      <c r="EP32" s="292">
        <v>0</v>
      </c>
      <c r="EQ32" s="292">
        <v>0</v>
      </c>
      <c r="ER32" s="292">
        <v>0</v>
      </c>
      <c r="ES32" s="16">
        <f t="shared" si="22"/>
        <v>0</v>
      </c>
    </row>
    <row r="33" spans="1:149">
      <c r="A33" s="291" t="s">
        <v>257</v>
      </c>
      <c r="B33" s="290" t="str">
        <f t="shared" si="23"/>
        <v>P2</v>
      </c>
      <c r="C33" s="285" t="s">
        <v>339</v>
      </c>
      <c r="D33" s="289" t="s">
        <v>338</v>
      </c>
      <c r="E33" s="288">
        <f>ROUND('[2]PBF Run'!N40,6)</f>
        <v>4645.6969429999999</v>
      </c>
      <c r="F33" s="285">
        <f t="shared" si="24"/>
        <v>4675.9030433300004</v>
      </c>
      <c r="G33" s="285">
        <f t="shared" si="25"/>
        <v>2788.0536374600001</v>
      </c>
      <c r="H33" s="285">
        <f t="shared" si="26"/>
        <v>2811.7520933800001</v>
      </c>
      <c r="I33" s="285">
        <f t="shared" si="27"/>
        <v>3282.8110613200001</v>
      </c>
      <c r="J33" s="285">
        <f t="shared" si="28"/>
        <v>3310.71495534</v>
      </c>
      <c r="K33" s="308">
        <f>ROUND([2]FTES!C40,3)</f>
        <v>9909.7199999999993</v>
      </c>
      <c r="L33" s="308">
        <f>ROUND([2]FTES!F40,3)</f>
        <v>0</v>
      </c>
      <c r="M33" s="308">
        <f>ROUND('[2]Growth Deficit'!AG40,3)</f>
        <v>0</v>
      </c>
      <c r="N33" s="308">
        <f>ROUND([2]FTES!I40,3)</f>
        <v>0</v>
      </c>
      <c r="O33" s="308">
        <f>ROUND([2]FTES!E40,3)</f>
        <v>10110.33</v>
      </c>
      <c r="P33" s="308">
        <f>ROUND([2]FTES!L40,3)</f>
        <v>736.46</v>
      </c>
      <c r="Q33" s="308">
        <f>ROUND([2]FTES!O40,3)</f>
        <v>0</v>
      </c>
      <c r="R33" s="308">
        <f>ROUND('[2]Growth Deficit'!$AH40,3)</f>
        <v>0</v>
      </c>
      <c r="S33" s="308">
        <f>ROUND([2]FTES!R40,3)</f>
        <v>0</v>
      </c>
      <c r="T33" s="308">
        <f>ROUND([2]FTES!N40,3)</f>
        <v>655.23</v>
      </c>
      <c r="U33" s="308">
        <f>ROUND([2]FTES!U40,3)</f>
        <v>0</v>
      </c>
      <c r="V33" s="308">
        <f>ROUND([2]FTES!X40,3)</f>
        <v>0</v>
      </c>
      <c r="W33" s="308">
        <f>ROUND('[2]Growth Deficit'!$AI40,3)</f>
        <v>0</v>
      </c>
      <c r="X33" s="308">
        <f>ROUND([2]FTES!AA40,3)</f>
        <v>0</v>
      </c>
      <c r="Y33" s="308">
        <f>ROUND([2]FTES!W40,3)</f>
        <v>0</v>
      </c>
      <c r="Z33" s="307">
        <f>'[2]FTES Adjustment'!CW40</f>
        <v>9958.5664160000015</v>
      </c>
      <c r="AA33" s="307">
        <f>'[2]FTES Adjustment'!CX40</f>
        <v>655.23</v>
      </c>
      <c r="AB33" s="307">
        <f>'[2]FTES Adjustment'!CY40</f>
        <v>0</v>
      </c>
      <c r="AC33" s="275">
        <f t="shared" si="0"/>
        <v>10646.18</v>
      </c>
      <c r="AD33" s="275">
        <f t="shared" si="1"/>
        <v>0</v>
      </c>
      <c r="AE33" s="275">
        <f t="shared" si="2"/>
        <v>0</v>
      </c>
      <c r="AF33" s="275">
        <f t="shared" si="3"/>
        <v>0</v>
      </c>
      <c r="AG33" s="275">
        <f t="shared" si="4"/>
        <v>10765.56</v>
      </c>
      <c r="AH33" s="275">
        <f t="shared" si="5"/>
        <v>10613.796</v>
      </c>
      <c r="AI33" s="302">
        <f>'[2]PBF Run'!F40</f>
        <v>5622823</v>
      </c>
      <c r="AJ33" s="302">
        <f>'[2]PBF Run'!H40+'[2]PBF Run'!I40+'[2]PBF Run'!J40+'[2]PBF Run'!L40</f>
        <v>48090848</v>
      </c>
      <c r="AK33" s="306">
        <f>'[2]PBF Run'!J40 + '[2]PBF Run'!$L40</f>
        <v>46037558</v>
      </c>
      <c r="AL33" s="302">
        <f>'[2]PBF Run'!H40</f>
        <v>2053290</v>
      </c>
      <c r="AM33" s="302">
        <f>'[2]PBF Run'!I40</f>
        <v>0</v>
      </c>
      <c r="AN33" s="305">
        <f>'[2]Restoration and Growth'!BM40</f>
        <v>0</v>
      </c>
      <c r="AO33" s="278">
        <f t="shared" si="6"/>
        <v>53713671</v>
      </c>
      <c r="AP33" s="285" t="str">
        <f t="shared" si="29"/>
        <v>0.85%</v>
      </c>
      <c r="AQ33" s="302">
        <f>'[2]PBF Run'!O40</f>
        <v>456566</v>
      </c>
      <c r="AR33" s="278">
        <f t="shared" si="7"/>
        <v>54170237</v>
      </c>
      <c r="AS33" s="302">
        <f>'[2]PBF Run'!$AD40</f>
        <v>0</v>
      </c>
      <c r="AT33" s="302">
        <f>'[2]PBF Run'!$T40</f>
        <v>0</v>
      </c>
      <c r="AU33" s="278">
        <f t="shared" si="8"/>
        <v>0</v>
      </c>
      <c r="AV33" s="304">
        <f>'[2]Restoration and Growth'!BT40</f>
        <v>0</v>
      </c>
      <c r="AW33" s="304" t="str">
        <f>'[2]Restoration and Growth'!AP40</f>
        <v>Y</v>
      </c>
      <c r="AX33" s="302">
        <f>'[2]Restoration and Growth'!CV40</f>
        <v>0</v>
      </c>
      <c r="AY33" s="302">
        <f>'[2]Growth Deficit'!$AO40</f>
        <v>0</v>
      </c>
      <c r="AZ33" s="302">
        <f>'[2]Growth Deficit'!AO40</f>
        <v>0</v>
      </c>
      <c r="BA33" s="302">
        <f>'[2]Growth Deficit'!AL40</f>
        <v>0</v>
      </c>
      <c r="BB33" s="302">
        <f>'[2]Growth Deficit'!AM40</f>
        <v>0</v>
      </c>
      <c r="BC33" s="302">
        <f>'[2]Growth Deficit'!AN40</f>
        <v>0</v>
      </c>
      <c r="BD33" s="302">
        <f>'[2]Growth Deficit'!AO40</f>
        <v>0</v>
      </c>
      <c r="BE33" s="302">
        <f>'[2]PBF Run'!AA40</f>
        <v>0</v>
      </c>
      <c r="BF33" s="302">
        <f>'[2]PBF Run'!AB40</f>
        <v>0</v>
      </c>
      <c r="BG33" s="302">
        <f>'[2]PBF Run'!AC40</f>
        <v>0</v>
      </c>
      <c r="BH33" s="302">
        <f>'[2]PBF Run'!AD40</f>
        <v>0</v>
      </c>
      <c r="BI33" s="278">
        <f t="shared" si="9"/>
        <v>0</v>
      </c>
      <c r="BJ33" s="302">
        <f>'[2]PBF Run'!X40</f>
        <v>0</v>
      </c>
      <c r="BK33" s="302">
        <f>'[2]PBF Run'!AE40</f>
        <v>54170237</v>
      </c>
      <c r="BL33" s="282">
        <f t="shared" si="10"/>
        <v>1</v>
      </c>
      <c r="BM33" s="302">
        <f>'[2]PBF Run'!AM40</f>
        <v>0</v>
      </c>
      <c r="BN33" s="302">
        <f>'[2]PBF Run'!$AN40</f>
        <v>0</v>
      </c>
      <c r="BO33" s="302">
        <f>'[2]PBF Run'!$AO40</f>
        <v>36170373</v>
      </c>
      <c r="BP33" s="302">
        <f>'[2]PBF Run'!AC40</f>
        <v>0</v>
      </c>
      <c r="BQ33" s="278">
        <f t="shared" si="11"/>
        <v>0</v>
      </c>
      <c r="BR33" s="302">
        <f>'[2]PBF Run'!AJ40</f>
        <v>82502054</v>
      </c>
      <c r="BS33" s="302">
        <f>'[2]PBF Run'!AI40</f>
        <v>6762000</v>
      </c>
      <c r="BT33" s="302">
        <f>'[2]PBF Run'!$AN40</f>
        <v>0</v>
      </c>
      <c r="BU33" s="302">
        <f>'[2]PBF Run'!$AN40</f>
        <v>0</v>
      </c>
      <c r="BV33" s="302">
        <f>'[2]PBF Run'!BI40</f>
        <v>0</v>
      </c>
      <c r="BW33" s="303">
        <f>'[2]PBF Run'!BH40</f>
        <v>0</v>
      </c>
      <c r="BX33" s="278">
        <f t="shared" si="30"/>
        <v>69532</v>
      </c>
      <c r="BY33" s="278">
        <f t="shared" si="12"/>
        <v>0</v>
      </c>
      <c r="BZ33" s="302">
        <f>'[2]As of 13-14 R1'!BP40</f>
        <v>0</v>
      </c>
      <c r="CA33" s="302">
        <f>'[2]As of 13-14 R1'!BQ40</f>
        <v>0</v>
      </c>
      <c r="CB33" s="302">
        <f>'[2]As of 13-14 R1'!BR40</f>
        <v>0</v>
      </c>
      <c r="CC33" s="278">
        <f t="shared" si="13"/>
        <v>0</v>
      </c>
      <c r="CD33" s="301">
        <f>'[2]Growth Deficit'!$D$2</f>
        <v>0</v>
      </c>
      <c r="CE33" s="300">
        <f>IF($CS33="S",'[2]Foundation Grant'!C40,0)</f>
        <v>0</v>
      </c>
      <c r="CF33" s="300">
        <f>IF($CS33="S",'[2]Foundation Grant'!D40,0)</f>
        <v>1</v>
      </c>
      <c r="CG33" s="300">
        <f>IF($CS33="S",'[2]Foundation Grant'!E40,0)</f>
        <v>0</v>
      </c>
      <c r="CH33" s="300">
        <f>IF($CS33="S",'[2]Foundation Grant'!F40,0)</f>
        <v>1</v>
      </c>
      <c r="CI33" s="300">
        <f>IF($CS33="M",'[2]Foundation Grant'!C40,0)</f>
        <v>0</v>
      </c>
      <c r="CJ33" s="300">
        <f>IF($CS33="M",'[2]Foundation Grant'!D40,0)</f>
        <v>0</v>
      </c>
      <c r="CK33" s="300">
        <f>IF($CS33="M",'[2]Foundation Grant'!E40,0)</f>
        <v>0</v>
      </c>
      <c r="CL33" s="300">
        <f>IF($CS33="M",'[2]Foundation Grant'!F40,0)</f>
        <v>0</v>
      </c>
      <c r="CM33" s="300">
        <f>'[2]Foundation Grant'!G40</f>
        <v>0</v>
      </c>
      <c r="CN33" s="300">
        <f>'[2]Foundation Grant'!H40</f>
        <v>0</v>
      </c>
      <c r="CO33" s="300">
        <f>'[2]Foundation Grant'!I40</f>
        <v>0</v>
      </c>
      <c r="CP33" s="300">
        <f>'[2]Foundation Grant'!J40</f>
        <v>0</v>
      </c>
      <c r="CQ33" s="300">
        <f>'[2]Foundation Grant'!K40</f>
        <v>0</v>
      </c>
      <c r="CR33" s="299">
        <f>'[2]Foundation Grant'!L40</f>
        <v>0</v>
      </c>
      <c r="CS33" s="300" t="str">
        <f>'[2]Foundation Grant'!M40</f>
        <v>S</v>
      </c>
      <c r="CT33" s="300">
        <f>'[2]Foundation Grant'!N40</f>
        <v>5622823</v>
      </c>
      <c r="CU33" s="299">
        <f>'[2]Foundation Grant'!O40</f>
        <v>0</v>
      </c>
      <c r="CV33" s="299">
        <f>'[2]Foundation Grant'!P40</f>
        <v>1</v>
      </c>
      <c r="CW33" s="298">
        <f>'[2]Foundation Grant'!$C$1</f>
        <v>5622823</v>
      </c>
      <c r="CX33" s="298">
        <f>'[2]Foundation Grant'!$D$1</f>
        <v>4498258</v>
      </c>
      <c r="CY33" s="298">
        <f>'[2]Foundation Grant'!$E$1</f>
        <v>3373694</v>
      </c>
      <c r="CZ33" s="298">
        <f>'[2]Foundation Grant'!$C$2</f>
        <v>4498258</v>
      </c>
      <c r="DA33" s="298">
        <f>'[2]Foundation Grant'!$D$2</f>
        <v>3935976</v>
      </c>
      <c r="DB33" s="298">
        <f>'[2]Foundation Grant'!$E$2</f>
        <v>3373694</v>
      </c>
      <c r="DC33" s="298">
        <f>'[2]Foundation Grant'!$G$1</f>
        <v>1124565</v>
      </c>
      <c r="DD33" s="298">
        <f>'[2]Foundation Grant'!$H$1</f>
        <v>843423</v>
      </c>
      <c r="DE33" s="298">
        <f>'[2]Foundation Grant'!$I$1</f>
        <v>562282</v>
      </c>
      <c r="DF33" s="298">
        <f>'[2]Foundation Grant'!$J$1</f>
        <v>281141</v>
      </c>
      <c r="DG33" s="298">
        <f>'[2]Foundation Grant'!$K$1</f>
        <v>140571</v>
      </c>
      <c r="DH33" s="298">
        <f>'[2]Foundation Grant'!$O$1</f>
        <v>562282</v>
      </c>
      <c r="DI33" s="298">
        <f>'[2]Foundation Grant'!$P$1</f>
        <v>1124565</v>
      </c>
      <c r="DJ33" s="297">
        <f>'[2]basic allocation'!$C$10</f>
        <v>18749</v>
      </c>
      <c r="DK33" s="297">
        <f>'[2]basic allocation'!$D$10</f>
        <v>9375</v>
      </c>
      <c r="DL33" s="297">
        <f>'[2]basic allocation'!$E$10</f>
        <v>9375</v>
      </c>
      <c r="DM33" s="297">
        <f>'[2]basic allocation'!$I$10</f>
        <v>938</v>
      </c>
      <c r="DN33" s="297">
        <f>'[2]basic allocation'!$J$10</f>
        <v>703</v>
      </c>
      <c r="DO33" s="297">
        <f>'[2]basic allocation'!$K$10</f>
        <v>469</v>
      </c>
      <c r="DP33" s="297">
        <f>'[2]basic allocation'!$L$10</f>
        <v>234</v>
      </c>
      <c r="DQ33" s="297">
        <f>'[2]basic allocation'!$M$10</f>
        <v>100</v>
      </c>
      <c r="DR33" s="296">
        <f>'[2]FTES Adjustment'!DQ40</f>
        <v>151.76358399999845</v>
      </c>
      <c r="DS33" s="296">
        <f>'[2]FTES Adjustment'!DR40</f>
        <v>0</v>
      </c>
      <c r="DT33" s="296">
        <f>'[2]FTES Adjustment'!DS40</f>
        <v>0</v>
      </c>
      <c r="DU33" s="277">
        <f t="shared" si="14"/>
        <v>151.76400000000001</v>
      </c>
      <c r="DV33" s="276">
        <f t="shared" si="15"/>
        <v>48.845965999999997</v>
      </c>
      <c r="DW33" s="276">
        <f t="shared" si="16"/>
        <v>-81.230000000000018</v>
      </c>
      <c r="DX33" s="276">
        <f t="shared" si="17"/>
        <v>0</v>
      </c>
      <c r="DY33" s="276">
        <f t="shared" si="18"/>
        <v>-32.384</v>
      </c>
      <c r="DZ33" s="295">
        <f>ROUND([2]FTES!$D40,3)</f>
        <v>9909.7199999999993</v>
      </c>
      <c r="EA33" s="295">
        <f>ROUND([2]FTES!$M40,3)</f>
        <v>736.46</v>
      </c>
      <c r="EB33" s="295">
        <f>ROUND([2]FTES!$V40,3)</f>
        <v>0</v>
      </c>
      <c r="EC33" s="276">
        <f t="shared" si="19"/>
        <v>10646.18</v>
      </c>
      <c r="ED33" s="133">
        <v>0</v>
      </c>
      <c r="EE33" s="294">
        <f>'[2]10-11 WkLd126M'!$E38</f>
        <v>0</v>
      </c>
      <c r="EF33" s="295">
        <f>'[2]FTES Adjustment'!CG40</f>
        <v>48.845965999999997</v>
      </c>
      <c r="EG33" s="295">
        <f>'[2]FTES Adjustment'!CH40</f>
        <v>-81.230000000000018</v>
      </c>
      <c r="EH33" s="295">
        <f>'[2]FTES Adjustment'!CI40</f>
        <v>0</v>
      </c>
      <c r="EI33" s="276">
        <f t="shared" si="20"/>
        <v>-32.384034000000021</v>
      </c>
      <c r="EJ33" s="294">
        <f>'[2]PBF Run'!$AT40</f>
        <v>0</v>
      </c>
      <c r="EK33" s="294">
        <f>'[2]11-12 Workload Reduction'!H40</f>
        <v>46264576</v>
      </c>
      <c r="EL33" s="294">
        <f>'[2]13-14 $86M Workload Restore'!AI38</f>
        <v>0</v>
      </c>
      <c r="EM33" s="294">
        <f>'[2]13-14 $86M Workload Restore'!AC38</f>
        <v>0</v>
      </c>
      <c r="EN33" s="294">
        <f>'[2]13-14 deferrals, growth, EPA 1'!BJ40</f>
        <v>1049334</v>
      </c>
      <c r="EO33" s="293">
        <f t="shared" si="21"/>
        <v>54170237</v>
      </c>
      <c r="EP33" s="292">
        <v>0</v>
      </c>
      <c r="EQ33" s="292">
        <v>0</v>
      </c>
      <c r="ER33" s="292">
        <v>0</v>
      </c>
      <c r="ES33" s="16">
        <f t="shared" si="22"/>
        <v>0</v>
      </c>
    </row>
    <row r="34" spans="1:149">
      <c r="A34" s="291" t="s">
        <v>257</v>
      </c>
      <c r="B34" s="290" t="str">
        <f t="shared" si="23"/>
        <v>P2</v>
      </c>
      <c r="C34" s="285" t="s">
        <v>337</v>
      </c>
      <c r="D34" s="289" t="s">
        <v>336</v>
      </c>
      <c r="E34" s="288">
        <f>ROUND('[2]PBF Run'!N41,6)</f>
        <v>4636.4928559999998</v>
      </c>
      <c r="F34" s="285">
        <f t="shared" si="24"/>
        <v>4675.9030433300004</v>
      </c>
      <c r="G34" s="285">
        <f t="shared" si="25"/>
        <v>2788.0536374600001</v>
      </c>
      <c r="H34" s="285">
        <f t="shared" si="26"/>
        <v>2811.7520933800001</v>
      </c>
      <c r="I34" s="285">
        <f t="shared" si="27"/>
        <v>3282.8110613200001</v>
      </c>
      <c r="J34" s="285">
        <f t="shared" si="28"/>
        <v>3310.71495534</v>
      </c>
      <c r="K34" s="308">
        <f>ROUND([2]FTES!C41,3)</f>
        <v>6032.03</v>
      </c>
      <c r="L34" s="308">
        <f>ROUND([2]FTES!F41,3)</f>
        <v>0</v>
      </c>
      <c r="M34" s="308">
        <f>ROUND('[2]Growth Deficit'!AG41,3)</f>
        <v>0</v>
      </c>
      <c r="N34" s="308">
        <f>ROUND([2]FTES!I41,3)</f>
        <v>13.71</v>
      </c>
      <c r="O34" s="308">
        <f>ROUND([2]FTES!E41,3)</f>
        <v>6045.74</v>
      </c>
      <c r="P34" s="308">
        <f>ROUND([2]FTES!L41,3)</f>
        <v>381.22</v>
      </c>
      <c r="Q34" s="308">
        <f>ROUND([2]FTES!O41,3)</f>
        <v>0</v>
      </c>
      <c r="R34" s="308">
        <f>ROUND('[2]Growth Deficit'!$AH41,3)</f>
        <v>0</v>
      </c>
      <c r="S34" s="308">
        <f>ROUND([2]FTES!R41,3)</f>
        <v>-44.31</v>
      </c>
      <c r="T34" s="308">
        <f>ROUND([2]FTES!N41,3)</f>
        <v>336.91</v>
      </c>
      <c r="U34" s="308">
        <f>ROUND([2]FTES!U41,3)</f>
        <v>110.54</v>
      </c>
      <c r="V34" s="308">
        <f>ROUND([2]FTES!X41,3)</f>
        <v>0</v>
      </c>
      <c r="W34" s="308">
        <f>ROUND('[2]Growth Deficit'!$AI41,3)</f>
        <v>0</v>
      </c>
      <c r="X34" s="308">
        <f>ROUND([2]FTES!AA41,3)</f>
        <v>9.7899999999999991</v>
      </c>
      <c r="Y34" s="308">
        <f>ROUND([2]FTES!W41,3)</f>
        <v>120.33</v>
      </c>
      <c r="Z34" s="307">
        <f>'[2]FTES Adjustment'!CW41</f>
        <v>6045.7400000000007</v>
      </c>
      <c r="AA34" s="307">
        <f>'[2]FTES Adjustment'!CX41</f>
        <v>336.90999999999991</v>
      </c>
      <c r="AB34" s="307">
        <f>'[2]FTES Adjustment'!CY41</f>
        <v>120.32999999999998</v>
      </c>
      <c r="AC34" s="275">
        <f t="shared" ref="AC34:AC65" si="31">ROUND(K34+P34+U34,3)</f>
        <v>6523.79</v>
      </c>
      <c r="AD34" s="275">
        <f t="shared" ref="AD34:AD65" si="32">ROUND(L34+Q34+V34,3)</f>
        <v>0</v>
      </c>
      <c r="AE34" s="275">
        <f t="shared" ref="AE34:AE65" si="33">ROUND(M34+R34+W34,3)</f>
        <v>0</v>
      </c>
      <c r="AF34" s="275">
        <f t="shared" ref="AF34:AF65" si="34">ROUND(N34+S34+X34,3)</f>
        <v>-20.81</v>
      </c>
      <c r="AG34" s="275">
        <f t="shared" ref="AG34:AG65" si="35">ROUND(O34+T34+Y34,3)</f>
        <v>6502.98</v>
      </c>
      <c r="AH34" s="275">
        <f t="shared" ref="AH34:AH65" si="36">ROUND(Z34+AA34+AB34,3)</f>
        <v>6502.98</v>
      </c>
      <c r="AI34" s="302">
        <f>'[2]PBF Run'!F41</f>
        <v>3654835</v>
      </c>
      <c r="AJ34" s="302">
        <f>'[2]PBF Run'!H41+'[2]PBF Run'!I41+'[2]PBF Run'!J41+'[2]PBF Run'!L41</f>
        <v>29393208</v>
      </c>
      <c r="AK34" s="306">
        <f>'[2]PBF Run'!J41 + '[2]PBF Run'!$L41</f>
        <v>27967464</v>
      </c>
      <c r="AL34" s="302">
        <f>'[2]PBF Run'!H41</f>
        <v>1062862</v>
      </c>
      <c r="AM34" s="302">
        <f>'[2]PBF Run'!I41</f>
        <v>362882</v>
      </c>
      <c r="AN34" s="305">
        <f>'[2]Restoration and Growth'!BM41</f>
        <v>-27833.415964303422</v>
      </c>
      <c r="AO34" s="278">
        <f t="shared" ref="AO34:AO65" si="37">AI34+AJ34+AN34</f>
        <v>33020209.584035698</v>
      </c>
      <c r="AP34" s="285" t="str">
        <f t="shared" si="29"/>
        <v>0.85%</v>
      </c>
      <c r="AQ34" s="302">
        <f>'[2]PBF Run'!O41</f>
        <v>280672</v>
      </c>
      <c r="AR34" s="278">
        <f t="shared" ref="AR34:AR65" si="38">SUM(AO34,AQ34)</f>
        <v>33300881.584035698</v>
      </c>
      <c r="AS34" s="302">
        <f>'[2]PBF Run'!$AD41</f>
        <v>0</v>
      </c>
      <c r="AT34" s="302">
        <f>'[2]PBF Run'!$T41</f>
        <v>0</v>
      </c>
      <c r="AU34" s="278">
        <f t="shared" ref="AU34:AU65" si="39">AS34+AT34+EM34+EL34</f>
        <v>0</v>
      </c>
      <c r="AV34" s="304">
        <f>'[2]Restoration and Growth'!BT41</f>
        <v>0</v>
      </c>
      <c r="AW34" s="304" t="str">
        <f>'[2]Restoration and Growth'!AP41</f>
        <v>N</v>
      </c>
      <c r="AX34" s="302">
        <f>'[2]Restoration and Growth'!CV41</f>
        <v>0</v>
      </c>
      <c r="AY34" s="302">
        <f>'[2]Growth Deficit'!$AO41</f>
        <v>0</v>
      </c>
      <c r="AZ34" s="302">
        <f>'[2]Growth Deficit'!AO41</f>
        <v>0</v>
      </c>
      <c r="BA34" s="302">
        <f>'[2]Growth Deficit'!AL41</f>
        <v>0</v>
      </c>
      <c r="BB34" s="302">
        <f>'[2]Growth Deficit'!AM41</f>
        <v>0</v>
      </c>
      <c r="BC34" s="302">
        <f>'[2]Growth Deficit'!AN41</f>
        <v>0</v>
      </c>
      <c r="BD34" s="302">
        <f>'[2]Growth Deficit'!AO41</f>
        <v>0</v>
      </c>
      <c r="BE34" s="302">
        <f>'[2]PBF Run'!AA41</f>
        <v>0</v>
      </c>
      <c r="BF34" s="302">
        <f>'[2]PBF Run'!AB41</f>
        <v>0</v>
      </c>
      <c r="BG34" s="302">
        <f>'[2]PBF Run'!AC41</f>
        <v>0</v>
      </c>
      <c r="BH34" s="302">
        <f>'[2]PBF Run'!AD41</f>
        <v>0</v>
      </c>
      <c r="BI34" s="278">
        <f t="shared" ref="BI34:BI65" si="40">BE34+BF34+BG34+BH34</f>
        <v>0</v>
      </c>
      <c r="BJ34" s="302">
        <f>'[2]PBF Run'!X41</f>
        <v>28070</v>
      </c>
      <c r="BK34" s="302">
        <f>'[2]PBF Run'!AE41</f>
        <v>33328952</v>
      </c>
      <c r="BL34" s="282">
        <f t="shared" ref="BL34:BL65" si="41">1-BM34/BK34</f>
        <v>0.98518543277328374</v>
      </c>
      <c r="BM34" s="302">
        <f>'[2]PBF Run'!AM41</f>
        <v>493754</v>
      </c>
      <c r="BN34" s="302">
        <f>'[2]PBF Run'!$AN41</f>
        <v>10709260</v>
      </c>
      <c r="BO34" s="302">
        <f>'[2]PBF Run'!$AO41</f>
        <v>0</v>
      </c>
      <c r="BP34" s="302">
        <f>'[2]PBF Run'!AC41</f>
        <v>0</v>
      </c>
      <c r="BQ34" s="278">
        <f t="shared" ref="BQ34:BQ65" si="42">BU34</f>
        <v>10709260</v>
      </c>
      <c r="BR34" s="302">
        <f>'[2]PBF Run'!AJ41</f>
        <v>14567600</v>
      </c>
      <c r="BS34" s="302">
        <f>'[2]PBF Run'!AI41</f>
        <v>2510152</v>
      </c>
      <c r="BT34" s="302">
        <f>'[2]PBF Run'!$AN41</f>
        <v>10709260</v>
      </c>
      <c r="BU34" s="302">
        <f>'[2]PBF Run'!$AN41</f>
        <v>10709260</v>
      </c>
      <c r="BV34" s="302">
        <f>'[2]PBF Run'!BI41</f>
        <v>0</v>
      </c>
      <c r="BW34" s="303">
        <f>'[2]PBF Run'!BH41</f>
        <v>0</v>
      </c>
      <c r="BX34" s="278">
        <f t="shared" si="30"/>
        <v>69532</v>
      </c>
      <c r="BY34" s="278">
        <f t="shared" ref="BY34:BY65" si="43">BU34+BV34</f>
        <v>10709260</v>
      </c>
      <c r="BZ34" s="302">
        <f>'[2]As of 13-14 R1'!BP41</f>
        <v>0</v>
      </c>
      <c r="CA34" s="302">
        <f>'[2]As of 13-14 R1'!BQ41</f>
        <v>1276386</v>
      </c>
      <c r="CB34" s="302">
        <f>'[2]As of 13-14 R1'!BR41</f>
        <v>0</v>
      </c>
      <c r="CC34" s="278">
        <f t="shared" ref="CC34:CC65" si="44">BZ34+CA34+CB34</f>
        <v>1276386</v>
      </c>
      <c r="CD34" s="301">
        <f>'[2]Growth Deficit'!$D$2</f>
        <v>0</v>
      </c>
      <c r="CE34" s="300">
        <f>IF($CS34="S",'[2]Foundation Grant'!C41,0)</f>
        <v>0</v>
      </c>
      <c r="CF34" s="300">
        <f>IF($CS34="S",'[2]Foundation Grant'!D41,0)</f>
        <v>0</v>
      </c>
      <c r="CG34" s="300">
        <f>IF($CS34="S",'[2]Foundation Grant'!E41,0)</f>
        <v>1</v>
      </c>
      <c r="CH34" s="300">
        <f>IF($CS34="S",'[2]Foundation Grant'!F41,0)</f>
        <v>1</v>
      </c>
      <c r="CI34" s="300">
        <f>IF($CS34="M",'[2]Foundation Grant'!C41,0)</f>
        <v>0</v>
      </c>
      <c r="CJ34" s="300">
        <f>IF($CS34="M",'[2]Foundation Grant'!D41,0)</f>
        <v>0</v>
      </c>
      <c r="CK34" s="300">
        <f>IF($CS34="M",'[2]Foundation Grant'!E41,0)</f>
        <v>0</v>
      </c>
      <c r="CL34" s="300">
        <f>IF($CS34="M",'[2]Foundation Grant'!F41,0)</f>
        <v>0</v>
      </c>
      <c r="CM34" s="300">
        <f>'[2]Foundation Grant'!G41</f>
        <v>0</v>
      </c>
      <c r="CN34" s="300">
        <f>'[2]Foundation Grant'!H41</f>
        <v>0</v>
      </c>
      <c r="CO34" s="300">
        <f>'[2]Foundation Grant'!I41</f>
        <v>0</v>
      </c>
      <c r="CP34" s="300">
        <f>'[2]Foundation Grant'!J41</f>
        <v>1</v>
      </c>
      <c r="CQ34" s="300">
        <f>'[2]Foundation Grant'!K41</f>
        <v>0</v>
      </c>
      <c r="CR34" s="299">
        <f>'[2]Foundation Grant'!L41</f>
        <v>1</v>
      </c>
      <c r="CS34" s="300" t="str">
        <f>'[2]Foundation Grant'!M41</f>
        <v>S</v>
      </c>
      <c r="CT34" s="300">
        <f>'[2]Foundation Grant'!N41</f>
        <v>3654835</v>
      </c>
      <c r="CU34" s="299">
        <f>'[2]Foundation Grant'!O41</f>
        <v>0</v>
      </c>
      <c r="CV34" s="299">
        <f>'[2]Foundation Grant'!P41</f>
        <v>0</v>
      </c>
      <c r="CW34" s="298">
        <f>'[2]Foundation Grant'!$C$1</f>
        <v>5622823</v>
      </c>
      <c r="CX34" s="298">
        <f>'[2]Foundation Grant'!$D$1</f>
        <v>4498258</v>
      </c>
      <c r="CY34" s="298">
        <f>'[2]Foundation Grant'!$E$1</f>
        <v>3373694</v>
      </c>
      <c r="CZ34" s="298">
        <f>'[2]Foundation Grant'!$C$2</f>
        <v>4498258</v>
      </c>
      <c r="DA34" s="298">
        <f>'[2]Foundation Grant'!$D$2</f>
        <v>3935976</v>
      </c>
      <c r="DB34" s="298">
        <f>'[2]Foundation Grant'!$E$2</f>
        <v>3373694</v>
      </c>
      <c r="DC34" s="298">
        <f>'[2]Foundation Grant'!$G$1</f>
        <v>1124565</v>
      </c>
      <c r="DD34" s="298">
        <f>'[2]Foundation Grant'!$H$1</f>
        <v>843423</v>
      </c>
      <c r="DE34" s="298">
        <f>'[2]Foundation Grant'!$I$1</f>
        <v>562282</v>
      </c>
      <c r="DF34" s="298">
        <f>'[2]Foundation Grant'!$J$1</f>
        <v>281141</v>
      </c>
      <c r="DG34" s="298">
        <f>'[2]Foundation Grant'!$K$1</f>
        <v>140571</v>
      </c>
      <c r="DH34" s="298">
        <f>'[2]Foundation Grant'!$O$1</f>
        <v>562282</v>
      </c>
      <c r="DI34" s="298">
        <f>'[2]Foundation Grant'!$P$1</f>
        <v>1124565</v>
      </c>
      <c r="DJ34" s="297">
        <f>'[2]basic allocation'!$C$10</f>
        <v>18749</v>
      </c>
      <c r="DK34" s="297">
        <f>'[2]basic allocation'!$D$10</f>
        <v>9375</v>
      </c>
      <c r="DL34" s="297">
        <f>'[2]basic allocation'!$E$10</f>
        <v>9375</v>
      </c>
      <c r="DM34" s="297">
        <f>'[2]basic allocation'!$I$10</f>
        <v>938</v>
      </c>
      <c r="DN34" s="297">
        <f>'[2]basic allocation'!$J$10</f>
        <v>703</v>
      </c>
      <c r="DO34" s="297">
        <f>'[2]basic allocation'!$K$10</f>
        <v>469</v>
      </c>
      <c r="DP34" s="297">
        <f>'[2]basic allocation'!$L$10</f>
        <v>234</v>
      </c>
      <c r="DQ34" s="297">
        <f>'[2]basic allocation'!$M$10</f>
        <v>100</v>
      </c>
      <c r="DR34" s="296">
        <f>'[2]FTES Adjustment'!DQ41</f>
        <v>0</v>
      </c>
      <c r="DS34" s="296">
        <f>'[2]FTES Adjustment'!DR41</f>
        <v>0</v>
      </c>
      <c r="DT34" s="296">
        <f>'[2]FTES Adjustment'!DS41</f>
        <v>0</v>
      </c>
      <c r="DU34" s="277">
        <f t="shared" ref="DU34:DU65" si="45">ROUND(DR34+DS34+DT34,3)</f>
        <v>0</v>
      </c>
      <c r="DV34" s="276">
        <f t="shared" ref="DV34:DV65" si="46">EF34</f>
        <v>0</v>
      </c>
      <c r="DW34" s="276">
        <f t="shared" ref="DW34:DW65" si="47">EG34</f>
        <v>0</v>
      </c>
      <c r="DX34" s="276">
        <f t="shared" ref="DX34:DX65" si="48">EH34</f>
        <v>0</v>
      </c>
      <c r="DY34" s="276">
        <f t="shared" ref="DY34:DY65" si="49">ROUND(SUM(DV34:DX34),3)</f>
        <v>0</v>
      </c>
      <c r="DZ34" s="295">
        <f>ROUND([2]FTES!$D41,3)</f>
        <v>6032.03</v>
      </c>
      <c r="EA34" s="295">
        <f>ROUND([2]FTES!$M41,3)</f>
        <v>381.22</v>
      </c>
      <c r="EB34" s="295">
        <f>ROUND([2]FTES!$V41,3)</f>
        <v>110.54</v>
      </c>
      <c r="EC34" s="276">
        <f t="shared" ref="EC34:EC65" si="50">ROUND(SUM(DZ34:EB34),3)</f>
        <v>6523.79</v>
      </c>
      <c r="ED34" s="133">
        <v>0</v>
      </c>
      <c r="EE34" s="294">
        <f>'[2]10-11 WkLd126M'!$E39</f>
        <v>860494</v>
      </c>
      <c r="EF34" s="295">
        <f>'[2]FTES Adjustment'!CG41</f>
        <v>0</v>
      </c>
      <c r="EG34" s="295">
        <f>'[2]FTES Adjustment'!CH41</f>
        <v>0</v>
      </c>
      <c r="EH34" s="295">
        <f>'[2]FTES Adjustment'!CI41</f>
        <v>0</v>
      </c>
      <c r="EI34" s="276">
        <f t="shared" ref="EI34:EI65" si="51">SUM(EF34:EH34)</f>
        <v>0</v>
      </c>
      <c r="EJ34" s="294">
        <f>'[2]PBF Run'!$AT41</f>
        <v>0</v>
      </c>
      <c r="EK34" s="294">
        <f>'[2]11-12 Workload Reduction'!H41</f>
        <v>34051157</v>
      </c>
      <c r="EL34" s="294">
        <f>'[2]13-14 $86M Workload Restore'!AI39</f>
        <v>0</v>
      </c>
      <c r="EM34" s="294">
        <f>'[2]13-14 $86M Workload Restore'!AC39</f>
        <v>0</v>
      </c>
      <c r="EN34" s="294">
        <f>'[2]13-14 deferrals, growth, EPA 1'!BJ41</f>
        <v>5100234</v>
      </c>
      <c r="EO34" s="293">
        <f t="shared" ref="EO34:EO65" si="52">BK34-BM34</f>
        <v>32835198</v>
      </c>
      <c r="EP34" s="292">
        <v>0</v>
      </c>
      <c r="EQ34" s="292">
        <v>0</v>
      </c>
      <c r="ER34" s="292">
        <v>0</v>
      </c>
      <c r="ES34" s="16">
        <f t="shared" ref="ES34:ES65" si="53">SUM(EP34:ER34)</f>
        <v>0</v>
      </c>
    </row>
    <row r="35" spans="1:149">
      <c r="A35" s="291" t="s">
        <v>257</v>
      </c>
      <c r="B35" s="290" t="str">
        <f t="shared" ref="B35:B66" si="54">$B$2</f>
        <v>P2</v>
      </c>
      <c r="C35" s="285" t="s">
        <v>335</v>
      </c>
      <c r="D35" s="289" t="s">
        <v>334</v>
      </c>
      <c r="E35" s="288">
        <f>ROUND('[2]PBF Run'!N42,6)</f>
        <v>4636.4928529999997</v>
      </c>
      <c r="F35" s="285">
        <f t="shared" ref="F35:F66" si="55">F34</f>
        <v>4675.9030433300004</v>
      </c>
      <c r="G35" s="285">
        <f t="shared" ref="G35:G66" si="56">G34</f>
        <v>2788.0536374600001</v>
      </c>
      <c r="H35" s="285">
        <f t="shared" ref="H35:H66" si="57">H34</f>
        <v>2811.7520933800001</v>
      </c>
      <c r="I35" s="285">
        <f t="shared" ref="I35:I66" si="58">I34</f>
        <v>3282.8110613200001</v>
      </c>
      <c r="J35" s="285">
        <f t="shared" ref="J35:J66" si="59">J34</f>
        <v>3310.71495534</v>
      </c>
      <c r="K35" s="308">
        <f>ROUND([2]FTES!C42,3)</f>
        <v>23273.652999999998</v>
      </c>
      <c r="L35" s="308">
        <f>ROUND([2]FTES!F42,3)</f>
        <v>0</v>
      </c>
      <c r="M35" s="308">
        <f>ROUND('[2]Growth Deficit'!AG42,3)</f>
        <v>0</v>
      </c>
      <c r="N35" s="308">
        <f>ROUND([2]FTES!I42,3)</f>
        <v>0</v>
      </c>
      <c r="O35" s="308">
        <f>ROUND([2]FTES!E42,3)</f>
        <v>25291.200000000001</v>
      </c>
      <c r="P35" s="308">
        <f>ROUND([2]FTES!L42,3)</f>
        <v>1902.64</v>
      </c>
      <c r="Q35" s="308">
        <f>ROUND([2]FTES!O42,3)</f>
        <v>0</v>
      </c>
      <c r="R35" s="308">
        <f>ROUND('[2]Growth Deficit'!$AH42,3)</f>
        <v>0</v>
      </c>
      <c r="S35" s="308">
        <f>ROUND([2]FTES!R42,3)</f>
        <v>0</v>
      </c>
      <c r="T35" s="308">
        <f>ROUND([2]FTES!N42,3)</f>
        <v>2820.43</v>
      </c>
      <c r="U35" s="308">
        <f>ROUND([2]FTES!U42,3)</f>
        <v>3696.35</v>
      </c>
      <c r="V35" s="308">
        <f>ROUND([2]FTES!X42,3)</f>
        <v>0</v>
      </c>
      <c r="W35" s="308">
        <f>ROUND('[2]Growth Deficit'!$AI42,3)</f>
        <v>0</v>
      </c>
      <c r="X35" s="308">
        <f>ROUND([2]FTES!AA42,3)</f>
        <v>0</v>
      </c>
      <c r="Y35" s="308">
        <f>ROUND([2]FTES!W42,3)</f>
        <v>3122.28</v>
      </c>
      <c r="Z35" s="307">
        <f>'[2]FTES Adjustment'!CW42</f>
        <v>24490.023863999999</v>
      </c>
      <c r="AA35" s="307">
        <f>'[2]FTES Adjustment'!CX42</f>
        <v>2820.43</v>
      </c>
      <c r="AB35" s="307">
        <f>'[2]FTES Adjustment'!CY42</f>
        <v>3122.28</v>
      </c>
      <c r="AC35" s="275">
        <f t="shared" si="31"/>
        <v>28872.643</v>
      </c>
      <c r="AD35" s="275">
        <f t="shared" si="32"/>
        <v>0</v>
      </c>
      <c r="AE35" s="275">
        <f t="shared" si="33"/>
        <v>0</v>
      </c>
      <c r="AF35" s="275">
        <f t="shared" si="34"/>
        <v>0</v>
      </c>
      <c r="AG35" s="275">
        <f t="shared" si="35"/>
        <v>31233.91</v>
      </c>
      <c r="AH35" s="275">
        <f t="shared" si="36"/>
        <v>30432.734</v>
      </c>
      <c r="AI35" s="302">
        <f>'[2]PBF Run'!F42</f>
        <v>5622823</v>
      </c>
      <c r="AJ35" s="302">
        <f>'[2]PBF Run'!H42+'[2]PBF Run'!I42+'[2]PBF Run'!J42+'[2]PBF Run'!L42</f>
        <v>125347209</v>
      </c>
      <c r="AK35" s="306">
        <f>'[2]PBF Run'!J42 + '[2]PBF Run'!$L42</f>
        <v>107908128</v>
      </c>
      <c r="AL35" s="302">
        <f>'[2]PBF Run'!H42</f>
        <v>5304662</v>
      </c>
      <c r="AM35" s="302">
        <f>'[2]PBF Run'!I42</f>
        <v>12134419</v>
      </c>
      <c r="AN35" s="305">
        <f>'[2]Restoration and Growth'!BM42</f>
        <v>0</v>
      </c>
      <c r="AO35" s="278">
        <f t="shared" si="37"/>
        <v>130970032</v>
      </c>
      <c r="AP35" s="285" t="str">
        <f t="shared" ref="AP35:AP66" si="60">$AP$2</f>
        <v>0.85%</v>
      </c>
      <c r="AQ35" s="302">
        <f>'[2]PBF Run'!O42</f>
        <v>1113245</v>
      </c>
      <c r="AR35" s="278">
        <f t="shared" si="38"/>
        <v>132083277</v>
      </c>
      <c r="AS35" s="302">
        <f>'[2]PBF Run'!$AD42</f>
        <v>0</v>
      </c>
      <c r="AT35" s="302">
        <f>'[2]PBF Run'!$T42</f>
        <v>0</v>
      </c>
      <c r="AU35" s="278">
        <f t="shared" si="39"/>
        <v>2870228</v>
      </c>
      <c r="AV35" s="304">
        <f>'[2]Restoration and Growth'!BT42</f>
        <v>0</v>
      </c>
      <c r="AW35" s="304" t="str">
        <f>'[2]Restoration and Growth'!AP42</f>
        <v>Y</v>
      </c>
      <c r="AX35" s="302">
        <f>'[2]Restoration and Growth'!CV42</f>
        <v>0</v>
      </c>
      <c r="AY35" s="302">
        <f>'[2]Growth Deficit'!$AO42</f>
        <v>0</v>
      </c>
      <c r="AZ35" s="302">
        <f>'[2]Growth Deficit'!AO42</f>
        <v>0</v>
      </c>
      <c r="BA35" s="302">
        <f>'[2]Growth Deficit'!AL42</f>
        <v>0</v>
      </c>
      <c r="BB35" s="302">
        <f>'[2]Growth Deficit'!AM42</f>
        <v>0</v>
      </c>
      <c r="BC35" s="302">
        <f>'[2]Growth Deficit'!AN42</f>
        <v>0</v>
      </c>
      <c r="BD35" s="302">
        <f>'[2]Growth Deficit'!AO42</f>
        <v>0</v>
      </c>
      <c r="BE35" s="302">
        <f>'[2]PBF Run'!AA42</f>
        <v>0</v>
      </c>
      <c r="BF35" s="302">
        <f>'[2]PBF Run'!AB42</f>
        <v>0</v>
      </c>
      <c r="BG35" s="302">
        <f>'[2]PBF Run'!AC42</f>
        <v>0</v>
      </c>
      <c r="BH35" s="302">
        <f>'[2]PBF Run'!AD42</f>
        <v>0</v>
      </c>
      <c r="BI35" s="278">
        <f t="shared" si="40"/>
        <v>0</v>
      </c>
      <c r="BJ35" s="302">
        <f>'[2]PBF Run'!X42</f>
        <v>0</v>
      </c>
      <c r="BK35" s="302">
        <f>'[2]PBF Run'!AE42</f>
        <v>138450923</v>
      </c>
      <c r="BL35" s="282">
        <f t="shared" si="41"/>
        <v>0.98518541476245702</v>
      </c>
      <c r="BM35" s="302">
        <f>'[2]PBF Run'!AM42</f>
        <v>2051093</v>
      </c>
      <c r="BN35" s="302">
        <f>'[2]PBF Run'!$AN42</f>
        <v>87013888</v>
      </c>
      <c r="BO35" s="302">
        <f>'[2]PBF Run'!$AO42</f>
        <v>0</v>
      </c>
      <c r="BP35" s="302">
        <f>'[2]PBF Run'!AC42</f>
        <v>0</v>
      </c>
      <c r="BQ35" s="278">
        <f t="shared" si="42"/>
        <v>87013888</v>
      </c>
      <c r="BR35" s="302">
        <f>'[2]PBF Run'!AJ42</f>
        <v>19849687</v>
      </c>
      <c r="BS35" s="302">
        <f>'[2]PBF Run'!AI42</f>
        <v>8201044</v>
      </c>
      <c r="BT35" s="302">
        <f>'[2]PBF Run'!$AN42</f>
        <v>87013888</v>
      </c>
      <c r="BU35" s="302">
        <f>'[2]PBF Run'!$AN42</f>
        <v>87013888</v>
      </c>
      <c r="BV35" s="302">
        <f>'[2]PBF Run'!BI42</f>
        <v>0</v>
      </c>
      <c r="BW35" s="303">
        <f>'[2]PBF Run'!BH42</f>
        <v>0</v>
      </c>
      <c r="BX35" s="278">
        <f t="shared" ref="BX35:BX66" si="61">$BX$2</f>
        <v>69532</v>
      </c>
      <c r="BY35" s="278">
        <f t="shared" si="43"/>
        <v>87013888</v>
      </c>
      <c r="BZ35" s="302">
        <f>'[2]As of 13-14 R1'!BP42</f>
        <v>0</v>
      </c>
      <c r="CA35" s="302">
        <f>'[2]As of 13-14 R1'!BQ42</f>
        <v>0</v>
      </c>
      <c r="CB35" s="302">
        <f>'[2]As of 13-14 R1'!BR42</f>
        <v>0</v>
      </c>
      <c r="CC35" s="278">
        <f t="shared" si="44"/>
        <v>0</v>
      </c>
      <c r="CD35" s="301">
        <f>'[2]Growth Deficit'!$D$2</f>
        <v>0</v>
      </c>
      <c r="CE35" s="300">
        <f>IF($CS35="S",'[2]Foundation Grant'!C42,0)</f>
        <v>1</v>
      </c>
      <c r="CF35" s="300">
        <f>IF($CS35="S",'[2]Foundation Grant'!D42,0)</f>
        <v>0</v>
      </c>
      <c r="CG35" s="300">
        <f>IF($CS35="S",'[2]Foundation Grant'!E42,0)</f>
        <v>0</v>
      </c>
      <c r="CH35" s="300">
        <f>IF($CS35="S",'[2]Foundation Grant'!F42,0)</f>
        <v>1</v>
      </c>
      <c r="CI35" s="300">
        <f>IF($CS35="M",'[2]Foundation Grant'!C42,0)</f>
        <v>0</v>
      </c>
      <c r="CJ35" s="300">
        <f>IF($CS35="M",'[2]Foundation Grant'!D42,0)</f>
        <v>0</v>
      </c>
      <c r="CK35" s="300">
        <f>IF($CS35="M",'[2]Foundation Grant'!E42,0)</f>
        <v>0</v>
      </c>
      <c r="CL35" s="300">
        <f>IF($CS35="M",'[2]Foundation Grant'!F42,0)</f>
        <v>0</v>
      </c>
      <c r="CM35" s="300">
        <f>'[2]Foundation Grant'!G42</f>
        <v>0</v>
      </c>
      <c r="CN35" s="300">
        <f>'[2]Foundation Grant'!H42</f>
        <v>0</v>
      </c>
      <c r="CO35" s="300">
        <f>'[2]Foundation Grant'!I42</f>
        <v>0</v>
      </c>
      <c r="CP35" s="300">
        <f>'[2]Foundation Grant'!J42</f>
        <v>0</v>
      </c>
      <c r="CQ35" s="300">
        <f>'[2]Foundation Grant'!K42</f>
        <v>0</v>
      </c>
      <c r="CR35" s="299">
        <f>'[2]Foundation Grant'!L42</f>
        <v>0</v>
      </c>
      <c r="CS35" s="300" t="str">
        <f>'[2]Foundation Grant'!M42</f>
        <v>S</v>
      </c>
      <c r="CT35" s="300">
        <f>'[2]Foundation Grant'!N42</f>
        <v>5622823</v>
      </c>
      <c r="CU35" s="299">
        <f>'[2]Foundation Grant'!O42</f>
        <v>0</v>
      </c>
      <c r="CV35" s="299">
        <f>'[2]Foundation Grant'!P42</f>
        <v>0</v>
      </c>
      <c r="CW35" s="298">
        <f>'[2]Foundation Grant'!$C$1</f>
        <v>5622823</v>
      </c>
      <c r="CX35" s="298">
        <f>'[2]Foundation Grant'!$D$1</f>
        <v>4498258</v>
      </c>
      <c r="CY35" s="298">
        <f>'[2]Foundation Grant'!$E$1</f>
        <v>3373694</v>
      </c>
      <c r="CZ35" s="298">
        <f>'[2]Foundation Grant'!$C$2</f>
        <v>4498258</v>
      </c>
      <c r="DA35" s="298">
        <f>'[2]Foundation Grant'!$D$2</f>
        <v>3935976</v>
      </c>
      <c r="DB35" s="298">
        <f>'[2]Foundation Grant'!$E$2</f>
        <v>3373694</v>
      </c>
      <c r="DC35" s="298">
        <f>'[2]Foundation Grant'!$G$1</f>
        <v>1124565</v>
      </c>
      <c r="DD35" s="298">
        <f>'[2]Foundation Grant'!$H$1</f>
        <v>843423</v>
      </c>
      <c r="DE35" s="298">
        <f>'[2]Foundation Grant'!$I$1</f>
        <v>562282</v>
      </c>
      <c r="DF35" s="298">
        <f>'[2]Foundation Grant'!$J$1</f>
        <v>281141</v>
      </c>
      <c r="DG35" s="298">
        <f>'[2]Foundation Grant'!$K$1</f>
        <v>140571</v>
      </c>
      <c r="DH35" s="298">
        <f>'[2]Foundation Grant'!$O$1</f>
        <v>562282</v>
      </c>
      <c r="DI35" s="298">
        <f>'[2]Foundation Grant'!$P$1</f>
        <v>1124565</v>
      </c>
      <c r="DJ35" s="297">
        <f>'[2]basic allocation'!$C$10</f>
        <v>18749</v>
      </c>
      <c r="DK35" s="297">
        <f>'[2]basic allocation'!$D$10</f>
        <v>9375</v>
      </c>
      <c r="DL35" s="297">
        <f>'[2]basic allocation'!$E$10</f>
        <v>9375</v>
      </c>
      <c r="DM35" s="297">
        <f>'[2]basic allocation'!$I$10</f>
        <v>938</v>
      </c>
      <c r="DN35" s="297">
        <f>'[2]basic allocation'!$J$10</f>
        <v>703</v>
      </c>
      <c r="DO35" s="297">
        <f>'[2]basic allocation'!$K$10</f>
        <v>469</v>
      </c>
      <c r="DP35" s="297">
        <f>'[2]basic allocation'!$L$10</f>
        <v>234</v>
      </c>
      <c r="DQ35" s="297">
        <f>'[2]basic allocation'!$M$10</f>
        <v>100</v>
      </c>
      <c r="DR35" s="296">
        <f>'[2]FTES Adjustment'!DQ42</f>
        <v>801.17613600000186</v>
      </c>
      <c r="DS35" s="296">
        <f>'[2]FTES Adjustment'!DR42</f>
        <v>0</v>
      </c>
      <c r="DT35" s="296">
        <f>'[2]FTES Adjustment'!DS42</f>
        <v>0</v>
      </c>
      <c r="DU35" s="277">
        <f t="shared" si="45"/>
        <v>801.17600000000004</v>
      </c>
      <c r="DV35" s="276">
        <f t="shared" si="46"/>
        <v>1216.370388</v>
      </c>
      <c r="DW35" s="276">
        <f t="shared" si="47"/>
        <v>917.79</v>
      </c>
      <c r="DX35" s="276">
        <f t="shared" si="48"/>
        <v>-574.06999999999971</v>
      </c>
      <c r="DY35" s="276">
        <f t="shared" si="49"/>
        <v>1560.09</v>
      </c>
      <c r="DZ35" s="295">
        <f>ROUND([2]FTES!$D42,3)</f>
        <v>23273.652999999998</v>
      </c>
      <c r="EA35" s="295">
        <f>ROUND([2]FTES!$M42,3)</f>
        <v>1902.64</v>
      </c>
      <c r="EB35" s="295">
        <f>ROUND([2]FTES!$V42,3)</f>
        <v>3696.35</v>
      </c>
      <c r="EC35" s="276">
        <f t="shared" si="50"/>
        <v>28872.643</v>
      </c>
      <c r="ED35" s="133">
        <v>0</v>
      </c>
      <c r="EE35" s="294">
        <f>'[2]10-11 WkLd126M'!$E40</f>
        <v>3007037</v>
      </c>
      <c r="EF35" s="295">
        <f>'[2]FTES Adjustment'!CG42</f>
        <v>1216.370388</v>
      </c>
      <c r="EG35" s="295">
        <f>'[2]FTES Adjustment'!CH42</f>
        <v>917.79</v>
      </c>
      <c r="EH35" s="295">
        <f>'[2]FTES Adjustment'!CI42</f>
        <v>-574.06999999999971</v>
      </c>
      <c r="EI35" s="276">
        <f t="shared" si="51"/>
        <v>1560.0903880000005</v>
      </c>
      <c r="EJ35" s="294">
        <f>'[2]PBF Run'!$AT42</f>
        <v>0</v>
      </c>
      <c r="EK35" s="294">
        <f>'[2]11-12 Workload Reduction'!H42</f>
        <v>128686105</v>
      </c>
      <c r="EL35" s="294">
        <f>'[2]13-14 $86M Workload Restore'!AI40</f>
        <v>2870228</v>
      </c>
      <c r="EM35" s="294">
        <f>'[2]13-14 $86M Workload Restore'!AC40</f>
        <v>0</v>
      </c>
      <c r="EN35" s="294">
        <f>'[2]13-14 deferrals, growth, EPA 1'!BJ42</f>
        <v>19741454</v>
      </c>
      <c r="EO35" s="293">
        <f t="shared" si="52"/>
        <v>136399830</v>
      </c>
      <c r="EP35" s="292">
        <v>0</v>
      </c>
      <c r="EQ35" s="292">
        <v>0</v>
      </c>
      <c r="ER35" s="292">
        <v>0</v>
      </c>
      <c r="ES35" s="16">
        <f t="shared" si="53"/>
        <v>0</v>
      </c>
    </row>
    <row r="36" spans="1:149">
      <c r="A36" s="291" t="s">
        <v>257</v>
      </c>
      <c r="B36" s="290" t="str">
        <f t="shared" si="54"/>
        <v>P2</v>
      </c>
      <c r="C36" s="285" t="s">
        <v>333</v>
      </c>
      <c r="D36" s="289" t="s">
        <v>332</v>
      </c>
      <c r="E36" s="288">
        <f>ROUND('[2]PBF Run'!N43,6)</f>
        <v>4636.4928570000002</v>
      </c>
      <c r="F36" s="285">
        <f t="shared" si="55"/>
        <v>4675.9030433300004</v>
      </c>
      <c r="G36" s="285">
        <f t="shared" si="56"/>
        <v>2788.0536374600001</v>
      </c>
      <c r="H36" s="285">
        <f t="shared" si="57"/>
        <v>2811.7520933800001</v>
      </c>
      <c r="I36" s="285">
        <f t="shared" si="58"/>
        <v>3282.8110613200001</v>
      </c>
      <c r="J36" s="285">
        <f t="shared" si="59"/>
        <v>3310.71495534</v>
      </c>
      <c r="K36" s="308">
        <f>ROUND([2]FTES!C43,3)</f>
        <v>9562.3989999999994</v>
      </c>
      <c r="L36" s="308">
        <f>ROUND([2]FTES!F43,3)</f>
        <v>0</v>
      </c>
      <c r="M36" s="308">
        <f>ROUND('[2]Growth Deficit'!AG43,3)</f>
        <v>0</v>
      </c>
      <c r="N36" s="308">
        <f>ROUND([2]FTES!I43,3)</f>
        <v>0</v>
      </c>
      <c r="O36" s="308">
        <f>ROUND([2]FTES!E43,3)</f>
        <v>10415.129999999999</v>
      </c>
      <c r="P36" s="308">
        <f>ROUND([2]FTES!L43,3)</f>
        <v>376</v>
      </c>
      <c r="Q36" s="308">
        <f>ROUND([2]FTES!O43,3)</f>
        <v>0</v>
      </c>
      <c r="R36" s="308">
        <f>ROUND('[2]Growth Deficit'!$AH43,3)</f>
        <v>0</v>
      </c>
      <c r="S36" s="308">
        <f>ROUND([2]FTES!R43,3)</f>
        <v>0</v>
      </c>
      <c r="T36" s="308">
        <f>ROUND([2]FTES!N43,3)</f>
        <v>423.01</v>
      </c>
      <c r="U36" s="308">
        <f>ROUND([2]FTES!U43,3)</f>
        <v>190.01</v>
      </c>
      <c r="V36" s="308">
        <f>ROUND([2]FTES!X43,3)</f>
        <v>0</v>
      </c>
      <c r="W36" s="308">
        <f>ROUND('[2]Growth Deficit'!$AI43,3)</f>
        <v>0</v>
      </c>
      <c r="X36" s="308">
        <f>ROUND([2]FTES!AA43,3)</f>
        <v>0</v>
      </c>
      <c r="Y36" s="308">
        <f>ROUND([2]FTES!W43,3)</f>
        <v>150.06</v>
      </c>
      <c r="Z36" s="307">
        <f>'[2]FTES Adjustment'!CW43</f>
        <v>10061.861526999999</v>
      </c>
      <c r="AA36" s="307">
        <f>'[2]FTES Adjustment'!CX43</f>
        <v>423.01</v>
      </c>
      <c r="AB36" s="307">
        <f>'[2]FTES Adjustment'!CY43</f>
        <v>150.06</v>
      </c>
      <c r="AC36" s="275">
        <f t="shared" si="31"/>
        <v>10128.409</v>
      </c>
      <c r="AD36" s="275">
        <f t="shared" si="32"/>
        <v>0</v>
      </c>
      <c r="AE36" s="275">
        <f t="shared" si="33"/>
        <v>0</v>
      </c>
      <c r="AF36" s="275">
        <f t="shared" si="34"/>
        <v>0</v>
      </c>
      <c r="AG36" s="275">
        <f t="shared" si="35"/>
        <v>10988.2</v>
      </c>
      <c r="AH36" s="275">
        <f t="shared" si="36"/>
        <v>10634.932000000001</v>
      </c>
      <c r="AI36" s="302">
        <f>'[2]PBF Run'!F43</f>
        <v>5622823</v>
      </c>
      <c r="AJ36" s="302">
        <f>'[2]PBF Run'!H43+'[2]PBF Run'!I43+'[2]PBF Run'!J43+'[2]PBF Run'!L43</f>
        <v>46008071</v>
      </c>
      <c r="AK36" s="306">
        <f>'[2]PBF Run'!J43 + '[2]PBF Run'!$L43</f>
        <v>44335996</v>
      </c>
      <c r="AL36" s="302">
        <f>'[2]PBF Run'!H43</f>
        <v>1048308</v>
      </c>
      <c r="AM36" s="302">
        <f>'[2]PBF Run'!I43</f>
        <v>623767</v>
      </c>
      <c r="AN36" s="305">
        <f>'[2]Restoration and Growth'!BM43</f>
        <v>0</v>
      </c>
      <c r="AO36" s="278">
        <f t="shared" si="37"/>
        <v>51630894</v>
      </c>
      <c r="AP36" s="285" t="str">
        <f t="shared" si="60"/>
        <v>0.85%</v>
      </c>
      <c r="AQ36" s="302">
        <f>'[2]PBF Run'!O43</f>
        <v>438863</v>
      </c>
      <c r="AR36" s="278">
        <f t="shared" si="38"/>
        <v>52069757</v>
      </c>
      <c r="AS36" s="302">
        <f>'[2]PBF Run'!$AD43</f>
        <v>0</v>
      </c>
      <c r="AT36" s="302">
        <f>'[2]PBF Run'!$T43</f>
        <v>0</v>
      </c>
      <c r="AU36" s="278">
        <f t="shared" si="39"/>
        <v>1052666</v>
      </c>
      <c r="AV36" s="304">
        <f>'[2]Restoration and Growth'!BT43</f>
        <v>0</v>
      </c>
      <c r="AW36" s="304" t="str">
        <f>'[2]Restoration and Growth'!AP43</f>
        <v>Y</v>
      </c>
      <c r="AX36" s="302">
        <f>'[2]Restoration and Growth'!CV43</f>
        <v>0</v>
      </c>
      <c r="AY36" s="302">
        <f>'[2]Growth Deficit'!$AO43</f>
        <v>0</v>
      </c>
      <c r="AZ36" s="302">
        <f>'[2]Growth Deficit'!AO43</f>
        <v>0</v>
      </c>
      <c r="BA36" s="302">
        <f>'[2]Growth Deficit'!AL43</f>
        <v>0</v>
      </c>
      <c r="BB36" s="302">
        <f>'[2]Growth Deficit'!AM43</f>
        <v>0</v>
      </c>
      <c r="BC36" s="302">
        <f>'[2]Growth Deficit'!AN43</f>
        <v>0</v>
      </c>
      <c r="BD36" s="302">
        <f>'[2]Growth Deficit'!AO43</f>
        <v>0</v>
      </c>
      <c r="BE36" s="302">
        <f>'[2]PBF Run'!AA43</f>
        <v>0</v>
      </c>
      <c r="BF36" s="302">
        <f>'[2]PBF Run'!AB43</f>
        <v>0</v>
      </c>
      <c r="BG36" s="302">
        <f>'[2]PBF Run'!AC43</f>
        <v>0</v>
      </c>
      <c r="BH36" s="302">
        <f>'[2]PBF Run'!AD43</f>
        <v>0</v>
      </c>
      <c r="BI36" s="278">
        <f t="shared" si="40"/>
        <v>0</v>
      </c>
      <c r="BJ36" s="302">
        <f>'[2]PBF Run'!X43</f>
        <v>0</v>
      </c>
      <c r="BK36" s="302">
        <f>'[2]PBF Run'!AE43</f>
        <v>54405111</v>
      </c>
      <c r="BL36" s="282">
        <f t="shared" si="41"/>
        <v>0.98518541759799005</v>
      </c>
      <c r="BM36" s="302">
        <f>'[2]PBF Run'!AM43</f>
        <v>805989</v>
      </c>
      <c r="BN36" s="302">
        <f>'[2]PBF Run'!$AN43</f>
        <v>22952597</v>
      </c>
      <c r="BO36" s="302">
        <f>'[2]PBF Run'!$AO43</f>
        <v>0</v>
      </c>
      <c r="BP36" s="302">
        <f>'[2]PBF Run'!AC43</f>
        <v>0</v>
      </c>
      <c r="BQ36" s="278">
        <f t="shared" si="42"/>
        <v>22952597</v>
      </c>
      <c r="BR36" s="302">
        <f>'[2]PBF Run'!AJ43</f>
        <v>19104339</v>
      </c>
      <c r="BS36" s="302">
        <f>'[2]PBF Run'!AI43</f>
        <v>3145800</v>
      </c>
      <c r="BT36" s="302">
        <f>'[2]PBF Run'!$AN43</f>
        <v>22952597</v>
      </c>
      <c r="BU36" s="302">
        <f>'[2]PBF Run'!$AN43</f>
        <v>22952597</v>
      </c>
      <c r="BV36" s="302">
        <f>'[2]PBF Run'!BI43</f>
        <v>0</v>
      </c>
      <c r="BW36" s="303">
        <f>'[2]PBF Run'!BH43</f>
        <v>0</v>
      </c>
      <c r="BX36" s="278">
        <f t="shared" si="61"/>
        <v>69532</v>
      </c>
      <c r="BY36" s="278">
        <f t="shared" si="43"/>
        <v>22952597</v>
      </c>
      <c r="BZ36" s="302">
        <f>'[2]As of 13-14 R1'!BP43</f>
        <v>0</v>
      </c>
      <c r="CA36" s="302">
        <f>'[2]As of 13-14 R1'!BQ43</f>
        <v>0</v>
      </c>
      <c r="CB36" s="302">
        <f>'[2]As of 13-14 R1'!BR43</f>
        <v>0</v>
      </c>
      <c r="CC36" s="278">
        <f t="shared" si="44"/>
        <v>0</v>
      </c>
      <c r="CD36" s="301">
        <f>'[2]Growth Deficit'!$D$2</f>
        <v>0</v>
      </c>
      <c r="CE36" s="300">
        <f>IF($CS36="S",'[2]Foundation Grant'!C43,0)</f>
        <v>0</v>
      </c>
      <c r="CF36" s="300">
        <f>IF($CS36="S",'[2]Foundation Grant'!D43,0)</f>
        <v>1</v>
      </c>
      <c r="CG36" s="300">
        <f>IF($CS36="S",'[2]Foundation Grant'!E43,0)</f>
        <v>0</v>
      </c>
      <c r="CH36" s="300">
        <f>IF($CS36="S",'[2]Foundation Grant'!F43,0)</f>
        <v>1</v>
      </c>
      <c r="CI36" s="300">
        <f>IF($CS36="M",'[2]Foundation Grant'!C43,0)</f>
        <v>0</v>
      </c>
      <c r="CJ36" s="300">
        <f>IF($CS36="M",'[2]Foundation Grant'!D43,0)</f>
        <v>0</v>
      </c>
      <c r="CK36" s="300">
        <f>IF($CS36="M",'[2]Foundation Grant'!E43,0)</f>
        <v>0</v>
      </c>
      <c r="CL36" s="300">
        <f>IF($CS36="M",'[2]Foundation Grant'!F43,0)</f>
        <v>0</v>
      </c>
      <c r="CM36" s="300">
        <f>'[2]Foundation Grant'!G43</f>
        <v>0</v>
      </c>
      <c r="CN36" s="300">
        <f>'[2]Foundation Grant'!H43</f>
        <v>0</v>
      </c>
      <c r="CO36" s="300">
        <f>'[2]Foundation Grant'!I43</f>
        <v>0</v>
      </c>
      <c r="CP36" s="300">
        <f>'[2]Foundation Grant'!J43</f>
        <v>0</v>
      </c>
      <c r="CQ36" s="300">
        <f>'[2]Foundation Grant'!K43</f>
        <v>0</v>
      </c>
      <c r="CR36" s="299">
        <f>'[2]Foundation Grant'!L43</f>
        <v>0</v>
      </c>
      <c r="CS36" s="300" t="str">
        <f>'[2]Foundation Grant'!M43</f>
        <v>S</v>
      </c>
      <c r="CT36" s="300">
        <f>'[2]Foundation Grant'!N43</f>
        <v>5622823</v>
      </c>
      <c r="CU36" s="299">
        <f>'[2]Foundation Grant'!O43</f>
        <v>0</v>
      </c>
      <c r="CV36" s="299">
        <f>'[2]Foundation Grant'!P43</f>
        <v>1</v>
      </c>
      <c r="CW36" s="298">
        <f>'[2]Foundation Grant'!$C$1</f>
        <v>5622823</v>
      </c>
      <c r="CX36" s="298">
        <f>'[2]Foundation Grant'!$D$1</f>
        <v>4498258</v>
      </c>
      <c r="CY36" s="298">
        <f>'[2]Foundation Grant'!$E$1</f>
        <v>3373694</v>
      </c>
      <c r="CZ36" s="298">
        <f>'[2]Foundation Grant'!$C$2</f>
        <v>4498258</v>
      </c>
      <c r="DA36" s="298">
        <f>'[2]Foundation Grant'!$D$2</f>
        <v>3935976</v>
      </c>
      <c r="DB36" s="298">
        <f>'[2]Foundation Grant'!$E$2</f>
        <v>3373694</v>
      </c>
      <c r="DC36" s="298">
        <f>'[2]Foundation Grant'!$G$1</f>
        <v>1124565</v>
      </c>
      <c r="DD36" s="298">
        <f>'[2]Foundation Grant'!$H$1</f>
        <v>843423</v>
      </c>
      <c r="DE36" s="298">
        <f>'[2]Foundation Grant'!$I$1</f>
        <v>562282</v>
      </c>
      <c r="DF36" s="298">
        <f>'[2]Foundation Grant'!$J$1</f>
        <v>281141</v>
      </c>
      <c r="DG36" s="298">
        <f>'[2]Foundation Grant'!$K$1</f>
        <v>140571</v>
      </c>
      <c r="DH36" s="298">
        <f>'[2]Foundation Grant'!$O$1</f>
        <v>562282</v>
      </c>
      <c r="DI36" s="298">
        <f>'[2]Foundation Grant'!$P$1</f>
        <v>1124565</v>
      </c>
      <c r="DJ36" s="297">
        <f>'[2]basic allocation'!$C$10</f>
        <v>18749</v>
      </c>
      <c r="DK36" s="297">
        <f>'[2]basic allocation'!$D$10</f>
        <v>9375</v>
      </c>
      <c r="DL36" s="297">
        <f>'[2]basic allocation'!$E$10</f>
        <v>9375</v>
      </c>
      <c r="DM36" s="297">
        <f>'[2]basic allocation'!$I$10</f>
        <v>938</v>
      </c>
      <c r="DN36" s="297">
        <f>'[2]basic allocation'!$J$10</f>
        <v>703</v>
      </c>
      <c r="DO36" s="297">
        <f>'[2]basic allocation'!$K$10</f>
        <v>469</v>
      </c>
      <c r="DP36" s="297">
        <f>'[2]basic allocation'!$L$10</f>
        <v>234</v>
      </c>
      <c r="DQ36" s="297">
        <f>'[2]basic allocation'!$M$10</f>
        <v>100</v>
      </c>
      <c r="DR36" s="296">
        <f>'[2]FTES Adjustment'!DQ43</f>
        <v>353.26847300000009</v>
      </c>
      <c r="DS36" s="296">
        <f>'[2]FTES Adjustment'!DR43</f>
        <v>0</v>
      </c>
      <c r="DT36" s="296">
        <f>'[2]FTES Adjustment'!DS43</f>
        <v>0</v>
      </c>
      <c r="DU36" s="277">
        <f t="shared" si="45"/>
        <v>353.26799999999997</v>
      </c>
      <c r="DV36" s="276">
        <f t="shared" si="46"/>
        <v>499.46223800000001</v>
      </c>
      <c r="DW36" s="276">
        <f t="shared" si="47"/>
        <v>47.01</v>
      </c>
      <c r="DX36" s="276">
        <f t="shared" si="48"/>
        <v>-39.950000000000017</v>
      </c>
      <c r="DY36" s="276">
        <f t="shared" si="49"/>
        <v>506.52199999999999</v>
      </c>
      <c r="DZ36" s="295">
        <f>ROUND([2]FTES!$D43,3)</f>
        <v>9562.3989999999994</v>
      </c>
      <c r="EA36" s="295">
        <f>ROUND([2]FTES!$M43,3)</f>
        <v>376</v>
      </c>
      <c r="EB36" s="295">
        <f>ROUND([2]FTES!$V43,3)</f>
        <v>190.01</v>
      </c>
      <c r="EC36" s="276">
        <f t="shared" si="50"/>
        <v>10128.409</v>
      </c>
      <c r="ED36" s="133">
        <v>0</v>
      </c>
      <c r="EE36" s="294">
        <f>'[2]10-11 WkLd126M'!$E41</f>
        <v>1181378</v>
      </c>
      <c r="EF36" s="295">
        <f>'[2]FTES Adjustment'!CG43</f>
        <v>499.46223800000001</v>
      </c>
      <c r="EG36" s="295">
        <f>'[2]FTES Adjustment'!CH43</f>
        <v>47.01</v>
      </c>
      <c r="EH36" s="295">
        <f>'[2]FTES Adjustment'!CI43</f>
        <v>-39.950000000000017</v>
      </c>
      <c r="EI36" s="276">
        <f t="shared" si="51"/>
        <v>506.52223800000002</v>
      </c>
      <c r="EJ36" s="294">
        <f>'[2]PBF Run'!$AT43</f>
        <v>0</v>
      </c>
      <c r="EK36" s="294">
        <f>'[2]11-12 Workload Reduction'!H43</f>
        <v>47196032</v>
      </c>
      <c r="EL36" s="294">
        <f>'[2]13-14 $86M Workload Restore'!AI41</f>
        <v>1052666</v>
      </c>
      <c r="EM36" s="294">
        <f>'[2]13-14 $86M Workload Restore'!AC41</f>
        <v>0</v>
      </c>
      <c r="EN36" s="294">
        <f>'[2]13-14 deferrals, growth, EPA 1'!BJ43</f>
        <v>7799972</v>
      </c>
      <c r="EO36" s="293">
        <f t="shared" si="52"/>
        <v>53599122</v>
      </c>
      <c r="EP36" s="292">
        <v>0</v>
      </c>
      <c r="EQ36" s="292">
        <v>0</v>
      </c>
      <c r="ER36" s="292">
        <v>0</v>
      </c>
      <c r="ES36" s="16">
        <f t="shared" si="53"/>
        <v>0</v>
      </c>
    </row>
    <row r="37" spans="1:149">
      <c r="A37" s="291" t="s">
        <v>257</v>
      </c>
      <c r="B37" s="290" t="str">
        <f t="shared" si="54"/>
        <v>P2</v>
      </c>
      <c r="C37" s="285" t="s">
        <v>331</v>
      </c>
      <c r="D37" s="289" t="s">
        <v>330</v>
      </c>
      <c r="E37" s="288">
        <f>ROUND('[2]PBF Run'!N44,6)</f>
        <v>4636.492921</v>
      </c>
      <c r="F37" s="285">
        <f t="shared" si="55"/>
        <v>4675.9030433300004</v>
      </c>
      <c r="G37" s="285">
        <f t="shared" si="56"/>
        <v>2788.0536374600001</v>
      </c>
      <c r="H37" s="285">
        <f t="shared" si="57"/>
        <v>2811.7520933800001</v>
      </c>
      <c r="I37" s="285">
        <f t="shared" si="58"/>
        <v>3282.8110613200001</v>
      </c>
      <c r="J37" s="285">
        <f t="shared" si="59"/>
        <v>3310.71495534</v>
      </c>
      <c r="K37" s="308">
        <f>ROUND([2]FTES!C44,3)</f>
        <v>5031.88</v>
      </c>
      <c r="L37" s="308">
        <f>ROUND([2]FTES!F44,3)</f>
        <v>22.507999999999999</v>
      </c>
      <c r="M37" s="308">
        <f>ROUND('[2]Growth Deficit'!AG44,3)</f>
        <v>0</v>
      </c>
      <c r="N37" s="308">
        <f>ROUND([2]FTES!I44,3)</f>
        <v>0</v>
      </c>
      <c r="O37" s="308">
        <f>ROUND([2]FTES!E44,3)</f>
        <v>5160.72</v>
      </c>
      <c r="P37" s="308">
        <f>ROUND([2]FTES!L44,3)</f>
        <v>399.38</v>
      </c>
      <c r="Q37" s="308">
        <f>ROUND([2]FTES!O44,3)</f>
        <v>0</v>
      </c>
      <c r="R37" s="308">
        <f>ROUND('[2]Growth Deficit'!$AH44,3)</f>
        <v>0</v>
      </c>
      <c r="S37" s="308">
        <f>ROUND([2]FTES!R44,3)</f>
        <v>0</v>
      </c>
      <c r="T37" s="308">
        <f>ROUND([2]FTES!N44,3)</f>
        <v>490.93</v>
      </c>
      <c r="U37" s="308">
        <f>ROUND([2]FTES!U44,3)</f>
        <v>16.25</v>
      </c>
      <c r="V37" s="308">
        <f>ROUND([2]FTES!X44,3)</f>
        <v>0</v>
      </c>
      <c r="W37" s="308">
        <f>ROUND('[2]Growth Deficit'!$AI44,3)</f>
        <v>0</v>
      </c>
      <c r="X37" s="308">
        <f>ROUND([2]FTES!AA44,3)</f>
        <v>0</v>
      </c>
      <c r="Y37" s="308">
        <f>ROUND([2]FTES!W44,3)</f>
        <v>0</v>
      </c>
      <c r="Z37" s="307">
        <f>'[2]FTES Adjustment'!CW44</f>
        <v>5160.7199249999994</v>
      </c>
      <c r="AA37" s="307">
        <f>'[2]FTES Adjustment'!CX44</f>
        <v>490.93</v>
      </c>
      <c r="AB37" s="307">
        <f>'[2]FTES Adjustment'!CY44</f>
        <v>0</v>
      </c>
      <c r="AC37" s="275">
        <f t="shared" si="31"/>
        <v>5447.51</v>
      </c>
      <c r="AD37" s="275">
        <f t="shared" si="32"/>
        <v>22.507999999999999</v>
      </c>
      <c r="AE37" s="275">
        <f t="shared" si="33"/>
        <v>0</v>
      </c>
      <c r="AF37" s="275">
        <f t="shared" si="34"/>
        <v>0</v>
      </c>
      <c r="AG37" s="275">
        <f t="shared" si="35"/>
        <v>5651.65</v>
      </c>
      <c r="AH37" s="275">
        <f t="shared" si="36"/>
        <v>5651.65</v>
      </c>
      <c r="AI37" s="302">
        <f>'[2]PBF Run'!F44</f>
        <v>3935976</v>
      </c>
      <c r="AJ37" s="302">
        <f>'[2]PBF Run'!H44+'[2]PBF Run'!I44+'[2]PBF Run'!J44+'[2]PBF Run'!L44</f>
        <v>24497115</v>
      </c>
      <c r="AK37" s="306">
        <f>'[2]PBF Run'!J44 + '[2]PBF Run'!$L44</f>
        <v>23330276</v>
      </c>
      <c r="AL37" s="302">
        <f>'[2]PBF Run'!H44</f>
        <v>1113493</v>
      </c>
      <c r="AM37" s="302">
        <f>'[2]PBF Run'!I44</f>
        <v>53346</v>
      </c>
      <c r="AN37" s="305">
        <f>'[2]Restoration and Growth'!BM44</f>
        <v>0</v>
      </c>
      <c r="AO37" s="278">
        <f t="shared" si="37"/>
        <v>28433091</v>
      </c>
      <c r="AP37" s="285" t="str">
        <f t="shared" si="60"/>
        <v>0.85%</v>
      </c>
      <c r="AQ37" s="302">
        <f>'[2]PBF Run'!O44</f>
        <v>241681</v>
      </c>
      <c r="AR37" s="278">
        <f t="shared" si="38"/>
        <v>28674772</v>
      </c>
      <c r="AS37" s="302">
        <f>'[2]PBF Run'!$AD44</f>
        <v>0</v>
      </c>
      <c r="AT37" s="302">
        <f>'[2]PBF Run'!$T44</f>
        <v>105247</v>
      </c>
      <c r="AU37" s="278">
        <f t="shared" si="39"/>
        <v>105247</v>
      </c>
      <c r="AV37" s="304">
        <f>'[2]Restoration and Growth'!BT44</f>
        <v>0</v>
      </c>
      <c r="AW37" s="304" t="str">
        <f>'[2]Restoration and Growth'!AP44</f>
        <v>Y</v>
      </c>
      <c r="AX37" s="302">
        <f>'[2]Restoration and Growth'!CV44</f>
        <v>0</v>
      </c>
      <c r="AY37" s="302">
        <f>'[2]Growth Deficit'!$AO44</f>
        <v>0</v>
      </c>
      <c r="AZ37" s="302">
        <f>'[2]Growth Deficit'!AO44</f>
        <v>0</v>
      </c>
      <c r="BA37" s="302">
        <f>'[2]Growth Deficit'!AL44</f>
        <v>0</v>
      </c>
      <c r="BB37" s="302">
        <f>'[2]Growth Deficit'!AM44</f>
        <v>0</v>
      </c>
      <c r="BC37" s="302">
        <f>'[2]Growth Deficit'!AN44</f>
        <v>0</v>
      </c>
      <c r="BD37" s="302">
        <f>'[2]Growth Deficit'!AO44</f>
        <v>0</v>
      </c>
      <c r="BE37" s="302">
        <f>'[2]PBF Run'!AA44</f>
        <v>0</v>
      </c>
      <c r="BF37" s="302">
        <f>'[2]PBF Run'!AB44</f>
        <v>0</v>
      </c>
      <c r="BG37" s="302">
        <f>'[2]PBF Run'!AC44</f>
        <v>0</v>
      </c>
      <c r="BH37" s="302">
        <f>'[2]PBF Run'!AD44</f>
        <v>0</v>
      </c>
      <c r="BI37" s="278">
        <f t="shared" si="40"/>
        <v>0</v>
      </c>
      <c r="BJ37" s="302">
        <f>'[2]PBF Run'!X44</f>
        <v>0</v>
      </c>
      <c r="BK37" s="302">
        <f>'[2]PBF Run'!AE44</f>
        <v>29480832</v>
      </c>
      <c r="BL37" s="282">
        <f t="shared" si="41"/>
        <v>0.98518542488895833</v>
      </c>
      <c r="BM37" s="302">
        <f>'[2]PBF Run'!AM44</f>
        <v>436746</v>
      </c>
      <c r="BN37" s="302">
        <f>'[2]PBF Run'!$AN44</f>
        <v>1715129</v>
      </c>
      <c r="BO37" s="302">
        <f>'[2]PBF Run'!$AO44</f>
        <v>0</v>
      </c>
      <c r="BP37" s="302">
        <f>'[2]PBF Run'!AC44</f>
        <v>0</v>
      </c>
      <c r="BQ37" s="278">
        <f t="shared" si="42"/>
        <v>1715129</v>
      </c>
      <c r="BR37" s="302">
        <f>'[2]PBF Run'!AJ44</f>
        <v>20651642</v>
      </c>
      <c r="BS37" s="302">
        <f>'[2]PBF Run'!AI44</f>
        <v>2210351</v>
      </c>
      <c r="BT37" s="302">
        <f>'[2]PBF Run'!$AN44</f>
        <v>1715129</v>
      </c>
      <c r="BU37" s="302">
        <f>'[2]PBF Run'!$AN44</f>
        <v>1715129</v>
      </c>
      <c r="BV37" s="302">
        <f>'[2]PBF Run'!BI44</f>
        <v>0</v>
      </c>
      <c r="BW37" s="303">
        <f>'[2]PBF Run'!BH44</f>
        <v>0</v>
      </c>
      <c r="BX37" s="278">
        <f t="shared" si="61"/>
        <v>69532</v>
      </c>
      <c r="BY37" s="278">
        <f t="shared" si="43"/>
        <v>1715129</v>
      </c>
      <c r="BZ37" s="302">
        <f>'[2]As of 13-14 R1'!BP44</f>
        <v>0</v>
      </c>
      <c r="CA37" s="302">
        <f>'[2]As of 13-14 R1'!BQ44</f>
        <v>0</v>
      </c>
      <c r="CB37" s="302">
        <f>'[2]As of 13-14 R1'!BR44</f>
        <v>0</v>
      </c>
      <c r="CC37" s="278">
        <f t="shared" si="44"/>
        <v>0</v>
      </c>
      <c r="CD37" s="301">
        <f>'[2]Growth Deficit'!$D$2</f>
        <v>0</v>
      </c>
      <c r="CE37" s="300">
        <f>IF($CS37="S",'[2]Foundation Grant'!C44,0)</f>
        <v>0</v>
      </c>
      <c r="CF37" s="300">
        <f>IF($CS37="S",'[2]Foundation Grant'!D44,0)</f>
        <v>0</v>
      </c>
      <c r="CG37" s="300">
        <f>IF($CS37="S",'[2]Foundation Grant'!E44,0)</f>
        <v>1</v>
      </c>
      <c r="CH37" s="300">
        <f>IF($CS37="S",'[2]Foundation Grant'!F44,0)</f>
        <v>1</v>
      </c>
      <c r="CI37" s="300">
        <f>IF($CS37="M",'[2]Foundation Grant'!C44,0)</f>
        <v>0</v>
      </c>
      <c r="CJ37" s="300">
        <f>IF($CS37="M",'[2]Foundation Grant'!D44,0)</f>
        <v>0</v>
      </c>
      <c r="CK37" s="300">
        <f>IF($CS37="M",'[2]Foundation Grant'!E44,0)</f>
        <v>0</v>
      </c>
      <c r="CL37" s="300">
        <f>IF($CS37="M",'[2]Foundation Grant'!F44,0)</f>
        <v>0</v>
      </c>
      <c r="CM37" s="300">
        <f>'[2]Foundation Grant'!G44</f>
        <v>0</v>
      </c>
      <c r="CN37" s="300">
        <f>'[2]Foundation Grant'!H44</f>
        <v>0</v>
      </c>
      <c r="CO37" s="300">
        <f>'[2]Foundation Grant'!I44</f>
        <v>1</v>
      </c>
      <c r="CP37" s="300">
        <f>'[2]Foundation Grant'!J44</f>
        <v>0</v>
      </c>
      <c r="CQ37" s="300">
        <f>'[2]Foundation Grant'!K44</f>
        <v>0</v>
      </c>
      <c r="CR37" s="299">
        <f>'[2]Foundation Grant'!L44</f>
        <v>1</v>
      </c>
      <c r="CS37" s="300" t="str">
        <f>'[2]Foundation Grant'!M44</f>
        <v>S</v>
      </c>
      <c r="CT37" s="300">
        <f>'[2]Foundation Grant'!N44</f>
        <v>3935976</v>
      </c>
      <c r="CU37" s="299">
        <f>'[2]Foundation Grant'!O44</f>
        <v>0</v>
      </c>
      <c r="CV37" s="299">
        <f>'[2]Foundation Grant'!P44</f>
        <v>0</v>
      </c>
      <c r="CW37" s="298">
        <f>'[2]Foundation Grant'!$C$1</f>
        <v>5622823</v>
      </c>
      <c r="CX37" s="298">
        <f>'[2]Foundation Grant'!$D$1</f>
        <v>4498258</v>
      </c>
      <c r="CY37" s="298">
        <f>'[2]Foundation Grant'!$E$1</f>
        <v>3373694</v>
      </c>
      <c r="CZ37" s="298">
        <f>'[2]Foundation Grant'!$C$2</f>
        <v>4498258</v>
      </c>
      <c r="DA37" s="298">
        <f>'[2]Foundation Grant'!$D$2</f>
        <v>3935976</v>
      </c>
      <c r="DB37" s="298">
        <f>'[2]Foundation Grant'!$E$2</f>
        <v>3373694</v>
      </c>
      <c r="DC37" s="298">
        <f>'[2]Foundation Grant'!$G$1</f>
        <v>1124565</v>
      </c>
      <c r="DD37" s="298">
        <f>'[2]Foundation Grant'!$H$1</f>
        <v>843423</v>
      </c>
      <c r="DE37" s="298">
        <f>'[2]Foundation Grant'!$I$1</f>
        <v>562282</v>
      </c>
      <c r="DF37" s="298">
        <f>'[2]Foundation Grant'!$J$1</f>
        <v>281141</v>
      </c>
      <c r="DG37" s="298">
        <f>'[2]Foundation Grant'!$K$1</f>
        <v>140571</v>
      </c>
      <c r="DH37" s="298">
        <f>'[2]Foundation Grant'!$O$1</f>
        <v>562282</v>
      </c>
      <c r="DI37" s="298">
        <f>'[2]Foundation Grant'!$P$1</f>
        <v>1124565</v>
      </c>
      <c r="DJ37" s="297">
        <f>'[2]basic allocation'!$C$10</f>
        <v>18749</v>
      </c>
      <c r="DK37" s="297">
        <f>'[2]basic allocation'!$D$10</f>
        <v>9375</v>
      </c>
      <c r="DL37" s="297">
        <f>'[2]basic allocation'!$E$10</f>
        <v>9375</v>
      </c>
      <c r="DM37" s="297">
        <f>'[2]basic allocation'!$I$10</f>
        <v>938</v>
      </c>
      <c r="DN37" s="297">
        <f>'[2]basic allocation'!$J$10</f>
        <v>703</v>
      </c>
      <c r="DO37" s="297">
        <f>'[2]basic allocation'!$K$10</f>
        <v>469</v>
      </c>
      <c r="DP37" s="297">
        <f>'[2]basic allocation'!$L$10</f>
        <v>234</v>
      </c>
      <c r="DQ37" s="297">
        <f>'[2]basic allocation'!$M$10</f>
        <v>100</v>
      </c>
      <c r="DR37" s="296">
        <f>'[2]FTES Adjustment'!DQ44</f>
        <v>7.5000000833824743E-5</v>
      </c>
      <c r="DS37" s="296">
        <f>'[2]FTES Adjustment'!DR44</f>
        <v>0</v>
      </c>
      <c r="DT37" s="296">
        <f>'[2]FTES Adjustment'!DS44</f>
        <v>0</v>
      </c>
      <c r="DU37" s="277">
        <f t="shared" si="45"/>
        <v>0</v>
      </c>
      <c r="DV37" s="276">
        <f t="shared" si="46"/>
        <v>106.331546</v>
      </c>
      <c r="DW37" s="276">
        <f t="shared" si="47"/>
        <v>91.55</v>
      </c>
      <c r="DX37" s="276">
        <f t="shared" si="48"/>
        <v>-16.25</v>
      </c>
      <c r="DY37" s="276">
        <f t="shared" si="49"/>
        <v>181.63200000000001</v>
      </c>
      <c r="DZ37" s="295">
        <f>ROUND([2]FTES!$D44,3)</f>
        <v>5031.88</v>
      </c>
      <c r="EA37" s="295">
        <f>ROUND([2]FTES!$M44,3)</f>
        <v>399.38</v>
      </c>
      <c r="EB37" s="295">
        <f>ROUND([2]FTES!$V44,3)</f>
        <v>16.25</v>
      </c>
      <c r="EC37" s="276">
        <f t="shared" si="50"/>
        <v>5447.51</v>
      </c>
      <c r="ED37" s="133">
        <v>0</v>
      </c>
      <c r="EE37" s="294">
        <f>'[2]10-11 WkLd126M'!$E42</f>
        <v>679571</v>
      </c>
      <c r="EF37" s="295">
        <f>'[2]FTES Adjustment'!CG44</f>
        <v>106.331546</v>
      </c>
      <c r="EG37" s="295">
        <f>'[2]FTES Adjustment'!CH44</f>
        <v>91.55</v>
      </c>
      <c r="EH37" s="295">
        <f>'[2]FTES Adjustment'!CI44</f>
        <v>-16.25</v>
      </c>
      <c r="EI37" s="276">
        <f t="shared" si="51"/>
        <v>181.63154600000001</v>
      </c>
      <c r="EJ37" s="294">
        <f>'[2]PBF Run'!$AT44</f>
        <v>0</v>
      </c>
      <c r="EK37" s="294">
        <f>'[2]11-12 Workload Reduction'!H44</f>
        <v>25748180</v>
      </c>
      <c r="EL37" s="294">
        <f>'[2]13-14 $86M Workload Restore'!AI42</f>
        <v>0</v>
      </c>
      <c r="EM37" s="294">
        <f>'[2]13-14 $86M Workload Restore'!AC42</f>
        <v>0</v>
      </c>
      <c r="EN37" s="294">
        <f>'[2]13-14 deferrals, growth, EPA 1'!BJ44</f>
        <v>4387060</v>
      </c>
      <c r="EO37" s="293">
        <f t="shared" si="52"/>
        <v>29044086</v>
      </c>
      <c r="EP37" s="292">
        <v>0</v>
      </c>
      <c r="EQ37" s="292">
        <v>0</v>
      </c>
      <c r="ER37" s="292">
        <v>0</v>
      </c>
      <c r="ES37" s="16">
        <f t="shared" si="53"/>
        <v>0</v>
      </c>
    </row>
    <row r="38" spans="1:149">
      <c r="A38" s="291" t="s">
        <v>257</v>
      </c>
      <c r="B38" s="290" t="str">
        <f t="shared" si="54"/>
        <v>P2</v>
      </c>
      <c r="C38" s="285" t="s">
        <v>329</v>
      </c>
      <c r="D38" s="289" t="s">
        <v>328</v>
      </c>
      <c r="E38" s="288">
        <f>ROUND('[2]PBF Run'!N45,6)</f>
        <v>4636.492851</v>
      </c>
      <c r="F38" s="285">
        <f t="shared" si="55"/>
        <v>4675.9030433300004</v>
      </c>
      <c r="G38" s="285">
        <f t="shared" si="56"/>
        <v>2788.0536374600001</v>
      </c>
      <c r="H38" s="285">
        <f t="shared" si="57"/>
        <v>2811.7520933800001</v>
      </c>
      <c r="I38" s="285">
        <f t="shared" si="58"/>
        <v>3282.8110613200001</v>
      </c>
      <c r="J38" s="285">
        <f t="shared" si="59"/>
        <v>3310.71495534</v>
      </c>
      <c r="K38" s="308">
        <f>ROUND([2]FTES!C45,3)</f>
        <v>27227.083999999999</v>
      </c>
      <c r="L38" s="308">
        <f>ROUND([2]FTES!F45,3)</f>
        <v>0</v>
      </c>
      <c r="M38" s="308">
        <f>ROUND('[2]Growth Deficit'!AG45,3)</f>
        <v>0</v>
      </c>
      <c r="N38" s="308">
        <f>ROUND([2]FTES!I45,3)</f>
        <v>0</v>
      </c>
      <c r="O38" s="308">
        <f>ROUND([2]FTES!E45,3)</f>
        <v>30657.42</v>
      </c>
      <c r="P38" s="308">
        <f>ROUND([2]FTES!L45,3)</f>
        <v>2482.65</v>
      </c>
      <c r="Q38" s="308">
        <f>ROUND([2]FTES!O45,3)</f>
        <v>0</v>
      </c>
      <c r="R38" s="308">
        <f>ROUND('[2]Growth Deficit'!$AH45,3)</f>
        <v>0</v>
      </c>
      <c r="S38" s="308">
        <f>ROUND([2]FTES!R45,3)</f>
        <v>0</v>
      </c>
      <c r="T38" s="308">
        <f>ROUND([2]FTES!N45,3)</f>
        <v>2819.89</v>
      </c>
      <c r="U38" s="308">
        <f>ROUND([2]FTES!U45,3)</f>
        <v>3407.08</v>
      </c>
      <c r="V38" s="308">
        <f>ROUND([2]FTES!X45,3)</f>
        <v>0</v>
      </c>
      <c r="W38" s="308">
        <f>ROUND('[2]Growth Deficit'!$AI45,3)</f>
        <v>0</v>
      </c>
      <c r="X38" s="308">
        <f>ROUND([2]FTES!AA45,3)</f>
        <v>0</v>
      </c>
      <c r="Y38" s="308">
        <f>ROUND([2]FTES!W45,3)</f>
        <v>3365.62</v>
      </c>
      <c r="Z38" s="307">
        <f>'[2]FTES Adjustment'!CW45</f>
        <v>28621.559380999999</v>
      </c>
      <c r="AA38" s="307">
        <f>'[2]FTES Adjustment'!CX45</f>
        <v>2819.8899999999994</v>
      </c>
      <c r="AB38" s="307">
        <f>'[2]FTES Adjustment'!CY45</f>
        <v>3365.62</v>
      </c>
      <c r="AC38" s="275">
        <f t="shared" si="31"/>
        <v>33116.813999999998</v>
      </c>
      <c r="AD38" s="275">
        <f t="shared" si="32"/>
        <v>0</v>
      </c>
      <c r="AE38" s="275">
        <f t="shared" si="33"/>
        <v>0</v>
      </c>
      <c r="AF38" s="275">
        <f t="shared" si="34"/>
        <v>0</v>
      </c>
      <c r="AG38" s="275">
        <f t="shared" si="35"/>
        <v>36842.93</v>
      </c>
      <c r="AH38" s="275">
        <f t="shared" si="36"/>
        <v>34807.069000000003</v>
      </c>
      <c r="AI38" s="302">
        <f>'[2]PBF Run'!F45</f>
        <v>8996517</v>
      </c>
      <c r="AJ38" s="302">
        <f>'[2]PBF Run'!H45+'[2]PBF Run'!I45+'[2]PBF Run'!J45+'[2]PBF Run'!L45</f>
        <v>144344742</v>
      </c>
      <c r="AK38" s="306">
        <f>'[2]PBF Run'!J45 + '[2]PBF Run'!$L45</f>
        <v>126238181</v>
      </c>
      <c r="AL38" s="302">
        <f>'[2]PBF Run'!H45</f>
        <v>6921761</v>
      </c>
      <c r="AM38" s="302">
        <f>'[2]PBF Run'!I45</f>
        <v>11184800</v>
      </c>
      <c r="AN38" s="305">
        <f>'[2]Restoration and Growth'!BM45</f>
        <v>0</v>
      </c>
      <c r="AO38" s="278">
        <f t="shared" si="37"/>
        <v>153341259</v>
      </c>
      <c r="AP38" s="285" t="str">
        <f t="shared" si="60"/>
        <v>0.85%</v>
      </c>
      <c r="AQ38" s="302">
        <f>'[2]PBF Run'!O45</f>
        <v>1303401</v>
      </c>
      <c r="AR38" s="278">
        <f t="shared" si="38"/>
        <v>154644660</v>
      </c>
      <c r="AS38" s="302">
        <f>'[2]PBF Run'!$AD45</f>
        <v>0</v>
      </c>
      <c r="AT38" s="302">
        <f>'[2]PBF Run'!$T45</f>
        <v>0</v>
      </c>
      <c r="AU38" s="278">
        <f t="shared" si="39"/>
        <v>3304645</v>
      </c>
      <c r="AV38" s="304">
        <f>'[2]Restoration and Growth'!BT45</f>
        <v>0</v>
      </c>
      <c r="AW38" s="304" t="str">
        <f>'[2]Restoration and Growth'!AP45</f>
        <v>Y</v>
      </c>
      <c r="AX38" s="302">
        <f>'[2]Restoration and Growth'!CV45</f>
        <v>0</v>
      </c>
      <c r="AY38" s="302">
        <f>'[2]Growth Deficit'!$AO45</f>
        <v>0</v>
      </c>
      <c r="AZ38" s="302">
        <f>'[2]Growth Deficit'!AO45</f>
        <v>0</v>
      </c>
      <c r="BA38" s="302">
        <f>'[2]Growth Deficit'!AL45</f>
        <v>0</v>
      </c>
      <c r="BB38" s="302">
        <f>'[2]Growth Deficit'!AM45</f>
        <v>0</v>
      </c>
      <c r="BC38" s="302">
        <f>'[2]Growth Deficit'!AN45</f>
        <v>0</v>
      </c>
      <c r="BD38" s="302">
        <f>'[2]Growth Deficit'!AO45</f>
        <v>0</v>
      </c>
      <c r="BE38" s="302">
        <f>'[2]PBF Run'!AA45</f>
        <v>0</v>
      </c>
      <c r="BF38" s="302">
        <f>'[2]PBF Run'!AB45</f>
        <v>0</v>
      </c>
      <c r="BG38" s="302">
        <f>'[2]PBF Run'!AC45</f>
        <v>0</v>
      </c>
      <c r="BH38" s="302">
        <f>'[2]PBF Run'!AD45</f>
        <v>0</v>
      </c>
      <c r="BI38" s="278">
        <f t="shared" si="40"/>
        <v>0</v>
      </c>
      <c r="BJ38" s="302">
        <f>'[2]PBF Run'!X45</f>
        <v>0</v>
      </c>
      <c r="BK38" s="302">
        <f>'[2]PBF Run'!AE45</f>
        <v>161976064</v>
      </c>
      <c r="BL38" s="282">
        <f t="shared" si="41"/>
        <v>0.98518541603776721</v>
      </c>
      <c r="BM38" s="302">
        <f>'[2]PBF Run'!AM45</f>
        <v>2399608</v>
      </c>
      <c r="BN38" s="302">
        <f>'[2]PBF Run'!$AN45</f>
        <v>54688082</v>
      </c>
      <c r="BO38" s="302">
        <f>'[2]PBF Run'!$AO45</f>
        <v>0</v>
      </c>
      <c r="BP38" s="302">
        <f>'[2]PBF Run'!AC45</f>
        <v>0</v>
      </c>
      <c r="BQ38" s="278">
        <f t="shared" si="42"/>
        <v>54688082</v>
      </c>
      <c r="BR38" s="302">
        <f>'[2]PBF Run'!AJ45</f>
        <v>68689843</v>
      </c>
      <c r="BS38" s="302">
        <f>'[2]PBF Run'!AI45</f>
        <v>11560067</v>
      </c>
      <c r="BT38" s="302">
        <f>'[2]PBF Run'!$AN45</f>
        <v>54688082</v>
      </c>
      <c r="BU38" s="302">
        <f>'[2]PBF Run'!$AN45</f>
        <v>54688082</v>
      </c>
      <c r="BV38" s="302">
        <f>'[2]PBF Run'!BI45</f>
        <v>0</v>
      </c>
      <c r="BW38" s="303">
        <f>'[2]PBF Run'!BH45</f>
        <v>0</v>
      </c>
      <c r="BX38" s="278">
        <f t="shared" si="61"/>
        <v>69532</v>
      </c>
      <c r="BY38" s="278">
        <f t="shared" si="43"/>
        <v>54688082</v>
      </c>
      <c r="BZ38" s="302">
        <f>'[2]As of 13-14 R1'!BP45</f>
        <v>0</v>
      </c>
      <c r="CA38" s="302">
        <f>'[2]As of 13-14 R1'!BQ45</f>
        <v>0</v>
      </c>
      <c r="CB38" s="302">
        <f>'[2]As of 13-14 R1'!BR45</f>
        <v>0</v>
      </c>
      <c r="CC38" s="278">
        <f t="shared" si="44"/>
        <v>0</v>
      </c>
      <c r="CD38" s="301">
        <f>'[2]Growth Deficit'!$D$2</f>
        <v>0</v>
      </c>
      <c r="CE38" s="300">
        <f>IF($CS38="S",'[2]Foundation Grant'!C45,0)</f>
        <v>0</v>
      </c>
      <c r="CF38" s="300">
        <f>IF($CS38="S",'[2]Foundation Grant'!D45,0)</f>
        <v>0</v>
      </c>
      <c r="CG38" s="300">
        <f>IF($CS38="S",'[2]Foundation Grant'!E45,0)</f>
        <v>0</v>
      </c>
      <c r="CH38" s="300">
        <f>IF($CS38="S",'[2]Foundation Grant'!F45,0)</f>
        <v>0</v>
      </c>
      <c r="CI38" s="300">
        <f>IF($CS38="M",'[2]Foundation Grant'!C45,0)</f>
        <v>0</v>
      </c>
      <c r="CJ38" s="300">
        <f>IF($CS38="M",'[2]Foundation Grant'!D45,0)</f>
        <v>2</v>
      </c>
      <c r="CK38" s="300">
        <f>IF($CS38="M",'[2]Foundation Grant'!E45,0)</f>
        <v>0</v>
      </c>
      <c r="CL38" s="300">
        <f>IF($CS38="M",'[2]Foundation Grant'!F45,0)</f>
        <v>2</v>
      </c>
      <c r="CM38" s="300">
        <f>'[2]Foundation Grant'!G45</f>
        <v>0</v>
      </c>
      <c r="CN38" s="300">
        <f>'[2]Foundation Grant'!H45</f>
        <v>0</v>
      </c>
      <c r="CO38" s="300">
        <f>'[2]Foundation Grant'!I45</f>
        <v>0</v>
      </c>
      <c r="CP38" s="300">
        <f>'[2]Foundation Grant'!J45</f>
        <v>0</v>
      </c>
      <c r="CQ38" s="300">
        <f>'[2]Foundation Grant'!K45</f>
        <v>0</v>
      </c>
      <c r="CR38" s="299">
        <f>'[2]Foundation Grant'!L45</f>
        <v>0</v>
      </c>
      <c r="CS38" s="300" t="str">
        <f>'[2]Foundation Grant'!M45</f>
        <v>M</v>
      </c>
      <c r="CT38" s="300">
        <f>'[2]Foundation Grant'!N45</f>
        <v>8996517</v>
      </c>
      <c r="CU38" s="299">
        <f>'[2]Foundation Grant'!O45</f>
        <v>0</v>
      </c>
      <c r="CV38" s="299">
        <f>'[2]Foundation Grant'!P45</f>
        <v>1</v>
      </c>
      <c r="CW38" s="298">
        <f>'[2]Foundation Grant'!$C$1</f>
        <v>5622823</v>
      </c>
      <c r="CX38" s="298">
        <f>'[2]Foundation Grant'!$D$1</f>
        <v>4498258</v>
      </c>
      <c r="CY38" s="298">
        <f>'[2]Foundation Grant'!$E$1</f>
        <v>3373694</v>
      </c>
      <c r="CZ38" s="298">
        <f>'[2]Foundation Grant'!$C$2</f>
        <v>4498258</v>
      </c>
      <c r="DA38" s="298">
        <f>'[2]Foundation Grant'!$D$2</f>
        <v>3935976</v>
      </c>
      <c r="DB38" s="298">
        <f>'[2]Foundation Grant'!$E$2</f>
        <v>3373694</v>
      </c>
      <c r="DC38" s="298">
        <f>'[2]Foundation Grant'!$G$1</f>
        <v>1124565</v>
      </c>
      <c r="DD38" s="298">
        <f>'[2]Foundation Grant'!$H$1</f>
        <v>843423</v>
      </c>
      <c r="DE38" s="298">
        <f>'[2]Foundation Grant'!$I$1</f>
        <v>562282</v>
      </c>
      <c r="DF38" s="298">
        <f>'[2]Foundation Grant'!$J$1</f>
        <v>281141</v>
      </c>
      <c r="DG38" s="298">
        <f>'[2]Foundation Grant'!$K$1</f>
        <v>140571</v>
      </c>
      <c r="DH38" s="298">
        <f>'[2]Foundation Grant'!$O$1</f>
        <v>562282</v>
      </c>
      <c r="DI38" s="298">
        <f>'[2]Foundation Grant'!$P$1</f>
        <v>1124565</v>
      </c>
      <c r="DJ38" s="297">
        <f>'[2]basic allocation'!$C$10</f>
        <v>18749</v>
      </c>
      <c r="DK38" s="297">
        <f>'[2]basic allocation'!$D$10</f>
        <v>9375</v>
      </c>
      <c r="DL38" s="297">
        <f>'[2]basic allocation'!$E$10</f>
        <v>9375</v>
      </c>
      <c r="DM38" s="297">
        <f>'[2]basic allocation'!$I$10</f>
        <v>938</v>
      </c>
      <c r="DN38" s="297">
        <f>'[2]basic allocation'!$J$10</f>
        <v>703</v>
      </c>
      <c r="DO38" s="297">
        <f>'[2]basic allocation'!$K$10</f>
        <v>469</v>
      </c>
      <c r="DP38" s="297">
        <f>'[2]basic allocation'!$L$10</f>
        <v>234</v>
      </c>
      <c r="DQ38" s="297">
        <f>'[2]basic allocation'!$M$10</f>
        <v>100</v>
      </c>
      <c r="DR38" s="296">
        <f>'[2]FTES Adjustment'!DQ45</f>
        <v>2035.8606189999991</v>
      </c>
      <c r="DS38" s="296">
        <f>'[2]FTES Adjustment'!DR45</f>
        <v>0</v>
      </c>
      <c r="DT38" s="296">
        <f>'[2]FTES Adjustment'!DS45</f>
        <v>0</v>
      </c>
      <c r="DU38" s="277">
        <f t="shared" si="45"/>
        <v>2035.8610000000001</v>
      </c>
      <c r="DV38" s="276">
        <f t="shared" si="46"/>
        <v>1394.475236</v>
      </c>
      <c r="DW38" s="276">
        <f t="shared" si="47"/>
        <v>337.24</v>
      </c>
      <c r="DX38" s="276">
        <f t="shared" si="48"/>
        <v>-41.460000000000491</v>
      </c>
      <c r="DY38" s="276">
        <f t="shared" si="49"/>
        <v>1690.2550000000001</v>
      </c>
      <c r="DZ38" s="295">
        <f>ROUND([2]FTES!$D45,3)</f>
        <v>27227.083999999999</v>
      </c>
      <c r="EA38" s="295">
        <f>ROUND([2]FTES!$M45,3)</f>
        <v>2482.65</v>
      </c>
      <c r="EB38" s="295">
        <f>ROUND([2]FTES!$V45,3)</f>
        <v>3407.08</v>
      </c>
      <c r="EC38" s="276">
        <f t="shared" si="50"/>
        <v>33116.813999999998</v>
      </c>
      <c r="ED38" s="133">
        <v>0</v>
      </c>
      <c r="EE38" s="294">
        <f>'[2]10-11 WkLd126M'!$E43</f>
        <v>3517802</v>
      </c>
      <c r="EF38" s="295">
        <f>'[2]FTES Adjustment'!CG45</f>
        <v>1394.475236</v>
      </c>
      <c r="EG38" s="295">
        <f>'[2]FTES Adjustment'!CH45</f>
        <v>337.24</v>
      </c>
      <c r="EH38" s="295">
        <f>'[2]FTES Adjustment'!CI45</f>
        <v>-41.460000000000491</v>
      </c>
      <c r="EI38" s="276">
        <f t="shared" si="51"/>
        <v>1690.2552359999995</v>
      </c>
      <c r="EJ38" s="294">
        <f>'[2]PBF Run'!$AT45</f>
        <v>0</v>
      </c>
      <c r="EK38" s="294">
        <f>'[2]11-12 Workload Reduction'!H45</f>
        <v>148163063</v>
      </c>
      <c r="EL38" s="294">
        <f>'[2]13-14 $86M Workload Restore'!AI43</f>
        <v>3304645</v>
      </c>
      <c r="EM38" s="294">
        <f>'[2]13-14 $86M Workload Restore'!AC43</f>
        <v>0</v>
      </c>
      <c r="EN38" s="294">
        <f>'[2]13-14 deferrals, growth, EPA 1'!BJ45</f>
        <v>22646009</v>
      </c>
      <c r="EO38" s="293">
        <f t="shared" si="52"/>
        <v>159576456</v>
      </c>
      <c r="EP38" s="292">
        <v>0</v>
      </c>
      <c r="EQ38" s="292">
        <v>0</v>
      </c>
      <c r="ER38" s="292">
        <v>0</v>
      </c>
      <c r="ES38" s="16">
        <f t="shared" si="53"/>
        <v>0</v>
      </c>
    </row>
    <row r="39" spans="1:149">
      <c r="A39" s="291" t="s">
        <v>257</v>
      </c>
      <c r="B39" s="290" t="str">
        <f t="shared" si="54"/>
        <v>P2</v>
      </c>
      <c r="C39" s="285" t="s">
        <v>327</v>
      </c>
      <c r="D39" s="289" t="s">
        <v>326</v>
      </c>
      <c r="E39" s="288">
        <f>ROUND('[2]PBF Run'!N46,6)</f>
        <v>4636.4928909999999</v>
      </c>
      <c r="F39" s="285">
        <f t="shared" si="55"/>
        <v>4675.9030433300004</v>
      </c>
      <c r="G39" s="285">
        <f t="shared" si="56"/>
        <v>2788.0536374600001</v>
      </c>
      <c r="H39" s="285">
        <f t="shared" si="57"/>
        <v>2811.7520933800001</v>
      </c>
      <c r="I39" s="285">
        <f t="shared" si="58"/>
        <v>3282.8110613200001</v>
      </c>
      <c r="J39" s="285">
        <f t="shared" si="59"/>
        <v>3310.71495534</v>
      </c>
      <c r="K39" s="308">
        <f>ROUND([2]FTES!C46,3)</f>
        <v>7886.53</v>
      </c>
      <c r="L39" s="308">
        <f>ROUND([2]FTES!F46,3)</f>
        <v>0</v>
      </c>
      <c r="M39" s="308">
        <f>ROUND('[2]Growth Deficit'!AG46,3)</f>
        <v>0</v>
      </c>
      <c r="N39" s="308">
        <f>ROUND([2]FTES!I46,3)</f>
        <v>0</v>
      </c>
      <c r="O39" s="308">
        <f>ROUND([2]FTES!E46,3)</f>
        <v>8063.37</v>
      </c>
      <c r="P39" s="308">
        <f>ROUND([2]FTES!L46,3)</f>
        <v>1.71</v>
      </c>
      <c r="Q39" s="308">
        <f>ROUND([2]FTES!O46,3)</f>
        <v>0</v>
      </c>
      <c r="R39" s="308">
        <f>ROUND('[2]Growth Deficit'!$AH46,3)</f>
        <v>0</v>
      </c>
      <c r="S39" s="308">
        <f>ROUND([2]FTES!R46,3)</f>
        <v>0</v>
      </c>
      <c r="T39" s="308">
        <f>ROUND([2]FTES!N46,3)</f>
        <v>0</v>
      </c>
      <c r="U39" s="308">
        <f>ROUND([2]FTES!U46,3)</f>
        <v>0</v>
      </c>
      <c r="V39" s="308">
        <f>ROUND([2]FTES!X46,3)</f>
        <v>0</v>
      </c>
      <c r="W39" s="308">
        <f>ROUND('[2]Growth Deficit'!$AI46,3)</f>
        <v>0</v>
      </c>
      <c r="X39" s="308">
        <f>ROUND([2]FTES!AA46,3)</f>
        <v>0</v>
      </c>
      <c r="Y39" s="308">
        <f>ROUND([2]FTES!W46,3)</f>
        <v>0</v>
      </c>
      <c r="Z39" s="307">
        <f>'[2]FTES Adjustment'!CW46</f>
        <v>8063.3700040000003</v>
      </c>
      <c r="AA39" s="307">
        <f>'[2]FTES Adjustment'!CX46</f>
        <v>0</v>
      </c>
      <c r="AB39" s="307">
        <f>'[2]FTES Adjustment'!CY46</f>
        <v>0</v>
      </c>
      <c r="AC39" s="275">
        <f t="shared" si="31"/>
        <v>7888.24</v>
      </c>
      <c r="AD39" s="275">
        <f t="shared" si="32"/>
        <v>0</v>
      </c>
      <c r="AE39" s="275">
        <f t="shared" si="33"/>
        <v>0</v>
      </c>
      <c r="AF39" s="275">
        <f t="shared" si="34"/>
        <v>0</v>
      </c>
      <c r="AG39" s="275">
        <f t="shared" si="35"/>
        <v>8063.37</v>
      </c>
      <c r="AH39" s="275">
        <f t="shared" si="36"/>
        <v>8063.37</v>
      </c>
      <c r="AI39" s="302">
        <f>'[2]PBF Run'!F46</f>
        <v>4498259</v>
      </c>
      <c r="AJ39" s="302">
        <f>'[2]PBF Run'!H46+'[2]PBF Run'!I46+'[2]PBF Run'!J46+'[2]PBF Run'!L46</f>
        <v>36570608</v>
      </c>
      <c r="AK39" s="306">
        <f>'[2]PBF Run'!J46 + '[2]PBF Run'!$L46</f>
        <v>36565840</v>
      </c>
      <c r="AL39" s="302">
        <f>'[2]PBF Run'!H46</f>
        <v>4768</v>
      </c>
      <c r="AM39" s="302">
        <f>'[2]PBF Run'!I46</f>
        <v>0</v>
      </c>
      <c r="AN39" s="305">
        <f>'[2]Restoration and Growth'!BM46</f>
        <v>0</v>
      </c>
      <c r="AO39" s="278">
        <f t="shared" si="37"/>
        <v>41068867</v>
      </c>
      <c r="AP39" s="285" t="str">
        <f t="shared" si="60"/>
        <v>0.85%</v>
      </c>
      <c r="AQ39" s="302">
        <f>'[2]PBF Run'!O46</f>
        <v>349085</v>
      </c>
      <c r="AR39" s="278">
        <f t="shared" si="38"/>
        <v>41417952</v>
      </c>
      <c r="AS39" s="302">
        <f>'[2]PBF Run'!$AD46</f>
        <v>0</v>
      </c>
      <c r="AT39" s="302">
        <f>'[2]PBF Run'!$T46</f>
        <v>0</v>
      </c>
      <c r="AU39" s="278">
        <f t="shared" si="39"/>
        <v>568473</v>
      </c>
      <c r="AV39" s="304">
        <f>'[2]Restoration and Growth'!BT46</f>
        <v>0</v>
      </c>
      <c r="AW39" s="304" t="str">
        <f>'[2]Restoration and Growth'!AP46</f>
        <v>N</v>
      </c>
      <c r="AX39" s="302">
        <f>'[2]Restoration and Growth'!CV46</f>
        <v>0</v>
      </c>
      <c r="AY39" s="302">
        <f>'[2]Growth Deficit'!$AO46</f>
        <v>0</v>
      </c>
      <c r="AZ39" s="302">
        <f>'[2]Growth Deficit'!AO46</f>
        <v>0</v>
      </c>
      <c r="BA39" s="302">
        <f>'[2]Growth Deficit'!AL46</f>
        <v>0</v>
      </c>
      <c r="BB39" s="302">
        <f>'[2]Growth Deficit'!AM46</f>
        <v>0</v>
      </c>
      <c r="BC39" s="302">
        <f>'[2]Growth Deficit'!AN46</f>
        <v>0</v>
      </c>
      <c r="BD39" s="302">
        <f>'[2]Growth Deficit'!AO46</f>
        <v>0</v>
      </c>
      <c r="BE39" s="302">
        <f>'[2]PBF Run'!AA46</f>
        <v>0</v>
      </c>
      <c r="BF39" s="302">
        <f>'[2]PBF Run'!AB46</f>
        <v>0</v>
      </c>
      <c r="BG39" s="302">
        <f>'[2]PBF Run'!AC46</f>
        <v>0</v>
      </c>
      <c r="BH39" s="302">
        <f>'[2]PBF Run'!AD46</f>
        <v>0</v>
      </c>
      <c r="BI39" s="278">
        <f t="shared" si="40"/>
        <v>0</v>
      </c>
      <c r="BJ39" s="302">
        <f>'[2]PBF Run'!X46</f>
        <v>0</v>
      </c>
      <c r="BK39" s="302">
        <f>'[2]PBF Run'!AE46</f>
        <v>42240031</v>
      </c>
      <c r="BL39" s="282">
        <f t="shared" si="41"/>
        <v>0.98518542753910388</v>
      </c>
      <c r="BM39" s="302">
        <f>'[2]PBF Run'!AM46</f>
        <v>625768</v>
      </c>
      <c r="BN39" s="302">
        <f>'[2]PBF Run'!$AN46</f>
        <v>13520058</v>
      </c>
      <c r="BO39" s="302">
        <f>'[2]PBF Run'!$AO46</f>
        <v>0</v>
      </c>
      <c r="BP39" s="302">
        <f>'[2]PBF Run'!AC46</f>
        <v>0</v>
      </c>
      <c r="BQ39" s="278">
        <f t="shared" si="42"/>
        <v>13520058</v>
      </c>
      <c r="BR39" s="302">
        <f>'[2]PBF Run'!AJ46</f>
        <v>17789149</v>
      </c>
      <c r="BS39" s="302">
        <f>'[2]PBF Run'!AI46</f>
        <v>4049338</v>
      </c>
      <c r="BT39" s="302">
        <f>'[2]PBF Run'!$AN46</f>
        <v>13520058</v>
      </c>
      <c r="BU39" s="302">
        <f>'[2]PBF Run'!$AN46</f>
        <v>13520058</v>
      </c>
      <c r="BV39" s="302">
        <f>'[2]PBF Run'!BI46</f>
        <v>0</v>
      </c>
      <c r="BW39" s="303">
        <f>'[2]PBF Run'!BH46</f>
        <v>0</v>
      </c>
      <c r="BX39" s="278">
        <f t="shared" si="61"/>
        <v>69532</v>
      </c>
      <c r="BY39" s="278">
        <f t="shared" si="43"/>
        <v>13520058</v>
      </c>
      <c r="BZ39" s="302">
        <f>'[2]As of 13-14 R1'!BP46</f>
        <v>0</v>
      </c>
      <c r="CA39" s="302">
        <f>'[2]As of 13-14 R1'!BQ46</f>
        <v>0</v>
      </c>
      <c r="CB39" s="302">
        <f>'[2]As of 13-14 R1'!BR46</f>
        <v>0</v>
      </c>
      <c r="CC39" s="278">
        <f t="shared" si="44"/>
        <v>0</v>
      </c>
      <c r="CD39" s="301">
        <f>'[2]Growth Deficit'!$D$2</f>
        <v>0</v>
      </c>
      <c r="CE39" s="300">
        <f>IF($CS39="S",'[2]Foundation Grant'!C46,0)</f>
        <v>0</v>
      </c>
      <c r="CF39" s="300">
        <f>IF($CS39="S",'[2]Foundation Grant'!D46,0)</f>
        <v>0</v>
      </c>
      <c r="CG39" s="300">
        <f>IF($CS39="S",'[2]Foundation Grant'!E46,0)</f>
        <v>1</v>
      </c>
      <c r="CH39" s="300">
        <f>IF($CS39="S",'[2]Foundation Grant'!F46,0)</f>
        <v>1</v>
      </c>
      <c r="CI39" s="300">
        <f>IF($CS39="M",'[2]Foundation Grant'!C46,0)</f>
        <v>0</v>
      </c>
      <c r="CJ39" s="300">
        <f>IF($CS39="M",'[2]Foundation Grant'!D46,0)</f>
        <v>0</v>
      </c>
      <c r="CK39" s="300">
        <f>IF($CS39="M",'[2]Foundation Grant'!E46,0)</f>
        <v>0</v>
      </c>
      <c r="CL39" s="300">
        <f>IF($CS39="M",'[2]Foundation Grant'!F46,0)</f>
        <v>0</v>
      </c>
      <c r="CM39" s="300">
        <f>'[2]Foundation Grant'!G46</f>
        <v>1</v>
      </c>
      <c r="CN39" s="300">
        <f>'[2]Foundation Grant'!H46</f>
        <v>0</v>
      </c>
      <c r="CO39" s="300">
        <f>'[2]Foundation Grant'!I46</f>
        <v>0</v>
      </c>
      <c r="CP39" s="300">
        <f>'[2]Foundation Grant'!J46</f>
        <v>0</v>
      </c>
      <c r="CQ39" s="300">
        <f>'[2]Foundation Grant'!K46</f>
        <v>0</v>
      </c>
      <c r="CR39" s="299">
        <f>'[2]Foundation Grant'!L46</f>
        <v>1</v>
      </c>
      <c r="CS39" s="300" t="str">
        <f>'[2]Foundation Grant'!M46</f>
        <v>S</v>
      </c>
      <c r="CT39" s="300">
        <f>'[2]Foundation Grant'!N46</f>
        <v>4498259</v>
      </c>
      <c r="CU39" s="299">
        <f>'[2]Foundation Grant'!O46</f>
        <v>0</v>
      </c>
      <c r="CV39" s="299">
        <f>'[2]Foundation Grant'!P46</f>
        <v>0</v>
      </c>
      <c r="CW39" s="298">
        <f>'[2]Foundation Grant'!$C$1</f>
        <v>5622823</v>
      </c>
      <c r="CX39" s="298">
        <f>'[2]Foundation Grant'!$D$1</f>
        <v>4498258</v>
      </c>
      <c r="CY39" s="298">
        <f>'[2]Foundation Grant'!$E$1</f>
        <v>3373694</v>
      </c>
      <c r="CZ39" s="298">
        <f>'[2]Foundation Grant'!$C$2</f>
        <v>4498258</v>
      </c>
      <c r="DA39" s="298">
        <f>'[2]Foundation Grant'!$D$2</f>
        <v>3935976</v>
      </c>
      <c r="DB39" s="298">
        <f>'[2]Foundation Grant'!$E$2</f>
        <v>3373694</v>
      </c>
      <c r="DC39" s="298">
        <f>'[2]Foundation Grant'!$G$1</f>
        <v>1124565</v>
      </c>
      <c r="DD39" s="298">
        <f>'[2]Foundation Grant'!$H$1</f>
        <v>843423</v>
      </c>
      <c r="DE39" s="298">
        <f>'[2]Foundation Grant'!$I$1</f>
        <v>562282</v>
      </c>
      <c r="DF39" s="298">
        <f>'[2]Foundation Grant'!$J$1</f>
        <v>281141</v>
      </c>
      <c r="DG39" s="298">
        <f>'[2]Foundation Grant'!$K$1</f>
        <v>140571</v>
      </c>
      <c r="DH39" s="298">
        <f>'[2]Foundation Grant'!$O$1</f>
        <v>562282</v>
      </c>
      <c r="DI39" s="298">
        <f>'[2]Foundation Grant'!$P$1</f>
        <v>1124565</v>
      </c>
      <c r="DJ39" s="297">
        <f>'[2]basic allocation'!$C$10</f>
        <v>18749</v>
      </c>
      <c r="DK39" s="297">
        <f>'[2]basic allocation'!$D$10</f>
        <v>9375</v>
      </c>
      <c r="DL39" s="297">
        <f>'[2]basic allocation'!$E$10</f>
        <v>9375</v>
      </c>
      <c r="DM39" s="297">
        <f>'[2]basic allocation'!$I$10</f>
        <v>938</v>
      </c>
      <c r="DN39" s="297">
        <f>'[2]basic allocation'!$J$10</f>
        <v>703</v>
      </c>
      <c r="DO39" s="297">
        <f>'[2]basic allocation'!$K$10</f>
        <v>469</v>
      </c>
      <c r="DP39" s="297">
        <f>'[2]basic allocation'!$L$10</f>
        <v>234</v>
      </c>
      <c r="DQ39" s="297">
        <f>'[2]basic allocation'!$M$10</f>
        <v>100</v>
      </c>
      <c r="DR39" s="296">
        <f>'[2]FTES Adjustment'!DQ46</f>
        <v>-4.0000004446483217E-6</v>
      </c>
      <c r="DS39" s="296">
        <f>'[2]FTES Adjustment'!DR46</f>
        <v>0</v>
      </c>
      <c r="DT39" s="296">
        <f>'[2]FTES Adjustment'!DS46</f>
        <v>0</v>
      </c>
      <c r="DU39" s="277">
        <f t="shared" si="45"/>
        <v>0</v>
      </c>
      <c r="DV39" s="276">
        <f t="shared" si="46"/>
        <v>176.84006500000001</v>
      </c>
      <c r="DW39" s="276">
        <f t="shared" si="47"/>
        <v>-1.71</v>
      </c>
      <c r="DX39" s="276">
        <f t="shared" si="48"/>
        <v>0</v>
      </c>
      <c r="DY39" s="276">
        <f t="shared" si="49"/>
        <v>175.13</v>
      </c>
      <c r="DZ39" s="295">
        <f>ROUND([2]FTES!$D46,3)</f>
        <v>7886.53</v>
      </c>
      <c r="EA39" s="295">
        <f>ROUND([2]FTES!$M46,3)</f>
        <v>1.71</v>
      </c>
      <c r="EB39" s="295">
        <f>ROUND([2]FTES!$V46,3)</f>
        <v>0</v>
      </c>
      <c r="EC39" s="276">
        <f t="shared" si="50"/>
        <v>7888.24</v>
      </c>
      <c r="ED39" s="133">
        <v>0</v>
      </c>
      <c r="EE39" s="294">
        <f>'[2]10-11 WkLd126M'!$E44</f>
        <v>951408</v>
      </c>
      <c r="EF39" s="295">
        <f>'[2]FTES Adjustment'!CG46</f>
        <v>176.84006500000001</v>
      </c>
      <c r="EG39" s="295">
        <f>'[2]FTES Adjustment'!CH46</f>
        <v>-1.71</v>
      </c>
      <c r="EH39" s="295">
        <f>'[2]FTES Adjustment'!CI46</f>
        <v>0</v>
      </c>
      <c r="EI39" s="276">
        <f t="shared" si="51"/>
        <v>175.130065</v>
      </c>
      <c r="EJ39" s="294">
        <f>'[2]PBF Run'!$AT46</f>
        <v>0</v>
      </c>
      <c r="EK39" s="294">
        <f>'[2]11-12 Workload Reduction'!H46</f>
        <v>38038302</v>
      </c>
      <c r="EL39" s="294">
        <f>'[2]13-14 $86M Workload Restore'!AI44</f>
        <v>568473</v>
      </c>
      <c r="EM39" s="294">
        <f>'[2]13-14 $86M Workload Restore'!AC44</f>
        <v>0</v>
      </c>
      <c r="EN39" s="294">
        <f>'[2]13-14 deferrals, growth, EPA 1'!BJ46</f>
        <v>5891551</v>
      </c>
      <c r="EO39" s="293">
        <f t="shared" si="52"/>
        <v>41614263</v>
      </c>
      <c r="EP39" s="292">
        <v>0</v>
      </c>
      <c r="EQ39" s="292">
        <v>0</v>
      </c>
      <c r="ER39" s="292">
        <v>0</v>
      </c>
      <c r="ES39" s="16">
        <f t="shared" si="53"/>
        <v>0</v>
      </c>
    </row>
    <row r="40" spans="1:149">
      <c r="A40" s="291" t="s">
        <v>257</v>
      </c>
      <c r="B40" s="290" t="str">
        <f t="shared" si="54"/>
        <v>P2</v>
      </c>
      <c r="C40" s="285" t="s">
        <v>325</v>
      </c>
      <c r="D40" s="289" t="s">
        <v>324</v>
      </c>
      <c r="E40" s="288">
        <f>ROUND('[2]PBF Run'!N47,6)</f>
        <v>4636.4931139999999</v>
      </c>
      <c r="F40" s="285">
        <f t="shared" si="55"/>
        <v>4675.9030433300004</v>
      </c>
      <c r="G40" s="285">
        <f t="shared" si="56"/>
        <v>2788.0536374600001</v>
      </c>
      <c r="H40" s="285">
        <f t="shared" si="57"/>
        <v>2811.7520933800001</v>
      </c>
      <c r="I40" s="285">
        <f t="shared" si="58"/>
        <v>3282.8110613200001</v>
      </c>
      <c r="J40" s="285">
        <f t="shared" si="59"/>
        <v>3310.71495534</v>
      </c>
      <c r="K40" s="308">
        <f>ROUND([2]FTES!C47,3)</f>
        <v>1362.12</v>
      </c>
      <c r="L40" s="308">
        <f>ROUND([2]FTES!F47,3)</f>
        <v>313.67</v>
      </c>
      <c r="M40" s="308">
        <f>ROUND('[2]Growth Deficit'!AG47,3)</f>
        <v>0</v>
      </c>
      <c r="N40" s="308">
        <f>ROUND([2]FTES!I47,3)</f>
        <v>0</v>
      </c>
      <c r="O40" s="308">
        <f>ROUND([2]FTES!E47,3)</f>
        <v>1675.79</v>
      </c>
      <c r="P40" s="308">
        <f>ROUND([2]FTES!L47,3)</f>
        <v>39.72</v>
      </c>
      <c r="Q40" s="308">
        <f>ROUND([2]FTES!O47,3)</f>
        <v>69.25</v>
      </c>
      <c r="R40" s="308">
        <f>ROUND('[2]Growth Deficit'!$AH47,3)</f>
        <v>0</v>
      </c>
      <c r="S40" s="308">
        <f>ROUND([2]FTES!R47,3)</f>
        <v>0</v>
      </c>
      <c r="T40" s="308">
        <f>ROUND([2]FTES!N47,3)</f>
        <v>108.97</v>
      </c>
      <c r="U40" s="308">
        <f>ROUND([2]FTES!U47,3)</f>
        <v>0</v>
      </c>
      <c r="V40" s="308">
        <f>ROUND([2]FTES!X47,3)</f>
        <v>0</v>
      </c>
      <c r="W40" s="308">
        <f>ROUND('[2]Growth Deficit'!$AI47,3)</f>
        <v>0</v>
      </c>
      <c r="X40" s="308">
        <f>ROUND([2]FTES!AA47,3)</f>
        <v>0</v>
      </c>
      <c r="Y40" s="308">
        <f>ROUND([2]FTES!W47,3)</f>
        <v>0</v>
      </c>
      <c r="Z40" s="307">
        <f>'[2]FTES Adjustment'!CW47</f>
        <v>1675.7899999999997</v>
      </c>
      <c r="AA40" s="307">
        <f>'[2]FTES Adjustment'!CX47</f>
        <v>108.97006</v>
      </c>
      <c r="AB40" s="307">
        <f>'[2]FTES Adjustment'!CY47</f>
        <v>0</v>
      </c>
      <c r="AC40" s="275">
        <f t="shared" si="31"/>
        <v>1401.84</v>
      </c>
      <c r="AD40" s="275">
        <f t="shared" si="32"/>
        <v>382.92</v>
      </c>
      <c r="AE40" s="275">
        <f t="shared" si="33"/>
        <v>0</v>
      </c>
      <c r="AF40" s="275">
        <f t="shared" si="34"/>
        <v>0</v>
      </c>
      <c r="AG40" s="275">
        <f t="shared" si="35"/>
        <v>1784.76</v>
      </c>
      <c r="AH40" s="275">
        <f t="shared" si="36"/>
        <v>1784.76</v>
      </c>
      <c r="AI40" s="302">
        <f>'[2]PBF Run'!F47</f>
        <v>4076547</v>
      </c>
      <c r="AJ40" s="302">
        <f>'[2]PBF Run'!H47+'[2]PBF Run'!I47+'[2]PBF Run'!J47+'[2]PBF Run'!L47</f>
        <v>6426201</v>
      </c>
      <c r="AK40" s="306">
        <f>'[2]PBF Run'!J47 + '[2]PBF Run'!$L47</f>
        <v>6315460</v>
      </c>
      <c r="AL40" s="302">
        <f>'[2]PBF Run'!H47</f>
        <v>110741</v>
      </c>
      <c r="AM40" s="302">
        <f>'[2]PBF Run'!I47</f>
        <v>0</v>
      </c>
      <c r="AN40" s="305">
        <f>'[2]Restoration and Growth'!BM47</f>
        <v>0</v>
      </c>
      <c r="AO40" s="278">
        <f t="shared" si="37"/>
        <v>10502748</v>
      </c>
      <c r="AP40" s="285" t="str">
        <f t="shared" si="60"/>
        <v>0.85%</v>
      </c>
      <c r="AQ40" s="302">
        <f>'[2]PBF Run'!O47</f>
        <v>89273</v>
      </c>
      <c r="AR40" s="278">
        <f t="shared" si="38"/>
        <v>10592021</v>
      </c>
      <c r="AS40" s="302">
        <f>'[2]PBF Run'!$AD47</f>
        <v>0</v>
      </c>
      <c r="AT40" s="302">
        <f>'[2]PBF Run'!$T47</f>
        <v>1661405</v>
      </c>
      <c r="AU40" s="278">
        <f t="shared" si="39"/>
        <v>1661405</v>
      </c>
      <c r="AV40" s="304">
        <f>'[2]Restoration and Growth'!BT47</f>
        <v>0</v>
      </c>
      <c r="AW40" s="304" t="str">
        <f>'[2]Restoration and Growth'!AP47</f>
        <v>N</v>
      </c>
      <c r="AX40" s="302">
        <f>'[2]Restoration and Growth'!CV47</f>
        <v>0</v>
      </c>
      <c r="AY40" s="302">
        <f>'[2]Growth Deficit'!$AO47</f>
        <v>0</v>
      </c>
      <c r="AZ40" s="302">
        <f>'[2]Growth Deficit'!AO47</f>
        <v>0</v>
      </c>
      <c r="BA40" s="302">
        <f>'[2]Growth Deficit'!AL47</f>
        <v>0</v>
      </c>
      <c r="BB40" s="302">
        <f>'[2]Growth Deficit'!AM47</f>
        <v>0</v>
      </c>
      <c r="BC40" s="302">
        <f>'[2]Growth Deficit'!AN47</f>
        <v>0</v>
      </c>
      <c r="BD40" s="302">
        <f>'[2]Growth Deficit'!AO47</f>
        <v>0</v>
      </c>
      <c r="BE40" s="302">
        <f>'[2]PBF Run'!AA47</f>
        <v>0</v>
      </c>
      <c r="BF40" s="302">
        <f>'[2]PBF Run'!AB47</f>
        <v>0</v>
      </c>
      <c r="BG40" s="302">
        <f>'[2]PBF Run'!AC47</f>
        <v>0</v>
      </c>
      <c r="BH40" s="302">
        <f>'[2]PBF Run'!AD47</f>
        <v>0</v>
      </c>
      <c r="BI40" s="278">
        <f t="shared" si="40"/>
        <v>0</v>
      </c>
      <c r="BJ40" s="302">
        <f>'[2]PBF Run'!X47</f>
        <v>0</v>
      </c>
      <c r="BK40" s="302">
        <f>'[2]PBF Run'!AE47</f>
        <v>12253426</v>
      </c>
      <c r="BL40" s="282">
        <f t="shared" si="41"/>
        <v>0.98518544935922414</v>
      </c>
      <c r="BM40" s="302">
        <f>'[2]PBF Run'!AM47</f>
        <v>181529</v>
      </c>
      <c r="BN40" s="302">
        <f>'[2]PBF Run'!$AN47</f>
        <v>8430514</v>
      </c>
      <c r="BO40" s="302">
        <f>'[2]PBF Run'!$AO47</f>
        <v>0</v>
      </c>
      <c r="BP40" s="302">
        <f>'[2]PBF Run'!AC47</f>
        <v>0</v>
      </c>
      <c r="BQ40" s="278">
        <f t="shared" si="42"/>
        <v>8430514</v>
      </c>
      <c r="BR40" s="302">
        <f>'[2]PBF Run'!AJ47</f>
        <v>1223531</v>
      </c>
      <c r="BS40" s="302">
        <f>'[2]PBF Run'!AI47</f>
        <v>491169</v>
      </c>
      <c r="BT40" s="302">
        <f>'[2]PBF Run'!$AN47</f>
        <v>8430514</v>
      </c>
      <c r="BU40" s="302">
        <f>'[2]PBF Run'!$AN47</f>
        <v>8430514</v>
      </c>
      <c r="BV40" s="302">
        <f>'[2]PBF Run'!BI47</f>
        <v>0</v>
      </c>
      <c r="BW40" s="303">
        <f>'[2]PBF Run'!BH47</f>
        <v>0</v>
      </c>
      <c r="BX40" s="278">
        <f t="shared" si="61"/>
        <v>69532</v>
      </c>
      <c r="BY40" s="278">
        <f t="shared" si="43"/>
        <v>8430514</v>
      </c>
      <c r="BZ40" s="302">
        <f>'[2]As of 13-14 R1'!BP47</f>
        <v>0</v>
      </c>
      <c r="CA40" s="302">
        <f>'[2]As of 13-14 R1'!BQ47</f>
        <v>823399</v>
      </c>
      <c r="CB40" s="302">
        <f>'[2]As of 13-14 R1'!BR47</f>
        <v>0</v>
      </c>
      <c r="CC40" s="278">
        <f t="shared" si="44"/>
        <v>823399</v>
      </c>
      <c r="CD40" s="301">
        <f>'[2]Growth Deficit'!$D$2</f>
        <v>0</v>
      </c>
      <c r="CE40" s="300">
        <f>IF($CS40="S",'[2]Foundation Grant'!C47,0)</f>
        <v>0</v>
      </c>
      <c r="CF40" s="300">
        <f>IF($CS40="S",'[2]Foundation Grant'!D47,0)</f>
        <v>0</v>
      </c>
      <c r="CG40" s="300">
        <f>IF($CS40="S",'[2]Foundation Grant'!E47,0)</f>
        <v>1</v>
      </c>
      <c r="CH40" s="300">
        <f>IF($CS40="S",'[2]Foundation Grant'!F47,0)</f>
        <v>1</v>
      </c>
      <c r="CI40" s="300">
        <f>IF($CS40="M",'[2]Foundation Grant'!C47,0)</f>
        <v>0</v>
      </c>
      <c r="CJ40" s="300">
        <f>IF($CS40="M",'[2]Foundation Grant'!D47,0)</f>
        <v>0</v>
      </c>
      <c r="CK40" s="300">
        <f>IF($CS40="M",'[2]Foundation Grant'!E47,0)</f>
        <v>0</v>
      </c>
      <c r="CL40" s="300">
        <f>IF($CS40="M",'[2]Foundation Grant'!F47,0)</f>
        <v>0</v>
      </c>
      <c r="CM40" s="300">
        <f>'[2]Foundation Grant'!G47</f>
        <v>0</v>
      </c>
      <c r="CN40" s="300">
        <f>'[2]Foundation Grant'!H47</f>
        <v>0</v>
      </c>
      <c r="CO40" s="300">
        <f>'[2]Foundation Grant'!I47</f>
        <v>0</v>
      </c>
      <c r="CP40" s="300">
        <f>'[2]Foundation Grant'!J47</f>
        <v>0</v>
      </c>
      <c r="CQ40" s="300">
        <f>'[2]Foundation Grant'!K47</f>
        <v>1</v>
      </c>
      <c r="CR40" s="299">
        <f>'[2]Foundation Grant'!L47</f>
        <v>1</v>
      </c>
      <c r="CS40" s="300" t="str">
        <f>'[2]Foundation Grant'!M47</f>
        <v>S</v>
      </c>
      <c r="CT40" s="300">
        <f>'[2]Foundation Grant'!N47</f>
        <v>4076547</v>
      </c>
      <c r="CU40" s="299">
        <f>'[2]Foundation Grant'!O47</f>
        <v>1</v>
      </c>
      <c r="CV40" s="299">
        <f>'[2]Foundation Grant'!P47</f>
        <v>0</v>
      </c>
      <c r="CW40" s="298">
        <f>'[2]Foundation Grant'!$C$1</f>
        <v>5622823</v>
      </c>
      <c r="CX40" s="298">
        <f>'[2]Foundation Grant'!$D$1</f>
        <v>4498258</v>
      </c>
      <c r="CY40" s="298">
        <f>'[2]Foundation Grant'!$E$1</f>
        <v>3373694</v>
      </c>
      <c r="CZ40" s="298">
        <f>'[2]Foundation Grant'!$C$2</f>
        <v>4498258</v>
      </c>
      <c r="DA40" s="298">
        <f>'[2]Foundation Grant'!$D$2</f>
        <v>3935976</v>
      </c>
      <c r="DB40" s="298">
        <f>'[2]Foundation Grant'!$E$2</f>
        <v>3373694</v>
      </c>
      <c r="DC40" s="298">
        <f>'[2]Foundation Grant'!$G$1</f>
        <v>1124565</v>
      </c>
      <c r="DD40" s="298">
        <f>'[2]Foundation Grant'!$H$1</f>
        <v>843423</v>
      </c>
      <c r="DE40" s="298">
        <f>'[2]Foundation Grant'!$I$1</f>
        <v>562282</v>
      </c>
      <c r="DF40" s="298">
        <f>'[2]Foundation Grant'!$J$1</f>
        <v>281141</v>
      </c>
      <c r="DG40" s="298">
        <f>'[2]Foundation Grant'!$K$1</f>
        <v>140571</v>
      </c>
      <c r="DH40" s="298">
        <f>'[2]Foundation Grant'!$O$1</f>
        <v>562282</v>
      </c>
      <c r="DI40" s="298">
        <f>'[2]Foundation Grant'!$P$1</f>
        <v>1124565</v>
      </c>
      <c r="DJ40" s="297">
        <f>'[2]basic allocation'!$C$10</f>
        <v>18749</v>
      </c>
      <c r="DK40" s="297">
        <f>'[2]basic allocation'!$D$10</f>
        <v>9375</v>
      </c>
      <c r="DL40" s="297">
        <f>'[2]basic allocation'!$E$10</f>
        <v>9375</v>
      </c>
      <c r="DM40" s="297">
        <f>'[2]basic allocation'!$I$10</f>
        <v>938</v>
      </c>
      <c r="DN40" s="297">
        <f>'[2]basic allocation'!$J$10</f>
        <v>703</v>
      </c>
      <c r="DO40" s="297">
        <f>'[2]basic allocation'!$K$10</f>
        <v>469</v>
      </c>
      <c r="DP40" s="297">
        <f>'[2]basic allocation'!$L$10</f>
        <v>234</v>
      </c>
      <c r="DQ40" s="297">
        <f>'[2]basic allocation'!$M$10</f>
        <v>100</v>
      </c>
      <c r="DR40" s="296">
        <f>'[2]FTES Adjustment'!DQ47</f>
        <v>0</v>
      </c>
      <c r="DS40" s="296">
        <f>'[2]FTES Adjustment'!DR47</f>
        <v>-6.0000000004833964E-5</v>
      </c>
      <c r="DT40" s="296">
        <f>'[2]FTES Adjustment'!DS47</f>
        <v>0</v>
      </c>
      <c r="DU40" s="277">
        <f t="shared" si="45"/>
        <v>0</v>
      </c>
      <c r="DV40" s="276">
        <f t="shared" si="46"/>
        <v>-1.05E-4</v>
      </c>
      <c r="DW40" s="276">
        <f t="shared" si="47"/>
        <v>0</v>
      </c>
      <c r="DX40" s="276">
        <f t="shared" si="48"/>
        <v>0</v>
      </c>
      <c r="DY40" s="276">
        <f t="shared" si="49"/>
        <v>0</v>
      </c>
      <c r="DZ40" s="295">
        <f>ROUND([2]FTES!$D47,3)</f>
        <v>1362.12</v>
      </c>
      <c r="EA40" s="295">
        <f>ROUND([2]FTES!$M47,3)</f>
        <v>39.72</v>
      </c>
      <c r="EB40" s="295">
        <f>ROUND([2]FTES!$V47,3)</f>
        <v>0</v>
      </c>
      <c r="EC40" s="276">
        <f t="shared" si="50"/>
        <v>1401.84</v>
      </c>
      <c r="ED40" s="133">
        <v>0</v>
      </c>
      <c r="EE40" s="294">
        <f>'[2]10-11 WkLd126M'!$E45</f>
        <v>276172</v>
      </c>
      <c r="EF40" s="295">
        <f>'[2]FTES Adjustment'!CG47</f>
        <v>-1.05E-4</v>
      </c>
      <c r="EG40" s="295">
        <f>'[2]FTES Adjustment'!CH47</f>
        <v>0</v>
      </c>
      <c r="EH40" s="295">
        <f>'[2]FTES Adjustment'!CI47</f>
        <v>0</v>
      </c>
      <c r="EI40" s="276">
        <f t="shared" si="51"/>
        <v>-1.05E-4</v>
      </c>
      <c r="EJ40" s="294">
        <f>'[2]PBF Run'!$AT47</f>
        <v>0</v>
      </c>
      <c r="EK40" s="294">
        <f>'[2]11-12 Workload Reduction'!H47</f>
        <v>8060311</v>
      </c>
      <c r="EL40" s="294">
        <f>'[2]13-14 $86M Workload Restore'!AI45</f>
        <v>0</v>
      </c>
      <c r="EM40" s="294">
        <f>'[2]13-14 $86M Workload Restore'!AC45</f>
        <v>0</v>
      </c>
      <c r="EN40" s="294">
        <f>'[2]13-14 deferrals, growth, EPA 1'!BJ47</f>
        <v>1771987</v>
      </c>
      <c r="EO40" s="293">
        <f t="shared" si="52"/>
        <v>12071897</v>
      </c>
      <c r="EP40" s="292">
        <v>0</v>
      </c>
      <c r="EQ40" s="292">
        <v>0</v>
      </c>
      <c r="ER40" s="292">
        <v>0</v>
      </c>
      <c r="ES40" s="16">
        <f t="shared" si="53"/>
        <v>0</v>
      </c>
    </row>
    <row r="41" spans="1:149">
      <c r="A41" s="291" t="s">
        <v>257</v>
      </c>
      <c r="B41" s="290" t="str">
        <f t="shared" si="54"/>
        <v>P2</v>
      </c>
      <c r="C41" s="285" t="s">
        <v>323</v>
      </c>
      <c r="D41" s="289" t="s">
        <v>322</v>
      </c>
      <c r="E41" s="288">
        <f>ROUND('[2]PBF Run'!N48,6)</f>
        <v>4636.4928790000004</v>
      </c>
      <c r="F41" s="285">
        <f t="shared" si="55"/>
        <v>4675.9030433300004</v>
      </c>
      <c r="G41" s="285">
        <f t="shared" si="56"/>
        <v>2788.0536374600001</v>
      </c>
      <c r="H41" s="285">
        <f t="shared" si="57"/>
        <v>2811.7520933800001</v>
      </c>
      <c r="I41" s="285">
        <f t="shared" si="58"/>
        <v>3282.8110613200001</v>
      </c>
      <c r="J41" s="285">
        <f t="shared" si="59"/>
        <v>3310.71495534</v>
      </c>
      <c r="K41" s="308">
        <f>ROUND([2]FTES!C48,3)</f>
        <v>17940.3</v>
      </c>
      <c r="L41" s="308">
        <f>ROUND([2]FTES!F48,3)</f>
        <v>0</v>
      </c>
      <c r="M41" s="308">
        <f>ROUND('[2]Growth Deficit'!AG48,3)</f>
        <v>0</v>
      </c>
      <c r="N41" s="308">
        <f>ROUND([2]FTES!I48,3)</f>
        <v>0</v>
      </c>
      <c r="O41" s="308">
        <f>ROUND([2]FTES!E48,3)</f>
        <v>18477.32</v>
      </c>
      <c r="P41" s="308">
        <f>ROUND([2]FTES!L48,3)</f>
        <v>331.44</v>
      </c>
      <c r="Q41" s="308">
        <f>ROUND([2]FTES!O48,3)</f>
        <v>0</v>
      </c>
      <c r="R41" s="308">
        <f>ROUND('[2]Growth Deficit'!$AH48,3)</f>
        <v>0</v>
      </c>
      <c r="S41" s="308">
        <f>ROUND([2]FTES!R48,3)</f>
        <v>0</v>
      </c>
      <c r="T41" s="308">
        <f>ROUND([2]FTES!N48,3)</f>
        <v>327.02</v>
      </c>
      <c r="U41" s="308">
        <f>ROUND([2]FTES!U48,3)</f>
        <v>530.63</v>
      </c>
      <c r="V41" s="308">
        <f>ROUND([2]FTES!X48,3)</f>
        <v>0</v>
      </c>
      <c r="W41" s="308">
        <f>ROUND('[2]Growth Deficit'!$AI48,3)</f>
        <v>0</v>
      </c>
      <c r="X41" s="308">
        <f>ROUND([2]FTES!AA48,3)</f>
        <v>0</v>
      </c>
      <c r="Y41" s="308">
        <f>ROUND([2]FTES!W48,3)</f>
        <v>516.11</v>
      </c>
      <c r="Z41" s="307">
        <f>'[2]FTES Adjustment'!CW48</f>
        <v>18477.320073000003</v>
      </c>
      <c r="AA41" s="307">
        <f>'[2]FTES Adjustment'!CX48</f>
        <v>327.02</v>
      </c>
      <c r="AB41" s="307">
        <f>'[2]FTES Adjustment'!CY48</f>
        <v>516.11</v>
      </c>
      <c r="AC41" s="275">
        <f t="shared" si="31"/>
        <v>18802.37</v>
      </c>
      <c r="AD41" s="275">
        <f t="shared" si="32"/>
        <v>0</v>
      </c>
      <c r="AE41" s="275">
        <f t="shared" si="33"/>
        <v>0</v>
      </c>
      <c r="AF41" s="275">
        <f t="shared" si="34"/>
        <v>0</v>
      </c>
      <c r="AG41" s="275">
        <f t="shared" si="35"/>
        <v>19320.45</v>
      </c>
      <c r="AH41" s="275">
        <f t="shared" si="36"/>
        <v>19320.45</v>
      </c>
      <c r="AI41" s="302">
        <f>'[2]PBF Run'!F48</f>
        <v>6747388</v>
      </c>
      <c r="AJ41" s="302">
        <f>'[2]PBF Run'!H48+'[2]PBF Run'!I48+'[2]PBF Run'!J48+'[2]PBF Run'!L48</f>
        <v>85846103</v>
      </c>
      <c r="AK41" s="306">
        <f>'[2]PBF Run'!J48 + '[2]PBF Run'!$L48</f>
        <v>83180073</v>
      </c>
      <c r="AL41" s="302">
        <f>'[2]PBF Run'!H48</f>
        <v>924072</v>
      </c>
      <c r="AM41" s="302">
        <f>'[2]PBF Run'!I48</f>
        <v>1741958</v>
      </c>
      <c r="AN41" s="305">
        <f>'[2]Restoration and Growth'!BM48</f>
        <v>0</v>
      </c>
      <c r="AO41" s="278">
        <f t="shared" si="37"/>
        <v>92593491</v>
      </c>
      <c r="AP41" s="285" t="str">
        <f t="shared" si="60"/>
        <v>0.85%</v>
      </c>
      <c r="AQ41" s="302">
        <f>'[2]PBF Run'!O48</f>
        <v>787045</v>
      </c>
      <c r="AR41" s="278">
        <f t="shared" si="38"/>
        <v>93380536</v>
      </c>
      <c r="AS41" s="302">
        <f>'[2]PBF Run'!$AD48</f>
        <v>0</v>
      </c>
      <c r="AT41" s="302">
        <f>'[2]PBF Run'!$T48</f>
        <v>0</v>
      </c>
      <c r="AU41" s="278">
        <f t="shared" si="39"/>
        <v>1261591</v>
      </c>
      <c r="AV41" s="304">
        <f>'[2]Restoration and Growth'!BT48</f>
        <v>0</v>
      </c>
      <c r="AW41" s="304" t="str">
        <f>'[2]Restoration and Growth'!AP48</f>
        <v>Y</v>
      </c>
      <c r="AX41" s="302">
        <f>'[2]Restoration and Growth'!CV48</f>
        <v>0</v>
      </c>
      <c r="AY41" s="302">
        <f>'[2]Growth Deficit'!$AO48</f>
        <v>0</v>
      </c>
      <c r="AZ41" s="302">
        <f>'[2]Growth Deficit'!AO48</f>
        <v>0</v>
      </c>
      <c r="BA41" s="302">
        <f>'[2]Growth Deficit'!AL48</f>
        <v>0</v>
      </c>
      <c r="BB41" s="302">
        <f>'[2]Growth Deficit'!AM48</f>
        <v>0</v>
      </c>
      <c r="BC41" s="302">
        <f>'[2]Growth Deficit'!AN48</f>
        <v>0</v>
      </c>
      <c r="BD41" s="302">
        <f>'[2]Growth Deficit'!AO48</f>
        <v>0</v>
      </c>
      <c r="BE41" s="302">
        <f>'[2]PBF Run'!AA48</f>
        <v>0</v>
      </c>
      <c r="BF41" s="302">
        <f>'[2]PBF Run'!AB48</f>
        <v>0</v>
      </c>
      <c r="BG41" s="302">
        <f>'[2]PBF Run'!AC48</f>
        <v>0</v>
      </c>
      <c r="BH41" s="302">
        <f>'[2]PBF Run'!AD48</f>
        <v>0</v>
      </c>
      <c r="BI41" s="278">
        <f t="shared" si="40"/>
        <v>0</v>
      </c>
      <c r="BJ41" s="302">
        <f>'[2]PBF Run'!X48</f>
        <v>0</v>
      </c>
      <c r="BK41" s="302">
        <f>'[2]PBF Run'!AE48</f>
        <v>95831090</v>
      </c>
      <c r="BL41" s="282">
        <f t="shared" si="41"/>
        <v>0.98518541320984665</v>
      </c>
      <c r="BM41" s="302">
        <f>'[2]PBF Run'!AM48</f>
        <v>1419698</v>
      </c>
      <c r="BN41" s="302">
        <f>'[2]PBF Run'!$AN48</f>
        <v>15828426</v>
      </c>
      <c r="BO41" s="302">
        <f>'[2]PBF Run'!$AO48</f>
        <v>0</v>
      </c>
      <c r="BP41" s="302">
        <f>'[2]PBF Run'!AC48</f>
        <v>0</v>
      </c>
      <c r="BQ41" s="278">
        <f t="shared" si="42"/>
        <v>15828426</v>
      </c>
      <c r="BR41" s="302">
        <f>'[2]PBF Run'!AJ48</f>
        <v>55375374</v>
      </c>
      <c r="BS41" s="302">
        <f>'[2]PBF Run'!AI48</f>
        <v>8981430</v>
      </c>
      <c r="BT41" s="302">
        <f>'[2]PBF Run'!$AN48</f>
        <v>15828426</v>
      </c>
      <c r="BU41" s="302">
        <f>'[2]PBF Run'!$AN48</f>
        <v>15828426</v>
      </c>
      <c r="BV41" s="302">
        <f>'[2]PBF Run'!BI48</f>
        <v>0</v>
      </c>
      <c r="BW41" s="303">
        <f>'[2]PBF Run'!BH48</f>
        <v>0</v>
      </c>
      <c r="BX41" s="278">
        <f t="shared" si="61"/>
        <v>69532</v>
      </c>
      <c r="BY41" s="278">
        <f t="shared" si="43"/>
        <v>15828426</v>
      </c>
      <c r="BZ41" s="302">
        <f>'[2]As of 13-14 R1'!BP48</f>
        <v>0</v>
      </c>
      <c r="CA41" s="302">
        <f>'[2]As of 13-14 R1'!BQ48</f>
        <v>0</v>
      </c>
      <c r="CB41" s="302">
        <f>'[2]As of 13-14 R1'!BR48</f>
        <v>0</v>
      </c>
      <c r="CC41" s="278">
        <f t="shared" si="44"/>
        <v>0</v>
      </c>
      <c r="CD41" s="301">
        <f>'[2]Growth Deficit'!$D$2</f>
        <v>0</v>
      </c>
      <c r="CE41" s="300">
        <f>IF($CS41="S",'[2]Foundation Grant'!C48,0)</f>
        <v>1</v>
      </c>
      <c r="CF41" s="300">
        <f>IF($CS41="S",'[2]Foundation Grant'!D48,0)</f>
        <v>0</v>
      </c>
      <c r="CG41" s="300">
        <f>IF($CS41="S",'[2]Foundation Grant'!E48,0)</f>
        <v>0</v>
      </c>
      <c r="CH41" s="300">
        <f>IF($CS41="S",'[2]Foundation Grant'!F48,0)</f>
        <v>1</v>
      </c>
      <c r="CI41" s="300">
        <f>IF($CS41="M",'[2]Foundation Grant'!C48,0)</f>
        <v>0</v>
      </c>
      <c r="CJ41" s="300">
        <f>IF($CS41="M",'[2]Foundation Grant'!D48,0)</f>
        <v>0</v>
      </c>
      <c r="CK41" s="300">
        <f>IF($CS41="M",'[2]Foundation Grant'!E48,0)</f>
        <v>0</v>
      </c>
      <c r="CL41" s="300">
        <f>IF($CS41="M",'[2]Foundation Grant'!F48,0)</f>
        <v>0</v>
      </c>
      <c r="CM41" s="300">
        <f>'[2]Foundation Grant'!G48</f>
        <v>0</v>
      </c>
      <c r="CN41" s="300">
        <f>'[2]Foundation Grant'!H48</f>
        <v>0</v>
      </c>
      <c r="CO41" s="300">
        <f>'[2]Foundation Grant'!I48</f>
        <v>0</v>
      </c>
      <c r="CP41" s="300">
        <f>'[2]Foundation Grant'!J48</f>
        <v>0</v>
      </c>
      <c r="CQ41" s="300">
        <f>'[2]Foundation Grant'!K48</f>
        <v>0</v>
      </c>
      <c r="CR41" s="299">
        <f>'[2]Foundation Grant'!L48</f>
        <v>0</v>
      </c>
      <c r="CS41" s="300" t="str">
        <f>'[2]Foundation Grant'!M48</f>
        <v>S</v>
      </c>
      <c r="CT41" s="300">
        <f>'[2]Foundation Grant'!N48</f>
        <v>6747388</v>
      </c>
      <c r="CU41" s="299">
        <f>'[2]Foundation Grant'!O48</f>
        <v>0</v>
      </c>
      <c r="CV41" s="299">
        <f>'[2]Foundation Grant'!P48</f>
        <v>1</v>
      </c>
      <c r="CW41" s="298">
        <f>'[2]Foundation Grant'!$C$1</f>
        <v>5622823</v>
      </c>
      <c r="CX41" s="298">
        <f>'[2]Foundation Grant'!$D$1</f>
        <v>4498258</v>
      </c>
      <c r="CY41" s="298">
        <f>'[2]Foundation Grant'!$E$1</f>
        <v>3373694</v>
      </c>
      <c r="CZ41" s="298">
        <f>'[2]Foundation Grant'!$C$2</f>
        <v>4498258</v>
      </c>
      <c r="DA41" s="298">
        <f>'[2]Foundation Grant'!$D$2</f>
        <v>3935976</v>
      </c>
      <c r="DB41" s="298">
        <f>'[2]Foundation Grant'!$E$2</f>
        <v>3373694</v>
      </c>
      <c r="DC41" s="298">
        <f>'[2]Foundation Grant'!$G$1</f>
        <v>1124565</v>
      </c>
      <c r="DD41" s="298">
        <f>'[2]Foundation Grant'!$H$1</f>
        <v>843423</v>
      </c>
      <c r="DE41" s="298">
        <f>'[2]Foundation Grant'!$I$1</f>
        <v>562282</v>
      </c>
      <c r="DF41" s="298">
        <f>'[2]Foundation Grant'!$J$1</f>
        <v>281141</v>
      </c>
      <c r="DG41" s="298">
        <f>'[2]Foundation Grant'!$K$1</f>
        <v>140571</v>
      </c>
      <c r="DH41" s="298">
        <f>'[2]Foundation Grant'!$O$1</f>
        <v>562282</v>
      </c>
      <c r="DI41" s="298">
        <f>'[2]Foundation Grant'!$P$1</f>
        <v>1124565</v>
      </c>
      <c r="DJ41" s="297">
        <f>'[2]basic allocation'!$C$10</f>
        <v>18749</v>
      </c>
      <c r="DK41" s="297">
        <f>'[2]basic allocation'!$D$10</f>
        <v>9375</v>
      </c>
      <c r="DL41" s="297">
        <f>'[2]basic allocation'!$E$10</f>
        <v>9375</v>
      </c>
      <c r="DM41" s="297">
        <f>'[2]basic allocation'!$I$10</f>
        <v>938</v>
      </c>
      <c r="DN41" s="297">
        <f>'[2]basic allocation'!$J$10</f>
        <v>703</v>
      </c>
      <c r="DO41" s="297">
        <f>'[2]basic allocation'!$K$10</f>
        <v>469</v>
      </c>
      <c r="DP41" s="297">
        <f>'[2]basic allocation'!$L$10</f>
        <v>234</v>
      </c>
      <c r="DQ41" s="297">
        <f>'[2]basic allocation'!$M$10</f>
        <v>100</v>
      </c>
      <c r="DR41" s="296">
        <f>'[2]FTES Adjustment'!DQ48</f>
        <v>-7.3000002885237336E-5</v>
      </c>
      <c r="DS41" s="296">
        <f>'[2]FTES Adjustment'!DR48</f>
        <v>0</v>
      </c>
      <c r="DT41" s="296">
        <f>'[2]FTES Adjustment'!DS48</f>
        <v>0</v>
      </c>
      <c r="DU41" s="277">
        <f t="shared" si="45"/>
        <v>0</v>
      </c>
      <c r="DV41" s="276">
        <f t="shared" si="46"/>
        <v>537.02011700000003</v>
      </c>
      <c r="DW41" s="276">
        <f t="shared" si="47"/>
        <v>-4.4200000000000159</v>
      </c>
      <c r="DX41" s="276">
        <f t="shared" si="48"/>
        <v>-14.519999999999982</v>
      </c>
      <c r="DY41" s="276">
        <f t="shared" si="49"/>
        <v>518.08000000000004</v>
      </c>
      <c r="DZ41" s="295">
        <f>ROUND([2]FTES!$D48,3)</f>
        <v>17940.3</v>
      </c>
      <c r="EA41" s="295">
        <f>ROUND([2]FTES!$M48,3)</f>
        <v>331.44</v>
      </c>
      <c r="EB41" s="295">
        <f>ROUND([2]FTES!$V48,3)</f>
        <v>530.63</v>
      </c>
      <c r="EC41" s="276">
        <f t="shared" si="50"/>
        <v>18802.37</v>
      </c>
      <c r="ED41" s="133">
        <v>0</v>
      </c>
      <c r="EE41" s="294">
        <f>'[2]10-11 WkLd126M'!$E46</f>
        <v>2143903</v>
      </c>
      <c r="EF41" s="295">
        <f>'[2]FTES Adjustment'!CG48</f>
        <v>537.02011700000003</v>
      </c>
      <c r="EG41" s="295">
        <f>'[2]FTES Adjustment'!CH48</f>
        <v>-4.4200000000000159</v>
      </c>
      <c r="EH41" s="295">
        <f>'[2]FTES Adjustment'!CI48</f>
        <v>-14.519999999999982</v>
      </c>
      <c r="EI41" s="276">
        <f t="shared" si="51"/>
        <v>518.08011699999997</v>
      </c>
      <c r="EJ41" s="294">
        <f>'[2]PBF Run'!$AT48</f>
        <v>0</v>
      </c>
      <c r="EK41" s="294">
        <f>'[2]11-12 Workload Reduction'!H48</f>
        <v>89052081</v>
      </c>
      <c r="EL41" s="294">
        <f>'[2]13-14 $86M Workload Restore'!AI46</f>
        <v>1261591</v>
      </c>
      <c r="EM41" s="294">
        <f>'[2]13-14 $86M Workload Restore'!AC46</f>
        <v>0</v>
      </c>
      <c r="EN41" s="294">
        <f>'[2]13-14 deferrals, growth, EPA 1'!BJ48</f>
        <v>13384935</v>
      </c>
      <c r="EO41" s="293">
        <f t="shared" si="52"/>
        <v>94411392</v>
      </c>
      <c r="EP41" s="292">
        <v>0</v>
      </c>
      <c r="EQ41" s="292">
        <v>0</v>
      </c>
      <c r="ER41" s="292">
        <v>0</v>
      </c>
      <c r="ES41" s="16">
        <f t="shared" si="53"/>
        <v>0</v>
      </c>
    </row>
    <row r="42" spans="1:149">
      <c r="A42" s="291" t="s">
        <v>257</v>
      </c>
      <c r="B42" s="290" t="str">
        <f t="shared" si="54"/>
        <v>P2</v>
      </c>
      <c r="C42" s="285" t="s">
        <v>321</v>
      </c>
      <c r="D42" s="289" t="s">
        <v>320</v>
      </c>
      <c r="E42" s="288">
        <f>ROUND('[2]PBF Run'!N49,6)</f>
        <v>4636.4928540000001</v>
      </c>
      <c r="F42" s="285">
        <f t="shared" si="55"/>
        <v>4675.9030433300004</v>
      </c>
      <c r="G42" s="285">
        <f t="shared" si="56"/>
        <v>2788.0536374600001</v>
      </c>
      <c r="H42" s="285">
        <f t="shared" si="57"/>
        <v>2811.7520933800001</v>
      </c>
      <c r="I42" s="285">
        <f t="shared" si="58"/>
        <v>3282.8110613200001</v>
      </c>
      <c r="J42" s="285">
        <f t="shared" si="59"/>
        <v>3310.71495534</v>
      </c>
      <c r="K42" s="308">
        <f>ROUND([2]FTES!C49,3)</f>
        <v>20071.8</v>
      </c>
      <c r="L42" s="308">
        <f>ROUND([2]FTES!F49,3)</f>
        <v>0</v>
      </c>
      <c r="M42" s="308">
        <f>ROUND('[2]Growth Deficit'!AG49,3)</f>
        <v>0</v>
      </c>
      <c r="N42" s="308">
        <f>ROUND([2]FTES!I49,3)</f>
        <v>0</v>
      </c>
      <c r="O42" s="308">
        <f>ROUND([2]FTES!E49,3)</f>
        <v>21676.84</v>
      </c>
      <c r="P42" s="308">
        <f>ROUND([2]FTES!L49,3)</f>
        <v>471.36</v>
      </c>
      <c r="Q42" s="308">
        <f>ROUND([2]FTES!O49,3)</f>
        <v>0</v>
      </c>
      <c r="R42" s="308">
        <f>ROUND('[2]Growth Deficit'!$AH49,3)</f>
        <v>0</v>
      </c>
      <c r="S42" s="308">
        <f>ROUND([2]FTES!R49,3)</f>
        <v>0</v>
      </c>
      <c r="T42" s="308">
        <f>ROUND([2]FTES!N49,3)</f>
        <v>666.73</v>
      </c>
      <c r="U42" s="308">
        <f>ROUND([2]FTES!U49,3)</f>
        <v>583.62</v>
      </c>
      <c r="V42" s="308">
        <f>ROUND([2]FTES!X49,3)</f>
        <v>0</v>
      </c>
      <c r="W42" s="308">
        <f>ROUND('[2]Growth Deficit'!$AI49,3)</f>
        <v>0</v>
      </c>
      <c r="X42" s="308">
        <f>ROUND([2]FTES!AA49,3)</f>
        <v>0</v>
      </c>
      <c r="Y42" s="308">
        <f>ROUND([2]FTES!W49,3)</f>
        <v>313.43</v>
      </c>
      <c r="Z42" s="307">
        <f>'[2]FTES Adjustment'!CW49</f>
        <v>21443.851488</v>
      </c>
      <c r="AA42" s="307">
        <f>'[2]FTES Adjustment'!CX49</f>
        <v>666.73</v>
      </c>
      <c r="AB42" s="307">
        <f>'[2]FTES Adjustment'!CY49</f>
        <v>313.43</v>
      </c>
      <c r="AC42" s="275">
        <f t="shared" si="31"/>
        <v>21126.78</v>
      </c>
      <c r="AD42" s="275">
        <f t="shared" si="32"/>
        <v>0</v>
      </c>
      <c r="AE42" s="275">
        <f t="shared" si="33"/>
        <v>0</v>
      </c>
      <c r="AF42" s="275">
        <f t="shared" si="34"/>
        <v>0</v>
      </c>
      <c r="AG42" s="275">
        <f t="shared" si="35"/>
        <v>22657</v>
      </c>
      <c r="AH42" s="275">
        <f t="shared" si="36"/>
        <v>22424.010999999999</v>
      </c>
      <c r="AI42" s="302">
        <f>'[2]PBF Run'!F49</f>
        <v>6747388</v>
      </c>
      <c r="AJ42" s="302">
        <f>'[2]PBF Run'!H49+'[2]PBF Run'!I49+'[2]PBF Run'!J49+'[2]PBF Run'!L49</f>
        <v>96292848</v>
      </c>
      <c r="AK42" s="306">
        <f>'[2]PBF Run'!J49 + '[2]PBF Run'!$L49</f>
        <v>93062757</v>
      </c>
      <c r="AL42" s="302">
        <f>'[2]PBF Run'!H49</f>
        <v>1314177</v>
      </c>
      <c r="AM42" s="302">
        <f>'[2]PBF Run'!I49</f>
        <v>1915914</v>
      </c>
      <c r="AN42" s="305">
        <f>'[2]Restoration and Growth'!BM49</f>
        <v>0</v>
      </c>
      <c r="AO42" s="278">
        <f t="shared" si="37"/>
        <v>103040236</v>
      </c>
      <c r="AP42" s="285" t="str">
        <f t="shared" si="60"/>
        <v>0.85%</v>
      </c>
      <c r="AQ42" s="302">
        <f>'[2]PBF Run'!O49</f>
        <v>875842</v>
      </c>
      <c r="AR42" s="278">
        <f t="shared" si="38"/>
        <v>103916078</v>
      </c>
      <c r="AS42" s="302">
        <f>'[2]PBF Run'!$AD49</f>
        <v>0</v>
      </c>
      <c r="AT42" s="302">
        <f>'[2]PBF Run'!$T49</f>
        <v>0</v>
      </c>
      <c r="AU42" s="278">
        <f t="shared" si="39"/>
        <v>930839</v>
      </c>
      <c r="AV42" s="304">
        <f>'[2]Restoration and Growth'!BT49</f>
        <v>0</v>
      </c>
      <c r="AW42" s="304" t="str">
        <f>'[2]Restoration and Growth'!AP49</f>
        <v>Y</v>
      </c>
      <c r="AX42" s="302">
        <f>'[2]Restoration and Growth'!CV49</f>
        <v>0</v>
      </c>
      <c r="AY42" s="302">
        <f>'[2]Growth Deficit'!$AO49</f>
        <v>0</v>
      </c>
      <c r="AZ42" s="302">
        <f>'[2]Growth Deficit'!AO49</f>
        <v>0</v>
      </c>
      <c r="BA42" s="302">
        <f>'[2]Growth Deficit'!AL49</f>
        <v>0</v>
      </c>
      <c r="BB42" s="302">
        <f>'[2]Growth Deficit'!AM49</f>
        <v>0</v>
      </c>
      <c r="BC42" s="302">
        <f>'[2]Growth Deficit'!AN49</f>
        <v>0</v>
      </c>
      <c r="BD42" s="302">
        <f>'[2]Growth Deficit'!AO49</f>
        <v>0</v>
      </c>
      <c r="BE42" s="302">
        <f>'[2]PBF Run'!AA49</f>
        <v>0</v>
      </c>
      <c r="BF42" s="302">
        <f>'[2]PBF Run'!AB49</f>
        <v>0</v>
      </c>
      <c r="BG42" s="302">
        <f>'[2]PBF Run'!AC49</f>
        <v>0</v>
      </c>
      <c r="BH42" s="302">
        <f>'[2]PBF Run'!AD49</f>
        <v>0</v>
      </c>
      <c r="BI42" s="278">
        <f t="shared" si="40"/>
        <v>0</v>
      </c>
      <c r="BJ42" s="302">
        <f>'[2]PBF Run'!X49</f>
        <v>0</v>
      </c>
      <c r="BK42" s="302">
        <f>'[2]PBF Run'!AE49</f>
        <v>109986468</v>
      </c>
      <c r="BL42" s="282">
        <f t="shared" si="41"/>
        <v>0.98518541390018999</v>
      </c>
      <c r="BM42" s="302">
        <f>'[2]PBF Run'!AM49</f>
        <v>1629404</v>
      </c>
      <c r="BN42" s="302">
        <f>'[2]PBF Run'!$AN49</f>
        <v>59018256</v>
      </c>
      <c r="BO42" s="302">
        <f>'[2]PBF Run'!$AO49</f>
        <v>0</v>
      </c>
      <c r="BP42" s="302">
        <f>'[2]PBF Run'!AC49</f>
        <v>0</v>
      </c>
      <c r="BQ42" s="278">
        <f t="shared" si="42"/>
        <v>59018256</v>
      </c>
      <c r="BR42" s="302">
        <f>'[2]PBF Run'!AJ49</f>
        <v>24071519</v>
      </c>
      <c r="BS42" s="302">
        <f>'[2]PBF Run'!AI49</f>
        <v>8671715</v>
      </c>
      <c r="BT42" s="302">
        <f>'[2]PBF Run'!$AN49</f>
        <v>59018256</v>
      </c>
      <c r="BU42" s="302">
        <f>'[2]PBF Run'!$AN49</f>
        <v>59018256</v>
      </c>
      <c r="BV42" s="302">
        <f>'[2]PBF Run'!BI49</f>
        <v>0</v>
      </c>
      <c r="BW42" s="303">
        <f>'[2]PBF Run'!BH49</f>
        <v>0</v>
      </c>
      <c r="BX42" s="278">
        <f t="shared" si="61"/>
        <v>69532</v>
      </c>
      <c r="BY42" s="278">
        <f t="shared" si="43"/>
        <v>59018256</v>
      </c>
      <c r="BZ42" s="302">
        <f>'[2]As of 13-14 R1'!BP49</f>
        <v>0</v>
      </c>
      <c r="CA42" s="302">
        <f>'[2]As of 13-14 R1'!BQ49</f>
        <v>0</v>
      </c>
      <c r="CB42" s="302">
        <f>'[2]As of 13-14 R1'!BR49</f>
        <v>0</v>
      </c>
      <c r="CC42" s="278">
        <f t="shared" si="44"/>
        <v>0</v>
      </c>
      <c r="CD42" s="301">
        <f>'[2]Growth Deficit'!$D$2</f>
        <v>0</v>
      </c>
      <c r="CE42" s="300">
        <f>IF($CS42="S",'[2]Foundation Grant'!C49,0)</f>
        <v>1</v>
      </c>
      <c r="CF42" s="300">
        <f>IF($CS42="S",'[2]Foundation Grant'!D49,0)</f>
        <v>0</v>
      </c>
      <c r="CG42" s="300">
        <f>IF($CS42="S",'[2]Foundation Grant'!E49,0)</f>
        <v>0</v>
      </c>
      <c r="CH42" s="300">
        <f>IF($CS42="S",'[2]Foundation Grant'!F49,0)</f>
        <v>1</v>
      </c>
      <c r="CI42" s="300">
        <f>IF($CS42="M",'[2]Foundation Grant'!C49,0)</f>
        <v>0</v>
      </c>
      <c r="CJ42" s="300">
        <f>IF($CS42="M",'[2]Foundation Grant'!D49,0)</f>
        <v>0</v>
      </c>
      <c r="CK42" s="300">
        <f>IF($CS42="M",'[2]Foundation Grant'!E49,0)</f>
        <v>0</v>
      </c>
      <c r="CL42" s="300">
        <f>IF($CS42="M",'[2]Foundation Grant'!F49,0)</f>
        <v>0</v>
      </c>
      <c r="CM42" s="300">
        <f>'[2]Foundation Grant'!G49</f>
        <v>1</v>
      </c>
      <c r="CN42" s="300">
        <f>'[2]Foundation Grant'!H49</f>
        <v>0</v>
      </c>
      <c r="CO42" s="300">
        <f>'[2]Foundation Grant'!I49</f>
        <v>0</v>
      </c>
      <c r="CP42" s="300">
        <f>'[2]Foundation Grant'!J49</f>
        <v>0</v>
      </c>
      <c r="CQ42" s="300">
        <f>'[2]Foundation Grant'!K49</f>
        <v>0</v>
      </c>
      <c r="CR42" s="299">
        <f>'[2]Foundation Grant'!L49</f>
        <v>1</v>
      </c>
      <c r="CS42" s="300" t="str">
        <f>'[2]Foundation Grant'!M49</f>
        <v>S</v>
      </c>
      <c r="CT42" s="300">
        <f>'[2]Foundation Grant'!N49</f>
        <v>6747388</v>
      </c>
      <c r="CU42" s="299">
        <f>'[2]Foundation Grant'!O49</f>
        <v>0</v>
      </c>
      <c r="CV42" s="299">
        <f>'[2]Foundation Grant'!P49</f>
        <v>0</v>
      </c>
      <c r="CW42" s="298">
        <f>'[2]Foundation Grant'!$C$1</f>
        <v>5622823</v>
      </c>
      <c r="CX42" s="298">
        <f>'[2]Foundation Grant'!$D$1</f>
        <v>4498258</v>
      </c>
      <c r="CY42" s="298">
        <f>'[2]Foundation Grant'!$E$1</f>
        <v>3373694</v>
      </c>
      <c r="CZ42" s="298">
        <f>'[2]Foundation Grant'!$C$2</f>
        <v>4498258</v>
      </c>
      <c r="DA42" s="298">
        <f>'[2]Foundation Grant'!$D$2</f>
        <v>3935976</v>
      </c>
      <c r="DB42" s="298">
        <f>'[2]Foundation Grant'!$E$2</f>
        <v>3373694</v>
      </c>
      <c r="DC42" s="298">
        <f>'[2]Foundation Grant'!$G$1</f>
        <v>1124565</v>
      </c>
      <c r="DD42" s="298">
        <f>'[2]Foundation Grant'!$H$1</f>
        <v>843423</v>
      </c>
      <c r="DE42" s="298">
        <f>'[2]Foundation Grant'!$I$1</f>
        <v>562282</v>
      </c>
      <c r="DF42" s="298">
        <f>'[2]Foundation Grant'!$J$1</f>
        <v>281141</v>
      </c>
      <c r="DG42" s="298">
        <f>'[2]Foundation Grant'!$K$1</f>
        <v>140571</v>
      </c>
      <c r="DH42" s="298">
        <f>'[2]Foundation Grant'!$O$1</f>
        <v>562282</v>
      </c>
      <c r="DI42" s="298">
        <f>'[2]Foundation Grant'!$P$1</f>
        <v>1124565</v>
      </c>
      <c r="DJ42" s="297">
        <f>'[2]basic allocation'!$C$10</f>
        <v>18749</v>
      </c>
      <c r="DK42" s="297">
        <f>'[2]basic allocation'!$D$10</f>
        <v>9375</v>
      </c>
      <c r="DL42" s="297">
        <f>'[2]basic allocation'!$E$10</f>
        <v>9375</v>
      </c>
      <c r="DM42" s="297">
        <f>'[2]basic allocation'!$I$10</f>
        <v>938</v>
      </c>
      <c r="DN42" s="297">
        <f>'[2]basic allocation'!$J$10</f>
        <v>703</v>
      </c>
      <c r="DO42" s="297">
        <f>'[2]basic allocation'!$K$10</f>
        <v>469</v>
      </c>
      <c r="DP42" s="297">
        <f>'[2]basic allocation'!$L$10</f>
        <v>234</v>
      </c>
      <c r="DQ42" s="297">
        <f>'[2]basic allocation'!$M$10</f>
        <v>100</v>
      </c>
      <c r="DR42" s="296">
        <f>'[2]FTES Adjustment'!DQ49</f>
        <v>232.9885119999999</v>
      </c>
      <c r="DS42" s="296">
        <f>'[2]FTES Adjustment'!DR49</f>
        <v>0</v>
      </c>
      <c r="DT42" s="296">
        <f>'[2]FTES Adjustment'!DS49</f>
        <v>0</v>
      </c>
      <c r="DU42" s="277">
        <f t="shared" si="45"/>
        <v>232.989</v>
      </c>
      <c r="DV42" s="276">
        <f t="shared" si="46"/>
        <v>1372.0515459999999</v>
      </c>
      <c r="DW42" s="276">
        <f t="shared" si="47"/>
        <v>195.37</v>
      </c>
      <c r="DX42" s="276">
        <f t="shared" si="48"/>
        <v>-270.18999999999988</v>
      </c>
      <c r="DY42" s="276">
        <f t="shared" si="49"/>
        <v>1297.232</v>
      </c>
      <c r="DZ42" s="295">
        <f>ROUND([2]FTES!$D49,3)</f>
        <v>20071.8</v>
      </c>
      <c r="EA42" s="295">
        <f>ROUND([2]FTES!$M49,3)</f>
        <v>471.36</v>
      </c>
      <c r="EB42" s="295">
        <f>ROUND([2]FTES!$V49,3)</f>
        <v>583.62</v>
      </c>
      <c r="EC42" s="276">
        <f t="shared" si="50"/>
        <v>21126.78</v>
      </c>
      <c r="ED42" s="133">
        <v>0</v>
      </c>
      <c r="EE42" s="294">
        <f>'[2]10-11 WkLd126M'!$E47</f>
        <v>2393002</v>
      </c>
      <c r="EF42" s="295">
        <f>'[2]FTES Adjustment'!CG49</f>
        <v>1372.0515459999999</v>
      </c>
      <c r="EG42" s="295">
        <f>'[2]FTES Adjustment'!CH49</f>
        <v>195.37</v>
      </c>
      <c r="EH42" s="295">
        <f>'[2]FTES Adjustment'!CI49</f>
        <v>-270.18999999999988</v>
      </c>
      <c r="EI42" s="276">
        <f t="shared" si="51"/>
        <v>1297.2315460000002</v>
      </c>
      <c r="EJ42" s="294">
        <f>'[2]PBF Run'!$AT49</f>
        <v>0</v>
      </c>
      <c r="EK42" s="294">
        <f>'[2]11-12 Workload Reduction'!H49</f>
        <v>100170911</v>
      </c>
      <c r="EL42" s="294">
        <f>'[2]13-14 $86M Workload Restore'!AI47</f>
        <v>930839</v>
      </c>
      <c r="EM42" s="294">
        <f>'[2]13-14 $86M Workload Restore'!AC47</f>
        <v>0</v>
      </c>
      <c r="EN42" s="294">
        <f>'[2]13-14 deferrals, growth, EPA 1'!BJ49</f>
        <v>15287236</v>
      </c>
      <c r="EO42" s="293">
        <f t="shared" si="52"/>
        <v>108357064</v>
      </c>
      <c r="EP42" s="292">
        <v>0</v>
      </c>
      <c r="EQ42" s="292">
        <v>0</v>
      </c>
      <c r="ER42" s="292">
        <v>0</v>
      </c>
      <c r="ES42" s="16">
        <f t="shared" si="53"/>
        <v>0</v>
      </c>
    </row>
    <row r="43" spans="1:149">
      <c r="A43" s="291" t="s">
        <v>257</v>
      </c>
      <c r="B43" s="290" t="str">
        <f t="shared" si="54"/>
        <v>P2</v>
      </c>
      <c r="C43" s="285" t="s">
        <v>319</v>
      </c>
      <c r="D43" s="289" t="s">
        <v>318</v>
      </c>
      <c r="E43" s="288">
        <f>ROUND('[2]PBF Run'!N50,6)</f>
        <v>4636.49287</v>
      </c>
      <c r="F43" s="285">
        <f t="shared" si="55"/>
        <v>4675.9030433300004</v>
      </c>
      <c r="G43" s="285">
        <f t="shared" si="56"/>
        <v>2788.0536374600001</v>
      </c>
      <c r="H43" s="285">
        <f t="shared" si="57"/>
        <v>2811.7520933800001</v>
      </c>
      <c r="I43" s="285">
        <f t="shared" si="58"/>
        <v>3282.8110613200001</v>
      </c>
      <c r="J43" s="285">
        <f t="shared" si="59"/>
        <v>3310.71495534</v>
      </c>
      <c r="K43" s="308">
        <f>ROUND([2]FTES!C50,3)</f>
        <v>18601.13</v>
      </c>
      <c r="L43" s="308">
        <f>ROUND([2]FTES!F50,3)</f>
        <v>0</v>
      </c>
      <c r="M43" s="308">
        <f>ROUND('[2]Growth Deficit'!AG50,3)</f>
        <v>0</v>
      </c>
      <c r="N43" s="308">
        <f>ROUND([2]FTES!I50,3)</f>
        <v>0</v>
      </c>
      <c r="O43" s="308">
        <f>ROUND([2]FTES!E50,3)</f>
        <v>19316.759999999998</v>
      </c>
      <c r="P43" s="308">
        <f>ROUND([2]FTES!L50,3)</f>
        <v>40.92</v>
      </c>
      <c r="Q43" s="308">
        <f>ROUND([2]FTES!O50,3)</f>
        <v>0</v>
      </c>
      <c r="R43" s="308">
        <f>ROUND('[2]Growth Deficit'!$AH50,3)</f>
        <v>0</v>
      </c>
      <c r="S43" s="308">
        <f>ROUND([2]FTES!R50,3)</f>
        <v>0</v>
      </c>
      <c r="T43" s="308">
        <f>ROUND([2]FTES!N50,3)</f>
        <v>38.590000000000003</v>
      </c>
      <c r="U43" s="308">
        <f>ROUND([2]FTES!U50,3)</f>
        <v>0</v>
      </c>
      <c r="V43" s="308">
        <f>ROUND([2]FTES!X50,3)</f>
        <v>0</v>
      </c>
      <c r="W43" s="308">
        <f>ROUND('[2]Growth Deficit'!$AI50,3)</f>
        <v>0</v>
      </c>
      <c r="X43" s="308">
        <f>ROUND([2]FTES!AA50,3)</f>
        <v>0</v>
      </c>
      <c r="Y43" s="308">
        <f>ROUND([2]FTES!W50,3)</f>
        <v>0</v>
      </c>
      <c r="Z43" s="307">
        <f>'[2]FTES Adjustment'!CW50</f>
        <v>19316.759977000002</v>
      </c>
      <c r="AA43" s="307">
        <f>'[2]FTES Adjustment'!CX50</f>
        <v>38.590000000000003</v>
      </c>
      <c r="AB43" s="307">
        <f>'[2]FTES Adjustment'!CY50</f>
        <v>0</v>
      </c>
      <c r="AC43" s="275">
        <f t="shared" si="31"/>
        <v>18642.05</v>
      </c>
      <c r="AD43" s="275">
        <f t="shared" si="32"/>
        <v>0</v>
      </c>
      <c r="AE43" s="275">
        <f t="shared" si="33"/>
        <v>0</v>
      </c>
      <c r="AF43" s="275">
        <f t="shared" si="34"/>
        <v>0</v>
      </c>
      <c r="AG43" s="275">
        <f t="shared" si="35"/>
        <v>19355.349999999999</v>
      </c>
      <c r="AH43" s="275">
        <f t="shared" si="36"/>
        <v>19355.349999999999</v>
      </c>
      <c r="AI43" s="302">
        <f>'[2]PBF Run'!F50</f>
        <v>13494776</v>
      </c>
      <c r="AJ43" s="302">
        <f>'[2]PBF Run'!H50+'[2]PBF Run'!I50+'[2]PBF Run'!J50+'[2]PBF Run'!L50</f>
        <v>86358094</v>
      </c>
      <c r="AK43" s="306">
        <f>'[2]PBF Run'!J50 + '[2]PBF Run'!$L50</f>
        <v>86244007</v>
      </c>
      <c r="AL43" s="302">
        <f>'[2]PBF Run'!H50</f>
        <v>114087</v>
      </c>
      <c r="AM43" s="302">
        <f>'[2]PBF Run'!I50</f>
        <v>0</v>
      </c>
      <c r="AN43" s="305">
        <f>'[2]Restoration and Growth'!BM50</f>
        <v>0</v>
      </c>
      <c r="AO43" s="278">
        <f t="shared" si="37"/>
        <v>99852870</v>
      </c>
      <c r="AP43" s="285" t="str">
        <f t="shared" si="60"/>
        <v>0.85%</v>
      </c>
      <c r="AQ43" s="302">
        <f>'[2]PBF Run'!O50</f>
        <v>848749</v>
      </c>
      <c r="AR43" s="278">
        <f t="shared" si="38"/>
        <v>100701619</v>
      </c>
      <c r="AS43" s="302">
        <f>'[2]PBF Run'!$AD50</f>
        <v>0</v>
      </c>
      <c r="AT43" s="302">
        <f>'[2]PBF Run'!$T50</f>
        <v>0</v>
      </c>
      <c r="AU43" s="278">
        <f t="shared" si="39"/>
        <v>2186788</v>
      </c>
      <c r="AV43" s="304">
        <f>'[2]Restoration and Growth'!BT50</f>
        <v>0</v>
      </c>
      <c r="AW43" s="304" t="str">
        <f>'[2]Restoration and Growth'!AP50</f>
        <v>Y</v>
      </c>
      <c r="AX43" s="302">
        <f>'[2]Restoration and Growth'!CV50</f>
        <v>0</v>
      </c>
      <c r="AY43" s="302">
        <f>'[2]Growth Deficit'!$AO50</f>
        <v>0</v>
      </c>
      <c r="AZ43" s="302">
        <f>'[2]Growth Deficit'!AO50</f>
        <v>0</v>
      </c>
      <c r="BA43" s="302">
        <f>'[2]Growth Deficit'!AL50</f>
        <v>0</v>
      </c>
      <c r="BB43" s="302">
        <f>'[2]Growth Deficit'!AM50</f>
        <v>0</v>
      </c>
      <c r="BC43" s="302">
        <f>'[2]Growth Deficit'!AN50</f>
        <v>0</v>
      </c>
      <c r="BD43" s="302">
        <f>'[2]Growth Deficit'!AO50</f>
        <v>0</v>
      </c>
      <c r="BE43" s="302">
        <f>'[2]PBF Run'!AA50</f>
        <v>0</v>
      </c>
      <c r="BF43" s="302">
        <f>'[2]PBF Run'!AB50</f>
        <v>0</v>
      </c>
      <c r="BG43" s="302">
        <f>'[2]PBF Run'!AC50</f>
        <v>0</v>
      </c>
      <c r="BH43" s="302">
        <f>'[2]PBF Run'!AD50</f>
        <v>0</v>
      </c>
      <c r="BI43" s="278">
        <f t="shared" si="40"/>
        <v>0</v>
      </c>
      <c r="BJ43" s="302">
        <f>'[2]PBF Run'!X50</f>
        <v>0</v>
      </c>
      <c r="BK43" s="302">
        <f>'[2]PBF Run'!AE50</f>
        <v>104041284</v>
      </c>
      <c r="BL43" s="282">
        <f t="shared" si="41"/>
        <v>0.98518541928029257</v>
      </c>
      <c r="BM43" s="302">
        <f>'[2]PBF Run'!AM50</f>
        <v>1541328</v>
      </c>
      <c r="BN43" s="302">
        <f>'[2]PBF Run'!$AN50</f>
        <v>47242730</v>
      </c>
      <c r="BO43" s="302">
        <f>'[2]PBF Run'!$AO50</f>
        <v>0</v>
      </c>
      <c r="BP43" s="302">
        <f>'[2]PBF Run'!AC50</f>
        <v>0</v>
      </c>
      <c r="BQ43" s="278">
        <f t="shared" si="42"/>
        <v>47242730</v>
      </c>
      <c r="BR43" s="302">
        <f>'[2]PBF Run'!AJ50</f>
        <v>33271199</v>
      </c>
      <c r="BS43" s="302">
        <f>'[2]PBF Run'!AI50</f>
        <v>5912285</v>
      </c>
      <c r="BT43" s="302">
        <f>'[2]PBF Run'!$AN50</f>
        <v>47242730</v>
      </c>
      <c r="BU43" s="302">
        <f>'[2]PBF Run'!$AN50</f>
        <v>47242730</v>
      </c>
      <c r="BV43" s="302">
        <f>'[2]PBF Run'!BI50</f>
        <v>0</v>
      </c>
      <c r="BW43" s="303">
        <f>'[2]PBF Run'!BH50</f>
        <v>0</v>
      </c>
      <c r="BX43" s="278">
        <f t="shared" si="61"/>
        <v>69532</v>
      </c>
      <c r="BY43" s="278">
        <f t="shared" si="43"/>
        <v>47242730</v>
      </c>
      <c r="BZ43" s="302">
        <f>'[2]As of 13-14 R1'!BP50</f>
        <v>0</v>
      </c>
      <c r="CA43" s="302">
        <f>'[2]As of 13-14 R1'!BQ50</f>
        <v>0</v>
      </c>
      <c r="CB43" s="302">
        <f>'[2]As of 13-14 R1'!BR50</f>
        <v>0</v>
      </c>
      <c r="CC43" s="278">
        <f t="shared" si="44"/>
        <v>0</v>
      </c>
      <c r="CD43" s="301">
        <f>'[2]Growth Deficit'!$D$2</f>
        <v>0</v>
      </c>
      <c r="CE43" s="300">
        <f>IF($CS43="S",'[2]Foundation Grant'!C50,0)</f>
        <v>0</v>
      </c>
      <c r="CF43" s="300">
        <f>IF($CS43="S",'[2]Foundation Grant'!D50,0)</f>
        <v>0</v>
      </c>
      <c r="CG43" s="300">
        <f>IF($CS43="S",'[2]Foundation Grant'!E50,0)</f>
        <v>0</v>
      </c>
      <c r="CH43" s="300">
        <f>IF($CS43="S",'[2]Foundation Grant'!F50,0)</f>
        <v>0</v>
      </c>
      <c r="CI43" s="300">
        <f>IF($CS43="M",'[2]Foundation Grant'!C50,0)</f>
        <v>0</v>
      </c>
      <c r="CJ43" s="300">
        <f>IF($CS43="M",'[2]Foundation Grant'!D50,0)</f>
        <v>0</v>
      </c>
      <c r="CK43" s="300">
        <f>IF($CS43="M",'[2]Foundation Grant'!E50,0)</f>
        <v>4</v>
      </c>
      <c r="CL43" s="300">
        <f>IF($CS43="M",'[2]Foundation Grant'!F50,0)</f>
        <v>4</v>
      </c>
      <c r="CM43" s="300">
        <f>'[2]Foundation Grant'!G50</f>
        <v>0</v>
      </c>
      <c r="CN43" s="300">
        <f>'[2]Foundation Grant'!H50</f>
        <v>0</v>
      </c>
      <c r="CO43" s="300">
        <f>'[2]Foundation Grant'!I50</f>
        <v>0</v>
      </c>
      <c r="CP43" s="300">
        <f>'[2]Foundation Grant'!J50</f>
        <v>0</v>
      </c>
      <c r="CQ43" s="300">
        <f>'[2]Foundation Grant'!K50</f>
        <v>0</v>
      </c>
      <c r="CR43" s="299">
        <f>'[2]Foundation Grant'!L50</f>
        <v>0</v>
      </c>
      <c r="CS43" s="300" t="str">
        <f>'[2]Foundation Grant'!M50</f>
        <v>M</v>
      </c>
      <c r="CT43" s="300">
        <f>'[2]Foundation Grant'!N50</f>
        <v>13494776</v>
      </c>
      <c r="CU43" s="299">
        <f>'[2]Foundation Grant'!O50</f>
        <v>0</v>
      </c>
      <c r="CV43" s="299">
        <f>'[2]Foundation Grant'!P50</f>
        <v>0</v>
      </c>
      <c r="CW43" s="298">
        <f>'[2]Foundation Grant'!$C$1</f>
        <v>5622823</v>
      </c>
      <c r="CX43" s="298">
        <f>'[2]Foundation Grant'!$D$1</f>
        <v>4498258</v>
      </c>
      <c r="CY43" s="298">
        <f>'[2]Foundation Grant'!$E$1</f>
        <v>3373694</v>
      </c>
      <c r="CZ43" s="298">
        <f>'[2]Foundation Grant'!$C$2</f>
        <v>4498258</v>
      </c>
      <c r="DA43" s="298">
        <f>'[2]Foundation Grant'!$D$2</f>
        <v>3935976</v>
      </c>
      <c r="DB43" s="298">
        <f>'[2]Foundation Grant'!$E$2</f>
        <v>3373694</v>
      </c>
      <c r="DC43" s="298">
        <f>'[2]Foundation Grant'!$G$1</f>
        <v>1124565</v>
      </c>
      <c r="DD43" s="298">
        <f>'[2]Foundation Grant'!$H$1</f>
        <v>843423</v>
      </c>
      <c r="DE43" s="298">
        <f>'[2]Foundation Grant'!$I$1</f>
        <v>562282</v>
      </c>
      <c r="DF43" s="298">
        <f>'[2]Foundation Grant'!$J$1</f>
        <v>281141</v>
      </c>
      <c r="DG43" s="298">
        <f>'[2]Foundation Grant'!$K$1</f>
        <v>140571</v>
      </c>
      <c r="DH43" s="298">
        <f>'[2]Foundation Grant'!$O$1</f>
        <v>562282</v>
      </c>
      <c r="DI43" s="298">
        <f>'[2]Foundation Grant'!$P$1</f>
        <v>1124565</v>
      </c>
      <c r="DJ43" s="297">
        <f>'[2]basic allocation'!$C$10</f>
        <v>18749</v>
      </c>
      <c r="DK43" s="297">
        <f>'[2]basic allocation'!$D$10</f>
        <v>9375</v>
      </c>
      <c r="DL43" s="297">
        <f>'[2]basic allocation'!$E$10</f>
        <v>9375</v>
      </c>
      <c r="DM43" s="297">
        <f>'[2]basic allocation'!$I$10</f>
        <v>938</v>
      </c>
      <c r="DN43" s="297">
        <f>'[2]basic allocation'!$J$10</f>
        <v>703</v>
      </c>
      <c r="DO43" s="297">
        <f>'[2]basic allocation'!$K$10</f>
        <v>469</v>
      </c>
      <c r="DP43" s="297">
        <f>'[2]basic allocation'!$L$10</f>
        <v>234</v>
      </c>
      <c r="DQ43" s="297">
        <f>'[2]basic allocation'!$M$10</f>
        <v>100</v>
      </c>
      <c r="DR43" s="296">
        <f>'[2]FTES Adjustment'!DQ50</f>
        <v>2.2999996872385964E-5</v>
      </c>
      <c r="DS43" s="296">
        <f>'[2]FTES Adjustment'!DR50</f>
        <v>0</v>
      </c>
      <c r="DT43" s="296">
        <f>'[2]FTES Adjustment'!DS50</f>
        <v>0</v>
      </c>
      <c r="DU43" s="277">
        <f t="shared" si="45"/>
        <v>0</v>
      </c>
      <c r="DV43" s="276">
        <f t="shared" si="46"/>
        <v>715.62989400000004</v>
      </c>
      <c r="DW43" s="276">
        <f t="shared" si="47"/>
        <v>-2.3299999999999983</v>
      </c>
      <c r="DX43" s="276">
        <f t="shared" si="48"/>
        <v>0</v>
      </c>
      <c r="DY43" s="276">
        <f t="shared" si="49"/>
        <v>713.3</v>
      </c>
      <c r="DZ43" s="295">
        <f>ROUND([2]FTES!$D50,3)</f>
        <v>18601.13</v>
      </c>
      <c r="EA43" s="295">
        <f>ROUND([2]FTES!$M50,3)</f>
        <v>40.92</v>
      </c>
      <c r="EB43" s="295">
        <f>ROUND([2]FTES!$V50,3)</f>
        <v>0</v>
      </c>
      <c r="EC43" s="276">
        <f t="shared" si="50"/>
        <v>18642.05</v>
      </c>
      <c r="ED43" s="133">
        <v>0</v>
      </c>
      <c r="EE43" s="294">
        <f>'[2]10-11 WkLd126M'!$E48</f>
        <v>2287152</v>
      </c>
      <c r="EF43" s="295">
        <f>'[2]FTES Adjustment'!CG50</f>
        <v>715.62989400000004</v>
      </c>
      <c r="EG43" s="295">
        <f>'[2]FTES Adjustment'!CH50</f>
        <v>-2.3299999999999983</v>
      </c>
      <c r="EH43" s="295">
        <f>'[2]FTES Adjustment'!CI50</f>
        <v>0</v>
      </c>
      <c r="EI43" s="276">
        <f t="shared" si="51"/>
        <v>713.29989399999999</v>
      </c>
      <c r="EJ43" s="294">
        <f>'[2]PBF Run'!$AT50</f>
        <v>0</v>
      </c>
      <c r="EK43" s="294">
        <f>'[2]11-12 Workload Reduction'!H50</f>
        <v>88803081</v>
      </c>
      <c r="EL43" s="294">
        <f>'[2]13-14 $86M Workload Restore'!AI48</f>
        <v>1991048</v>
      </c>
      <c r="EM43" s="294">
        <f>'[2]13-14 $86M Workload Restore'!AC48</f>
        <v>195740</v>
      </c>
      <c r="EN43" s="294">
        <f>'[2]13-14 deferrals, growth, EPA 1'!BJ50</f>
        <v>14425273</v>
      </c>
      <c r="EO43" s="293">
        <f t="shared" si="52"/>
        <v>102499956</v>
      </c>
      <c r="EP43" s="292">
        <v>0</v>
      </c>
      <c r="EQ43" s="292">
        <v>0</v>
      </c>
      <c r="ER43" s="292">
        <v>0</v>
      </c>
      <c r="ES43" s="16">
        <f t="shared" si="53"/>
        <v>0</v>
      </c>
    </row>
    <row r="44" spans="1:149">
      <c r="A44" s="291" t="s">
        <v>257</v>
      </c>
      <c r="B44" s="290" t="str">
        <f t="shared" si="54"/>
        <v>P2</v>
      </c>
      <c r="C44" s="285" t="s">
        <v>317</v>
      </c>
      <c r="D44" s="289" t="s">
        <v>316</v>
      </c>
      <c r="E44" s="288">
        <f>ROUND('[2]PBF Run'!N51,6)</f>
        <v>4636.4928440000003</v>
      </c>
      <c r="F44" s="285">
        <f t="shared" si="55"/>
        <v>4675.9030433300004</v>
      </c>
      <c r="G44" s="285">
        <f t="shared" si="56"/>
        <v>2788.0536374600001</v>
      </c>
      <c r="H44" s="285">
        <f t="shared" si="57"/>
        <v>2811.7520933800001</v>
      </c>
      <c r="I44" s="285">
        <f t="shared" si="58"/>
        <v>3282.8110613200001</v>
      </c>
      <c r="J44" s="285">
        <f t="shared" si="59"/>
        <v>3310.71495534</v>
      </c>
      <c r="K44" s="308">
        <f>ROUND([2]FTES!C51,3)</f>
        <v>22287.8</v>
      </c>
      <c r="L44" s="308">
        <f>ROUND([2]FTES!F51,3)</f>
        <v>0</v>
      </c>
      <c r="M44" s="308">
        <f>ROUND('[2]Growth Deficit'!AG51,3)</f>
        <v>0</v>
      </c>
      <c r="N44" s="308">
        <f>ROUND([2]FTES!I51,3)</f>
        <v>0</v>
      </c>
      <c r="O44" s="308">
        <f>ROUND([2]FTES!E51,3)</f>
        <v>22700.45</v>
      </c>
      <c r="P44" s="308">
        <f>ROUND([2]FTES!L51,3)</f>
        <v>391.29</v>
      </c>
      <c r="Q44" s="308">
        <f>ROUND([2]FTES!O51,3)</f>
        <v>0</v>
      </c>
      <c r="R44" s="308">
        <f>ROUND('[2]Growth Deficit'!$AH51,3)</f>
        <v>0</v>
      </c>
      <c r="S44" s="308">
        <f>ROUND([2]FTES!R51,3)</f>
        <v>0</v>
      </c>
      <c r="T44" s="308">
        <f>ROUND([2]FTES!N51,3)</f>
        <v>718.77</v>
      </c>
      <c r="U44" s="308">
        <f>ROUND([2]FTES!U51,3)</f>
        <v>6009.84</v>
      </c>
      <c r="V44" s="308">
        <f>ROUND([2]FTES!X51,3)</f>
        <v>0</v>
      </c>
      <c r="W44" s="308">
        <f>ROUND('[2]Growth Deficit'!$AI51,3)</f>
        <v>0</v>
      </c>
      <c r="X44" s="308">
        <f>ROUND([2]FTES!AA51,3)</f>
        <v>0</v>
      </c>
      <c r="Y44" s="308">
        <f>ROUND([2]FTES!W51,3)</f>
        <v>5795.41</v>
      </c>
      <c r="Z44" s="307">
        <f>'[2]FTES Adjustment'!CW51</f>
        <v>22700.450086000004</v>
      </c>
      <c r="AA44" s="307">
        <f>'[2]FTES Adjustment'!CX51</f>
        <v>718.77</v>
      </c>
      <c r="AB44" s="307">
        <f>'[2]FTES Adjustment'!CY51</f>
        <v>5795.41</v>
      </c>
      <c r="AC44" s="275">
        <f t="shared" si="31"/>
        <v>28688.93</v>
      </c>
      <c r="AD44" s="275">
        <f t="shared" si="32"/>
        <v>0</v>
      </c>
      <c r="AE44" s="275">
        <f t="shared" si="33"/>
        <v>0</v>
      </c>
      <c r="AF44" s="275">
        <f t="shared" si="34"/>
        <v>0</v>
      </c>
      <c r="AG44" s="275">
        <f t="shared" si="35"/>
        <v>29214.63</v>
      </c>
      <c r="AH44" s="275">
        <f t="shared" si="36"/>
        <v>29214.63</v>
      </c>
      <c r="AI44" s="302">
        <f>'[2]PBF Run'!F51</f>
        <v>10121082</v>
      </c>
      <c r="AJ44" s="302">
        <f>'[2]PBF Run'!H51+'[2]PBF Run'!I51+'[2]PBF Run'!J51+'[2]PBF Run'!L51</f>
        <v>124157332</v>
      </c>
      <c r="AK44" s="306">
        <f>'[2]PBF Run'!J51 + '[2]PBF Run'!$L51</f>
        <v>103337225</v>
      </c>
      <c r="AL44" s="302">
        <f>'[2]PBF Run'!H51</f>
        <v>1090938</v>
      </c>
      <c r="AM44" s="302">
        <f>'[2]PBF Run'!I51</f>
        <v>19729169</v>
      </c>
      <c r="AN44" s="305">
        <f>'[2]Restoration and Growth'!BM51</f>
        <v>0</v>
      </c>
      <c r="AO44" s="278">
        <f t="shared" si="37"/>
        <v>134278414</v>
      </c>
      <c r="AP44" s="285" t="str">
        <f t="shared" si="60"/>
        <v>0.85%</v>
      </c>
      <c r="AQ44" s="302">
        <f>'[2]PBF Run'!O51</f>
        <v>1141367</v>
      </c>
      <c r="AR44" s="278">
        <f t="shared" si="38"/>
        <v>135419781</v>
      </c>
      <c r="AS44" s="302">
        <f>'[2]PBF Run'!$AD51</f>
        <v>0</v>
      </c>
      <c r="AT44" s="302">
        <f>'[2]PBF Run'!$T51</f>
        <v>0</v>
      </c>
      <c r="AU44" s="278">
        <f t="shared" si="39"/>
        <v>2438824</v>
      </c>
      <c r="AV44" s="304">
        <f>'[2]Restoration and Growth'!BT51</f>
        <v>0</v>
      </c>
      <c r="AW44" s="304" t="str">
        <f>'[2]Restoration and Growth'!AP51</f>
        <v>N</v>
      </c>
      <c r="AX44" s="302">
        <f>'[2]Restoration and Growth'!CV51</f>
        <v>0</v>
      </c>
      <c r="AY44" s="302">
        <f>'[2]Growth Deficit'!$AO51</f>
        <v>0</v>
      </c>
      <c r="AZ44" s="302">
        <f>'[2]Growth Deficit'!AO51</f>
        <v>0</v>
      </c>
      <c r="BA44" s="302">
        <f>'[2]Growth Deficit'!AL51</f>
        <v>0</v>
      </c>
      <c r="BB44" s="302">
        <f>'[2]Growth Deficit'!AM51</f>
        <v>0</v>
      </c>
      <c r="BC44" s="302">
        <f>'[2]Growth Deficit'!AN51</f>
        <v>0</v>
      </c>
      <c r="BD44" s="302">
        <f>'[2]Growth Deficit'!AO51</f>
        <v>0</v>
      </c>
      <c r="BE44" s="302">
        <f>'[2]PBF Run'!AA51</f>
        <v>0</v>
      </c>
      <c r="BF44" s="302">
        <f>'[2]PBF Run'!AB51</f>
        <v>0</v>
      </c>
      <c r="BG44" s="302">
        <f>'[2]PBF Run'!AC51</f>
        <v>0</v>
      </c>
      <c r="BH44" s="302">
        <f>'[2]PBF Run'!AD51</f>
        <v>0</v>
      </c>
      <c r="BI44" s="278">
        <f t="shared" si="40"/>
        <v>0</v>
      </c>
      <c r="BJ44" s="302">
        <f>'[2]PBF Run'!X51</f>
        <v>0</v>
      </c>
      <c r="BK44" s="302">
        <f>'[2]PBF Run'!AE51</f>
        <v>137560169</v>
      </c>
      <c r="BL44" s="282">
        <f t="shared" si="41"/>
        <v>0.98518542093387518</v>
      </c>
      <c r="BM44" s="302">
        <f>'[2]PBF Run'!AM51</f>
        <v>2037896</v>
      </c>
      <c r="BN44" s="302">
        <f>'[2]PBF Run'!$AN51</f>
        <v>58443989</v>
      </c>
      <c r="BO44" s="302">
        <f>'[2]PBF Run'!$AO51</f>
        <v>0</v>
      </c>
      <c r="BP44" s="302">
        <f>'[2]PBF Run'!AC51</f>
        <v>0</v>
      </c>
      <c r="BQ44" s="278">
        <f t="shared" si="42"/>
        <v>58443989</v>
      </c>
      <c r="BR44" s="302">
        <f>'[2]PBF Run'!AJ51</f>
        <v>48462598</v>
      </c>
      <c r="BS44" s="302">
        <f>'[2]PBF Run'!AI51</f>
        <v>7274636</v>
      </c>
      <c r="BT44" s="302">
        <f>'[2]PBF Run'!$AN51</f>
        <v>58443989</v>
      </c>
      <c r="BU44" s="302">
        <f>'[2]PBF Run'!$AN51</f>
        <v>58443989</v>
      </c>
      <c r="BV44" s="302">
        <f>'[2]PBF Run'!BI51</f>
        <v>0</v>
      </c>
      <c r="BW44" s="303">
        <f>'[2]PBF Run'!BH51</f>
        <v>0</v>
      </c>
      <c r="BX44" s="278">
        <f t="shared" si="61"/>
        <v>69532</v>
      </c>
      <c r="BY44" s="278">
        <f t="shared" si="43"/>
        <v>58443989</v>
      </c>
      <c r="BZ44" s="302">
        <f>'[2]As of 13-14 R1'!BP51</f>
        <v>0</v>
      </c>
      <c r="CA44" s="302">
        <f>'[2]As of 13-14 R1'!BQ51</f>
        <v>0</v>
      </c>
      <c r="CB44" s="302">
        <f>'[2]As of 13-14 R1'!BR51</f>
        <v>0</v>
      </c>
      <c r="CC44" s="278">
        <f t="shared" si="44"/>
        <v>0</v>
      </c>
      <c r="CD44" s="301">
        <f>'[2]Growth Deficit'!$D$2</f>
        <v>0</v>
      </c>
      <c r="CE44" s="300">
        <f>IF($CS44="S",'[2]Foundation Grant'!C51,0)</f>
        <v>0</v>
      </c>
      <c r="CF44" s="300">
        <f>IF($CS44="S",'[2]Foundation Grant'!D51,0)</f>
        <v>0</v>
      </c>
      <c r="CG44" s="300">
        <f>IF($CS44="S",'[2]Foundation Grant'!E51,0)</f>
        <v>0</v>
      </c>
      <c r="CH44" s="300">
        <f>IF($CS44="S",'[2]Foundation Grant'!F51,0)</f>
        <v>0</v>
      </c>
      <c r="CI44" s="300">
        <f>IF($CS44="M",'[2]Foundation Grant'!C51,0)</f>
        <v>1</v>
      </c>
      <c r="CJ44" s="300">
        <f>IF($CS44="M",'[2]Foundation Grant'!D51,0)</f>
        <v>0</v>
      </c>
      <c r="CK44" s="300">
        <f>IF($CS44="M",'[2]Foundation Grant'!E51,0)</f>
        <v>1</v>
      </c>
      <c r="CL44" s="300">
        <f>IF($CS44="M",'[2]Foundation Grant'!F51,0)</f>
        <v>2</v>
      </c>
      <c r="CM44" s="300">
        <f>'[2]Foundation Grant'!G51</f>
        <v>1</v>
      </c>
      <c r="CN44" s="300">
        <f>'[2]Foundation Grant'!H51</f>
        <v>0</v>
      </c>
      <c r="CO44" s="300">
        <f>'[2]Foundation Grant'!I51</f>
        <v>0</v>
      </c>
      <c r="CP44" s="300">
        <f>'[2]Foundation Grant'!J51</f>
        <v>0</v>
      </c>
      <c r="CQ44" s="300">
        <f>'[2]Foundation Grant'!K51</f>
        <v>0</v>
      </c>
      <c r="CR44" s="299">
        <f>'[2]Foundation Grant'!L51</f>
        <v>1</v>
      </c>
      <c r="CS44" s="300" t="str">
        <f>'[2]Foundation Grant'!M51</f>
        <v>M</v>
      </c>
      <c r="CT44" s="300">
        <f>'[2]Foundation Grant'!N51</f>
        <v>10121082</v>
      </c>
      <c r="CU44" s="299">
        <f>'[2]Foundation Grant'!O51</f>
        <v>0</v>
      </c>
      <c r="CV44" s="299">
        <f>'[2]Foundation Grant'!P51</f>
        <v>1</v>
      </c>
      <c r="CW44" s="298">
        <f>'[2]Foundation Grant'!$C$1</f>
        <v>5622823</v>
      </c>
      <c r="CX44" s="298">
        <f>'[2]Foundation Grant'!$D$1</f>
        <v>4498258</v>
      </c>
      <c r="CY44" s="298">
        <f>'[2]Foundation Grant'!$E$1</f>
        <v>3373694</v>
      </c>
      <c r="CZ44" s="298">
        <f>'[2]Foundation Grant'!$C$2</f>
        <v>4498258</v>
      </c>
      <c r="DA44" s="298">
        <f>'[2]Foundation Grant'!$D$2</f>
        <v>3935976</v>
      </c>
      <c r="DB44" s="298">
        <f>'[2]Foundation Grant'!$E$2</f>
        <v>3373694</v>
      </c>
      <c r="DC44" s="298">
        <f>'[2]Foundation Grant'!$G$1</f>
        <v>1124565</v>
      </c>
      <c r="DD44" s="298">
        <f>'[2]Foundation Grant'!$H$1</f>
        <v>843423</v>
      </c>
      <c r="DE44" s="298">
        <f>'[2]Foundation Grant'!$I$1</f>
        <v>562282</v>
      </c>
      <c r="DF44" s="298">
        <f>'[2]Foundation Grant'!$J$1</f>
        <v>281141</v>
      </c>
      <c r="DG44" s="298">
        <f>'[2]Foundation Grant'!$K$1</f>
        <v>140571</v>
      </c>
      <c r="DH44" s="298">
        <f>'[2]Foundation Grant'!$O$1</f>
        <v>562282</v>
      </c>
      <c r="DI44" s="298">
        <f>'[2]Foundation Grant'!$P$1</f>
        <v>1124565</v>
      </c>
      <c r="DJ44" s="297">
        <f>'[2]basic allocation'!$C$10</f>
        <v>18749</v>
      </c>
      <c r="DK44" s="297">
        <f>'[2]basic allocation'!$D$10</f>
        <v>9375</v>
      </c>
      <c r="DL44" s="297">
        <f>'[2]basic allocation'!$E$10</f>
        <v>9375</v>
      </c>
      <c r="DM44" s="297">
        <f>'[2]basic allocation'!$I$10</f>
        <v>938</v>
      </c>
      <c r="DN44" s="297">
        <f>'[2]basic allocation'!$J$10</f>
        <v>703</v>
      </c>
      <c r="DO44" s="297">
        <f>'[2]basic allocation'!$K$10</f>
        <v>469</v>
      </c>
      <c r="DP44" s="297">
        <f>'[2]basic allocation'!$L$10</f>
        <v>234</v>
      </c>
      <c r="DQ44" s="297">
        <f>'[2]basic allocation'!$M$10</f>
        <v>100</v>
      </c>
      <c r="DR44" s="296">
        <f>'[2]FTES Adjustment'!DQ51</f>
        <v>-8.6000003648223355E-5</v>
      </c>
      <c r="DS44" s="296">
        <f>'[2]FTES Adjustment'!DR51</f>
        <v>0</v>
      </c>
      <c r="DT44" s="296">
        <f>'[2]FTES Adjustment'!DS51</f>
        <v>0</v>
      </c>
      <c r="DU44" s="277">
        <f t="shared" si="45"/>
        <v>0</v>
      </c>
      <c r="DV44" s="276">
        <f t="shared" si="46"/>
        <v>412.65012999999999</v>
      </c>
      <c r="DW44" s="276">
        <f t="shared" si="47"/>
        <v>327.48</v>
      </c>
      <c r="DX44" s="276">
        <f t="shared" si="48"/>
        <v>-214.43000000000029</v>
      </c>
      <c r="DY44" s="276">
        <f t="shared" si="49"/>
        <v>525.70000000000005</v>
      </c>
      <c r="DZ44" s="295">
        <f>ROUND([2]FTES!$D51,3)</f>
        <v>22287.8</v>
      </c>
      <c r="EA44" s="295">
        <f>ROUND([2]FTES!$M51,3)</f>
        <v>391.29</v>
      </c>
      <c r="EB44" s="295">
        <f>ROUND([2]FTES!$V51,3)</f>
        <v>6009.84</v>
      </c>
      <c r="EC44" s="276">
        <f t="shared" si="50"/>
        <v>28688.93</v>
      </c>
      <c r="ED44" s="133">
        <v>0</v>
      </c>
      <c r="EE44" s="294">
        <f>'[2]10-11 WkLd126M'!$E49</f>
        <v>3096655</v>
      </c>
      <c r="EF44" s="295">
        <f>'[2]FTES Adjustment'!CG51</f>
        <v>412.65012999999999</v>
      </c>
      <c r="EG44" s="295">
        <f>'[2]FTES Adjustment'!CH51</f>
        <v>327.48</v>
      </c>
      <c r="EH44" s="295">
        <f>'[2]FTES Adjustment'!CI51</f>
        <v>-214.43000000000029</v>
      </c>
      <c r="EI44" s="276">
        <f t="shared" si="51"/>
        <v>525.70012999999972</v>
      </c>
      <c r="EJ44" s="294">
        <f>'[2]PBF Run'!$AT51</f>
        <v>0</v>
      </c>
      <c r="EK44" s="294">
        <f>'[2]11-12 Workload Reduction'!H51</f>
        <v>128257002</v>
      </c>
      <c r="EL44" s="294">
        <f>'[2]13-14 $86M Workload Restore'!AI49</f>
        <v>2438824</v>
      </c>
      <c r="EM44" s="294">
        <f>'[2]13-14 $86M Workload Restore'!AC49</f>
        <v>0</v>
      </c>
      <c r="EN44" s="294">
        <f>'[2]13-14 deferrals, growth, EPA 1'!BJ51</f>
        <v>20419045</v>
      </c>
      <c r="EO44" s="293">
        <f t="shared" si="52"/>
        <v>135522273</v>
      </c>
      <c r="EP44" s="292">
        <v>0</v>
      </c>
      <c r="EQ44" s="292">
        <v>0</v>
      </c>
      <c r="ER44" s="292">
        <v>0</v>
      </c>
      <c r="ES44" s="16">
        <f t="shared" si="53"/>
        <v>0</v>
      </c>
    </row>
    <row r="45" spans="1:149">
      <c r="A45" s="291" t="s">
        <v>257</v>
      </c>
      <c r="B45" s="290" t="str">
        <f t="shared" si="54"/>
        <v>P2</v>
      </c>
      <c r="C45" s="285" t="s">
        <v>315</v>
      </c>
      <c r="D45" s="289" t="s">
        <v>314</v>
      </c>
      <c r="E45" s="288">
        <f>ROUND('[2]PBF Run'!N52,6)</f>
        <v>4636.4927470000002</v>
      </c>
      <c r="F45" s="285">
        <f t="shared" si="55"/>
        <v>4675.9030433300004</v>
      </c>
      <c r="G45" s="285">
        <f t="shared" si="56"/>
        <v>2788.0536374600001</v>
      </c>
      <c r="H45" s="285">
        <f t="shared" si="57"/>
        <v>2811.7520933800001</v>
      </c>
      <c r="I45" s="285">
        <f t="shared" si="58"/>
        <v>3282.8110613200001</v>
      </c>
      <c r="J45" s="285">
        <f t="shared" si="59"/>
        <v>3310.71495534</v>
      </c>
      <c r="K45" s="308">
        <f>ROUND([2]FTES!C52,3)</f>
        <v>3759.98</v>
      </c>
      <c r="L45" s="308">
        <f>ROUND([2]FTES!F52,3)</f>
        <v>173.14</v>
      </c>
      <c r="M45" s="308">
        <f>ROUND('[2]Growth Deficit'!AG52,3)</f>
        <v>0</v>
      </c>
      <c r="N45" s="308">
        <f>ROUND([2]FTES!I52,3)</f>
        <v>0</v>
      </c>
      <c r="O45" s="308">
        <f>ROUND([2]FTES!E52,3)</f>
        <v>3933.12</v>
      </c>
      <c r="P45" s="308">
        <f>ROUND([2]FTES!L52,3)</f>
        <v>13.85</v>
      </c>
      <c r="Q45" s="308">
        <f>ROUND([2]FTES!O52,3)</f>
        <v>34.549999999999997</v>
      </c>
      <c r="R45" s="308">
        <f>ROUND('[2]Growth Deficit'!$AH52,3)</f>
        <v>0</v>
      </c>
      <c r="S45" s="308">
        <f>ROUND([2]FTES!R52,3)</f>
        <v>0</v>
      </c>
      <c r="T45" s="308">
        <f>ROUND([2]FTES!N52,3)</f>
        <v>48.4</v>
      </c>
      <c r="U45" s="308">
        <f>ROUND([2]FTES!U52,3)</f>
        <v>0</v>
      </c>
      <c r="V45" s="308">
        <f>ROUND([2]FTES!X52,3)</f>
        <v>0</v>
      </c>
      <c r="W45" s="308">
        <f>ROUND('[2]Growth Deficit'!$AI52,3)</f>
        <v>0</v>
      </c>
      <c r="X45" s="308">
        <f>ROUND([2]FTES!AA52,3)</f>
        <v>0</v>
      </c>
      <c r="Y45" s="308">
        <f>ROUND([2]FTES!W52,3)</f>
        <v>0</v>
      </c>
      <c r="Z45" s="307">
        <f>'[2]FTES Adjustment'!CW52</f>
        <v>3933.1199999999994</v>
      </c>
      <c r="AA45" s="307">
        <f>'[2]FTES Adjustment'!CX52</f>
        <v>48.399988</v>
      </c>
      <c r="AB45" s="307">
        <f>'[2]FTES Adjustment'!CY52</f>
        <v>0</v>
      </c>
      <c r="AC45" s="275">
        <f t="shared" si="31"/>
        <v>3773.83</v>
      </c>
      <c r="AD45" s="275">
        <f t="shared" si="32"/>
        <v>207.69</v>
      </c>
      <c r="AE45" s="275">
        <f t="shared" si="33"/>
        <v>0</v>
      </c>
      <c r="AF45" s="275">
        <f t="shared" si="34"/>
        <v>0</v>
      </c>
      <c r="AG45" s="275">
        <f t="shared" si="35"/>
        <v>3981.52</v>
      </c>
      <c r="AH45" s="275">
        <f t="shared" si="36"/>
        <v>3981.52</v>
      </c>
      <c r="AI45" s="302">
        <f>'[2]PBF Run'!F52</f>
        <v>4779399</v>
      </c>
      <c r="AJ45" s="302">
        <f>'[2]PBF Run'!H52+'[2]PBF Run'!I52+'[2]PBF Run'!J52+'[2]PBF Run'!L52</f>
        <v>17471735</v>
      </c>
      <c r="AK45" s="306">
        <f>'[2]PBF Run'!J52 + '[2]PBF Run'!$L52</f>
        <v>17433120</v>
      </c>
      <c r="AL45" s="302">
        <f>'[2]PBF Run'!H52</f>
        <v>38615</v>
      </c>
      <c r="AM45" s="302">
        <f>'[2]PBF Run'!I52</f>
        <v>0</v>
      </c>
      <c r="AN45" s="305">
        <f>'[2]Restoration and Growth'!BM52</f>
        <v>0</v>
      </c>
      <c r="AO45" s="278">
        <f t="shared" si="37"/>
        <v>22251134</v>
      </c>
      <c r="AP45" s="285" t="str">
        <f t="shared" si="60"/>
        <v>0.85%</v>
      </c>
      <c r="AQ45" s="302">
        <f>'[2]PBF Run'!O52</f>
        <v>189135</v>
      </c>
      <c r="AR45" s="278">
        <f t="shared" si="38"/>
        <v>22440269</v>
      </c>
      <c r="AS45" s="302">
        <f>'[2]PBF Run'!$AD52</f>
        <v>0</v>
      </c>
      <c r="AT45" s="302">
        <f>'[2]PBF Run'!$T52</f>
        <v>906732</v>
      </c>
      <c r="AU45" s="278">
        <f t="shared" si="39"/>
        <v>906732</v>
      </c>
      <c r="AV45" s="304">
        <f>'[2]Restoration and Growth'!BT52</f>
        <v>0</v>
      </c>
      <c r="AW45" s="304" t="str">
        <f>'[2]Restoration and Growth'!AP52</f>
        <v>N</v>
      </c>
      <c r="AX45" s="302">
        <f>'[2]Restoration and Growth'!CV52</f>
        <v>0</v>
      </c>
      <c r="AY45" s="302">
        <f>'[2]Growth Deficit'!$AO52</f>
        <v>0</v>
      </c>
      <c r="AZ45" s="302">
        <f>'[2]Growth Deficit'!AO52</f>
        <v>0</v>
      </c>
      <c r="BA45" s="302">
        <f>'[2]Growth Deficit'!AL52</f>
        <v>0</v>
      </c>
      <c r="BB45" s="302">
        <f>'[2]Growth Deficit'!AM52</f>
        <v>0</v>
      </c>
      <c r="BC45" s="302">
        <f>'[2]Growth Deficit'!AN52</f>
        <v>0</v>
      </c>
      <c r="BD45" s="302">
        <f>'[2]Growth Deficit'!AO52</f>
        <v>0</v>
      </c>
      <c r="BE45" s="302">
        <f>'[2]PBF Run'!AA52</f>
        <v>0</v>
      </c>
      <c r="BF45" s="302">
        <f>'[2]PBF Run'!AB52</f>
        <v>0</v>
      </c>
      <c r="BG45" s="302">
        <f>'[2]PBF Run'!AC52</f>
        <v>0</v>
      </c>
      <c r="BH45" s="302">
        <f>'[2]PBF Run'!AD52</f>
        <v>0</v>
      </c>
      <c r="BI45" s="278">
        <f t="shared" si="40"/>
        <v>0</v>
      </c>
      <c r="BJ45" s="302">
        <f>'[2]PBF Run'!X52</f>
        <v>0</v>
      </c>
      <c r="BK45" s="302">
        <f>'[2]PBF Run'!AE52</f>
        <v>23347001</v>
      </c>
      <c r="BL45" s="282">
        <f t="shared" si="41"/>
        <v>0.9851854206028432</v>
      </c>
      <c r="BM45" s="302">
        <f>'[2]PBF Run'!AM52</f>
        <v>345876</v>
      </c>
      <c r="BN45" s="302">
        <f>'[2]PBF Run'!$AN52</f>
        <v>8827103</v>
      </c>
      <c r="BO45" s="302">
        <f>'[2]PBF Run'!$AO52</f>
        <v>0</v>
      </c>
      <c r="BP45" s="302">
        <f>'[2]PBF Run'!AC52</f>
        <v>0</v>
      </c>
      <c r="BQ45" s="278">
        <f t="shared" si="42"/>
        <v>8827103</v>
      </c>
      <c r="BR45" s="302">
        <f>'[2]PBF Run'!AJ52</f>
        <v>9418625</v>
      </c>
      <c r="BS45" s="302">
        <f>'[2]PBF Run'!AI52</f>
        <v>1113501</v>
      </c>
      <c r="BT45" s="302">
        <f>'[2]PBF Run'!$AN52</f>
        <v>8827103</v>
      </c>
      <c r="BU45" s="302">
        <f>'[2]PBF Run'!$AN52</f>
        <v>8827103</v>
      </c>
      <c r="BV45" s="302">
        <f>'[2]PBF Run'!BI52</f>
        <v>0</v>
      </c>
      <c r="BW45" s="303">
        <f>'[2]PBF Run'!BH52</f>
        <v>0</v>
      </c>
      <c r="BX45" s="278">
        <f t="shared" si="61"/>
        <v>69532</v>
      </c>
      <c r="BY45" s="278">
        <f t="shared" si="43"/>
        <v>8827103</v>
      </c>
      <c r="BZ45" s="302">
        <f>'[2]As of 13-14 R1'!BP52</f>
        <v>0</v>
      </c>
      <c r="CA45" s="302">
        <f>'[2]As of 13-14 R1'!BQ52</f>
        <v>1257572</v>
      </c>
      <c r="CB45" s="302">
        <f>'[2]As of 13-14 R1'!BR52</f>
        <v>692660</v>
      </c>
      <c r="CC45" s="278">
        <f t="shared" si="44"/>
        <v>1950232</v>
      </c>
      <c r="CD45" s="301">
        <f>'[2]Growth Deficit'!$D$2</f>
        <v>0</v>
      </c>
      <c r="CE45" s="300">
        <f>IF($CS45="S",'[2]Foundation Grant'!C52,0)</f>
        <v>0</v>
      </c>
      <c r="CF45" s="300">
        <f>IF($CS45="S",'[2]Foundation Grant'!D52,0)</f>
        <v>0</v>
      </c>
      <c r="CG45" s="300">
        <f>IF($CS45="S",'[2]Foundation Grant'!E52,0)</f>
        <v>1</v>
      </c>
      <c r="CH45" s="300">
        <f>IF($CS45="S",'[2]Foundation Grant'!F52,0)</f>
        <v>1</v>
      </c>
      <c r="CI45" s="300">
        <f>IF($CS45="M",'[2]Foundation Grant'!C52,0)</f>
        <v>0</v>
      </c>
      <c r="CJ45" s="300">
        <f>IF($CS45="M",'[2]Foundation Grant'!D52,0)</f>
        <v>0</v>
      </c>
      <c r="CK45" s="300">
        <f>IF($CS45="M",'[2]Foundation Grant'!E52,0)</f>
        <v>0</v>
      </c>
      <c r="CL45" s="300">
        <f>IF($CS45="M",'[2]Foundation Grant'!F52,0)</f>
        <v>0</v>
      </c>
      <c r="CM45" s="300">
        <f>'[2]Foundation Grant'!G52</f>
        <v>0</v>
      </c>
      <c r="CN45" s="300">
        <f>'[2]Foundation Grant'!H52</f>
        <v>0</v>
      </c>
      <c r="CO45" s="300">
        <f>'[2]Foundation Grant'!I52</f>
        <v>1</v>
      </c>
      <c r="CP45" s="300">
        <f>'[2]Foundation Grant'!J52</f>
        <v>1</v>
      </c>
      <c r="CQ45" s="300">
        <f>'[2]Foundation Grant'!K52</f>
        <v>0</v>
      </c>
      <c r="CR45" s="299">
        <f>'[2]Foundation Grant'!L52</f>
        <v>2</v>
      </c>
      <c r="CS45" s="300" t="str">
        <f>'[2]Foundation Grant'!M52</f>
        <v>S</v>
      </c>
      <c r="CT45" s="300">
        <f>'[2]Foundation Grant'!N52</f>
        <v>4779399</v>
      </c>
      <c r="CU45" s="299">
        <f>'[2]Foundation Grant'!O52</f>
        <v>1</v>
      </c>
      <c r="CV45" s="299">
        <f>'[2]Foundation Grant'!P52</f>
        <v>0</v>
      </c>
      <c r="CW45" s="298">
        <f>'[2]Foundation Grant'!$C$1</f>
        <v>5622823</v>
      </c>
      <c r="CX45" s="298">
        <f>'[2]Foundation Grant'!$D$1</f>
        <v>4498258</v>
      </c>
      <c r="CY45" s="298">
        <f>'[2]Foundation Grant'!$E$1</f>
        <v>3373694</v>
      </c>
      <c r="CZ45" s="298">
        <f>'[2]Foundation Grant'!$C$2</f>
        <v>4498258</v>
      </c>
      <c r="DA45" s="298">
        <f>'[2]Foundation Grant'!$D$2</f>
        <v>3935976</v>
      </c>
      <c r="DB45" s="298">
        <f>'[2]Foundation Grant'!$E$2</f>
        <v>3373694</v>
      </c>
      <c r="DC45" s="298">
        <f>'[2]Foundation Grant'!$G$1</f>
        <v>1124565</v>
      </c>
      <c r="DD45" s="298">
        <f>'[2]Foundation Grant'!$H$1</f>
        <v>843423</v>
      </c>
      <c r="DE45" s="298">
        <f>'[2]Foundation Grant'!$I$1</f>
        <v>562282</v>
      </c>
      <c r="DF45" s="298">
        <f>'[2]Foundation Grant'!$J$1</f>
        <v>281141</v>
      </c>
      <c r="DG45" s="298">
        <f>'[2]Foundation Grant'!$K$1</f>
        <v>140571</v>
      </c>
      <c r="DH45" s="298">
        <f>'[2]Foundation Grant'!$O$1</f>
        <v>562282</v>
      </c>
      <c r="DI45" s="298">
        <f>'[2]Foundation Grant'!$P$1</f>
        <v>1124565</v>
      </c>
      <c r="DJ45" s="297">
        <f>'[2]basic allocation'!$C$10</f>
        <v>18749</v>
      </c>
      <c r="DK45" s="297">
        <f>'[2]basic allocation'!$D$10</f>
        <v>9375</v>
      </c>
      <c r="DL45" s="297">
        <f>'[2]basic allocation'!$E$10</f>
        <v>9375</v>
      </c>
      <c r="DM45" s="297">
        <f>'[2]basic allocation'!$I$10</f>
        <v>938</v>
      </c>
      <c r="DN45" s="297">
        <f>'[2]basic allocation'!$J$10</f>
        <v>703</v>
      </c>
      <c r="DO45" s="297">
        <f>'[2]basic allocation'!$K$10</f>
        <v>469</v>
      </c>
      <c r="DP45" s="297">
        <f>'[2]basic allocation'!$L$10</f>
        <v>234</v>
      </c>
      <c r="DQ45" s="297">
        <f>'[2]basic allocation'!$M$10</f>
        <v>100</v>
      </c>
      <c r="DR45" s="296">
        <f>'[2]FTES Adjustment'!DQ52</f>
        <v>0</v>
      </c>
      <c r="DS45" s="296">
        <f>'[2]FTES Adjustment'!DR52</f>
        <v>1.1999999998124622E-5</v>
      </c>
      <c r="DT45" s="296">
        <f>'[2]FTES Adjustment'!DS52</f>
        <v>0</v>
      </c>
      <c r="DU45" s="277">
        <f t="shared" si="45"/>
        <v>0</v>
      </c>
      <c r="DV45" s="276">
        <f t="shared" si="46"/>
        <v>-3.1000000000000001E-5</v>
      </c>
      <c r="DW45" s="276">
        <f t="shared" si="47"/>
        <v>0</v>
      </c>
      <c r="DX45" s="276">
        <f t="shared" si="48"/>
        <v>0</v>
      </c>
      <c r="DY45" s="276">
        <f t="shared" si="49"/>
        <v>0</v>
      </c>
      <c r="DZ45" s="295">
        <f>ROUND([2]FTES!$D52,3)</f>
        <v>3759.98</v>
      </c>
      <c r="EA45" s="295">
        <f>ROUND([2]FTES!$M52,3)</f>
        <v>13.85</v>
      </c>
      <c r="EB45" s="295">
        <f>ROUND([2]FTES!$V52,3)</f>
        <v>0</v>
      </c>
      <c r="EC45" s="276">
        <f t="shared" si="50"/>
        <v>3773.83</v>
      </c>
      <c r="ED45" s="133">
        <v>0</v>
      </c>
      <c r="EE45" s="294">
        <f>'[2]10-11 WkLd126M'!$E50</f>
        <v>638020</v>
      </c>
      <c r="EF45" s="295">
        <f>'[2]FTES Adjustment'!CG52</f>
        <v>-3.1000000000000001E-5</v>
      </c>
      <c r="EG45" s="295">
        <f>'[2]FTES Adjustment'!CH52</f>
        <v>0</v>
      </c>
      <c r="EH45" s="295">
        <f>'[2]FTES Adjustment'!CI52</f>
        <v>0</v>
      </c>
      <c r="EI45" s="276">
        <f t="shared" si="51"/>
        <v>-3.1000000000000001E-5</v>
      </c>
      <c r="EJ45" s="294">
        <f>'[2]PBF Run'!$AT52</f>
        <v>0</v>
      </c>
      <c r="EK45" s="294">
        <f>'[2]11-12 Workload Reduction'!H52</f>
        <v>23773117</v>
      </c>
      <c r="EL45" s="294">
        <f>'[2]13-14 $86M Workload Restore'!AI50</f>
        <v>0</v>
      </c>
      <c r="EM45" s="294">
        <f>'[2]13-14 $86M Workload Restore'!AC50</f>
        <v>0</v>
      </c>
      <c r="EN45" s="294">
        <f>'[2]13-14 deferrals, growth, EPA 1'!BJ52</f>
        <v>3821562</v>
      </c>
      <c r="EO45" s="293">
        <f t="shared" si="52"/>
        <v>23001125</v>
      </c>
      <c r="EP45" s="292">
        <v>0</v>
      </c>
      <c r="EQ45" s="292">
        <v>0</v>
      </c>
      <c r="ER45" s="292">
        <v>0</v>
      </c>
      <c r="ES45" s="16">
        <f t="shared" si="53"/>
        <v>0</v>
      </c>
    </row>
    <row r="46" spans="1:149">
      <c r="A46" s="291" t="s">
        <v>257</v>
      </c>
      <c r="B46" s="290" t="str">
        <f t="shared" si="54"/>
        <v>P2</v>
      </c>
      <c r="C46" s="285" t="s">
        <v>313</v>
      </c>
      <c r="D46" s="289" t="s">
        <v>312</v>
      </c>
      <c r="E46" s="288">
        <f>ROUND('[2]PBF Run'!N53,6)</f>
        <v>4636.4928239999999</v>
      </c>
      <c r="F46" s="285">
        <f t="shared" si="55"/>
        <v>4675.9030433300004</v>
      </c>
      <c r="G46" s="285">
        <f t="shared" si="56"/>
        <v>2788.0536374600001</v>
      </c>
      <c r="H46" s="285">
        <f t="shared" si="57"/>
        <v>2811.7520933800001</v>
      </c>
      <c r="I46" s="285">
        <f t="shared" si="58"/>
        <v>3282.8110613200001</v>
      </c>
      <c r="J46" s="285">
        <f t="shared" si="59"/>
        <v>3310.71495534</v>
      </c>
      <c r="K46" s="308">
        <f>ROUND([2]FTES!C53,3)</f>
        <v>12151.948</v>
      </c>
      <c r="L46" s="308">
        <f>ROUND([2]FTES!F53,3)</f>
        <v>0</v>
      </c>
      <c r="M46" s="308">
        <f>ROUND('[2]Growth Deficit'!AG53,3)</f>
        <v>0</v>
      </c>
      <c r="N46" s="308">
        <f>ROUND([2]FTES!I53,3)</f>
        <v>90.802000000000007</v>
      </c>
      <c r="O46" s="308">
        <f>ROUND([2]FTES!E53,3)</f>
        <v>12242.75</v>
      </c>
      <c r="P46" s="308">
        <f>ROUND([2]FTES!L53,3)</f>
        <v>466.07299999999998</v>
      </c>
      <c r="Q46" s="308">
        <f>ROUND([2]FTES!O53,3)</f>
        <v>0</v>
      </c>
      <c r="R46" s="308">
        <f>ROUND('[2]Growth Deficit'!$AH53,3)</f>
        <v>0</v>
      </c>
      <c r="S46" s="308">
        <f>ROUND([2]FTES!R53,3)</f>
        <v>-257.18299999999999</v>
      </c>
      <c r="T46" s="308">
        <f>ROUND([2]FTES!N53,3)</f>
        <v>208.89</v>
      </c>
      <c r="U46" s="308">
        <f>ROUND([2]FTES!U53,3)</f>
        <v>78.94</v>
      </c>
      <c r="V46" s="308">
        <f>ROUND([2]FTES!X53,3)</f>
        <v>0</v>
      </c>
      <c r="W46" s="308">
        <f>ROUND('[2]Growth Deficit'!$AI53,3)</f>
        <v>0</v>
      </c>
      <c r="X46" s="308">
        <f>ROUND([2]FTES!AA53,3)</f>
        <v>-27.39</v>
      </c>
      <c r="Y46" s="308">
        <f>ROUND([2]FTES!W53,3)</f>
        <v>51.55</v>
      </c>
      <c r="Z46" s="307">
        <f>'[2]FTES Adjustment'!CW53</f>
        <v>12242.749999999998</v>
      </c>
      <c r="AA46" s="307">
        <f>'[2]FTES Adjustment'!CX53</f>
        <v>208.88999950301803</v>
      </c>
      <c r="AB46" s="307">
        <f>'[2]FTES Adjustment'!CY53</f>
        <v>51.55</v>
      </c>
      <c r="AC46" s="275">
        <f t="shared" si="31"/>
        <v>12696.960999999999</v>
      </c>
      <c r="AD46" s="275">
        <f t="shared" si="32"/>
        <v>0</v>
      </c>
      <c r="AE46" s="275">
        <f t="shared" si="33"/>
        <v>0</v>
      </c>
      <c r="AF46" s="275">
        <f t="shared" si="34"/>
        <v>-193.77099999999999</v>
      </c>
      <c r="AG46" s="275">
        <f t="shared" si="35"/>
        <v>12503.19</v>
      </c>
      <c r="AH46" s="275">
        <f t="shared" si="36"/>
        <v>12503.19</v>
      </c>
      <c r="AI46" s="302">
        <f>'[2]PBF Run'!F53</f>
        <v>4498258</v>
      </c>
      <c r="AJ46" s="302">
        <f>'[2]PBF Run'!H53+'[2]PBF Run'!I53+'[2]PBF Run'!J53+'[2]PBF Run'!L53</f>
        <v>57901001</v>
      </c>
      <c r="AK46" s="306">
        <f>'[2]PBF Run'!J53 + '[2]PBF Run'!$L53</f>
        <v>56342420</v>
      </c>
      <c r="AL46" s="302">
        <f>'[2]PBF Run'!H53</f>
        <v>1299436</v>
      </c>
      <c r="AM46" s="302">
        <f>'[2]PBF Run'!I53</f>
        <v>259145</v>
      </c>
      <c r="AN46" s="305">
        <f>'[2]Restoration and Growth'!BM53</f>
        <v>-385952.40456122957</v>
      </c>
      <c r="AO46" s="278">
        <f t="shared" si="37"/>
        <v>62013306.595438771</v>
      </c>
      <c r="AP46" s="285" t="str">
        <f t="shared" si="60"/>
        <v>0.85%</v>
      </c>
      <c r="AQ46" s="302">
        <f>'[2]PBF Run'!O53</f>
        <v>527113</v>
      </c>
      <c r="AR46" s="278">
        <f t="shared" si="38"/>
        <v>62540419.595438771</v>
      </c>
      <c r="AS46" s="302">
        <f>'[2]PBF Run'!$AD53</f>
        <v>0</v>
      </c>
      <c r="AT46" s="302">
        <f>'[2]PBF Run'!$T53</f>
        <v>0</v>
      </c>
      <c r="AU46" s="278">
        <f t="shared" si="39"/>
        <v>1325382</v>
      </c>
      <c r="AV46" s="304">
        <f>'[2]Restoration and Growth'!BT53</f>
        <v>0</v>
      </c>
      <c r="AW46" s="304" t="str">
        <f>'[2]Restoration and Growth'!AP53</f>
        <v>N</v>
      </c>
      <c r="AX46" s="302">
        <f>'[2]Restoration and Growth'!CV53</f>
        <v>0</v>
      </c>
      <c r="AY46" s="302">
        <f>'[2]Growth Deficit'!$AO53</f>
        <v>0</v>
      </c>
      <c r="AZ46" s="302">
        <f>'[2]Growth Deficit'!AO53</f>
        <v>0</v>
      </c>
      <c r="BA46" s="302">
        <f>'[2]Growth Deficit'!AL53</f>
        <v>0</v>
      </c>
      <c r="BB46" s="302">
        <f>'[2]Growth Deficit'!AM53</f>
        <v>0</v>
      </c>
      <c r="BC46" s="302">
        <f>'[2]Growth Deficit'!AN53</f>
        <v>0</v>
      </c>
      <c r="BD46" s="302">
        <f>'[2]Growth Deficit'!AO53</f>
        <v>0</v>
      </c>
      <c r="BE46" s="302">
        <f>'[2]PBF Run'!AA53</f>
        <v>0</v>
      </c>
      <c r="BF46" s="302">
        <f>'[2]PBF Run'!AB53</f>
        <v>0</v>
      </c>
      <c r="BG46" s="302">
        <f>'[2]PBF Run'!AC53</f>
        <v>0</v>
      </c>
      <c r="BH46" s="302">
        <f>'[2]PBF Run'!AD53</f>
        <v>0</v>
      </c>
      <c r="BI46" s="278">
        <f t="shared" si="40"/>
        <v>0</v>
      </c>
      <c r="BJ46" s="302">
        <f>'[2]PBF Run'!X53</f>
        <v>389233</v>
      </c>
      <c r="BK46" s="302">
        <f>'[2]PBF Run'!AE53</f>
        <v>62929653</v>
      </c>
      <c r="BL46" s="282">
        <f t="shared" si="41"/>
        <v>0.98518541012771832</v>
      </c>
      <c r="BM46" s="302">
        <f>'[2]PBF Run'!AM53</f>
        <v>932277</v>
      </c>
      <c r="BN46" s="302">
        <f>'[2]PBF Run'!$AN53</f>
        <v>43038334</v>
      </c>
      <c r="BO46" s="302">
        <f>'[2]PBF Run'!$AO53</f>
        <v>0</v>
      </c>
      <c r="BP46" s="302">
        <f>'[2]PBF Run'!AC53</f>
        <v>0</v>
      </c>
      <c r="BQ46" s="278">
        <f t="shared" si="42"/>
        <v>43038334</v>
      </c>
      <c r="BR46" s="302">
        <f>'[2]PBF Run'!AJ53</f>
        <v>6028713</v>
      </c>
      <c r="BS46" s="302">
        <f>'[2]PBF Run'!AI53</f>
        <v>3136000</v>
      </c>
      <c r="BT46" s="302">
        <f>'[2]PBF Run'!$AN53</f>
        <v>43038334</v>
      </c>
      <c r="BU46" s="302">
        <f>'[2]PBF Run'!$AN53</f>
        <v>43038334</v>
      </c>
      <c r="BV46" s="302">
        <f>'[2]PBF Run'!BI53</f>
        <v>0</v>
      </c>
      <c r="BW46" s="303">
        <f>'[2]PBF Run'!BH53</f>
        <v>0</v>
      </c>
      <c r="BX46" s="278">
        <f t="shared" si="61"/>
        <v>69532</v>
      </c>
      <c r="BY46" s="278">
        <f t="shared" si="43"/>
        <v>43038334</v>
      </c>
      <c r="BZ46" s="302">
        <f>'[2]As of 13-14 R1'!BP53</f>
        <v>0</v>
      </c>
      <c r="CA46" s="302">
        <f>'[2]As of 13-14 R1'!BQ53</f>
        <v>0</v>
      </c>
      <c r="CB46" s="302">
        <f>'[2]As of 13-14 R1'!BR53</f>
        <v>0</v>
      </c>
      <c r="CC46" s="278">
        <f t="shared" si="44"/>
        <v>0</v>
      </c>
      <c r="CD46" s="301">
        <f>'[2]Growth Deficit'!$D$2</f>
        <v>0</v>
      </c>
      <c r="CE46" s="300">
        <f>IF($CS46="S",'[2]Foundation Grant'!C53,0)</f>
        <v>0</v>
      </c>
      <c r="CF46" s="300">
        <f>IF($CS46="S",'[2]Foundation Grant'!D53,0)</f>
        <v>1</v>
      </c>
      <c r="CG46" s="300">
        <f>IF($CS46="S",'[2]Foundation Grant'!E53,0)</f>
        <v>0</v>
      </c>
      <c r="CH46" s="300">
        <f>IF($CS46="S",'[2]Foundation Grant'!F53,0)</f>
        <v>1</v>
      </c>
      <c r="CI46" s="300">
        <f>IF($CS46="M",'[2]Foundation Grant'!C53,0)</f>
        <v>0</v>
      </c>
      <c r="CJ46" s="300">
        <f>IF($CS46="M",'[2]Foundation Grant'!D53,0)</f>
        <v>0</v>
      </c>
      <c r="CK46" s="300">
        <f>IF($CS46="M",'[2]Foundation Grant'!E53,0)</f>
        <v>0</v>
      </c>
      <c r="CL46" s="300">
        <f>IF($CS46="M",'[2]Foundation Grant'!F53,0)</f>
        <v>0</v>
      </c>
      <c r="CM46" s="300">
        <f>'[2]Foundation Grant'!G53</f>
        <v>0</v>
      </c>
      <c r="CN46" s="300">
        <f>'[2]Foundation Grant'!H53</f>
        <v>0</v>
      </c>
      <c r="CO46" s="300">
        <f>'[2]Foundation Grant'!I53</f>
        <v>0</v>
      </c>
      <c r="CP46" s="300">
        <f>'[2]Foundation Grant'!J53</f>
        <v>0</v>
      </c>
      <c r="CQ46" s="300">
        <f>'[2]Foundation Grant'!K53</f>
        <v>0</v>
      </c>
      <c r="CR46" s="299">
        <f>'[2]Foundation Grant'!L53</f>
        <v>0</v>
      </c>
      <c r="CS46" s="300" t="str">
        <f>'[2]Foundation Grant'!M53</f>
        <v>S</v>
      </c>
      <c r="CT46" s="300">
        <f>'[2]Foundation Grant'!N53</f>
        <v>4498258</v>
      </c>
      <c r="CU46" s="299">
        <f>'[2]Foundation Grant'!O53</f>
        <v>0</v>
      </c>
      <c r="CV46" s="299">
        <f>'[2]Foundation Grant'!P53</f>
        <v>0</v>
      </c>
      <c r="CW46" s="298">
        <f>'[2]Foundation Grant'!$C$1</f>
        <v>5622823</v>
      </c>
      <c r="CX46" s="298">
        <f>'[2]Foundation Grant'!$D$1</f>
        <v>4498258</v>
      </c>
      <c r="CY46" s="298">
        <f>'[2]Foundation Grant'!$E$1</f>
        <v>3373694</v>
      </c>
      <c r="CZ46" s="298">
        <f>'[2]Foundation Grant'!$C$2</f>
        <v>4498258</v>
      </c>
      <c r="DA46" s="298">
        <f>'[2]Foundation Grant'!$D$2</f>
        <v>3935976</v>
      </c>
      <c r="DB46" s="298">
        <f>'[2]Foundation Grant'!$E$2</f>
        <v>3373694</v>
      </c>
      <c r="DC46" s="298">
        <f>'[2]Foundation Grant'!$G$1</f>
        <v>1124565</v>
      </c>
      <c r="DD46" s="298">
        <f>'[2]Foundation Grant'!$H$1</f>
        <v>843423</v>
      </c>
      <c r="DE46" s="298">
        <f>'[2]Foundation Grant'!$I$1</f>
        <v>562282</v>
      </c>
      <c r="DF46" s="298">
        <f>'[2]Foundation Grant'!$J$1</f>
        <v>281141</v>
      </c>
      <c r="DG46" s="298">
        <f>'[2]Foundation Grant'!$K$1</f>
        <v>140571</v>
      </c>
      <c r="DH46" s="298">
        <f>'[2]Foundation Grant'!$O$1</f>
        <v>562282</v>
      </c>
      <c r="DI46" s="298">
        <f>'[2]Foundation Grant'!$P$1</f>
        <v>1124565</v>
      </c>
      <c r="DJ46" s="297">
        <f>'[2]basic allocation'!$C$10</f>
        <v>18749</v>
      </c>
      <c r="DK46" s="297">
        <f>'[2]basic allocation'!$D$10</f>
        <v>9375</v>
      </c>
      <c r="DL46" s="297">
        <f>'[2]basic allocation'!$E$10</f>
        <v>9375</v>
      </c>
      <c r="DM46" s="297">
        <f>'[2]basic allocation'!$I$10</f>
        <v>938</v>
      </c>
      <c r="DN46" s="297">
        <f>'[2]basic allocation'!$J$10</f>
        <v>703</v>
      </c>
      <c r="DO46" s="297">
        <f>'[2]basic allocation'!$K$10</f>
        <v>469</v>
      </c>
      <c r="DP46" s="297">
        <f>'[2]basic allocation'!$L$10</f>
        <v>234</v>
      </c>
      <c r="DQ46" s="297">
        <f>'[2]basic allocation'!$M$10</f>
        <v>100</v>
      </c>
      <c r="DR46" s="296">
        <f>'[2]FTES Adjustment'!DQ53</f>
        <v>0</v>
      </c>
      <c r="DS46" s="296">
        <f>'[2]FTES Adjustment'!DR53</f>
        <v>4.9698195425662561E-7</v>
      </c>
      <c r="DT46" s="296">
        <f>'[2]FTES Adjustment'!DS53</f>
        <v>0</v>
      </c>
      <c r="DU46" s="277">
        <f t="shared" si="45"/>
        <v>0</v>
      </c>
      <c r="DV46" s="276">
        <f t="shared" si="46"/>
        <v>0</v>
      </c>
      <c r="DW46" s="276">
        <f t="shared" si="47"/>
        <v>0</v>
      </c>
      <c r="DX46" s="276">
        <f t="shared" si="48"/>
        <v>0</v>
      </c>
      <c r="DY46" s="276">
        <f t="shared" si="49"/>
        <v>0</v>
      </c>
      <c r="DZ46" s="295">
        <f>ROUND([2]FTES!$D53,3)</f>
        <v>12151.948</v>
      </c>
      <c r="EA46" s="295">
        <f>ROUND([2]FTES!$M53,3)</f>
        <v>466.07299999999998</v>
      </c>
      <c r="EB46" s="295">
        <f>ROUND([2]FTES!$V53,3)</f>
        <v>78.94</v>
      </c>
      <c r="EC46" s="276">
        <f t="shared" si="50"/>
        <v>12696.960999999999</v>
      </c>
      <c r="ED46" s="133">
        <v>0</v>
      </c>
      <c r="EE46" s="294">
        <f>'[2]10-11 WkLd126M'!$E51</f>
        <v>1430505</v>
      </c>
      <c r="EF46" s="295">
        <f>'[2]FTES Adjustment'!CG53</f>
        <v>0</v>
      </c>
      <c r="EG46" s="295">
        <f>'[2]FTES Adjustment'!CH53</f>
        <v>0</v>
      </c>
      <c r="EH46" s="295">
        <f>'[2]FTES Adjustment'!CI53</f>
        <v>0</v>
      </c>
      <c r="EI46" s="276">
        <f t="shared" si="51"/>
        <v>0</v>
      </c>
      <c r="EJ46" s="294">
        <f>'[2]PBF Run'!$AT53</f>
        <v>0</v>
      </c>
      <c r="EK46" s="294">
        <f>'[2]11-12 Workload Reduction'!H53</f>
        <v>59423256</v>
      </c>
      <c r="EL46" s="294">
        <f>'[2]13-14 $86M Workload Restore'!AI51</f>
        <v>1325382</v>
      </c>
      <c r="EM46" s="294">
        <f>'[2]13-14 $86M Workload Restore'!AC51</f>
        <v>0</v>
      </c>
      <c r="EN46" s="294">
        <f>'[2]13-14 deferrals, growth, EPA 1'!BJ53</f>
        <v>9364847</v>
      </c>
      <c r="EO46" s="293">
        <f t="shared" si="52"/>
        <v>61997376</v>
      </c>
      <c r="EP46" s="292">
        <v>0</v>
      </c>
      <c r="EQ46" s="292">
        <v>0</v>
      </c>
      <c r="ER46" s="292">
        <v>0</v>
      </c>
      <c r="ES46" s="16">
        <f t="shared" si="53"/>
        <v>0</v>
      </c>
    </row>
    <row r="47" spans="1:149">
      <c r="A47" s="291" t="s">
        <v>257</v>
      </c>
      <c r="B47" s="290" t="str">
        <f t="shared" si="54"/>
        <v>P2</v>
      </c>
      <c r="C47" s="285" t="s">
        <v>311</v>
      </c>
      <c r="D47" s="289" t="s">
        <v>310</v>
      </c>
      <c r="E47" s="288">
        <f>ROUND('[2]PBF Run'!N54,6)</f>
        <v>4636.4928559999998</v>
      </c>
      <c r="F47" s="285">
        <f t="shared" si="55"/>
        <v>4675.9030433300004</v>
      </c>
      <c r="G47" s="285">
        <f t="shared" si="56"/>
        <v>2788.0536374600001</v>
      </c>
      <c r="H47" s="285">
        <f t="shared" si="57"/>
        <v>2811.7520933800001</v>
      </c>
      <c r="I47" s="285">
        <f t="shared" si="58"/>
        <v>3282.8110613200001</v>
      </c>
      <c r="J47" s="285">
        <f t="shared" si="59"/>
        <v>3310.71495534</v>
      </c>
      <c r="K47" s="308">
        <f>ROUND([2]FTES!C54,3)</f>
        <v>25648.716</v>
      </c>
      <c r="L47" s="308">
        <f>ROUND([2]FTES!F54,3)</f>
        <v>0</v>
      </c>
      <c r="M47" s="308">
        <f>ROUND('[2]Growth Deficit'!AG54,3)</f>
        <v>0</v>
      </c>
      <c r="N47" s="308">
        <f>ROUND([2]FTES!I54,3)</f>
        <v>0</v>
      </c>
      <c r="O47" s="308">
        <f>ROUND([2]FTES!E54,3)</f>
        <v>27851.59</v>
      </c>
      <c r="P47" s="308">
        <f>ROUND([2]FTES!L54,3)</f>
        <v>159.63</v>
      </c>
      <c r="Q47" s="308">
        <f>ROUND([2]FTES!O54,3)</f>
        <v>0</v>
      </c>
      <c r="R47" s="308">
        <f>ROUND('[2]Growth Deficit'!$AH54,3)</f>
        <v>0</v>
      </c>
      <c r="S47" s="308">
        <f>ROUND([2]FTES!R54,3)</f>
        <v>0</v>
      </c>
      <c r="T47" s="308">
        <f>ROUND([2]FTES!N54,3)</f>
        <v>201.62</v>
      </c>
      <c r="U47" s="308">
        <f>ROUND([2]FTES!U54,3)</f>
        <v>0</v>
      </c>
      <c r="V47" s="308">
        <f>ROUND([2]FTES!X54,3)</f>
        <v>0</v>
      </c>
      <c r="W47" s="308">
        <f>ROUND('[2]Growth Deficit'!$AI54,3)</f>
        <v>0</v>
      </c>
      <c r="X47" s="308">
        <f>ROUND([2]FTES!AA54,3)</f>
        <v>0</v>
      </c>
      <c r="Y47" s="308">
        <f>ROUND([2]FTES!W54,3)</f>
        <v>0</v>
      </c>
      <c r="Z47" s="307">
        <f>'[2]FTES Adjustment'!CW54</f>
        <v>26920.740129999998</v>
      </c>
      <c r="AA47" s="307">
        <f>'[2]FTES Adjustment'!CX54</f>
        <v>201.62</v>
      </c>
      <c r="AB47" s="307">
        <f>'[2]FTES Adjustment'!CY54</f>
        <v>0</v>
      </c>
      <c r="AC47" s="275">
        <f t="shared" si="31"/>
        <v>25808.346000000001</v>
      </c>
      <c r="AD47" s="275">
        <f t="shared" si="32"/>
        <v>0</v>
      </c>
      <c r="AE47" s="275">
        <f t="shared" si="33"/>
        <v>0</v>
      </c>
      <c r="AF47" s="275">
        <f t="shared" si="34"/>
        <v>0</v>
      </c>
      <c r="AG47" s="275">
        <f t="shared" si="35"/>
        <v>28053.21</v>
      </c>
      <c r="AH47" s="275">
        <f t="shared" si="36"/>
        <v>27122.36</v>
      </c>
      <c r="AI47" s="302">
        <f>'[2]PBF Run'!F54</f>
        <v>10683364</v>
      </c>
      <c r="AJ47" s="302">
        <f>'[2]PBF Run'!H54+'[2]PBF Run'!I54+'[2]PBF Run'!J54+'[2]PBF Run'!L54</f>
        <v>119365146</v>
      </c>
      <c r="AK47" s="306">
        <f>'[2]PBF Run'!J54 + '[2]PBF Run'!$L54</f>
        <v>118920089</v>
      </c>
      <c r="AL47" s="302">
        <f>'[2]PBF Run'!H54</f>
        <v>445057</v>
      </c>
      <c r="AM47" s="302">
        <f>'[2]PBF Run'!I54</f>
        <v>0</v>
      </c>
      <c r="AN47" s="305">
        <f>'[2]Restoration and Growth'!BM54</f>
        <v>0</v>
      </c>
      <c r="AO47" s="278">
        <f t="shared" si="37"/>
        <v>130048510</v>
      </c>
      <c r="AP47" s="285" t="str">
        <f t="shared" si="60"/>
        <v>0.85%</v>
      </c>
      <c r="AQ47" s="302">
        <f>'[2]PBF Run'!O54</f>
        <v>1105412</v>
      </c>
      <c r="AR47" s="278">
        <f t="shared" si="38"/>
        <v>131153922</v>
      </c>
      <c r="AS47" s="302">
        <f>'[2]PBF Run'!$AD54</f>
        <v>0</v>
      </c>
      <c r="AT47" s="302">
        <f>'[2]PBF Run'!$T54</f>
        <v>0</v>
      </c>
      <c r="AU47" s="278">
        <f t="shared" si="39"/>
        <v>3025914</v>
      </c>
      <c r="AV47" s="304">
        <f>'[2]Restoration and Growth'!BT54</f>
        <v>0</v>
      </c>
      <c r="AW47" s="304" t="str">
        <f>'[2]Restoration and Growth'!AP54</f>
        <v>Y</v>
      </c>
      <c r="AX47" s="302">
        <f>'[2]Restoration and Growth'!CV54</f>
        <v>0</v>
      </c>
      <c r="AY47" s="302">
        <f>'[2]Growth Deficit'!$AO54</f>
        <v>0</v>
      </c>
      <c r="AZ47" s="302">
        <f>'[2]Growth Deficit'!AO54</f>
        <v>0</v>
      </c>
      <c r="BA47" s="302">
        <f>'[2]Growth Deficit'!AL54</f>
        <v>0</v>
      </c>
      <c r="BB47" s="302">
        <f>'[2]Growth Deficit'!AM54</f>
        <v>0</v>
      </c>
      <c r="BC47" s="302">
        <f>'[2]Growth Deficit'!AN54</f>
        <v>0</v>
      </c>
      <c r="BD47" s="302">
        <f>'[2]Growth Deficit'!AO54</f>
        <v>0</v>
      </c>
      <c r="BE47" s="302">
        <f>'[2]PBF Run'!AA54</f>
        <v>0</v>
      </c>
      <c r="BF47" s="302">
        <f>'[2]PBF Run'!AB54</f>
        <v>0</v>
      </c>
      <c r="BG47" s="302">
        <f>'[2]PBF Run'!AC54</f>
        <v>0</v>
      </c>
      <c r="BH47" s="302">
        <f>'[2]PBF Run'!AD54</f>
        <v>0</v>
      </c>
      <c r="BI47" s="278">
        <f t="shared" si="40"/>
        <v>0</v>
      </c>
      <c r="BJ47" s="302">
        <f>'[2]PBF Run'!X54</f>
        <v>0</v>
      </c>
      <c r="BK47" s="302">
        <f>'[2]PBF Run'!AE54</f>
        <v>137219848</v>
      </c>
      <c r="BL47" s="282">
        <f t="shared" si="41"/>
        <v>0.98518541574248064</v>
      </c>
      <c r="BM47" s="302">
        <f>'[2]PBF Run'!AM54</f>
        <v>2032855</v>
      </c>
      <c r="BN47" s="302">
        <f>'[2]PBF Run'!$AN54</f>
        <v>78332386</v>
      </c>
      <c r="BO47" s="302">
        <f>'[2]PBF Run'!$AO54</f>
        <v>0</v>
      </c>
      <c r="BP47" s="302">
        <f>'[2]PBF Run'!AC54</f>
        <v>0</v>
      </c>
      <c r="BQ47" s="278">
        <f t="shared" si="42"/>
        <v>78332386</v>
      </c>
      <c r="BR47" s="302">
        <f>'[2]PBF Run'!AJ54</f>
        <v>27154911</v>
      </c>
      <c r="BS47" s="302">
        <f>'[2]PBF Run'!AI54</f>
        <v>8637656</v>
      </c>
      <c r="BT47" s="302">
        <f>'[2]PBF Run'!$AN54</f>
        <v>78332386</v>
      </c>
      <c r="BU47" s="302">
        <f>'[2]PBF Run'!$AN54</f>
        <v>78332386</v>
      </c>
      <c r="BV47" s="302">
        <f>'[2]PBF Run'!BI54</f>
        <v>0</v>
      </c>
      <c r="BW47" s="303">
        <f>'[2]PBF Run'!BH54</f>
        <v>0</v>
      </c>
      <c r="BX47" s="278">
        <f t="shared" si="61"/>
        <v>69532</v>
      </c>
      <c r="BY47" s="278">
        <f t="shared" si="43"/>
        <v>78332386</v>
      </c>
      <c r="BZ47" s="302">
        <f>'[2]As of 13-14 R1'!BP54</f>
        <v>0</v>
      </c>
      <c r="CA47" s="302">
        <f>'[2]As of 13-14 R1'!BQ54</f>
        <v>0</v>
      </c>
      <c r="CB47" s="302">
        <f>'[2]As of 13-14 R1'!BR54</f>
        <v>0</v>
      </c>
      <c r="CC47" s="278">
        <f t="shared" si="44"/>
        <v>0</v>
      </c>
      <c r="CD47" s="301">
        <f>'[2]Growth Deficit'!$D$2</f>
        <v>0</v>
      </c>
      <c r="CE47" s="300">
        <f>IF($CS47="S",'[2]Foundation Grant'!C54,0)</f>
        <v>0</v>
      </c>
      <c r="CF47" s="300">
        <f>IF($CS47="S",'[2]Foundation Grant'!D54,0)</f>
        <v>0</v>
      </c>
      <c r="CG47" s="300">
        <f>IF($CS47="S",'[2]Foundation Grant'!E54,0)</f>
        <v>0</v>
      </c>
      <c r="CH47" s="300">
        <f>IF($CS47="S",'[2]Foundation Grant'!F54,0)</f>
        <v>0</v>
      </c>
      <c r="CI47" s="300">
        <f>IF($CS47="M",'[2]Foundation Grant'!C54,0)</f>
        <v>0</v>
      </c>
      <c r="CJ47" s="300">
        <f>IF($CS47="M",'[2]Foundation Grant'!D54,0)</f>
        <v>1</v>
      </c>
      <c r="CK47" s="300">
        <f>IF($CS47="M",'[2]Foundation Grant'!E54,0)</f>
        <v>2</v>
      </c>
      <c r="CL47" s="300">
        <f>IF($CS47="M",'[2]Foundation Grant'!F54,0)</f>
        <v>3</v>
      </c>
      <c r="CM47" s="300">
        <f>'[2]Foundation Grant'!G54</f>
        <v>0</v>
      </c>
      <c r="CN47" s="300">
        <f>'[2]Foundation Grant'!H54</f>
        <v>0</v>
      </c>
      <c r="CO47" s="300">
        <f>'[2]Foundation Grant'!I54</f>
        <v>0</v>
      </c>
      <c r="CP47" s="300">
        <f>'[2]Foundation Grant'!J54</f>
        <v>0</v>
      </c>
      <c r="CQ47" s="300">
        <f>'[2]Foundation Grant'!K54</f>
        <v>0</v>
      </c>
      <c r="CR47" s="299">
        <f>'[2]Foundation Grant'!L54</f>
        <v>0</v>
      </c>
      <c r="CS47" s="300" t="str">
        <f>'[2]Foundation Grant'!M54</f>
        <v>M</v>
      </c>
      <c r="CT47" s="300">
        <f>'[2]Foundation Grant'!N54</f>
        <v>10683364</v>
      </c>
      <c r="CU47" s="299">
        <f>'[2]Foundation Grant'!O54</f>
        <v>0</v>
      </c>
      <c r="CV47" s="299">
        <f>'[2]Foundation Grant'!P54</f>
        <v>0</v>
      </c>
      <c r="CW47" s="298">
        <f>'[2]Foundation Grant'!$C$1</f>
        <v>5622823</v>
      </c>
      <c r="CX47" s="298">
        <f>'[2]Foundation Grant'!$D$1</f>
        <v>4498258</v>
      </c>
      <c r="CY47" s="298">
        <f>'[2]Foundation Grant'!$E$1</f>
        <v>3373694</v>
      </c>
      <c r="CZ47" s="298">
        <f>'[2]Foundation Grant'!$C$2</f>
        <v>4498258</v>
      </c>
      <c r="DA47" s="298">
        <f>'[2]Foundation Grant'!$D$2</f>
        <v>3935976</v>
      </c>
      <c r="DB47" s="298">
        <f>'[2]Foundation Grant'!$E$2</f>
        <v>3373694</v>
      </c>
      <c r="DC47" s="298">
        <f>'[2]Foundation Grant'!$G$1</f>
        <v>1124565</v>
      </c>
      <c r="DD47" s="298">
        <f>'[2]Foundation Grant'!$H$1</f>
        <v>843423</v>
      </c>
      <c r="DE47" s="298">
        <f>'[2]Foundation Grant'!$I$1</f>
        <v>562282</v>
      </c>
      <c r="DF47" s="298">
        <f>'[2]Foundation Grant'!$J$1</f>
        <v>281141</v>
      </c>
      <c r="DG47" s="298">
        <f>'[2]Foundation Grant'!$K$1</f>
        <v>140571</v>
      </c>
      <c r="DH47" s="298">
        <f>'[2]Foundation Grant'!$O$1</f>
        <v>562282</v>
      </c>
      <c r="DI47" s="298">
        <f>'[2]Foundation Grant'!$P$1</f>
        <v>1124565</v>
      </c>
      <c r="DJ47" s="297">
        <f>'[2]basic allocation'!$C$10</f>
        <v>18749</v>
      </c>
      <c r="DK47" s="297">
        <f>'[2]basic allocation'!$D$10</f>
        <v>9375</v>
      </c>
      <c r="DL47" s="297">
        <f>'[2]basic allocation'!$E$10</f>
        <v>9375</v>
      </c>
      <c r="DM47" s="297">
        <f>'[2]basic allocation'!$I$10</f>
        <v>938</v>
      </c>
      <c r="DN47" s="297">
        <f>'[2]basic allocation'!$J$10</f>
        <v>703</v>
      </c>
      <c r="DO47" s="297">
        <f>'[2]basic allocation'!$K$10</f>
        <v>469</v>
      </c>
      <c r="DP47" s="297">
        <f>'[2]basic allocation'!$L$10</f>
        <v>234</v>
      </c>
      <c r="DQ47" s="297">
        <f>'[2]basic allocation'!$M$10</f>
        <v>100</v>
      </c>
      <c r="DR47" s="296">
        <f>'[2]FTES Adjustment'!DQ54</f>
        <v>930.84987000000183</v>
      </c>
      <c r="DS47" s="296">
        <f>'[2]FTES Adjustment'!DR54</f>
        <v>0</v>
      </c>
      <c r="DT47" s="296">
        <f>'[2]FTES Adjustment'!DS54</f>
        <v>0</v>
      </c>
      <c r="DU47" s="277">
        <f t="shared" si="45"/>
        <v>930.85</v>
      </c>
      <c r="DV47" s="276">
        <f t="shared" si="46"/>
        <v>1272.0240229999999</v>
      </c>
      <c r="DW47" s="276">
        <f t="shared" si="47"/>
        <v>41.99</v>
      </c>
      <c r="DX47" s="276">
        <f t="shared" si="48"/>
        <v>0</v>
      </c>
      <c r="DY47" s="276">
        <f t="shared" si="49"/>
        <v>1314.0139999999999</v>
      </c>
      <c r="DZ47" s="295">
        <f>ROUND([2]FTES!$D54,3)</f>
        <v>25648.716</v>
      </c>
      <c r="EA47" s="295">
        <f>ROUND([2]FTES!$M54,3)</f>
        <v>159.63</v>
      </c>
      <c r="EB47" s="295">
        <f>ROUND([2]FTES!$V54,3)</f>
        <v>0</v>
      </c>
      <c r="EC47" s="276">
        <f t="shared" si="50"/>
        <v>25808.346000000001</v>
      </c>
      <c r="ED47" s="133">
        <v>0</v>
      </c>
      <c r="EE47" s="294">
        <f>'[2]10-11 WkLd126M'!$E52</f>
        <v>2982051</v>
      </c>
      <c r="EF47" s="295">
        <f>'[2]FTES Adjustment'!CG54</f>
        <v>1272.0240229999999</v>
      </c>
      <c r="EG47" s="295">
        <f>'[2]FTES Adjustment'!CH54</f>
        <v>41.99</v>
      </c>
      <c r="EH47" s="295">
        <f>'[2]FTES Adjustment'!CI54</f>
        <v>0</v>
      </c>
      <c r="EI47" s="276">
        <f t="shared" si="51"/>
        <v>1314.014023</v>
      </c>
      <c r="EJ47" s="294">
        <f>'[2]PBF Run'!$AT54</f>
        <v>0</v>
      </c>
      <c r="EK47" s="294">
        <f>'[2]11-12 Workload Reduction'!H54</f>
        <v>122588526</v>
      </c>
      <c r="EL47" s="294">
        <f>'[2]13-14 $86M Workload Restore'!AI52</f>
        <v>3025914</v>
      </c>
      <c r="EM47" s="294">
        <f>'[2]13-14 $86M Workload Restore'!AC52</f>
        <v>0</v>
      </c>
      <c r="EN47" s="294">
        <f>'[2]13-14 deferrals, growth, EPA 1'!BJ54</f>
        <v>19465693</v>
      </c>
      <c r="EO47" s="293">
        <f t="shared" si="52"/>
        <v>135186993</v>
      </c>
      <c r="EP47" s="292">
        <v>0</v>
      </c>
      <c r="EQ47" s="292">
        <v>0</v>
      </c>
      <c r="ER47" s="292">
        <v>0</v>
      </c>
      <c r="ES47" s="16">
        <f t="shared" si="53"/>
        <v>0</v>
      </c>
    </row>
    <row r="48" spans="1:149">
      <c r="A48" s="291" t="s">
        <v>257</v>
      </c>
      <c r="B48" s="290" t="str">
        <f t="shared" si="54"/>
        <v>P2</v>
      </c>
      <c r="C48" s="285" t="s">
        <v>309</v>
      </c>
      <c r="D48" s="289" t="s">
        <v>308</v>
      </c>
      <c r="E48" s="288">
        <f>ROUND('[2]PBF Run'!N55,6)</f>
        <v>4636.4928659999996</v>
      </c>
      <c r="F48" s="285">
        <f t="shared" si="55"/>
        <v>4675.9030433300004</v>
      </c>
      <c r="G48" s="285">
        <f t="shared" si="56"/>
        <v>2788.0536374600001</v>
      </c>
      <c r="H48" s="285">
        <f t="shared" si="57"/>
        <v>2811.7520933800001</v>
      </c>
      <c r="I48" s="285">
        <f t="shared" si="58"/>
        <v>3282.8110613200001</v>
      </c>
      <c r="J48" s="285">
        <f t="shared" si="59"/>
        <v>3310.71495534</v>
      </c>
      <c r="K48" s="308">
        <f>ROUND([2]FTES!C55,3)</f>
        <v>13572.262000000001</v>
      </c>
      <c r="L48" s="308">
        <f>ROUND([2]FTES!F55,3)</f>
        <v>0</v>
      </c>
      <c r="M48" s="308">
        <f>ROUND('[2]Growth Deficit'!AG55,3)</f>
        <v>0</v>
      </c>
      <c r="N48" s="308">
        <f>ROUND([2]FTES!I55,3)</f>
        <v>0</v>
      </c>
      <c r="O48" s="308">
        <f>ROUND([2]FTES!E55,3)</f>
        <v>14685.11</v>
      </c>
      <c r="P48" s="308">
        <f>ROUND([2]FTES!L55,3)</f>
        <v>2.04</v>
      </c>
      <c r="Q48" s="308">
        <f>ROUND([2]FTES!O55,3)</f>
        <v>0</v>
      </c>
      <c r="R48" s="308">
        <f>ROUND('[2]Growth Deficit'!$AH55,3)</f>
        <v>0</v>
      </c>
      <c r="S48" s="308">
        <f>ROUND([2]FTES!R55,3)</f>
        <v>0</v>
      </c>
      <c r="T48" s="308">
        <f>ROUND([2]FTES!N55,3)</f>
        <v>65.180000000000007</v>
      </c>
      <c r="U48" s="308">
        <f>ROUND([2]FTES!U55,3)</f>
        <v>0</v>
      </c>
      <c r="V48" s="308">
        <f>ROUND([2]FTES!X55,3)</f>
        <v>0</v>
      </c>
      <c r="W48" s="308">
        <f>ROUND('[2]Growth Deficit'!$AI55,3)</f>
        <v>0</v>
      </c>
      <c r="X48" s="308">
        <f>ROUND([2]FTES!AA55,3)</f>
        <v>0</v>
      </c>
      <c r="Y48" s="308">
        <f>ROUND([2]FTES!W55,3)</f>
        <v>0</v>
      </c>
      <c r="Z48" s="307">
        <f>'[2]FTES Adjustment'!CW55</f>
        <v>14217.515340000002</v>
      </c>
      <c r="AA48" s="307">
        <f>'[2]FTES Adjustment'!CX55</f>
        <v>65.180000000000007</v>
      </c>
      <c r="AB48" s="307">
        <f>'[2]FTES Adjustment'!CY55</f>
        <v>0</v>
      </c>
      <c r="AC48" s="275">
        <f t="shared" si="31"/>
        <v>13574.302</v>
      </c>
      <c r="AD48" s="275">
        <f t="shared" si="32"/>
        <v>0</v>
      </c>
      <c r="AE48" s="275">
        <f t="shared" si="33"/>
        <v>0</v>
      </c>
      <c r="AF48" s="275">
        <f t="shared" si="34"/>
        <v>0</v>
      </c>
      <c r="AG48" s="275">
        <f t="shared" si="35"/>
        <v>14750.29</v>
      </c>
      <c r="AH48" s="275">
        <f t="shared" si="36"/>
        <v>14282.695</v>
      </c>
      <c r="AI48" s="302">
        <f>'[2]PBF Run'!F55</f>
        <v>7309670</v>
      </c>
      <c r="AJ48" s="302">
        <f>'[2]PBF Run'!H55+'[2]PBF Run'!I55+'[2]PBF Run'!J55+'[2]PBF Run'!L55</f>
        <v>62933384</v>
      </c>
      <c r="AK48" s="306">
        <f>'[2]PBF Run'!J55 + '[2]PBF Run'!$L55</f>
        <v>62927696</v>
      </c>
      <c r="AL48" s="302">
        <f>'[2]PBF Run'!H55</f>
        <v>5688</v>
      </c>
      <c r="AM48" s="302">
        <f>'[2]PBF Run'!I55</f>
        <v>0</v>
      </c>
      <c r="AN48" s="305">
        <f>'[2]Restoration and Growth'!BM55</f>
        <v>0</v>
      </c>
      <c r="AO48" s="278">
        <f t="shared" si="37"/>
        <v>70243054</v>
      </c>
      <c r="AP48" s="285" t="str">
        <f t="shared" si="60"/>
        <v>0.85%</v>
      </c>
      <c r="AQ48" s="302">
        <f>'[2]PBF Run'!O55</f>
        <v>597066</v>
      </c>
      <c r="AR48" s="278">
        <f t="shared" si="38"/>
        <v>70840120</v>
      </c>
      <c r="AS48" s="302">
        <f>'[2]PBF Run'!$AD55</f>
        <v>0</v>
      </c>
      <c r="AT48" s="302">
        <f>'[2]PBF Run'!$T55</f>
        <v>0</v>
      </c>
      <c r="AU48" s="278">
        <f t="shared" si="39"/>
        <v>1543344</v>
      </c>
      <c r="AV48" s="304">
        <f>'[2]Restoration and Growth'!BT55</f>
        <v>0</v>
      </c>
      <c r="AW48" s="304" t="str">
        <f>'[2]Restoration and Growth'!AP55</f>
        <v>Y</v>
      </c>
      <c r="AX48" s="302">
        <f>'[2]Restoration and Growth'!CV55</f>
        <v>0</v>
      </c>
      <c r="AY48" s="302">
        <f>'[2]Growth Deficit'!$AO55</f>
        <v>0</v>
      </c>
      <c r="AZ48" s="302">
        <f>'[2]Growth Deficit'!AO55</f>
        <v>0</v>
      </c>
      <c r="BA48" s="302">
        <f>'[2]Growth Deficit'!AL55</f>
        <v>0</v>
      </c>
      <c r="BB48" s="302">
        <f>'[2]Growth Deficit'!AM55</f>
        <v>0</v>
      </c>
      <c r="BC48" s="302">
        <f>'[2]Growth Deficit'!AN55</f>
        <v>0</v>
      </c>
      <c r="BD48" s="302">
        <f>'[2]Growth Deficit'!AO55</f>
        <v>0</v>
      </c>
      <c r="BE48" s="302">
        <f>'[2]PBF Run'!AA55</f>
        <v>0</v>
      </c>
      <c r="BF48" s="302">
        <f>'[2]PBF Run'!AB55</f>
        <v>0</v>
      </c>
      <c r="BG48" s="302">
        <f>'[2]PBF Run'!AC55</f>
        <v>0</v>
      </c>
      <c r="BH48" s="302">
        <f>'[2]PBF Run'!AD55</f>
        <v>0</v>
      </c>
      <c r="BI48" s="278">
        <f t="shared" si="40"/>
        <v>0</v>
      </c>
      <c r="BJ48" s="302">
        <f>'[2]PBF Run'!X55</f>
        <v>0</v>
      </c>
      <c r="BK48" s="302">
        <f>'[2]PBF Run'!AE55</f>
        <v>74034796</v>
      </c>
      <c r="BL48" s="282">
        <f t="shared" si="41"/>
        <v>0.98518541200545751</v>
      </c>
      <c r="BM48" s="302">
        <f>'[2]PBF Run'!AM55</f>
        <v>1096795</v>
      </c>
      <c r="BN48" s="302">
        <f>'[2]PBF Run'!$AN55</f>
        <v>44036977</v>
      </c>
      <c r="BO48" s="302">
        <f>'[2]PBF Run'!$AO55</f>
        <v>0</v>
      </c>
      <c r="BP48" s="302">
        <f>'[2]PBF Run'!AC55</f>
        <v>0</v>
      </c>
      <c r="BQ48" s="278">
        <f t="shared" si="42"/>
        <v>44036977</v>
      </c>
      <c r="BR48" s="302">
        <f>'[2]PBF Run'!AJ55</f>
        <v>13677173</v>
      </c>
      <c r="BS48" s="302">
        <f>'[2]PBF Run'!AI55</f>
        <v>3703420</v>
      </c>
      <c r="BT48" s="302">
        <f>'[2]PBF Run'!$AN55</f>
        <v>44036977</v>
      </c>
      <c r="BU48" s="302">
        <f>'[2]PBF Run'!$AN55</f>
        <v>44036977</v>
      </c>
      <c r="BV48" s="302">
        <f>'[2]PBF Run'!BI55</f>
        <v>0</v>
      </c>
      <c r="BW48" s="303">
        <f>'[2]PBF Run'!BH55</f>
        <v>0</v>
      </c>
      <c r="BX48" s="278">
        <f t="shared" si="61"/>
        <v>69532</v>
      </c>
      <c r="BY48" s="278">
        <f t="shared" si="43"/>
        <v>44036977</v>
      </c>
      <c r="BZ48" s="302">
        <f>'[2]As of 13-14 R1'!BP55</f>
        <v>0</v>
      </c>
      <c r="CA48" s="302">
        <f>'[2]As of 13-14 R1'!BQ55</f>
        <v>0</v>
      </c>
      <c r="CB48" s="302">
        <f>'[2]As of 13-14 R1'!BR55</f>
        <v>0</v>
      </c>
      <c r="CC48" s="278">
        <f t="shared" si="44"/>
        <v>0</v>
      </c>
      <c r="CD48" s="301">
        <f>'[2]Growth Deficit'!$D$2</f>
        <v>0</v>
      </c>
      <c r="CE48" s="300">
        <f>IF($CS48="S",'[2]Foundation Grant'!C55,0)</f>
        <v>0</v>
      </c>
      <c r="CF48" s="300">
        <f>IF($CS48="S",'[2]Foundation Grant'!D55,0)</f>
        <v>0</v>
      </c>
      <c r="CG48" s="300">
        <f>IF($CS48="S",'[2]Foundation Grant'!E55,0)</f>
        <v>0</v>
      </c>
      <c r="CH48" s="300">
        <f>IF($CS48="S",'[2]Foundation Grant'!F55,0)</f>
        <v>0</v>
      </c>
      <c r="CI48" s="300">
        <f>IF($CS48="M",'[2]Foundation Grant'!C55,0)</f>
        <v>0</v>
      </c>
      <c r="CJ48" s="300">
        <f>IF($CS48="M",'[2]Foundation Grant'!D55,0)</f>
        <v>1</v>
      </c>
      <c r="CK48" s="300">
        <f>IF($CS48="M",'[2]Foundation Grant'!E55,0)</f>
        <v>1</v>
      </c>
      <c r="CL48" s="300">
        <f>IF($CS48="M",'[2]Foundation Grant'!F55,0)</f>
        <v>2</v>
      </c>
      <c r="CM48" s="300">
        <f>'[2]Foundation Grant'!G55</f>
        <v>0</v>
      </c>
      <c r="CN48" s="300">
        <f>'[2]Foundation Grant'!H55</f>
        <v>0</v>
      </c>
      <c r="CO48" s="300">
        <f>'[2]Foundation Grant'!I55</f>
        <v>0</v>
      </c>
      <c r="CP48" s="300">
        <f>'[2]Foundation Grant'!J55</f>
        <v>0</v>
      </c>
      <c r="CQ48" s="300">
        <f>'[2]Foundation Grant'!K55</f>
        <v>0</v>
      </c>
      <c r="CR48" s="299">
        <f>'[2]Foundation Grant'!L55</f>
        <v>0</v>
      </c>
      <c r="CS48" s="300" t="str">
        <f>'[2]Foundation Grant'!M55</f>
        <v>M</v>
      </c>
      <c r="CT48" s="300">
        <f>'[2]Foundation Grant'!N55</f>
        <v>7309670</v>
      </c>
      <c r="CU48" s="299">
        <f>'[2]Foundation Grant'!O55</f>
        <v>0</v>
      </c>
      <c r="CV48" s="299">
        <f>'[2]Foundation Grant'!P55</f>
        <v>0</v>
      </c>
      <c r="CW48" s="298">
        <f>'[2]Foundation Grant'!$C$1</f>
        <v>5622823</v>
      </c>
      <c r="CX48" s="298">
        <f>'[2]Foundation Grant'!$D$1</f>
        <v>4498258</v>
      </c>
      <c r="CY48" s="298">
        <f>'[2]Foundation Grant'!$E$1</f>
        <v>3373694</v>
      </c>
      <c r="CZ48" s="298">
        <f>'[2]Foundation Grant'!$C$2</f>
        <v>4498258</v>
      </c>
      <c r="DA48" s="298">
        <f>'[2]Foundation Grant'!$D$2</f>
        <v>3935976</v>
      </c>
      <c r="DB48" s="298">
        <f>'[2]Foundation Grant'!$E$2</f>
        <v>3373694</v>
      </c>
      <c r="DC48" s="298">
        <f>'[2]Foundation Grant'!$G$1</f>
        <v>1124565</v>
      </c>
      <c r="DD48" s="298">
        <f>'[2]Foundation Grant'!$H$1</f>
        <v>843423</v>
      </c>
      <c r="DE48" s="298">
        <f>'[2]Foundation Grant'!$I$1</f>
        <v>562282</v>
      </c>
      <c r="DF48" s="298">
        <f>'[2]Foundation Grant'!$J$1</f>
        <v>281141</v>
      </c>
      <c r="DG48" s="298">
        <f>'[2]Foundation Grant'!$K$1</f>
        <v>140571</v>
      </c>
      <c r="DH48" s="298">
        <f>'[2]Foundation Grant'!$O$1</f>
        <v>562282</v>
      </c>
      <c r="DI48" s="298">
        <f>'[2]Foundation Grant'!$P$1</f>
        <v>1124565</v>
      </c>
      <c r="DJ48" s="297">
        <f>'[2]basic allocation'!$C$10</f>
        <v>18749</v>
      </c>
      <c r="DK48" s="297">
        <f>'[2]basic allocation'!$D$10</f>
        <v>9375</v>
      </c>
      <c r="DL48" s="297">
        <f>'[2]basic allocation'!$E$10</f>
        <v>9375</v>
      </c>
      <c r="DM48" s="297">
        <f>'[2]basic allocation'!$I$10</f>
        <v>938</v>
      </c>
      <c r="DN48" s="297">
        <f>'[2]basic allocation'!$J$10</f>
        <v>703</v>
      </c>
      <c r="DO48" s="297">
        <f>'[2]basic allocation'!$K$10</f>
        <v>469</v>
      </c>
      <c r="DP48" s="297">
        <f>'[2]basic allocation'!$L$10</f>
        <v>234</v>
      </c>
      <c r="DQ48" s="297">
        <f>'[2]basic allocation'!$M$10</f>
        <v>100</v>
      </c>
      <c r="DR48" s="296">
        <f>'[2]FTES Adjustment'!DQ55</f>
        <v>467.59465999999884</v>
      </c>
      <c r="DS48" s="296">
        <f>'[2]FTES Adjustment'!DR55</f>
        <v>0</v>
      </c>
      <c r="DT48" s="296">
        <f>'[2]FTES Adjustment'!DS55</f>
        <v>0</v>
      </c>
      <c r="DU48" s="277">
        <f t="shared" si="45"/>
        <v>467.59500000000003</v>
      </c>
      <c r="DV48" s="276">
        <f t="shared" si="46"/>
        <v>645.25332800000001</v>
      </c>
      <c r="DW48" s="276">
        <f t="shared" si="47"/>
        <v>63.14</v>
      </c>
      <c r="DX48" s="276">
        <f t="shared" si="48"/>
        <v>0</v>
      </c>
      <c r="DY48" s="276">
        <f t="shared" si="49"/>
        <v>708.39300000000003</v>
      </c>
      <c r="DZ48" s="295">
        <f>ROUND([2]FTES!$D55,3)</f>
        <v>13572.262000000001</v>
      </c>
      <c r="EA48" s="295">
        <f>ROUND([2]FTES!$M55,3)</f>
        <v>2.04</v>
      </c>
      <c r="EB48" s="295">
        <f>ROUND([2]FTES!$V55,3)</f>
        <v>0</v>
      </c>
      <c r="EC48" s="276">
        <f t="shared" si="50"/>
        <v>13574.302</v>
      </c>
      <c r="ED48" s="133">
        <v>0</v>
      </c>
      <c r="EE48" s="294">
        <f>'[2]10-11 WkLd126M'!$E53</f>
        <v>1607651</v>
      </c>
      <c r="EF48" s="295">
        <f>'[2]FTES Adjustment'!CG55</f>
        <v>645.25332800000001</v>
      </c>
      <c r="EG48" s="295">
        <f>'[2]FTES Adjustment'!CH55</f>
        <v>63.14</v>
      </c>
      <c r="EH48" s="295">
        <f>'[2]FTES Adjustment'!CI55</f>
        <v>0</v>
      </c>
      <c r="EI48" s="276">
        <f t="shared" si="51"/>
        <v>708.393328</v>
      </c>
      <c r="EJ48" s="294">
        <f>'[2]PBF Run'!$AT55</f>
        <v>0</v>
      </c>
      <c r="EK48" s="294">
        <f>'[2]11-12 Workload Reduction'!H55</f>
        <v>64562395</v>
      </c>
      <c r="EL48" s="294">
        <f>'[2]13-14 $86M Workload Restore'!AI53</f>
        <v>1543344</v>
      </c>
      <c r="EM48" s="294">
        <f>'[2]13-14 $86M Workload Restore'!AC53</f>
        <v>0</v>
      </c>
      <c r="EN48" s="294">
        <f>'[2]13-14 deferrals, growth, EPA 1'!BJ55</f>
        <v>10648017</v>
      </c>
      <c r="EO48" s="293">
        <f t="shared" si="52"/>
        <v>72938001</v>
      </c>
      <c r="EP48" s="292">
        <v>0</v>
      </c>
      <c r="EQ48" s="292">
        <v>0</v>
      </c>
      <c r="ER48" s="292">
        <v>0</v>
      </c>
      <c r="ES48" s="16">
        <f t="shared" si="53"/>
        <v>0</v>
      </c>
    </row>
    <row r="49" spans="1:149">
      <c r="A49" s="291" t="s">
        <v>257</v>
      </c>
      <c r="B49" s="290" t="str">
        <f t="shared" si="54"/>
        <v>P2</v>
      </c>
      <c r="C49" s="285" t="s">
        <v>307</v>
      </c>
      <c r="D49" s="289" t="s">
        <v>306</v>
      </c>
      <c r="E49" s="288">
        <f>ROUND('[2]PBF Run'!N56,6)</f>
        <v>4636.4928639999998</v>
      </c>
      <c r="F49" s="285">
        <f t="shared" si="55"/>
        <v>4675.9030433300004</v>
      </c>
      <c r="G49" s="285">
        <f t="shared" si="56"/>
        <v>2788.0536374600001</v>
      </c>
      <c r="H49" s="285">
        <f t="shared" si="57"/>
        <v>2811.7520933800001</v>
      </c>
      <c r="I49" s="285">
        <f t="shared" si="58"/>
        <v>3282.8110613200001</v>
      </c>
      <c r="J49" s="285">
        <f t="shared" si="59"/>
        <v>3310.71495534</v>
      </c>
      <c r="K49" s="308">
        <f>ROUND([2]FTES!C56,3)</f>
        <v>31883.357</v>
      </c>
      <c r="L49" s="308">
        <f>ROUND([2]FTES!F56,3)</f>
        <v>0</v>
      </c>
      <c r="M49" s="308">
        <f>ROUND('[2]Growth Deficit'!AG56,3)</f>
        <v>0</v>
      </c>
      <c r="N49" s="308">
        <f>ROUND([2]FTES!I56,3)</f>
        <v>0</v>
      </c>
      <c r="O49" s="308">
        <f>ROUND([2]FTES!E56,3)</f>
        <v>33624.39</v>
      </c>
      <c r="P49" s="308">
        <f>ROUND([2]FTES!L56,3)</f>
        <v>2020.11</v>
      </c>
      <c r="Q49" s="308">
        <f>ROUND([2]FTES!O56,3)</f>
        <v>0</v>
      </c>
      <c r="R49" s="308">
        <f>ROUND('[2]Growth Deficit'!$AH56,3)</f>
        <v>0</v>
      </c>
      <c r="S49" s="308">
        <f>ROUND([2]FTES!R56,3)</f>
        <v>0</v>
      </c>
      <c r="T49" s="308">
        <f>ROUND([2]FTES!N56,3)</f>
        <v>2206.9899999999998</v>
      </c>
      <c r="U49" s="308">
        <f>ROUND([2]FTES!U56,3)</f>
        <v>6148.03</v>
      </c>
      <c r="V49" s="308">
        <f>ROUND([2]FTES!X56,3)</f>
        <v>0</v>
      </c>
      <c r="W49" s="308">
        <f>ROUND('[2]Growth Deficit'!$AI56,3)</f>
        <v>0</v>
      </c>
      <c r="X49" s="308">
        <f>ROUND([2]FTES!AA56,3)</f>
        <v>0</v>
      </c>
      <c r="Y49" s="308">
        <f>ROUND([2]FTES!W56,3)</f>
        <v>6208.41</v>
      </c>
      <c r="Z49" s="307">
        <f>'[2]FTES Adjustment'!CW56</f>
        <v>33613.700787000002</v>
      </c>
      <c r="AA49" s="307">
        <f>'[2]FTES Adjustment'!CX56</f>
        <v>2206.9900000000007</v>
      </c>
      <c r="AB49" s="307">
        <f>'[2]FTES Adjustment'!CY56</f>
        <v>6208.41</v>
      </c>
      <c r="AC49" s="275">
        <f t="shared" si="31"/>
        <v>40051.497000000003</v>
      </c>
      <c r="AD49" s="275">
        <f t="shared" si="32"/>
        <v>0</v>
      </c>
      <c r="AE49" s="275">
        <f t="shared" si="33"/>
        <v>0</v>
      </c>
      <c r="AF49" s="275">
        <f t="shared" si="34"/>
        <v>0</v>
      </c>
      <c r="AG49" s="275">
        <f t="shared" si="35"/>
        <v>42039.79</v>
      </c>
      <c r="AH49" s="275">
        <f t="shared" si="36"/>
        <v>42029.101000000002</v>
      </c>
      <c r="AI49" s="302">
        <f>'[2]PBF Run'!F56</f>
        <v>16868471</v>
      </c>
      <c r="AJ49" s="302">
        <f>'[2]PBF Run'!H56+'[2]PBF Run'!I56+'[2]PBF Run'!J56+'[2]PBF Run'!L56</f>
        <v>173641954</v>
      </c>
      <c r="AK49" s="306">
        <f>'[2]PBF Run'!J56 + '[2]PBF Run'!$L56</f>
        <v>147826958</v>
      </c>
      <c r="AL49" s="302">
        <f>'[2]PBF Run'!H56</f>
        <v>5632175</v>
      </c>
      <c r="AM49" s="302">
        <f>'[2]PBF Run'!I56</f>
        <v>20182821</v>
      </c>
      <c r="AN49" s="305">
        <f>'[2]Restoration and Growth'!BM56</f>
        <v>0</v>
      </c>
      <c r="AO49" s="278">
        <f t="shared" si="37"/>
        <v>190510425</v>
      </c>
      <c r="AP49" s="285" t="str">
        <f t="shared" si="60"/>
        <v>0.85%</v>
      </c>
      <c r="AQ49" s="302">
        <f>'[2]PBF Run'!O56</f>
        <v>1619339</v>
      </c>
      <c r="AR49" s="278">
        <f t="shared" si="38"/>
        <v>192129764</v>
      </c>
      <c r="AS49" s="302">
        <f>'[2]PBF Run'!$AD56</f>
        <v>0</v>
      </c>
      <c r="AT49" s="302">
        <f>'[2]PBF Run'!$T56</f>
        <v>0</v>
      </c>
      <c r="AU49" s="278">
        <f t="shared" si="39"/>
        <v>3973954</v>
      </c>
      <c r="AV49" s="304">
        <f>'[2]Restoration and Growth'!BT56</f>
        <v>0</v>
      </c>
      <c r="AW49" s="304" t="str">
        <f>'[2]Restoration and Growth'!AP56</f>
        <v>Y</v>
      </c>
      <c r="AX49" s="302">
        <f>'[2]Restoration and Growth'!CV56</f>
        <v>0</v>
      </c>
      <c r="AY49" s="302">
        <f>'[2]Growth Deficit'!$AO56</f>
        <v>0</v>
      </c>
      <c r="AZ49" s="302">
        <f>'[2]Growth Deficit'!AO56</f>
        <v>0</v>
      </c>
      <c r="BA49" s="302">
        <f>'[2]Growth Deficit'!AL56</f>
        <v>0</v>
      </c>
      <c r="BB49" s="302">
        <f>'[2]Growth Deficit'!AM56</f>
        <v>0</v>
      </c>
      <c r="BC49" s="302">
        <f>'[2]Growth Deficit'!AN56</f>
        <v>0</v>
      </c>
      <c r="BD49" s="302">
        <f>'[2]Growth Deficit'!AO56</f>
        <v>0</v>
      </c>
      <c r="BE49" s="302">
        <f>'[2]PBF Run'!AA56</f>
        <v>0</v>
      </c>
      <c r="BF49" s="302">
        <f>'[2]PBF Run'!AB56</f>
        <v>0</v>
      </c>
      <c r="BG49" s="302">
        <f>'[2]PBF Run'!AC56</f>
        <v>0</v>
      </c>
      <c r="BH49" s="302">
        <f>'[2]PBF Run'!AD56</f>
        <v>0</v>
      </c>
      <c r="BI49" s="278">
        <f t="shared" si="40"/>
        <v>0</v>
      </c>
      <c r="BJ49" s="302">
        <f>'[2]PBF Run'!X56</f>
        <v>0</v>
      </c>
      <c r="BK49" s="302">
        <f>'[2]PBF Run'!AE56</f>
        <v>200946044</v>
      </c>
      <c r="BL49" s="282">
        <f t="shared" si="41"/>
        <v>0.98518541624039135</v>
      </c>
      <c r="BM49" s="302">
        <f>'[2]PBF Run'!AM56</f>
        <v>2976932</v>
      </c>
      <c r="BN49" s="302">
        <f>'[2]PBF Run'!$AN56</f>
        <v>77171625</v>
      </c>
      <c r="BO49" s="302">
        <f>'[2]PBF Run'!$AO56</f>
        <v>0</v>
      </c>
      <c r="BP49" s="302">
        <f>'[2]PBF Run'!AC56</f>
        <v>0</v>
      </c>
      <c r="BQ49" s="278">
        <f t="shared" si="42"/>
        <v>77171625</v>
      </c>
      <c r="BR49" s="302">
        <f>'[2]PBF Run'!AJ56</f>
        <v>78991255</v>
      </c>
      <c r="BS49" s="302">
        <f>'[2]PBF Run'!AI56</f>
        <v>10632456</v>
      </c>
      <c r="BT49" s="302">
        <f>'[2]PBF Run'!$AN56</f>
        <v>77171625</v>
      </c>
      <c r="BU49" s="302">
        <f>'[2]PBF Run'!$AN56</f>
        <v>77171625</v>
      </c>
      <c r="BV49" s="302">
        <f>'[2]PBF Run'!BI56</f>
        <v>0</v>
      </c>
      <c r="BW49" s="303">
        <f>'[2]PBF Run'!BH56</f>
        <v>0</v>
      </c>
      <c r="BX49" s="278">
        <f t="shared" si="61"/>
        <v>69532</v>
      </c>
      <c r="BY49" s="278">
        <f t="shared" si="43"/>
        <v>77171625</v>
      </c>
      <c r="BZ49" s="302">
        <f>'[2]As of 13-14 R1'!BP56</f>
        <v>0</v>
      </c>
      <c r="CA49" s="302">
        <f>'[2]As of 13-14 R1'!BQ56</f>
        <v>0</v>
      </c>
      <c r="CB49" s="302">
        <f>'[2]As of 13-14 R1'!BR56</f>
        <v>0</v>
      </c>
      <c r="CC49" s="278">
        <f t="shared" si="44"/>
        <v>0</v>
      </c>
      <c r="CD49" s="301">
        <f>'[2]Growth Deficit'!$D$2</f>
        <v>0</v>
      </c>
      <c r="CE49" s="300">
        <f>IF($CS49="S",'[2]Foundation Grant'!C56,0)</f>
        <v>0</v>
      </c>
      <c r="CF49" s="300">
        <f>IF($CS49="S",'[2]Foundation Grant'!D56,0)</f>
        <v>0</v>
      </c>
      <c r="CG49" s="300">
        <f>IF($CS49="S",'[2]Foundation Grant'!E56,0)</f>
        <v>0</v>
      </c>
      <c r="CH49" s="300">
        <f>IF($CS49="S",'[2]Foundation Grant'!F56,0)</f>
        <v>0</v>
      </c>
      <c r="CI49" s="300">
        <f>IF($CS49="M",'[2]Foundation Grant'!C56,0)</f>
        <v>0</v>
      </c>
      <c r="CJ49" s="300">
        <f>IF($CS49="M",'[2]Foundation Grant'!D56,0)</f>
        <v>2</v>
      </c>
      <c r="CK49" s="300">
        <f>IF($CS49="M",'[2]Foundation Grant'!E56,0)</f>
        <v>1</v>
      </c>
      <c r="CL49" s="300">
        <f>IF($CS49="M",'[2]Foundation Grant'!F56,0)</f>
        <v>3</v>
      </c>
      <c r="CM49" s="300">
        <f>'[2]Foundation Grant'!G56</f>
        <v>5</v>
      </c>
      <c r="CN49" s="300">
        <f>'[2]Foundation Grant'!H56</f>
        <v>0</v>
      </c>
      <c r="CO49" s="300">
        <f>'[2]Foundation Grant'!I56</f>
        <v>0</v>
      </c>
      <c r="CP49" s="300">
        <f>'[2]Foundation Grant'!J56</f>
        <v>0</v>
      </c>
      <c r="CQ49" s="300">
        <f>'[2]Foundation Grant'!K56</f>
        <v>0</v>
      </c>
      <c r="CR49" s="299">
        <f>'[2]Foundation Grant'!L56</f>
        <v>5</v>
      </c>
      <c r="CS49" s="300" t="str">
        <f>'[2]Foundation Grant'!M56</f>
        <v>M</v>
      </c>
      <c r="CT49" s="300">
        <f>'[2]Foundation Grant'!N56</f>
        <v>16868471</v>
      </c>
      <c r="CU49" s="299">
        <f>'[2]Foundation Grant'!O56</f>
        <v>0</v>
      </c>
      <c r="CV49" s="299">
        <f>'[2]Foundation Grant'!P56</f>
        <v>0</v>
      </c>
      <c r="CW49" s="298">
        <f>'[2]Foundation Grant'!$C$1</f>
        <v>5622823</v>
      </c>
      <c r="CX49" s="298">
        <f>'[2]Foundation Grant'!$D$1</f>
        <v>4498258</v>
      </c>
      <c r="CY49" s="298">
        <f>'[2]Foundation Grant'!$E$1</f>
        <v>3373694</v>
      </c>
      <c r="CZ49" s="298">
        <f>'[2]Foundation Grant'!$C$2</f>
        <v>4498258</v>
      </c>
      <c r="DA49" s="298">
        <f>'[2]Foundation Grant'!$D$2</f>
        <v>3935976</v>
      </c>
      <c r="DB49" s="298">
        <f>'[2]Foundation Grant'!$E$2</f>
        <v>3373694</v>
      </c>
      <c r="DC49" s="298">
        <f>'[2]Foundation Grant'!$G$1</f>
        <v>1124565</v>
      </c>
      <c r="DD49" s="298">
        <f>'[2]Foundation Grant'!$H$1</f>
        <v>843423</v>
      </c>
      <c r="DE49" s="298">
        <f>'[2]Foundation Grant'!$I$1</f>
        <v>562282</v>
      </c>
      <c r="DF49" s="298">
        <f>'[2]Foundation Grant'!$J$1</f>
        <v>281141</v>
      </c>
      <c r="DG49" s="298">
        <f>'[2]Foundation Grant'!$K$1</f>
        <v>140571</v>
      </c>
      <c r="DH49" s="298">
        <f>'[2]Foundation Grant'!$O$1</f>
        <v>562282</v>
      </c>
      <c r="DI49" s="298">
        <f>'[2]Foundation Grant'!$P$1</f>
        <v>1124565</v>
      </c>
      <c r="DJ49" s="297">
        <f>'[2]basic allocation'!$C$10</f>
        <v>18749</v>
      </c>
      <c r="DK49" s="297">
        <f>'[2]basic allocation'!$D$10</f>
        <v>9375</v>
      </c>
      <c r="DL49" s="297">
        <f>'[2]basic allocation'!$E$10</f>
        <v>9375</v>
      </c>
      <c r="DM49" s="297">
        <f>'[2]basic allocation'!$I$10</f>
        <v>938</v>
      </c>
      <c r="DN49" s="297">
        <f>'[2]basic allocation'!$J$10</f>
        <v>703</v>
      </c>
      <c r="DO49" s="297">
        <f>'[2]basic allocation'!$K$10</f>
        <v>469</v>
      </c>
      <c r="DP49" s="297">
        <f>'[2]basic allocation'!$L$10</f>
        <v>234</v>
      </c>
      <c r="DQ49" s="297">
        <f>'[2]basic allocation'!$M$10</f>
        <v>100</v>
      </c>
      <c r="DR49" s="296">
        <f>'[2]FTES Adjustment'!DQ56</f>
        <v>10.689212999997835</v>
      </c>
      <c r="DS49" s="296">
        <f>'[2]FTES Adjustment'!DR56</f>
        <v>0</v>
      </c>
      <c r="DT49" s="296">
        <f>'[2]FTES Adjustment'!DS56</f>
        <v>0</v>
      </c>
      <c r="DU49" s="277">
        <f t="shared" si="45"/>
        <v>10.689</v>
      </c>
      <c r="DV49" s="276">
        <f t="shared" si="46"/>
        <v>1730.3436200000001</v>
      </c>
      <c r="DW49" s="276">
        <f t="shared" si="47"/>
        <v>186.88</v>
      </c>
      <c r="DX49" s="276">
        <f t="shared" si="48"/>
        <v>60.38</v>
      </c>
      <c r="DY49" s="276">
        <f t="shared" si="49"/>
        <v>1977.604</v>
      </c>
      <c r="DZ49" s="295">
        <f>ROUND([2]FTES!$D56,3)</f>
        <v>31883.357</v>
      </c>
      <c r="EA49" s="295">
        <f>ROUND([2]FTES!$M56,3)</f>
        <v>2020.11</v>
      </c>
      <c r="EB49" s="295">
        <f>ROUND([2]FTES!$V56,3)</f>
        <v>6148.03</v>
      </c>
      <c r="EC49" s="276">
        <f t="shared" si="50"/>
        <v>40051.497000000003</v>
      </c>
      <c r="ED49" s="133">
        <v>0</v>
      </c>
      <c r="EE49" s="294">
        <f>'[2]10-11 WkLd126M'!$E54</f>
        <v>4363726</v>
      </c>
      <c r="EF49" s="295">
        <f>'[2]FTES Adjustment'!CG56</f>
        <v>1730.3436200000001</v>
      </c>
      <c r="EG49" s="295">
        <f>'[2]FTES Adjustment'!CH56</f>
        <v>186.88</v>
      </c>
      <c r="EH49" s="295">
        <f>'[2]FTES Adjustment'!CI56</f>
        <v>60.38</v>
      </c>
      <c r="EI49" s="276">
        <f t="shared" si="51"/>
        <v>1977.6036200000003</v>
      </c>
      <c r="EJ49" s="294">
        <f>'[2]PBF Run'!$AT56</f>
        <v>0</v>
      </c>
      <c r="EK49" s="294">
        <f>'[2]11-12 Workload Reduction'!H56</f>
        <v>178171452</v>
      </c>
      <c r="EL49" s="294">
        <f>'[2]13-14 $86M Workload Restore'!AI54</f>
        <v>3973954</v>
      </c>
      <c r="EM49" s="294">
        <f>'[2]13-14 $86M Workload Restore'!AC54</f>
        <v>0</v>
      </c>
      <c r="EN49" s="294">
        <f>'[2]13-14 deferrals, growth, EPA 1'!BJ56</f>
        <v>28837907</v>
      </c>
      <c r="EO49" s="293">
        <f t="shared" si="52"/>
        <v>197969112</v>
      </c>
      <c r="EP49" s="292">
        <v>0</v>
      </c>
      <c r="EQ49" s="292">
        <v>0</v>
      </c>
      <c r="ER49" s="292">
        <v>0</v>
      </c>
      <c r="ES49" s="16">
        <f t="shared" si="53"/>
        <v>0</v>
      </c>
    </row>
    <row r="50" spans="1:149">
      <c r="A50" s="291" t="s">
        <v>257</v>
      </c>
      <c r="B50" s="290" t="str">
        <f t="shared" si="54"/>
        <v>P2</v>
      </c>
      <c r="C50" s="285" t="s">
        <v>305</v>
      </c>
      <c r="D50" s="289" t="s">
        <v>304</v>
      </c>
      <c r="E50" s="288">
        <f>ROUND('[2]PBF Run'!N57,6)</f>
        <v>4704.1546200000003</v>
      </c>
      <c r="F50" s="285">
        <f t="shared" si="55"/>
        <v>4675.9030433300004</v>
      </c>
      <c r="G50" s="285">
        <f t="shared" si="56"/>
        <v>2788.0536374600001</v>
      </c>
      <c r="H50" s="285">
        <f t="shared" si="57"/>
        <v>2811.7520933800001</v>
      </c>
      <c r="I50" s="285">
        <f t="shared" si="58"/>
        <v>3282.8110613200001</v>
      </c>
      <c r="J50" s="285">
        <f t="shared" si="59"/>
        <v>3310.71495534</v>
      </c>
      <c r="K50" s="308">
        <f>ROUND([2]FTES!C57,3)</f>
        <v>22887.040000000001</v>
      </c>
      <c r="L50" s="308">
        <f>ROUND([2]FTES!F57,3)</f>
        <v>0</v>
      </c>
      <c r="M50" s="308">
        <f>ROUND('[2]Growth Deficit'!AG57,3)</f>
        <v>0</v>
      </c>
      <c r="N50" s="308">
        <f>ROUND([2]FTES!I57,3)</f>
        <v>-6577.36</v>
      </c>
      <c r="O50" s="308">
        <f>ROUND([2]FTES!E57,3)</f>
        <v>16309.68</v>
      </c>
      <c r="P50" s="308">
        <f>ROUND([2]FTES!L57,3)</f>
        <v>2660.35</v>
      </c>
      <c r="Q50" s="308">
        <f>ROUND([2]FTES!O57,3)</f>
        <v>0</v>
      </c>
      <c r="R50" s="308">
        <f>ROUND('[2]Growth Deficit'!$AH57,3)</f>
        <v>0</v>
      </c>
      <c r="S50" s="308">
        <f>ROUND([2]FTES!R57,3)</f>
        <v>-1043.99</v>
      </c>
      <c r="T50" s="308">
        <f>ROUND([2]FTES!N57,3)</f>
        <v>1616.36</v>
      </c>
      <c r="U50" s="308">
        <f>ROUND([2]FTES!U57,3)</f>
        <v>7073.91</v>
      </c>
      <c r="V50" s="308">
        <f>ROUND([2]FTES!X57,3)</f>
        <v>0</v>
      </c>
      <c r="W50" s="308">
        <f>ROUND('[2]Growth Deficit'!$AI57,3)</f>
        <v>0</v>
      </c>
      <c r="X50" s="308">
        <f>ROUND([2]FTES!AA57,3)</f>
        <v>-1455.32</v>
      </c>
      <c r="Y50" s="308">
        <f>ROUND([2]FTES!W57,3)</f>
        <v>5618.59</v>
      </c>
      <c r="Z50" s="307">
        <f>'[2]FTES Adjustment'!CW57</f>
        <v>16309.68</v>
      </c>
      <c r="AA50" s="307">
        <f>'[2]FTES Adjustment'!CX57</f>
        <v>1616.3600000000004</v>
      </c>
      <c r="AB50" s="307">
        <f>'[2]FTES Adjustment'!CY57</f>
        <v>5618.59</v>
      </c>
      <c r="AC50" s="275">
        <f t="shared" si="31"/>
        <v>32621.3</v>
      </c>
      <c r="AD50" s="275">
        <f t="shared" si="32"/>
        <v>0</v>
      </c>
      <c r="AE50" s="275">
        <f t="shared" si="33"/>
        <v>0</v>
      </c>
      <c r="AF50" s="275">
        <f t="shared" si="34"/>
        <v>-9076.67</v>
      </c>
      <c r="AG50" s="275">
        <f t="shared" si="35"/>
        <v>23544.63</v>
      </c>
      <c r="AH50" s="275">
        <f t="shared" si="36"/>
        <v>23544.63</v>
      </c>
      <c r="AI50" s="302">
        <f>'[2]PBF Run'!F57</f>
        <v>12651354</v>
      </c>
      <c r="AJ50" s="302">
        <f>'[2]PBF Run'!H57+'[2]PBF Run'!I57+'[2]PBF Run'!J57+'[2]PBF Run'!L57</f>
        <v>138303683</v>
      </c>
      <c r="AK50" s="306">
        <f>'[2]PBF Run'!J57 + '[2]PBF Run'!$L57</f>
        <v>107664175</v>
      </c>
      <c r="AL50" s="302">
        <f>'[2]PBF Run'!H57</f>
        <v>7417198</v>
      </c>
      <c r="AM50" s="302">
        <f>'[2]PBF Run'!I57</f>
        <v>23222310</v>
      </c>
      <c r="AN50" s="305">
        <f>'[2]Restoration and Growth'!BM57</f>
        <v>-38184123.946455136</v>
      </c>
      <c r="AO50" s="278">
        <f t="shared" si="37"/>
        <v>112770913.05354486</v>
      </c>
      <c r="AP50" s="285" t="str">
        <f t="shared" si="60"/>
        <v>0.85%</v>
      </c>
      <c r="AQ50" s="302">
        <f>'[2]PBF Run'!O57</f>
        <v>958553</v>
      </c>
      <c r="AR50" s="278">
        <f t="shared" si="38"/>
        <v>113729466.05354486</v>
      </c>
      <c r="AS50" s="302">
        <f>'[2]PBF Run'!$AD57</f>
        <v>0</v>
      </c>
      <c r="AT50" s="302">
        <f>'[2]PBF Run'!$T57</f>
        <v>0</v>
      </c>
      <c r="AU50" s="278">
        <f t="shared" si="39"/>
        <v>0</v>
      </c>
      <c r="AV50" s="304">
        <f>'[2]Restoration and Growth'!BT57</f>
        <v>0</v>
      </c>
      <c r="AW50" s="304" t="str">
        <f>'[2]Restoration and Growth'!AP57</f>
        <v>N</v>
      </c>
      <c r="AX50" s="302">
        <f>'[2]Restoration and Growth'!CV57</f>
        <v>0</v>
      </c>
      <c r="AY50" s="302">
        <f>'[2]Growth Deficit'!$AO57</f>
        <v>0</v>
      </c>
      <c r="AZ50" s="302">
        <f>'[2]Growth Deficit'!AO57</f>
        <v>0</v>
      </c>
      <c r="BA50" s="302">
        <f>'[2]Growth Deficit'!AL57</f>
        <v>0</v>
      </c>
      <c r="BB50" s="302">
        <f>'[2]Growth Deficit'!AM57</f>
        <v>0</v>
      </c>
      <c r="BC50" s="302">
        <f>'[2]Growth Deficit'!AN57</f>
        <v>0</v>
      </c>
      <c r="BD50" s="302">
        <f>'[2]Growth Deficit'!AO57</f>
        <v>0</v>
      </c>
      <c r="BE50" s="302">
        <f>'[2]PBF Run'!AA57</f>
        <v>0</v>
      </c>
      <c r="BF50" s="302">
        <f>'[2]PBF Run'!AB57</f>
        <v>0</v>
      </c>
      <c r="BG50" s="302">
        <f>'[2]PBF Run'!AC57</f>
        <v>0</v>
      </c>
      <c r="BH50" s="302">
        <f>'[2]PBF Run'!AD57</f>
        <v>0</v>
      </c>
      <c r="BI50" s="278">
        <f t="shared" si="40"/>
        <v>0</v>
      </c>
      <c r="BJ50" s="302">
        <f>'[2]PBF Run'!X57</f>
        <v>38508689</v>
      </c>
      <c r="BK50" s="302">
        <f>'[2]PBF Run'!AE57</f>
        <v>152238155</v>
      </c>
      <c r="BL50" s="282">
        <f t="shared" si="41"/>
        <v>0.98518541557469608</v>
      </c>
      <c r="BM50" s="302">
        <f>'[2]PBF Run'!AM57</f>
        <v>2255345</v>
      </c>
      <c r="BN50" s="302">
        <f>'[2]PBF Run'!$AN57</f>
        <v>54792299</v>
      </c>
      <c r="BO50" s="302">
        <f>'[2]PBF Run'!$AO57</f>
        <v>0</v>
      </c>
      <c r="BP50" s="302">
        <f>'[2]PBF Run'!AC57</f>
        <v>0</v>
      </c>
      <c r="BQ50" s="278">
        <f t="shared" si="42"/>
        <v>54792299</v>
      </c>
      <c r="BR50" s="302">
        <f>'[2]PBF Run'!AJ57</f>
        <v>63689669</v>
      </c>
      <c r="BS50" s="302">
        <f>'[2]PBF Run'!AI57</f>
        <v>7849702</v>
      </c>
      <c r="BT50" s="302">
        <f>'[2]PBF Run'!$AN57</f>
        <v>54792299</v>
      </c>
      <c r="BU50" s="302">
        <f>'[2]PBF Run'!$AN57</f>
        <v>54792299</v>
      </c>
      <c r="BV50" s="302">
        <f>'[2]PBF Run'!BI57</f>
        <v>0</v>
      </c>
      <c r="BW50" s="303">
        <f>'[2]PBF Run'!BH57</f>
        <v>0</v>
      </c>
      <c r="BX50" s="278">
        <f t="shared" si="61"/>
        <v>69532</v>
      </c>
      <c r="BY50" s="278">
        <f t="shared" si="43"/>
        <v>54792299</v>
      </c>
      <c r="BZ50" s="302">
        <f>'[2]As of 13-14 R1'!BP57</f>
        <v>0</v>
      </c>
      <c r="CA50" s="302">
        <f>'[2]As of 13-14 R1'!BQ57</f>
        <v>6056194</v>
      </c>
      <c r="CB50" s="302">
        <f>'[2]As of 13-14 R1'!BR57</f>
        <v>0</v>
      </c>
      <c r="CC50" s="278">
        <f t="shared" si="44"/>
        <v>6056194</v>
      </c>
      <c r="CD50" s="301">
        <f>'[2]Growth Deficit'!$D$2</f>
        <v>0</v>
      </c>
      <c r="CE50" s="300">
        <f>IF($CS50="S",'[2]Foundation Grant'!C57,0)</f>
        <v>1</v>
      </c>
      <c r="CF50" s="300">
        <f>IF($CS50="S",'[2]Foundation Grant'!D57,0)</f>
        <v>0</v>
      </c>
      <c r="CG50" s="300">
        <f>IF($CS50="S",'[2]Foundation Grant'!E57,0)</f>
        <v>0</v>
      </c>
      <c r="CH50" s="300">
        <f>IF($CS50="S",'[2]Foundation Grant'!F57,0)</f>
        <v>1</v>
      </c>
      <c r="CI50" s="300">
        <f>IF($CS50="M",'[2]Foundation Grant'!C57,0)</f>
        <v>0</v>
      </c>
      <c r="CJ50" s="300">
        <f>IF($CS50="M",'[2]Foundation Grant'!D57,0)</f>
        <v>0</v>
      </c>
      <c r="CK50" s="300">
        <f>IF($CS50="M",'[2]Foundation Grant'!E57,0)</f>
        <v>0</v>
      </c>
      <c r="CL50" s="300">
        <f>IF($CS50="M",'[2]Foundation Grant'!F57,0)</f>
        <v>0</v>
      </c>
      <c r="CM50" s="300">
        <f>'[2]Foundation Grant'!G57</f>
        <v>5</v>
      </c>
      <c r="CN50" s="300">
        <f>'[2]Foundation Grant'!H57</f>
        <v>0</v>
      </c>
      <c r="CO50" s="300">
        <f>'[2]Foundation Grant'!I57</f>
        <v>0</v>
      </c>
      <c r="CP50" s="300">
        <f>'[2]Foundation Grant'!J57</f>
        <v>1</v>
      </c>
      <c r="CQ50" s="300">
        <f>'[2]Foundation Grant'!K57</f>
        <v>0</v>
      </c>
      <c r="CR50" s="299">
        <f>'[2]Foundation Grant'!L57</f>
        <v>6</v>
      </c>
      <c r="CS50" s="300" t="str">
        <f>'[2]Foundation Grant'!M57</f>
        <v>S</v>
      </c>
      <c r="CT50" s="300">
        <f>'[2]Foundation Grant'!N57</f>
        <v>12651354</v>
      </c>
      <c r="CU50" s="299">
        <f>'[2]Foundation Grant'!O57</f>
        <v>0</v>
      </c>
      <c r="CV50" s="299">
        <f>'[2]Foundation Grant'!P57</f>
        <v>1</v>
      </c>
      <c r="CW50" s="298">
        <f>'[2]Foundation Grant'!$C$1</f>
        <v>5622823</v>
      </c>
      <c r="CX50" s="298">
        <f>'[2]Foundation Grant'!$D$1</f>
        <v>4498258</v>
      </c>
      <c r="CY50" s="298">
        <f>'[2]Foundation Grant'!$E$1</f>
        <v>3373694</v>
      </c>
      <c r="CZ50" s="298">
        <f>'[2]Foundation Grant'!$C$2</f>
        <v>4498258</v>
      </c>
      <c r="DA50" s="298">
        <f>'[2]Foundation Grant'!$D$2</f>
        <v>3935976</v>
      </c>
      <c r="DB50" s="298">
        <f>'[2]Foundation Grant'!$E$2</f>
        <v>3373694</v>
      </c>
      <c r="DC50" s="298">
        <f>'[2]Foundation Grant'!$G$1</f>
        <v>1124565</v>
      </c>
      <c r="DD50" s="298">
        <f>'[2]Foundation Grant'!$H$1</f>
        <v>843423</v>
      </c>
      <c r="DE50" s="298">
        <f>'[2]Foundation Grant'!$I$1</f>
        <v>562282</v>
      </c>
      <c r="DF50" s="298">
        <f>'[2]Foundation Grant'!$J$1</f>
        <v>281141</v>
      </c>
      <c r="DG50" s="298">
        <f>'[2]Foundation Grant'!$K$1</f>
        <v>140571</v>
      </c>
      <c r="DH50" s="298">
        <f>'[2]Foundation Grant'!$O$1</f>
        <v>562282</v>
      </c>
      <c r="DI50" s="298">
        <f>'[2]Foundation Grant'!$P$1</f>
        <v>1124565</v>
      </c>
      <c r="DJ50" s="297">
        <f>'[2]basic allocation'!$C$10</f>
        <v>18749</v>
      </c>
      <c r="DK50" s="297">
        <f>'[2]basic allocation'!$D$10</f>
        <v>9375</v>
      </c>
      <c r="DL50" s="297">
        <f>'[2]basic allocation'!$E$10</f>
        <v>9375</v>
      </c>
      <c r="DM50" s="297">
        <f>'[2]basic allocation'!$I$10</f>
        <v>938</v>
      </c>
      <c r="DN50" s="297">
        <f>'[2]basic allocation'!$J$10</f>
        <v>703</v>
      </c>
      <c r="DO50" s="297">
        <f>'[2]basic allocation'!$K$10</f>
        <v>469</v>
      </c>
      <c r="DP50" s="297">
        <f>'[2]basic allocation'!$L$10</f>
        <v>234</v>
      </c>
      <c r="DQ50" s="297">
        <f>'[2]basic allocation'!$M$10</f>
        <v>100</v>
      </c>
      <c r="DR50" s="296">
        <f>'[2]FTES Adjustment'!DQ57</f>
        <v>0</v>
      </c>
      <c r="DS50" s="296">
        <f>'[2]FTES Adjustment'!DR57</f>
        <v>0</v>
      </c>
      <c r="DT50" s="296">
        <f>'[2]FTES Adjustment'!DS57</f>
        <v>0</v>
      </c>
      <c r="DU50" s="277">
        <f t="shared" si="45"/>
        <v>0</v>
      </c>
      <c r="DV50" s="276">
        <f t="shared" si="46"/>
        <v>0</v>
      </c>
      <c r="DW50" s="276">
        <f t="shared" si="47"/>
        <v>0</v>
      </c>
      <c r="DX50" s="276">
        <f t="shared" si="48"/>
        <v>0</v>
      </c>
      <c r="DY50" s="276">
        <f t="shared" si="49"/>
        <v>0</v>
      </c>
      <c r="DZ50" s="295">
        <f>ROUND([2]FTES!$D57,3)</f>
        <v>22887.040000000001</v>
      </c>
      <c r="EA50" s="295">
        <f>ROUND([2]FTES!$M57,3)</f>
        <v>2660.35</v>
      </c>
      <c r="EB50" s="295">
        <f>ROUND([2]FTES!$V57,3)</f>
        <v>7073.91</v>
      </c>
      <c r="EC50" s="276">
        <f t="shared" si="50"/>
        <v>32621.3</v>
      </c>
      <c r="ED50" s="133">
        <v>0</v>
      </c>
      <c r="EE50" s="294">
        <f>'[2]10-11 WkLd126M'!$E55</f>
        <v>3571265</v>
      </c>
      <c r="EF50" s="295">
        <f>'[2]FTES Adjustment'!CG57</f>
        <v>0</v>
      </c>
      <c r="EG50" s="295">
        <f>'[2]FTES Adjustment'!CH57</f>
        <v>0</v>
      </c>
      <c r="EH50" s="295">
        <f>'[2]FTES Adjustment'!CI57</f>
        <v>0</v>
      </c>
      <c r="EI50" s="276">
        <f t="shared" si="51"/>
        <v>0</v>
      </c>
      <c r="EJ50" s="294">
        <f>'[2]PBF Run'!$AT57</f>
        <v>0</v>
      </c>
      <c r="EK50" s="294">
        <f>'[2]11-12 Workload Reduction'!H57</f>
        <v>153995438</v>
      </c>
      <c r="EL50" s="294">
        <f>'[2]13-14 $86M Workload Restore'!AI55</f>
        <v>0</v>
      </c>
      <c r="EM50" s="294">
        <f>'[2]13-14 $86M Workload Restore'!AC55</f>
        <v>0</v>
      </c>
      <c r="EN50" s="294">
        <f>'[2]13-14 deferrals, growth, EPA 1'!BJ57</f>
        <v>22602579</v>
      </c>
      <c r="EO50" s="293">
        <f t="shared" si="52"/>
        <v>149982810</v>
      </c>
      <c r="EP50" s="292">
        <v>0</v>
      </c>
      <c r="EQ50" s="292">
        <v>0</v>
      </c>
      <c r="ER50" s="292">
        <v>0</v>
      </c>
      <c r="ES50" s="16">
        <f t="shared" si="53"/>
        <v>0</v>
      </c>
    </row>
    <row r="51" spans="1:149">
      <c r="A51" s="291" t="s">
        <v>257</v>
      </c>
      <c r="B51" s="290" t="str">
        <f t="shared" si="54"/>
        <v>P2</v>
      </c>
      <c r="C51" s="285" t="s">
        <v>303</v>
      </c>
      <c r="D51" s="289" t="s">
        <v>302</v>
      </c>
      <c r="E51" s="288">
        <f>ROUND('[2]PBF Run'!N58,6)</f>
        <v>4636.4928309999996</v>
      </c>
      <c r="F51" s="285">
        <f t="shared" si="55"/>
        <v>4675.9030433300004</v>
      </c>
      <c r="G51" s="285">
        <f t="shared" si="56"/>
        <v>2788.0536374600001</v>
      </c>
      <c r="H51" s="285">
        <f t="shared" si="57"/>
        <v>2811.7520933800001</v>
      </c>
      <c r="I51" s="285">
        <f t="shared" si="58"/>
        <v>3282.8110613200001</v>
      </c>
      <c r="J51" s="285">
        <f t="shared" si="59"/>
        <v>3310.71495534</v>
      </c>
      <c r="K51" s="308">
        <f>ROUND([2]FTES!C58,3)</f>
        <v>15297.74</v>
      </c>
      <c r="L51" s="308">
        <f>ROUND([2]FTES!F58,3)</f>
        <v>0</v>
      </c>
      <c r="M51" s="308">
        <f>ROUND('[2]Growth Deficit'!AG58,3)</f>
        <v>0</v>
      </c>
      <c r="N51" s="308">
        <f>ROUND([2]FTES!I58,3)</f>
        <v>0</v>
      </c>
      <c r="O51" s="308">
        <f>ROUND([2]FTES!E58,3)</f>
        <v>15697.33</v>
      </c>
      <c r="P51" s="308">
        <f>ROUND([2]FTES!L58,3)</f>
        <v>162.66999999999999</v>
      </c>
      <c r="Q51" s="308">
        <f>ROUND([2]FTES!O58,3)</f>
        <v>0</v>
      </c>
      <c r="R51" s="308">
        <f>ROUND('[2]Growth Deficit'!$AH58,3)</f>
        <v>0</v>
      </c>
      <c r="S51" s="308">
        <f>ROUND([2]FTES!R58,3)</f>
        <v>0</v>
      </c>
      <c r="T51" s="308">
        <f>ROUND([2]FTES!N58,3)</f>
        <v>162.74</v>
      </c>
      <c r="U51" s="308">
        <f>ROUND([2]FTES!U58,3)</f>
        <v>0</v>
      </c>
      <c r="V51" s="308">
        <f>ROUND([2]FTES!X58,3)</f>
        <v>0</v>
      </c>
      <c r="W51" s="308">
        <f>ROUND('[2]Growth Deficit'!$AI58,3)</f>
        <v>0</v>
      </c>
      <c r="X51" s="308">
        <f>ROUND([2]FTES!AA58,3)</f>
        <v>0</v>
      </c>
      <c r="Y51" s="308">
        <f>ROUND([2]FTES!W58,3)</f>
        <v>0</v>
      </c>
      <c r="Z51" s="307">
        <f>'[2]FTES Adjustment'!CW58</f>
        <v>15697.330015</v>
      </c>
      <c r="AA51" s="307">
        <f>'[2]FTES Adjustment'!CX58</f>
        <v>162.73999999999998</v>
      </c>
      <c r="AB51" s="307">
        <f>'[2]FTES Adjustment'!CY58</f>
        <v>0</v>
      </c>
      <c r="AC51" s="275">
        <f t="shared" si="31"/>
        <v>15460.41</v>
      </c>
      <c r="AD51" s="275">
        <f t="shared" si="32"/>
        <v>0</v>
      </c>
      <c r="AE51" s="275">
        <f t="shared" si="33"/>
        <v>0</v>
      </c>
      <c r="AF51" s="275">
        <f t="shared" si="34"/>
        <v>0</v>
      </c>
      <c r="AG51" s="275">
        <f t="shared" si="35"/>
        <v>15860.07</v>
      </c>
      <c r="AH51" s="275">
        <f t="shared" si="36"/>
        <v>15860.07</v>
      </c>
      <c r="AI51" s="302">
        <f>'[2]PBF Run'!F58</f>
        <v>5622823</v>
      </c>
      <c r="AJ51" s="302">
        <f>'[2]PBF Run'!H58+'[2]PBF Run'!I58+'[2]PBF Run'!J58+'[2]PBF Run'!L58</f>
        <v>71381395</v>
      </c>
      <c r="AK51" s="306">
        <f>'[2]PBF Run'!J58 + '[2]PBF Run'!$L58</f>
        <v>70927862</v>
      </c>
      <c r="AL51" s="302">
        <f>'[2]PBF Run'!H58</f>
        <v>453533</v>
      </c>
      <c r="AM51" s="302">
        <f>'[2]PBF Run'!I58</f>
        <v>0</v>
      </c>
      <c r="AN51" s="305">
        <f>'[2]Restoration and Growth'!BM58</f>
        <v>0</v>
      </c>
      <c r="AO51" s="278">
        <f t="shared" si="37"/>
        <v>77004218</v>
      </c>
      <c r="AP51" s="285" t="str">
        <f t="shared" si="60"/>
        <v>0.85%</v>
      </c>
      <c r="AQ51" s="302">
        <f>'[2]PBF Run'!O58</f>
        <v>654536</v>
      </c>
      <c r="AR51" s="278">
        <f t="shared" si="38"/>
        <v>77658754</v>
      </c>
      <c r="AS51" s="302">
        <f>'[2]PBF Run'!$AD58</f>
        <v>0</v>
      </c>
      <c r="AT51" s="302">
        <f>'[2]PBF Run'!$T58</f>
        <v>0</v>
      </c>
      <c r="AU51" s="278">
        <f t="shared" si="39"/>
        <v>1030509</v>
      </c>
      <c r="AV51" s="304">
        <f>'[2]Restoration and Growth'!BT58</f>
        <v>0</v>
      </c>
      <c r="AW51" s="304" t="str">
        <f>'[2]Restoration and Growth'!AP58</f>
        <v>Y</v>
      </c>
      <c r="AX51" s="302">
        <f>'[2]Restoration and Growth'!CV58</f>
        <v>0</v>
      </c>
      <c r="AY51" s="302">
        <f>'[2]Growth Deficit'!$AO58</f>
        <v>0</v>
      </c>
      <c r="AZ51" s="302">
        <f>'[2]Growth Deficit'!AO58</f>
        <v>0</v>
      </c>
      <c r="BA51" s="302">
        <f>'[2]Growth Deficit'!AL58</f>
        <v>0</v>
      </c>
      <c r="BB51" s="302">
        <f>'[2]Growth Deficit'!AM58</f>
        <v>0</v>
      </c>
      <c r="BC51" s="302">
        <f>'[2]Growth Deficit'!AN58</f>
        <v>0</v>
      </c>
      <c r="BD51" s="302">
        <f>'[2]Growth Deficit'!AO58</f>
        <v>0</v>
      </c>
      <c r="BE51" s="302">
        <f>'[2]PBF Run'!AA58</f>
        <v>0</v>
      </c>
      <c r="BF51" s="302">
        <f>'[2]PBF Run'!AB58</f>
        <v>0</v>
      </c>
      <c r="BG51" s="302">
        <f>'[2]PBF Run'!AC58</f>
        <v>0</v>
      </c>
      <c r="BH51" s="302">
        <f>'[2]PBF Run'!AD58</f>
        <v>0</v>
      </c>
      <c r="BI51" s="278">
        <f t="shared" si="40"/>
        <v>0</v>
      </c>
      <c r="BJ51" s="302">
        <f>'[2]PBF Run'!X58</f>
        <v>0</v>
      </c>
      <c r="BK51" s="302">
        <f>'[2]PBF Run'!AE58</f>
        <v>79527395</v>
      </c>
      <c r="BL51" s="282">
        <f t="shared" si="41"/>
        <v>0.98518541943942717</v>
      </c>
      <c r="BM51" s="302">
        <f>'[2]PBF Run'!AM58</f>
        <v>1178165</v>
      </c>
      <c r="BN51" s="302">
        <f>'[2]PBF Run'!$AN58</f>
        <v>36384131</v>
      </c>
      <c r="BO51" s="302">
        <f>'[2]PBF Run'!$AO58</f>
        <v>0</v>
      </c>
      <c r="BP51" s="302">
        <f>'[2]PBF Run'!AC58</f>
        <v>0</v>
      </c>
      <c r="BQ51" s="278">
        <f t="shared" si="42"/>
        <v>36384131</v>
      </c>
      <c r="BR51" s="302">
        <f>'[2]PBF Run'!AJ58</f>
        <v>25928108</v>
      </c>
      <c r="BS51" s="302">
        <f>'[2]PBF Run'!AI58</f>
        <v>3599904</v>
      </c>
      <c r="BT51" s="302">
        <f>'[2]PBF Run'!$AN58</f>
        <v>36384131</v>
      </c>
      <c r="BU51" s="302">
        <f>'[2]PBF Run'!$AN58</f>
        <v>36384131</v>
      </c>
      <c r="BV51" s="302">
        <f>'[2]PBF Run'!BI58</f>
        <v>0</v>
      </c>
      <c r="BW51" s="303">
        <f>'[2]PBF Run'!BH58</f>
        <v>0</v>
      </c>
      <c r="BX51" s="278">
        <f t="shared" si="61"/>
        <v>69532</v>
      </c>
      <c r="BY51" s="278">
        <f t="shared" si="43"/>
        <v>36384131</v>
      </c>
      <c r="BZ51" s="302">
        <f>'[2]As of 13-14 R1'!BP58</f>
        <v>0</v>
      </c>
      <c r="CA51" s="302">
        <f>'[2]As of 13-14 R1'!BQ58</f>
        <v>0</v>
      </c>
      <c r="CB51" s="302">
        <f>'[2]As of 13-14 R1'!BR58</f>
        <v>0</v>
      </c>
      <c r="CC51" s="278">
        <f t="shared" si="44"/>
        <v>0</v>
      </c>
      <c r="CD51" s="301">
        <f>'[2]Growth Deficit'!$D$2</f>
        <v>0</v>
      </c>
      <c r="CE51" s="300">
        <f>IF($CS51="S",'[2]Foundation Grant'!C58,0)</f>
        <v>0</v>
      </c>
      <c r="CF51" s="300">
        <f>IF($CS51="S",'[2]Foundation Grant'!D58,0)</f>
        <v>1</v>
      </c>
      <c r="CG51" s="300">
        <f>IF($CS51="S",'[2]Foundation Grant'!E58,0)</f>
        <v>0</v>
      </c>
      <c r="CH51" s="300">
        <f>IF($CS51="S",'[2]Foundation Grant'!F58,0)</f>
        <v>1</v>
      </c>
      <c r="CI51" s="300">
        <f>IF($CS51="M",'[2]Foundation Grant'!C58,0)</f>
        <v>0</v>
      </c>
      <c r="CJ51" s="300">
        <f>IF($CS51="M",'[2]Foundation Grant'!D58,0)</f>
        <v>0</v>
      </c>
      <c r="CK51" s="300">
        <f>IF($CS51="M",'[2]Foundation Grant'!E58,0)</f>
        <v>0</v>
      </c>
      <c r="CL51" s="300">
        <f>IF($CS51="M",'[2]Foundation Grant'!F58,0)</f>
        <v>0</v>
      </c>
      <c r="CM51" s="300">
        <f>'[2]Foundation Grant'!G58</f>
        <v>1</v>
      </c>
      <c r="CN51" s="300">
        <f>'[2]Foundation Grant'!H58</f>
        <v>0</v>
      </c>
      <c r="CO51" s="300">
        <f>'[2]Foundation Grant'!I58</f>
        <v>0</v>
      </c>
      <c r="CP51" s="300">
        <f>'[2]Foundation Grant'!J58</f>
        <v>0</v>
      </c>
      <c r="CQ51" s="300">
        <f>'[2]Foundation Grant'!K58</f>
        <v>0</v>
      </c>
      <c r="CR51" s="299">
        <f>'[2]Foundation Grant'!L58</f>
        <v>1</v>
      </c>
      <c r="CS51" s="300" t="str">
        <f>'[2]Foundation Grant'!M58</f>
        <v>S</v>
      </c>
      <c r="CT51" s="300">
        <f>'[2]Foundation Grant'!N58</f>
        <v>5622823</v>
      </c>
      <c r="CU51" s="299">
        <f>'[2]Foundation Grant'!O58</f>
        <v>0</v>
      </c>
      <c r="CV51" s="299">
        <f>'[2]Foundation Grant'!P58</f>
        <v>0</v>
      </c>
      <c r="CW51" s="298">
        <f>'[2]Foundation Grant'!$C$1</f>
        <v>5622823</v>
      </c>
      <c r="CX51" s="298">
        <f>'[2]Foundation Grant'!$D$1</f>
        <v>4498258</v>
      </c>
      <c r="CY51" s="298">
        <f>'[2]Foundation Grant'!$E$1</f>
        <v>3373694</v>
      </c>
      <c r="CZ51" s="298">
        <f>'[2]Foundation Grant'!$C$2</f>
        <v>4498258</v>
      </c>
      <c r="DA51" s="298">
        <f>'[2]Foundation Grant'!$D$2</f>
        <v>3935976</v>
      </c>
      <c r="DB51" s="298">
        <f>'[2]Foundation Grant'!$E$2</f>
        <v>3373694</v>
      </c>
      <c r="DC51" s="298">
        <f>'[2]Foundation Grant'!$G$1</f>
        <v>1124565</v>
      </c>
      <c r="DD51" s="298">
        <f>'[2]Foundation Grant'!$H$1</f>
        <v>843423</v>
      </c>
      <c r="DE51" s="298">
        <f>'[2]Foundation Grant'!$I$1</f>
        <v>562282</v>
      </c>
      <c r="DF51" s="298">
        <f>'[2]Foundation Grant'!$J$1</f>
        <v>281141</v>
      </c>
      <c r="DG51" s="298">
        <f>'[2]Foundation Grant'!$K$1</f>
        <v>140571</v>
      </c>
      <c r="DH51" s="298">
        <f>'[2]Foundation Grant'!$O$1</f>
        <v>562282</v>
      </c>
      <c r="DI51" s="298">
        <f>'[2]Foundation Grant'!$P$1</f>
        <v>1124565</v>
      </c>
      <c r="DJ51" s="297">
        <f>'[2]basic allocation'!$C$10</f>
        <v>18749</v>
      </c>
      <c r="DK51" s="297">
        <f>'[2]basic allocation'!$D$10</f>
        <v>9375</v>
      </c>
      <c r="DL51" s="297">
        <f>'[2]basic allocation'!$E$10</f>
        <v>9375</v>
      </c>
      <c r="DM51" s="297">
        <f>'[2]basic allocation'!$I$10</f>
        <v>938</v>
      </c>
      <c r="DN51" s="297">
        <f>'[2]basic allocation'!$J$10</f>
        <v>703</v>
      </c>
      <c r="DO51" s="297">
        <f>'[2]basic allocation'!$K$10</f>
        <v>469</v>
      </c>
      <c r="DP51" s="297">
        <f>'[2]basic allocation'!$L$10</f>
        <v>234</v>
      </c>
      <c r="DQ51" s="297">
        <f>'[2]basic allocation'!$M$10</f>
        <v>100</v>
      </c>
      <c r="DR51" s="296">
        <f>'[2]FTES Adjustment'!DQ58</f>
        <v>-1.4999999621068127E-5</v>
      </c>
      <c r="DS51" s="296">
        <f>'[2]FTES Adjustment'!DR58</f>
        <v>0</v>
      </c>
      <c r="DT51" s="296">
        <f>'[2]FTES Adjustment'!DS58</f>
        <v>0</v>
      </c>
      <c r="DU51" s="277">
        <f t="shared" si="45"/>
        <v>0</v>
      </c>
      <c r="DV51" s="276">
        <f t="shared" si="46"/>
        <v>399.58997900000003</v>
      </c>
      <c r="DW51" s="276">
        <f t="shared" si="47"/>
        <v>7.0000000000000007E-2</v>
      </c>
      <c r="DX51" s="276">
        <f t="shared" si="48"/>
        <v>0</v>
      </c>
      <c r="DY51" s="276">
        <f t="shared" si="49"/>
        <v>399.66</v>
      </c>
      <c r="DZ51" s="295">
        <f>ROUND([2]FTES!$D58,3)</f>
        <v>15297.74</v>
      </c>
      <c r="EA51" s="295">
        <f>ROUND([2]FTES!$M58,3)</f>
        <v>162.66999999999999</v>
      </c>
      <c r="EB51" s="295">
        <f>ROUND([2]FTES!$V58,3)</f>
        <v>0</v>
      </c>
      <c r="EC51" s="276">
        <f t="shared" si="50"/>
        <v>15460.41</v>
      </c>
      <c r="ED51" s="133">
        <v>0</v>
      </c>
      <c r="EE51" s="294">
        <f>'[2]10-11 WkLd126M'!$E56</f>
        <v>1779908</v>
      </c>
      <c r="EF51" s="295">
        <f>'[2]FTES Adjustment'!CG58</f>
        <v>399.58997900000003</v>
      </c>
      <c r="EG51" s="295">
        <f>'[2]FTES Adjustment'!CH58</f>
        <v>7.0000000000000007E-2</v>
      </c>
      <c r="EH51" s="295">
        <f>'[2]FTES Adjustment'!CI58</f>
        <v>0</v>
      </c>
      <c r="EI51" s="276">
        <f t="shared" si="51"/>
        <v>399.65997900000002</v>
      </c>
      <c r="EJ51" s="294">
        <f>'[2]PBF Run'!$AT58</f>
        <v>0</v>
      </c>
      <c r="EK51" s="294">
        <f>'[2]11-12 Workload Reduction'!H58</f>
        <v>73912045</v>
      </c>
      <c r="EL51" s="294">
        <f>'[2]13-14 $86M Workload Restore'!AI56</f>
        <v>1030509</v>
      </c>
      <c r="EM51" s="294">
        <f>'[2]13-14 $86M Workload Restore'!AC56</f>
        <v>0</v>
      </c>
      <c r="EN51" s="294">
        <f>'[2]13-14 deferrals, growth, EPA 1'!BJ58</f>
        <v>11734841</v>
      </c>
      <c r="EO51" s="293">
        <f t="shared" si="52"/>
        <v>78349230</v>
      </c>
      <c r="EP51" s="292">
        <v>0</v>
      </c>
      <c r="EQ51" s="292">
        <v>0</v>
      </c>
      <c r="ER51" s="292">
        <v>0</v>
      </c>
      <c r="ES51" s="16">
        <f t="shared" si="53"/>
        <v>0</v>
      </c>
    </row>
    <row r="52" spans="1:149">
      <c r="A52" s="291" t="s">
        <v>257</v>
      </c>
      <c r="B52" s="290" t="str">
        <f t="shared" si="54"/>
        <v>P2</v>
      </c>
      <c r="C52" s="285" t="s">
        <v>301</v>
      </c>
      <c r="D52" s="289" t="s">
        <v>300</v>
      </c>
      <c r="E52" s="288">
        <f>ROUND('[2]PBF Run'!N59,6)</f>
        <v>4656.0166019999997</v>
      </c>
      <c r="F52" s="285">
        <f t="shared" si="55"/>
        <v>4675.9030433300004</v>
      </c>
      <c r="G52" s="285">
        <f t="shared" si="56"/>
        <v>2788.0536374600001</v>
      </c>
      <c r="H52" s="285">
        <f t="shared" si="57"/>
        <v>2811.7520933800001</v>
      </c>
      <c r="I52" s="285">
        <f t="shared" si="58"/>
        <v>3282.8110613200001</v>
      </c>
      <c r="J52" s="285">
        <f t="shared" si="59"/>
        <v>3310.71495534</v>
      </c>
      <c r="K52" s="308">
        <f>ROUND([2]FTES!C59,3)</f>
        <v>12945.68</v>
      </c>
      <c r="L52" s="308">
        <f>ROUND([2]FTES!F59,3)</f>
        <v>0</v>
      </c>
      <c r="M52" s="308">
        <f>ROUND('[2]Growth Deficit'!AG59,3)</f>
        <v>0</v>
      </c>
      <c r="N52" s="308">
        <f>ROUND([2]FTES!I59,3)</f>
        <v>-687.29</v>
      </c>
      <c r="O52" s="308">
        <f>ROUND([2]FTES!E59,3)</f>
        <v>12258.39</v>
      </c>
      <c r="P52" s="308">
        <f>ROUND([2]FTES!L59,3)</f>
        <v>106.48</v>
      </c>
      <c r="Q52" s="308">
        <f>ROUND([2]FTES!O59,3)</f>
        <v>0</v>
      </c>
      <c r="R52" s="308">
        <f>ROUND('[2]Growth Deficit'!$AH59,3)</f>
        <v>0</v>
      </c>
      <c r="S52" s="308">
        <f>ROUND([2]FTES!R59,3)</f>
        <v>0.97</v>
      </c>
      <c r="T52" s="308">
        <f>ROUND([2]FTES!N59,3)</f>
        <v>107.45</v>
      </c>
      <c r="U52" s="308">
        <f>ROUND([2]FTES!U59,3)</f>
        <v>0</v>
      </c>
      <c r="V52" s="308">
        <f>ROUND([2]FTES!X59,3)</f>
        <v>0</v>
      </c>
      <c r="W52" s="308">
        <f>ROUND('[2]Growth Deficit'!$AI59,3)</f>
        <v>0</v>
      </c>
      <c r="X52" s="308">
        <f>ROUND([2]FTES!AA59,3)</f>
        <v>0</v>
      </c>
      <c r="Y52" s="308">
        <f>ROUND([2]FTES!W59,3)</f>
        <v>0</v>
      </c>
      <c r="Z52" s="307">
        <f>'[2]FTES Adjustment'!CW59</f>
        <v>12258.39</v>
      </c>
      <c r="AA52" s="307">
        <f>'[2]FTES Adjustment'!CX59</f>
        <v>107.44999999999999</v>
      </c>
      <c r="AB52" s="307">
        <f>'[2]FTES Adjustment'!CY59</f>
        <v>0</v>
      </c>
      <c r="AC52" s="275">
        <f t="shared" si="31"/>
        <v>13052.16</v>
      </c>
      <c r="AD52" s="275">
        <f t="shared" si="32"/>
        <v>0</v>
      </c>
      <c r="AE52" s="275">
        <f t="shared" si="33"/>
        <v>0</v>
      </c>
      <c r="AF52" s="275">
        <f t="shared" si="34"/>
        <v>-686.32</v>
      </c>
      <c r="AG52" s="275">
        <f t="shared" si="35"/>
        <v>12365.84</v>
      </c>
      <c r="AH52" s="275">
        <f t="shared" si="36"/>
        <v>12365.84</v>
      </c>
      <c r="AI52" s="302">
        <f>'[2]PBF Run'!F59</f>
        <v>6747388</v>
      </c>
      <c r="AJ52" s="302">
        <f>'[2]PBF Run'!H59+'[2]PBF Run'!I59+'[2]PBF Run'!J59+'[2]PBF Run'!L59</f>
        <v>60572173</v>
      </c>
      <c r="AK52" s="306">
        <f>'[2]PBF Run'!J59 + '[2]PBF Run'!$L59</f>
        <v>60275301</v>
      </c>
      <c r="AL52" s="302">
        <f>'[2]PBF Run'!H59</f>
        <v>296872</v>
      </c>
      <c r="AM52" s="302">
        <f>'[2]PBF Run'!I59</f>
        <v>0</v>
      </c>
      <c r="AN52" s="305">
        <f>'[2]Restoration and Growth'!BM59</f>
        <v>-3183910.7585523054</v>
      </c>
      <c r="AO52" s="278">
        <f t="shared" si="37"/>
        <v>64135650.241447695</v>
      </c>
      <c r="AP52" s="285" t="str">
        <f t="shared" si="60"/>
        <v>0.85%</v>
      </c>
      <c r="AQ52" s="302">
        <f>'[2]PBF Run'!O59</f>
        <v>545153</v>
      </c>
      <c r="AR52" s="278">
        <f t="shared" si="38"/>
        <v>64680803.241447695</v>
      </c>
      <c r="AS52" s="302">
        <f>'[2]PBF Run'!$AD59</f>
        <v>0</v>
      </c>
      <c r="AT52" s="302">
        <f>'[2]PBF Run'!$T59</f>
        <v>0</v>
      </c>
      <c r="AU52" s="278">
        <f t="shared" si="39"/>
        <v>0</v>
      </c>
      <c r="AV52" s="304">
        <f>'[2]Restoration and Growth'!BT59</f>
        <v>0</v>
      </c>
      <c r="AW52" s="304" t="str">
        <f>'[2]Restoration and Growth'!AP59</f>
        <v>N</v>
      </c>
      <c r="AX52" s="302">
        <f>'[2]Restoration and Growth'!CV59</f>
        <v>0</v>
      </c>
      <c r="AY52" s="302">
        <f>'[2]Growth Deficit'!$AO59</f>
        <v>0</v>
      </c>
      <c r="AZ52" s="302">
        <f>'[2]Growth Deficit'!AO59</f>
        <v>0</v>
      </c>
      <c r="BA52" s="302">
        <f>'[2]Growth Deficit'!AL59</f>
        <v>0</v>
      </c>
      <c r="BB52" s="302">
        <f>'[2]Growth Deficit'!AM59</f>
        <v>0</v>
      </c>
      <c r="BC52" s="302">
        <f>'[2]Growth Deficit'!AN59</f>
        <v>0</v>
      </c>
      <c r="BD52" s="302">
        <f>'[2]Growth Deficit'!AO59</f>
        <v>0</v>
      </c>
      <c r="BE52" s="302">
        <f>'[2]PBF Run'!AA59</f>
        <v>0</v>
      </c>
      <c r="BF52" s="302">
        <f>'[2]PBF Run'!AB59</f>
        <v>0</v>
      </c>
      <c r="BG52" s="302">
        <f>'[2]PBF Run'!AC59</f>
        <v>0</v>
      </c>
      <c r="BH52" s="302">
        <f>'[2]PBF Run'!AD59</f>
        <v>0</v>
      </c>
      <c r="BI52" s="278">
        <f t="shared" si="40"/>
        <v>0</v>
      </c>
      <c r="BJ52" s="302">
        <f>'[2]PBF Run'!X59</f>
        <v>3210974</v>
      </c>
      <c r="BK52" s="302">
        <f>'[2]PBF Run'!AE59</f>
        <v>67891777</v>
      </c>
      <c r="BL52" s="282">
        <f t="shared" si="41"/>
        <v>1</v>
      </c>
      <c r="BM52" s="302">
        <f>'[2]PBF Run'!AM59</f>
        <v>0</v>
      </c>
      <c r="BN52" s="302">
        <f>'[2]PBF Run'!$AN59</f>
        <v>0</v>
      </c>
      <c r="BO52" s="302">
        <f>'[2]PBF Run'!$AO59</f>
        <v>14471315</v>
      </c>
      <c r="BP52" s="302">
        <f>'[2]PBF Run'!AC59</f>
        <v>0</v>
      </c>
      <c r="BQ52" s="278">
        <f t="shared" si="42"/>
        <v>0</v>
      </c>
      <c r="BR52" s="302">
        <f>'[2]PBF Run'!AJ59</f>
        <v>76610819</v>
      </c>
      <c r="BS52" s="302">
        <f>'[2]PBF Run'!AI59</f>
        <v>4515689</v>
      </c>
      <c r="BT52" s="302">
        <f>'[2]PBF Run'!$AN59</f>
        <v>0</v>
      </c>
      <c r="BU52" s="302">
        <f>'[2]PBF Run'!$AN59</f>
        <v>0</v>
      </c>
      <c r="BV52" s="302">
        <f>'[2]PBF Run'!BI59</f>
        <v>0</v>
      </c>
      <c r="BW52" s="303">
        <f>'[2]PBF Run'!BH59</f>
        <v>0</v>
      </c>
      <c r="BX52" s="278">
        <f t="shared" si="61"/>
        <v>69532</v>
      </c>
      <c r="BY52" s="278">
        <f t="shared" si="43"/>
        <v>0</v>
      </c>
      <c r="BZ52" s="302">
        <f>'[2]As of 13-14 R1'!BP59</f>
        <v>0</v>
      </c>
      <c r="CA52" s="302">
        <f>'[2]As of 13-14 R1'!BQ59</f>
        <v>0</v>
      </c>
      <c r="CB52" s="302">
        <f>'[2]As of 13-14 R1'!BR59</f>
        <v>1662569</v>
      </c>
      <c r="CC52" s="278">
        <f t="shared" si="44"/>
        <v>1662569</v>
      </c>
      <c r="CD52" s="301">
        <f>'[2]Growth Deficit'!$D$2</f>
        <v>0</v>
      </c>
      <c r="CE52" s="300">
        <f>IF($CS52="S",'[2]Foundation Grant'!C59,0)</f>
        <v>0</v>
      </c>
      <c r="CF52" s="300">
        <f>IF($CS52="S",'[2]Foundation Grant'!D59,0)</f>
        <v>0</v>
      </c>
      <c r="CG52" s="300">
        <f>IF($CS52="S",'[2]Foundation Grant'!E59,0)</f>
        <v>0</v>
      </c>
      <c r="CH52" s="300">
        <f>IF($CS52="S",'[2]Foundation Grant'!F59,0)</f>
        <v>0</v>
      </c>
      <c r="CI52" s="300">
        <f>IF($CS52="M",'[2]Foundation Grant'!C59,0)</f>
        <v>0</v>
      </c>
      <c r="CJ52" s="300">
        <f>IF($CS52="M",'[2]Foundation Grant'!D59,0)</f>
        <v>0</v>
      </c>
      <c r="CK52" s="300">
        <f>IF($CS52="M",'[2]Foundation Grant'!E59,0)</f>
        <v>2</v>
      </c>
      <c r="CL52" s="300">
        <f>IF($CS52="M",'[2]Foundation Grant'!F59,0)</f>
        <v>2</v>
      </c>
      <c r="CM52" s="300">
        <f>'[2]Foundation Grant'!G59</f>
        <v>0</v>
      </c>
      <c r="CN52" s="300">
        <f>'[2]Foundation Grant'!H59</f>
        <v>0</v>
      </c>
      <c r="CO52" s="300">
        <f>'[2]Foundation Grant'!I59</f>
        <v>0</v>
      </c>
      <c r="CP52" s="300">
        <f>'[2]Foundation Grant'!J59</f>
        <v>0</v>
      </c>
      <c r="CQ52" s="300">
        <f>'[2]Foundation Grant'!K59</f>
        <v>0</v>
      </c>
      <c r="CR52" s="299">
        <f>'[2]Foundation Grant'!L59</f>
        <v>0</v>
      </c>
      <c r="CS52" s="300" t="str">
        <f>'[2]Foundation Grant'!M59</f>
        <v>M</v>
      </c>
      <c r="CT52" s="300">
        <f>'[2]Foundation Grant'!N59</f>
        <v>6747388</v>
      </c>
      <c r="CU52" s="299">
        <f>'[2]Foundation Grant'!O59</f>
        <v>0</v>
      </c>
      <c r="CV52" s="299">
        <f>'[2]Foundation Grant'!P59</f>
        <v>0</v>
      </c>
      <c r="CW52" s="298">
        <f>'[2]Foundation Grant'!$C$1</f>
        <v>5622823</v>
      </c>
      <c r="CX52" s="298">
        <f>'[2]Foundation Grant'!$D$1</f>
        <v>4498258</v>
      </c>
      <c r="CY52" s="298">
        <f>'[2]Foundation Grant'!$E$1</f>
        <v>3373694</v>
      </c>
      <c r="CZ52" s="298">
        <f>'[2]Foundation Grant'!$C$2</f>
        <v>4498258</v>
      </c>
      <c r="DA52" s="298">
        <f>'[2]Foundation Grant'!$D$2</f>
        <v>3935976</v>
      </c>
      <c r="DB52" s="298">
        <f>'[2]Foundation Grant'!$E$2</f>
        <v>3373694</v>
      </c>
      <c r="DC52" s="298">
        <f>'[2]Foundation Grant'!$G$1</f>
        <v>1124565</v>
      </c>
      <c r="DD52" s="298">
        <f>'[2]Foundation Grant'!$H$1</f>
        <v>843423</v>
      </c>
      <c r="DE52" s="298">
        <f>'[2]Foundation Grant'!$I$1</f>
        <v>562282</v>
      </c>
      <c r="DF52" s="298">
        <f>'[2]Foundation Grant'!$J$1</f>
        <v>281141</v>
      </c>
      <c r="DG52" s="298">
        <f>'[2]Foundation Grant'!$K$1</f>
        <v>140571</v>
      </c>
      <c r="DH52" s="298">
        <f>'[2]Foundation Grant'!$O$1</f>
        <v>562282</v>
      </c>
      <c r="DI52" s="298">
        <f>'[2]Foundation Grant'!$P$1</f>
        <v>1124565</v>
      </c>
      <c r="DJ52" s="297">
        <f>'[2]basic allocation'!$C$10</f>
        <v>18749</v>
      </c>
      <c r="DK52" s="297">
        <f>'[2]basic allocation'!$D$10</f>
        <v>9375</v>
      </c>
      <c r="DL52" s="297">
        <f>'[2]basic allocation'!$E$10</f>
        <v>9375</v>
      </c>
      <c r="DM52" s="297">
        <f>'[2]basic allocation'!$I$10</f>
        <v>938</v>
      </c>
      <c r="DN52" s="297">
        <f>'[2]basic allocation'!$J$10</f>
        <v>703</v>
      </c>
      <c r="DO52" s="297">
        <f>'[2]basic allocation'!$K$10</f>
        <v>469</v>
      </c>
      <c r="DP52" s="297">
        <f>'[2]basic allocation'!$L$10</f>
        <v>234</v>
      </c>
      <c r="DQ52" s="297">
        <f>'[2]basic allocation'!$M$10</f>
        <v>100</v>
      </c>
      <c r="DR52" s="296">
        <f>'[2]FTES Adjustment'!DQ59</f>
        <v>0</v>
      </c>
      <c r="DS52" s="296">
        <f>'[2]FTES Adjustment'!DR59</f>
        <v>0</v>
      </c>
      <c r="DT52" s="296">
        <f>'[2]FTES Adjustment'!DS59</f>
        <v>0</v>
      </c>
      <c r="DU52" s="277">
        <f t="shared" si="45"/>
        <v>0</v>
      </c>
      <c r="DV52" s="276">
        <f t="shared" si="46"/>
        <v>0</v>
      </c>
      <c r="DW52" s="276">
        <f t="shared" si="47"/>
        <v>0</v>
      </c>
      <c r="DX52" s="276">
        <f t="shared" si="48"/>
        <v>0</v>
      </c>
      <c r="DY52" s="276">
        <f t="shared" si="49"/>
        <v>0</v>
      </c>
      <c r="DZ52" s="295">
        <f>ROUND([2]FTES!$D59,3)</f>
        <v>12945.68</v>
      </c>
      <c r="EA52" s="295">
        <f>ROUND([2]FTES!$M59,3)</f>
        <v>106.48</v>
      </c>
      <c r="EB52" s="295">
        <f>ROUND([2]FTES!$V59,3)</f>
        <v>0</v>
      </c>
      <c r="EC52" s="276">
        <f t="shared" si="50"/>
        <v>13052.16</v>
      </c>
      <c r="ED52" s="133">
        <v>0</v>
      </c>
      <c r="EE52" s="294">
        <f>'[2]10-11 WkLd126M'!$E57</f>
        <v>1689859</v>
      </c>
      <c r="EF52" s="295">
        <f>'[2]FTES Adjustment'!CG59</f>
        <v>0</v>
      </c>
      <c r="EG52" s="295">
        <f>'[2]FTES Adjustment'!CH59</f>
        <v>0</v>
      </c>
      <c r="EH52" s="295">
        <f>'[2]FTES Adjustment'!CI59</f>
        <v>0</v>
      </c>
      <c r="EI52" s="276">
        <f t="shared" si="51"/>
        <v>0</v>
      </c>
      <c r="EJ52" s="294">
        <f>'[2]PBF Run'!$AT59</f>
        <v>0</v>
      </c>
      <c r="EK52" s="294">
        <f>'[2]11-12 Workload Reduction'!H59</f>
        <v>68785399</v>
      </c>
      <c r="EL52" s="294">
        <f>'[2]13-14 $86M Workload Restore'!AI57</f>
        <v>0</v>
      </c>
      <c r="EM52" s="294">
        <f>'[2]13-14 $86M Workload Restore'!AC57</f>
        <v>0</v>
      </c>
      <c r="EN52" s="294">
        <f>'[2]13-14 deferrals, growth, EPA 1'!BJ59</f>
        <v>1288194</v>
      </c>
      <c r="EO52" s="293">
        <f t="shared" si="52"/>
        <v>67891777</v>
      </c>
      <c r="EP52" s="292">
        <v>0</v>
      </c>
      <c r="EQ52" s="292">
        <v>0</v>
      </c>
      <c r="ER52" s="292">
        <v>0</v>
      </c>
      <c r="ES52" s="16">
        <f t="shared" si="53"/>
        <v>0</v>
      </c>
    </row>
    <row r="53" spans="1:149">
      <c r="A53" s="291" t="s">
        <v>257</v>
      </c>
      <c r="B53" s="290" t="str">
        <f t="shared" si="54"/>
        <v>P2</v>
      </c>
      <c r="C53" s="285" t="s">
        <v>299</v>
      </c>
      <c r="D53" s="289" t="s">
        <v>298</v>
      </c>
      <c r="E53" s="288">
        <f>ROUND('[2]PBF Run'!N60,6)</f>
        <v>4636.4927950000001</v>
      </c>
      <c r="F53" s="285">
        <f t="shared" si="55"/>
        <v>4675.9030433300004</v>
      </c>
      <c r="G53" s="285">
        <f t="shared" si="56"/>
        <v>2788.0536374600001</v>
      </c>
      <c r="H53" s="285">
        <f t="shared" si="57"/>
        <v>2811.7520933800001</v>
      </c>
      <c r="I53" s="285">
        <f t="shared" si="58"/>
        <v>3282.8110613200001</v>
      </c>
      <c r="J53" s="285">
        <f t="shared" si="59"/>
        <v>3310.71495534</v>
      </c>
      <c r="K53" s="308">
        <f>ROUND([2]FTES!C60,3)</f>
        <v>8166.16</v>
      </c>
      <c r="L53" s="308">
        <f>ROUND([2]FTES!F60,3)</f>
        <v>0</v>
      </c>
      <c r="M53" s="308">
        <f>ROUND('[2]Growth Deficit'!AG60,3)</f>
        <v>0</v>
      </c>
      <c r="N53" s="308">
        <f>ROUND([2]FTES!I60,3)</f>
        <v>-1261.97</v>
      </c>
      <c r="O53" s="308">
        <f>ROUND([2]FTES!E60,3)</f>
        <v>6904.19</v>
      </c>
      <c r="P53" s="308">
        <f>ROUND([2]FTES!L60,3)</f>
        <v>67.91</v>
      </c>
      <c r="Q53" s="308">
        <f>ROUND([2]FTES!O60,3)</f>
        <v>0</v>
      </c>
      <c r="R53" s="308">
        <f>ROUND('[2]Growth Deficit'!$AH60,3)</f>
        <v>0</v>
      </c>
      <c r="S53" s="308">
        <f>ROUND([2]FTES!R60,3)</f>
        <v>24.98</v>
      </c>
      <c r="T53" s="308">
        <f>ROUND([2]FTES!N60,3)</f>
        <v>92.89</v>
      </c>
      <c r="U53" s="308">
        <f>ROUND([2]FTES!U60,3)</f>
        <v>145.86000000000001</v>
      </c>
      <c r="V53" s="308">
        <f>ROUND([2]FTES!X60,3)</f>
        <v>0</v>
      </c>
      <c r="W53" s="308">
        <f>ROUND('[2]Growth Deficit'!$AI60,3)</f>
        <v>0</v>
      </c>
      <c r="X53" s="308">
        <f>ROUND([2]FTES!AA60,3)</f>
        <v>19.43</v>
      </c>
      <c r="Y53" s="308">
        <f>ROUND([2]FTES!W60,3)</f>
        <v>165.29</v>
      </c>
      <c r="Z53" s="307">
        <f>'[2]FTES Adjustment'!CW60</f>
        <v>6904.1899999999987</v>
      </c>
      <c r="AA53" s="307">
        <f>'[2]FTES Adjustment'!CX60</f>
        <v>92.89</v>
      </c>
      <c r="AB53" s="307">
        <f>'[2]FTES Adjustment'!CY60</f>
        <v>165.29000000000002</v>
      </c>
      <c r="AC53" s="275">
        <f t="shared" si="31"/>
        <v>8379.93</v>
      </c>
      <c r="AD53" s="275">
        <f t="shared" si="32"/>
        <v>0</v>
      </c>
      <c r="AE53" s="275">
        <f t="shared" si="33"/>
        <v>0</v>
      </c>
      <c r="AF53" s="275">
        <f t="shared" si="34"/>
        <v>-1217.56</v>
      </c>
      <c r="AG53" s="275">
        <f t="shared" si="35"/>
        <v>7162.37</v>
      </c>
      <c r="AH53" s="275">
        <f t="shared" si="36"/>
        <v>7162.37</v>
      </c>
      <c r="AI53" s="302">
        <f>'[2]PBF Run'!F60</f>
        <v>4498259</v>
      </c>
      <c r="AJ53" s="302">
        <f>'[2]PBF Run'!H60+'[2]PBF Run'!I60+'[2]PBF Run'!J60+'[2]PBF Run'!L60</f>
        <v>38530510</v>
      </c>
      <c r="AK53" s="306">
        <f>'[2]PBF Run'!J60 + '[2]PBF Run'!$L60</f>
        <v>37862342</v>
      </c>
      <c r="AL53" s="302">
        <f>'[2]PBF Run'!H60</f>
        <v>189337</v>
      </c>
      <c r="AM53" s="302">
        <f>'[2]PBF Run'!I60</f>
        <v>478831</v>
      </c>
      <c r="AN53" s="305">
        <f>'[2]Restoration and Growth'!BM60</f>
        <v>-5717684.6802181462</v>
      </c>
      <c r="AO53" s="278">
        <f t="shared" si="37"/>
        <v>37311084.319781855</v>
      </c>
      <c r="AP53" s="285" t="str">
        <f t="shared" si="60"/>
        <v>0.85%</v>
      </c>
      <c r="AQ53" s="302">
        <f>'[2]PBF Run'!O60</f>
        <v>317144</v>
      </c>
      <c r="AR53" s="278">
        <f t="shared" si="38"/>
        <v>37628228.319781855</v>
      </c>
      <c r="AS53" s="302">
        <f>'[2]PBF Run'!$AD60</f>
        <v>0</v>
      </c>
      <c r="AT53" s="302">
        <f>'[2]PBF Run'!$T60</f>
        <v>0</v>
      </c>
      <c r="AU53" s="278">
        <f t="shared" si="39"/>
        <v>0</v>
      </c>
      <c r="AV53" s="304">
        <f>'[2]Restoration and Growth'!BT60</f>
        <v>0</v>
      </c>
      <c r="AW53" s="304" t="str">
        <f>'[2]Restoration and Growth'!AP60</f>
        <v>N</v>
      </c>
      <c r="AX53" s="302">
        <f>'[2]Restoration and Growth'!CV60</f>
        <v>0</v>
      </c>
      <c r="AY53" s="302">
        <f>'[2]Growth Deficit'!$AO60</f>
        <v>0</v>
      </c>
      <c r="AZ53" s="302">
        <f>'[2]Growth Deficit'!AO60</f>
        <v>0</v>
      </c>
      <c r="BA53" s="302">
        <f>'[2]Growth Deficit'!AL60</f>
        <v>0</v>
      </c>
      <c r="BB53" s="302">
        <f>'[2]Growth Deficit'!AM60</f>
        <v>0</v>
      </c>
      <c r="BC53" s="302">
        <f>'[2]Growth Deficit'!AN60</f>
        <v>0</v>
      </c>
      <c r="BD53" s="302">
        <f>'[2]Growth Deficit'!AO60</f>
        <v>0</v>
      </c>
      <c r="BE53" s="302">
        <f>'[2]PBF Run'!AA60</f>
        <v>0</v>
      </c>
      <c r="BF53" s="302">
        <f>'[2]PBF Run'!AB60</f>
        <v>0</v>
      </c>
      <c r="BG53" s="302">
        <f>'[2]PBF Run'!AC60</f>
        <v>0</v>
      </c>
      <c r="BH53" s="302">
        <f>'[2]PBF Run'!AD60</f>
        <v>0</v>
      </c>
      <c r="BI53" s="278">
        <f t="shared" si="40"/>
        <v>0</v>
      </c>
      <c r="BJ53" s="302">
        <f>'[2]PBF Run'!X60</f>
        <v>5766285</v>
      </c>
      <c r="BK53" s="302">
        <f>'[2]PBF Run'!AE60</f>
        <v>43394513</v>
      </c>
      <c r="BL53" s="282">
        <f t="shared" si="41"/>
        <v>0.98518540811830291</v>
      </c>
      <c r="BM53" s="302">
        <f>'[2]PBF Run'!AM60</f>
        <v>642872</v>
      </c>
      <c r="BN53" s="302">
        <f>'[2]PBF Run'!$AN60</f>
        <v>0</v>
      </c>
      <c r="BO53" s="302">
        <f>'[2]PBF Run'!$AO60</f>
        <v>0</v>
      </c>
      <c r="BP53" s="302">
        <f>'[2]PBF Run'!AC60</f>
        <v>0</v>
      </c>
      <c r="BQ53" s="278">
        <f t="shared" si="42"/>
        <v>0</v>
      </c>
      <c r="BR53" s="302">
        <f>'[2]PBF Run'!AJ60</f>
        <v>32427117</v>
      </c>
      <c r="BS53" s="302">
        <f>'[2]PBF Run'!AI60</f>
        <v>3949549</v>
      </c>
      <c r="BT53" s="302">
        <f>'[2]PBF Run'!$AN60</f>
        <v>0</v>
      </c>
      <c r="BU53" s="302">
        <f>'[2]PBF Run'!$AN60</f>
        <v>0</v>
      </c>
      <c r="BV53" s="302">
        <f>'[2]PBF Run'!BI60</f>
        <v>0</v>
      </c>
      <c r="BW53" s="303">
        <f>'[2]PBF Run'!BH60</f>
        <v>0</v>
      </c>
      <c r="BX53" s="278">
        <f t="shared" si="61"/>
        <v>69532</v>
      </c>
      <c r="BY53" s="278">
        <f t="shared" si="43"/>
        <v>0</v>
      </c>
      <c r="BZ53" s="302">
        <f>'[2]As of 13-14 R1'!BP60</f>
        <v>0</v>
      </c>
      <c r="CA53" s="302">
        <f>'[2]As of 13-14 R1'!BQ60</f>
        <v>0</v>
      </c>
      <c r="CB53" s="302">
        <f>'[2]As of 13-14 R1'!BR60</f>
        <v>3133649</v>
      </c>
      <c r="CC53" s="278">
        <f t="shared" si="44"/>
        <v>3133649</v>
      </c>
      <c r="CD53" s="301">
        <f>'[2]Growth Deficit'!$D$2</f>
        <v>0</v>
      </c>
      <c r="CE53" s="300">
        <f>IF($CS53="S",'[2]Foundation Grant'!C60,0)</f>
        <v>0</v>
      </c>
      <c r="CF53" s="300">
        <f>IF($CS53="S",'[2]Foundation Grant'!D60,0)</f>
        <v>0</v>
      </c>
      <c r="CG53" s="300">
        <f>IF($CS53="S",'[2]Foundation Grant'!E60,0)</f>
        <v>1</v>
      </c>
      <c r="CH53" s="300">
        <f>IF($CS53="S",'[2]Foundation Grant'!F60,0)</f>
        <v>1</v>
      </c>
      <c r="CI53" s="300">
        <f>IF($CS53="M",'[2]Foundation Grant'!C60,0)</f>
        <v>0</v>
      </c>
      <c r="CJ53" s="300">
        <f>IF($CS53="M",'[2]Foundation Grant'!D60,0)</f>
        <v>0</v>
      </c>
      <c r="CK53" s="300">
        <f>IF($CS53="M",'[2]Foundation Grant'!E60,0)</f>
        <v>0</v>
      </c>
      <c r="CL53" s="300">
        <f>IF($CS53="M",'[2]Foundation Grant'!F60,0)</f>
        <v>0</v>
      </c>
      <c r="CM53" s="300">
        <f>'[2]Foundation Grant'!G60</f>
        <v>0</v>
      </c>
      <c r="CN53" s="300">
        <f>'[2]Foundation Grant'!H60</f>
        <v>0</v>
      </c>
      <c r="CO53" s="300">
        <f>'[2]Foundation Grant'!I60</f>
        <v>0</v>
      </c>
      <c r="CP53" s="300">
        <f>'[2]Foundation Grant'!J60</f>
        <v>0</v>
      </c>
      <c r="CQ53" s="300">
        <f>'[2]Foundation Grant'!K60</f>
        <v>0</v>
      </c>
      <c r="CR53" s="299">
        <f>'[2]Foundation Grant'!L60</f>
        <v>0</v>
      </c>
      <c r="CS53" s="300" t="str">
        <f>'[2]Foundation Grant'!M60</f>
        <v>S</v>
      </c>
      <c r="CT53" s="300">
        <f>'[2]Foundation Grant'!N60</f>
        <v>4498259</v>
      </c>
      <c r="CU53" s="299">
        <f>'[2]Foundation Grant'!O60</f>
        <v>0</v>
      </c>
      <c r="CV53" s="299">
        <f>'[2]Foundation Grant'!P60</f>
        <v>1</v>
      </c>
      <c r="CW53" s="298">
        <f>'[2]Foundation Grant'!$C$1</f>
        <v>5622823</v>
      </c>
      <c r="CX53" s="298">
        <f>'[2]Foundation Grant'!$D$1</f>
        <v>4498258</v>
      </c>
      <c r="CY53" s="298">
        <f>'[2]Foundation Grant'!$E$1</f>
        <v>3373694</v>
      </c>
      <c r="CZ53" s="298">
        <f>'[2]Foundation Grant'!$C$2</f>
        <v>4498258</v>
      </c>
      <c r="DA53" s="298">
        <f>'[2]Foundation Grant'!$D$2</f>
        <v>3935976</v>
      </c>
      <c r="DB53" s="298">
        <f>'[2]Foundation Grant'!$E$2</f>
        <v>3373694</v>
      </c>
      <c r="DC53" s="298">
        <f>'[2]Foundation Grant'!$G$1</f>
        <v>1124565</v>
      </c>
      <c r="DD53" s="298">
        <f>'[2]Foundation Grant'!$H$1</f>
        <v>843423</v>
      </c>
      <c r="DE53" s="298">
        <f>'[2]Foundation Grant'!$I$1</f>
        <v>562282</v>
      </c>
      <c r="DF53" s="298">
        <f>'[2]Foundation Grant'!$J$1</f>
        <v>281141</v>
      </c>
      <c r="DG53" s="298">
        <f>'[2]Foundation Grant'!$K$1</f>
        <v>140571</v>
      </c>
      <c r="DH53" s="298">
        <f>'[2]Foundation Grant'!$O$1</f>
        <v>562282</v>
      </c>
      <c r="DI53" s="298">
        <f>'[2]Foundation Grant'!$P$1</f>
        <v>1124565</v>
      </c>
      <c r="DJ53" s="297">
        <f>'[2]basic allocation'!$C$10</f>
        <v>18749</v>
      </c>
      <c r="DK53" s="297">
        <f>'[2]basic allocation'!$D$10</f>
        <v>9375</v>
      </c>
      <c r="DL53" s="297">
        <f>'[2]basic allocation'!$E$10</f>
        <v>9375</v>
      </c>
      <c r="DM53" s="297">
        <f>'[2]basic allocation'!$I$10</f>
        <v>938</v>
      </c>
      <c r="DN53" s="297">
        <f>'[2]basic allocation'!$J$10</f>
        <v>703</v>
      </c>
      <c r="DO53" s="297">
        <f>'[2]basic allocation'!$K$10</f>
        <v>469</v>
      </c>
      <c r="DP53" s="297">
        <f>'[2]basic allocation'!$L$10</f>
        <v>234</v>
      </c>
      <c r="DQ53" s="297">
        <f>'[2]basic allocation'!$M$10</f>
        <v>100</v>
      </c>
      <c r="DR53" s="296">
        <f>'[2]FTES Adjustment'!DQ60</f>
        <v>0</v>
      </c>
      <c r="DS53" s="296">
        <f>'[2]FTES Adjustment'!DR60</f>
        <v>0</v>
      </c>
      <c r="DT53" s="296">
        <f>'[2]FTES Adjustment'!DS60</f>
        <v>0</v>
      </c>
      <c r="DU53" s="277">
        <f t="shared" si="45"/>
        <v>0</v>
      </c>
      <c r="DV53" s="276">
        <f t="shared" si="46"/>
        <v>0</v>
      </c>
      <c r="DW53" s="276">
        <f t="shared" si="47"/>
        <v>0</v>
      </c>
      <c r="DX53" s="276">
        <f t="shared" si="48"/>
        <v>0</v>
      </c>
      <c r="DY53" s="276">
        <f t="shared" si="49"/>
        <v>0</v>
      </c>
      <c r="DZ53" s="295">
        <f>ROUND([2]FTES!$D60,3)</f>
        <v>8166.16</v>
      </c>
      <c r="EA53" s="295">
        <f>ROUND([2]FTES!$M60,3)</f>
        <v>67.91</v>
      </c>
      <c r="EB53" s="295">
        <f>ROUND([2]FTES!$V60,3)</f>
        <v>145.86000000000001</v>
      </c>
      <c r="EC53" s="276">
        <f t="shared" si="50"/>
        <v>8379.93</v>
      </c>
      <c r="ED53" s="133">
        <v>0</v>
      </c>
      <c r="EE53" s="294">
        <f>'[2]10-11 WkLd126M'!$E58</f>
        <v>1073715</v>
      </c>
      <c r="EF53" s="295">
        <f>'[2]FTES Adjustment'!CG60</f>
        <v>0</v>
      </c>
      <c r="EG53" s="295">
        <f>'[2]FTES Adjustment'!CH60</f>
        <v>0</v>
      </c>
      <c r="EH53" s="295">
        <f>'[2]FTES Adjustment'!CI60</f>
        <v>0</v>
      </c>
      <c r="EI53" s="276">
        <f t="shared" si="51"/>
        <v>0</v>
      </c>
      <c r="EJ53" s="294">
        <f>'[2]PBF Run'!$AT60</f>
        <v>0</v>
      </c>
      <c r="EK53" s="294">
        <f>'[2]11-12 Workload Reduction'!H60</f>
        <v>42390379</v>
      </c>
      <c r="EL53" s="294">
        <f>'[2]13-14 $86M Workload Restore'!AI58</f>
        <v>0</v>
      </c>
      <c r="EM53" s="294">
        <f>'[2]13-14 $86M Workload Restore'!AC58</f>
        <v>0</v>
      </c>
      <c r="EN53" s="294">
        <f>'[2]13-14 deferrals, growth, EPA 1'!BJ60</f>
        <v>6251956</v>
      </c>
      <c r="EO53" s="293">
        <f t="shared" si="52"/>
        <v>42751641</v>
      </c>
      <c r="EP53" s="292">
        <v>0</v>
      </c>
      <c r="EQ53" s="292">
        <v>0</v>
      </c>
      <c r="ER53" s="292">
        <v>0</v>
      </c>
      <c r="ES53" s="16">
        <f t="shared" si="53"/>
        <v>0</v>
      </c>
    </row>
    <row r="54" spans="1:149">
      <c r="A54" s="291" t="s">
        <v>257</v>
      </c>
      <c r="B54" s="290" t="str">
        <f t="shared" si="54"/>
        <v>P2</v>
      </c>
      <c r="C54" s="285" t="s">
        <v>297</v>
      </c>
      <c r="D54" s="289" t="s">
        <v>296</v>
      </c>
      <c r="E54" s="288">
        <f>ROUND('[2]PBF Run'!N61,6)</f>
        <v>4636.4928319999999</v>
      </c>
      <c r="F54" s="285">
        <f t="shared" si="55"/>
        <v>4675.9030433300004</v>
      </c>
      <c r="G54" s="285">
        <f t="shared" si="56"/>
        <v>2788.0536374600001</v>
      </c>
      <c r="H54" s="285">
        <f t="shared" si="57"/>
        <v>2811.7520933800001</v>
      </c>
      <c r="I54" s="285">
        <f t="shared" si="58"/>
        <v>3282.8110613200001</v>
      </c>
      <c r="J54" s="285">
        <f t="shared" si="59"/>
        <v>3310.71495534</v>
      </c>
      <c r="K54" s="308">
        <f>ROUND([2]FTES!C61,3)</f>
        <v>18418.11</v>
      </c>
      <c r="L54" s="308">
        <f>ROUND([2]FTES!F61,3)</f>
        <v>0</v>
      </c>
      <c r="M54" s="308">
        <f>ROUND('[2]Growth Deficit'!AG61,3)</f>
        <v>0</v>
      </c>
      <c r="N54" s="308">
        <f>ROUND([2]FTES!I61,3)</f>
        <v>-893.58</v>
      </c>
      <c r="O54" s="308">
        <f>ROUND([2]FTES!E61,3)</f>
        <v>17524.53</v>
      </c>
      <c r="P54" s="308">
        <f>ROUND([2]FTES!L61,3)</f>
        <v>75.17</v>
      </c>
      <c r="Q54" s="308">
        <f>ROUND([2]FTES!O61,3)</f>
        <v>0</v>
      </c>
      <c r="R54" s="308">
        <f>ROUND('[2]Growth Deficit'!$AH61,3)</f>
        <v>0</v>
      </c>
      <c r="S54" s="308">
        <f>ROUND([2]FTES!R61,3)</f>
        <v>83.92</v>
      </c>
      <c r="T54" s="308">
        <f>ROUND([2]FTES!N61,3)</f>
        <v>159.09</v>
      </c>
      <c r="U54" s="308">
        <f>ROUND([2]FTES!U61,3)</f>
        <v>0</v>
      </c>
      <c r="V54" s="308">
        <f>ROUND([2]FTES!X61,3)</f>
        <v>0</v>
      </c>
      <c r="W54" s="308">
        <f>ROUND('[2]Growth Deficit'!$AI61,3)</f>
        <v>0</v>
      </c>
      <c r="X54" s="308">
        <f>ROUND([2]FTES!AA61,3)</f>
        <v>0</v>
      </c>
      <c r="Y54" s="308">
        <f>ROUND([2]FTES!W61,3)</f>
        <v>0</v>
      </c>
      <c r="Z54" s="307">
        <f>'[2]FTES Adjustment'!CW61</f>
        <v>17524.529999999995</v>
      </c>
      <c r="AA54" s="307">
        <f>'[2]FTES Adjustment'!CX61</f>
        <v>159.09000000000003</v>
      </c>
      <c r="AB54" s="307">
        <f>'[2]FTES Adjustment'!CY61</f>
        <v>0</v>
      </c>
      <c r="AC54" s="275">
        <f t="shared" si="31"/>
        <v>18493.28</v>
      </c>
      <c r="AD54" s="275">
        <f t="shared" si="32"/>
        <v>0</v>
      </c>
      <c r="AE54" s="275">
        <f t="shared" si="33"/>
        <v>0</v>
      </c>
      <c r="AF54" s="275">
        <f t="shared" si="34"/>
        <v>-809.66</v>
      </c>
      <c r="AG54" s="275">
        <f t="shared" si="35"/>
        <v>17683.62</v>
      </c>
      <c r="AH54" s="275">
        <f t="shared" si="36"/>
        <v>17683.62</v>
      </c>
      <c r="AI54" s="302">
        <f>'[2]PBF Run'!F61</f>
        <v>10121082</v>
      </c>
      <c r="AJ54" s="302">
        <f>'[2]PBF Run'!H61+'[2]PBF Run'!I61+'[2]PBF Run'!J61+'[2]PBF Run'!L61</f>
        <v>85605013</v>
      </c>
      <c r="AK54" s="306">
        <f>'[2]PBF Run'!J61 + '[2]PBF Run'!$L61</f>
        <v>85395435</v>
      </c>
      <c r="AL54" s="302">
        <f>'[2]PBF Run'!H61</f>
        <v>209578</v>
      </c>
      <c r="AM54" s="302">
        <f>'[2]PBF Run'!I61</f>
        <v>0</v>
      </c>
      <c r="AN54" s="305">
        <f>'[2]Restoration and Growth'!BM61</f>
        <v>-3909103.6192364902</v>
      </c>
      <c r="AO54" s="278">
        <f t="shared" si="37"/>
        <v>91816991.380763516</v>
      </c>
      <c r="AP54" s="285" t="str">
        <f t="shared" si="60"/>
        <v>0.85%</v>
      </c>
      <c r="AQ54" s="302">
        <f>'[2]PBF Run'!O61</f>
        <v>780444</v>
      </c>
      <c r="AR54" s="278">
        <f t="shared" si="38"/>
        <v>92597435.380763516</v>
      </c>
      <c r="AS54" s="302">
        <f>'[2]PBF Run'!$AD61</f>
        <v>0</v>
      </c>
      <c r="AT54" s="302">
        <f>'[2]PBF Run'!$T61</f>
        <v>0</v>
      </c>
      <c r="AU54" s="278">
        <f t="shared" si="39"/>
        <v>0</v>
      </c>
      <c r="AV54" s="304">
        <f>'[2]Restoration and Growth'!BT61</f>
        <v>0</v>
      </c>
      <c r="AW54" s="304" t="str">
        <f>'[2]Restoration and Growth'!AP61</f>
        <v>N</v>
      </c>
      <c r="AX54" s="302">
        <f>'[2]Restoration and Growth'!CV61</f>
        <v>0</v>
      </c>
      <c r="AY54" s="302">
        <f>'[2]Growth Deficit'!$AO61</f>
        <v>0</v>
      </c>
      <c r="AZ54" s="302">
        <f>'[2]Growth Deficit'!AO61</f>
        <v>0</v>
      </c>
      <c r="BA54" s="302">
        <f>'[2]Growth Deficit'!AL61</f>
        <v>0</v>
      </c>
      <c r="BB54" s="302">
        <f>'[2]Growth Deficit'!AM61</f>
        <v>0</v>
      </c>
      <c r="BC54" s="302">
        <f>'[2]Growth Deficit'!AN61</f>
        <v>0</v>
      </c>
      <c r="BD54" s="302">
        <f>'[2]Growth Deficit'!AO61</f>
        <v>0</v>
      </c>
      <c r="BE54" s="302">
        <f>'[2]PBF Run'!AA61</f>
        <v>0</v>
      </c>
      <c r="BF54" s="302">
        <f>'[2]PBF Run'!AB61</f>
        <v>0</v>
      </c>
      <c r="BG54" s="302">
        <f>'[2]PBF Run'!AC61</f>
        <v>0</v>
      </c>
      <c r="BH54" s="302">
        <f>'[2]PBF Run'!AD61</f>
        <v>0</v>
      </c>
      <c r="BI54" s="278">
        <f t="shared" si="40"/>
        <v>0</v>
      </c>
      <c r="BJ54" s="302">
        <f>'[2]PBF Run'!X61</f>
        <v>3942331</v>
      </c>
      <c r="BK54" s="302">
        <f>'[2]PBF Run'!AE61</f>
        <v>96539766</v>
      </c>
      <c r="BL54" s="282">
        <f t="shared" si="41"/>
        <v>1</v>
      </c>
      <c r="BM54" s="302">
        <f>'[2]PBF Run'!AM61</f>
        <v>0</v>
      </c>
      <c r="BN54" s="302">
        <f>'[2]PBF Run'!$AN61</f>
        <v>0</v>
      </c>
      <c r="BO54" s="302">
        <f>'[2]PBF Run'!$AO61</f>
        <v>27859714</v>
      </c>
      <c r="BP54" s="302">
        <f>'[2]PBF Run'!AC61</f>
        <v>0</v>
      </c>
      <c r="BQ54" s="278">
        <f t="shared" si="42"/>
        <v>0</v>
      </c>
      <c r="BR54" s="302">
        <f>'[2]PBF Run'!AJ61</f>
        <v>113280563</v>
      </c>
      <c r="BS54" s="302">
        <f>'[2]PBF Run'!AI61</f>
        <v>9350555</v>
      </c>
      <c r="BT54" s="302">
        <f>'[2]PBF Run'!$AN61</f>
        <v>0</v>
      </c>
      <c r="BU54" s="302">
        <f>'[2]PBF Run'!$AN61</f>
        <v>0</v>
      </c>
      <c r="BV54" s="302">
        <f>'[2]PBF Run'!BI61</f>
        <v>0</v>
      </c>
      <c r="BW54" s="303">
        <f>'[2]PBF Run'!BH61</f>
        <v>0</v>
      </c>
      <c r="BX54" s="278">
        <f t="shared" si="61"/>
        <v>69532</v>
      </c>
      <c r="BY54" s="278">
        <f t="shared" si="43"/>
        <v>0</v>
      </c>
      <c r="BZ54" s="302">
        <f>'[2]As of 13-14 R1'!BP61</f>
        <v>0</v>
      </c>
      <c r="CA54" s="302">
        <f>'[2]As of 13-14 R1'!BQ61</f>
        <v>2182320</v>
      </c>
      <c r="CB54" s="302">
        <f>'[2]As of 13-14 R1'!BR61</f>
        <v>1031974</v>
      </c>
      <c r="CC54" s="278">
        <f t="shared" si="44"/>
        <v>3214294</v>
      </c>
      <c r="CD54" s="301">
        <f>'[2]Growth Deficit'!$D$2</f>
        <v>0</v>
      </c>
      <c r="CE54" s="300">
        <f>IF($CS54="S",'[2]Foundation Grant'!C61,0)</f>
        <v>0</v>
      </c>
      <c r="CF54" s="300">
        <f>IF($CS54="S",'[2]Foundation Grant'!D61,0)</f>
        <v>0</v>
      </c>
      <c r="CG54" s="300">
        <f>IF($CS54="S",'[2]Foundation Grant'!E61,0)</f>
        <v>0</v>
      </c>
      <c r="CH54" s="300">
        <f>IF($CS54="S",'[2]Foundation Grant'!F61,0)</f>
        <v>0</v>
      </c>
      <c r="CI54" s="300">
        <f>IF($CS54="M",'[2]Foundation Grant'!C61,0)</f>
        <v>0</v>
      </c>
      <c r="CJ54" s="300">
        <f>IF($CS54="M",'[2]Foundation Grant'!D61,0)</f>
        <v>0</v>
      </c>
      <c r="CK54" s="300">
        <f>IF($CS54="M",'[2]Foundation Grant'!E61,0)</f>
        <v>3</v>
      </c>
      <c r="CL54" s="300">
        <f>IF($CS54="M",'[2]Foundation Grant'!F61,0)</f>
        <v>3</v>
      </c>
      <c r="CM54" s="300">
        <f>'[2]Foundation Grant'!G61</f>
        <v>0</v>
      </c>
      <c r="CN54" s="300">
        <f>'[2]Foundation Grant'!H61</f>
        <v>0</v>
      </c>
      <c r="CO54" s="300">
        <f>'[2]Foundation Grant'!I61</f>
        <v>0</v>
      </c>
      <c r="CP54" s="300">
        <f>'[2]Foundation Grant'!J61</f>
        <v>0</v>
      </c>
      <c r="CQ54" s="300">
        <f>'[2]Foundation Grant'!K61</f>
        <v>0</v>
      </c>
      <c r="CR54" s="299">
        <f>'[2]Foundation Grant'!L61</f>
        <v>0</v>
      </c>
      <c r="CS54" s="300" t="str">
        <f>'[2]Foundation Grant'!M61</f>
        <v>M</v>
      </c>
      <c r="CT54" s="300">
        <f>'[2]Foundation Grant'!N61</f>
        <v>10121082</v>
      </c>
      <c r="CU54" s="299">
        <f>'[2]Foundation Grant'!O61</f>
        <v>0</v>
      </c>
      <c r="CV54" s="299">
        <f>'[2]Foundation Grant'!P61</f>
        <v>0</v>
      </c>
      <c r="CW54" s="298">
        <f>'[2]Foundation Grant'!$C$1</f>
        <v>5622823</v>
      </c>
      <c r="CX54" s="298">
        <f>'[2]Foundation Grant'!$D$1</f>
        <v>4498258</v>
      </c>
      <c r="CY54" s="298">
        <f>'[2]Foundation Grant'!$E$1</f>
        <v>3373694</v>
      </c>
      <c r="CZ54" s="298">
        <f>'[2]Foundation Grant'!$C$2</f>
        <v>4498258</v>
      </c>
      <c r="DA54" s="298">
        <f>'[2]Foundation Grant'!$D$2</f>
        <v>3935976</v>
      </c>
      <c r="DB54" s="298">
        <f>'[2]Foundation Grant'!$E$2</f>
        <v>3373694</v>
      </c>
      <c r="DC54" s="298">
        <f>'[2]Foundation Grant'!$G$1</f>
        <v>1124565</v>
      </c>
      <c r="DD54" s="298">
        <f>'[2]Foundation Grant'!$H$1</f>
        <v>843423</v>
      </c>
      <c r="DE54" s="298">
        <f>'[2]Foundation Grant'!$I$1</f>
        <v>562282</v>
      </c>
      <c r="DF54" s="298">
        <f>'[2]Foundation Grant'!$J$1</f>
        <v>281141</v>
      </c>
      <c r="DG54" s="298">
        <f>'[2]Foundation Grant'!$K$1</f>
        <v>140571</v>
      </c>
      <c r="DH54" s="298">
        <f>'[2]Foundation Grant'!$O$1</f>
        <v>562282</v>
      </c>
      <c r="DI54" s="298">
        <f>'[2]Foundation Grant'!$P$1</f>
        <v>1124565</v>
      </c>
      <c r="DJ54" s="297">
        <f>'[2]basic allocation'!$C$10</f>
        <v>18749</v>
      </c>
      <c r="DK54" s="297">
        <f>'[2]basic allocation'!$D$10</f>
        <v>9375</v>
      </c>
      <c r="DL54" s="297">
        <f>'[2]basic allocation'!$E$10</f>
        <v>9375</v>
      </c>
      <c r="DM54" s="297">
        <f>'[2]basic allocation'!$I$10</f>
        <v>938</v>
      </c>
      <c r="DN54" s="297">
        <f>'[2]basic allocation'!$J$10</f>
        <v>703</v>
      </c>
      <c r="DO54" s="297">
        <f>'[2]basic allocation'!$K$10</f>
        <v>469</v>
      </c>
      <c r="DP54" s="297">
        <f>'[2]basic allocation'!$L$10</f>
        <v>234</v>
      </c>
      <c r="DQ54" s="297">
        <f>'[2]basic allocation'!$M$10</f>
        <v>100</v>
      </c>
      <c r="DR54" s="296">
        <f>'[2]FTES Adjustment'!DQ61</f>
        <v>0</v>
      </c>
      <c r="DS54" s="296">
        <f>'[2]FTES Adjustment'!DR61</f>
        <v>0</v>
      </c>
      <c r="DT54" s="296">
        <f>'[2]FTES Adjustment'!DS61</f>
        <v>0</v>
      </c>
      <c r="DU54" s="277">
        <f t="shared" si="45"/>
        <v>0</v>
      </c>
      <c r="DV54" s="276">
        <f t="shared" si="46"/>
        <v>0</v>
      </c>
      <c r="DW54" s="276">
        <f t="shared" si="47"/>
        <v>0</v>
      </c>
      <c r="DX54" s="276">
        <f t="shared" si="48"/>
        <v>0</v>
      </c>
      <c r="DY54" s="276">
        <f t="shared" si="49"/>
        <v>0</v>
      </c>
      <c r="DZ54" s="295">
        <f>ROUND([2]FTES!$D61,3)</f>
        <v>18418.11</v>
      </c>
      <c r="EA54" s="295">
        <f>ROUND([2]FTES!$M61,3)</f>
        <v>75.17</v>
      </c>
      <c r="EB54" s="295">
        <f>ROUND([2]FTES!$V61,3)</f>
        <v>0</v>
      </c>
      <c r="EC54" s="276">
        <f t="shared" si="50"/>
        <v>18493.28</v>
      </c>
      <c r="ED54" s="133">
        <v>0</v>
      </c>
      <c r="EE54" s="294">
        <f>'[2]10-11 WkLd126M'!$E59</f>
        <v>2428412</v>
      </c>
      <c r="EF54" s="295">
        <f>'[2]FTES Adjustment'!CG61</f>
        <v>0</v>
      </c>
      <c r="EG54" s="295">
        <f>'[2]FTES Adjustment'!CH61</f>
        <v>0</v>
      </c>
      <c r="EH54" s="295">
        <f>'[2]FTES Adjustment'!CI61</f>
        <v>0</v>
      </c>
      <c r="EI54" s="276">
        <f t="shared" si="51"/>
        <v>0</v>
      </c>
      <c r="EJ54" s="294">
        <f>'[2]PBF Run'!$AT61</f>
        <v>0</v>
      </c>
      <c r="EK54" s="294">
        <f>'[2]11-12 Workload Reduction'!H61</f>
        <v>98429909</v>
      </c>
      <c r="EL54" s="294">
        <f>'[2]13-14 $86M Workload Restore'!AI59</f>
        <v>0</v>
      </c>
      <c r="EM54" s="294">
        <f>'[2]13-14 $86M Workload Restore'!AC59</f>
        <v>0</v>
      </c>
      <c r="EN54" s="294">
        <f>'[2]13-14 deferrals, growth, EPA 1'!BJ61</f>
        <v>1890156</v>
      </c>
      <c r="EO54" s="293">
        <f t="shared" si="52"/>
        <v>96539766</v>
      </c>
      <c r="EP54" s="292">
        <v>0</v>
      </c>
      <c r="EQ54" s="292">
        <v>0</v>
      </c>
      <c r="ER54" s="292">
        <v>0</v>
      </c>
      <c r="ES54" s="16">
        <f t="shared" si="53"/>
        <v>0</v>
      </c>
    </row>
    <row r="55" spans="1:149">
      <c r="A55" s="291" t="s">
        <v>257</v>
      </c>
      <c r="B55" s="290" t="str">
        <f t="shared" si="54"/>
        <v>P2</v>
      </c>
      <c r="C55" s="285" t="s">
        <v>295</v>
      </c>
      <c r="D55" s="289" t="s">
        <v>294</v>
      </c>
      <c r="E55" s="288">
        <f>ROUND('[2]PBF Run'!N62,6)</f>
        <v>4636.4928900000004</v>
      </c>
      <c r="F55" s="285">
        <f t="shared" si="55"/>
        <v>4675.9030433300004</v>
      </c>
      <c r="G55" s="285">
        <f t="shared" si="56"/>
        <v>2788.0536374600001</v>
      </c>
      <c r="H55" s="285">
        <f t="shared" si="57"/>
        <v>2811.7520933800001</v>
      </c>
      <c r="I55" s="285">
        <f t="shared" si="58"/>
        <v>3282.8110613200001</v>
      </c>
      <c r="J55" s="285">
        <f t="shared" si="59"/>
        <v>3310.71495534</v>
      </c>
      <c r="K55" s="308">
        <f>ROUND([2]FTES!C62,3)</f>
        <v>12734.7</v>
      </c>
      <c r="L55" s="308">
        <f>ROUND([2]FTES!F62,3)</f>
        <v>709.82100000000003</v>
      </c>
      <c r="M55" s="308">
        <f>ROUND('[2]Growth Deficit'!AG62,3)</f>
        <v>0</v>
      </c>
      <c r="N55" s="308">
        <f>ROUND([2]FTES!I62,3)</f>
        <v>0</v>
      </c>
      <c r="O55" s="308">
        <f>ROUND([2]FTES!E62,3)</f>
        <v>13600.17</v>
      </c>
      <c r="P55" s="308">
        <f>ROUND([2]FTES!L62,3)</f>
        <v>327.93</v>
      </c>
      <c r="Q55" s="308">
        <f>ROUND([2]FTES!O62,3)</f>
        <v>0</v>
      </c>
      <c r="R55" s="308">
        <f>ROUND('[2]Growth Deficit'!$AH62,3)</f>
        <v>0</v>
      </c>
      <c r="S55" s="308">
        <f>ROUND([2]FTES!R62,3)</f>
        <v>0</v>
      </c>
      <c r="T55" s="308">
        <f>ROUND([2]FTES!N62,3)</f>
        <v>311.27</v>
      </c>
      <c r="U55" s="308">
        <f>ROUND([2]FTES!U62,3)</f>
        <v>515.61</v>
      </c>
      <c r="V55" s="308">
        <f>ROUND([2]FTES!X62,3)</f>
        <v>0</v>
      </c>
      <c r="W55" s="308">
        <f>ROUND('[2]Growth Deficit'!$AI62,3)</f>
        <v>0</v>
      </c>
      <c r="X55" s="308">
        <f>ROUND([2]FTES!AA62,3)</f>
        <v>0</v>
      </c>
      <c r="Y55" s="308">
        <f>ROUND([2]FTES!W62,3)</f>
        <v>628.37</v>
      </c>
      <c r="Z55" s="307">
        <f>'[2]FTES Adjustment'!CW62</f>
        <v>13600.170041000001</v>
      </c>
      <c r="AA55" s="307">
        <f>'[2]FTES Adjustment'!CX62</f>
        <v>311.27</v>
      </c>
      <c r="AB55" s="307">
        <f>'[2]FTES Adjustment'!CY62</f>
        <v>628.37</v>
      </c>
      <c r="AC55" s="275">
        <f t="shared" si="31"/>
        <v>13578.24</v>
      </c>
      <c r="AD55" s="275">
        <f t="shared" si="32"/>
        <v>709.82100000000003</v>
      </c>
      <c r="AE55" s="275">
        <f t="shared" si="33"/>
        <v>0</v>
      </c>
      <c r="AF55" s="275">
        <f t="shared" si="34"/>
        <v>0</v>
      </c>
      <c r="AG55" s="275">
        <f t="shared" si="35"/>
        <v>14539.81</v>
      </c>
      <c r="AH55" s="275">
        <f t="shared" si="36"/>
        <v>14539.81</v>
      </c>
      <c r="AI55" s="302">
        <f>'[2]PBF Run'!F62</f>
        <v>6747388</v>
      </c>
      <c r="AJ55" s="302">
        <f>'[2]PBF Run'!H62+'[2]PBF Run'!I62+'[2]PBF Run'!J62+'[2]PBF Run'!L62</f>
        <v>61651282</v>
      </c>
      <c r="AK55" s="306">
        <f>'[2]PBF Run'!J62 + '[2]PBF Run'!$L62</f>
        <v>59044346</v>
      </c>
      <c r="AL55" s="302">
        <f>'[2]PBF Run'!H62</f>
        <v>914286</v>
      </c>
      <c r="AM55" s="302">
        <f>'[2]PBF Run'!I62</f>
        <v>1692650</v>
      </c>
      <c r="AN55" s="305">
        <f>'[2]Restoration and Growth'!BM62</f>
        <v>0</v>
      </c>
      <c r="AO55" s="278">
        <f t="shared" si="37"/>
        <v>68398670</v>
      </c>
      <c r="AP55" s="285" t="str">
        <f t="shared" si="60"/>
        <v>0.85%</v>
      </c>
      <c r="AQ55" s="302">
        <f>'[2]PBF Run'!O62</f>
        <v>581389</v>
      </c>
      <c r="AR55" s="278">
        <f t="shared" si="38"/>
        <v>68980059</v>
      </c>
      <c r="AS55" s="302">
        <f>'[2]PBF Run'!$AD62</f>
        <v>0</v>
      </c>
      <c r="AT55" s="302">
        <f>'[2]PBF Run'!$T62</f>
        <v>3319053</v>
      </c>
      <c r="AU55" s="278">
        <f t="shared" si="39"/>
        <v>3319053</v>
      </c>
      <c r="AV55" s="304">
        <f>'[2]Restoration and Growth'!BT62</f>
        <v>0</v>
      </c>
      <c r="AW55" s="304" t="str">
        <f>'[2]Restoration and Growth'!AP62</f>
        <v>N</v>
      </c>
      <c r="AX55" s="302">
        <f>'[2]Restoration and Growth'!CV62</f>
        <v>0</v>
      </c>
      <c r="AY55" s="302">
        <f>'[2]Growth Deficit'!$AO62</f>
        <v>0</v>
      </c>
      <c r="AZ55" s="302">
        <f>'[2]Growth Deficit'!AO62</f>
        <v>0</v>
      </c>
      <c r="BA55" s="302">
        <f>'[2]Growth Deficit'!AL62</f>
        <v>0</v>
      </c>
      <c r="BB55" s="302">
        <f>'[2]Growth Deficit'!AM62</f>
        <v>0</v>
      </c>
      <c r="BC55" s="302">
        <f>'[2]Growth Deficit'!AN62</f>
        <v>0</v>
      </c>
      <c r="BD55" s="302">
        <f>'[2]Growth Deficit'!AO62</f>
        <v>0</v>
      </c>
      <c r="BE55" s="302">
        <f>'[2]PBF Run'!AA62</f>
        <v>0</v>
      </c>
      <c r="BF55" s="302">
        <f>'[2]PBF Run'!AB62</f>
        <v>0</v>
      </c>
      <c r="BG55" s="302">
        <f>'[2]PBF Run'!AC62</f>
        <v>0</v>
      </c>
      <c r="BH55" s="302">
        <f>'[2]PBF Run'!AD62</f>
        <v>0</v>
      </c>
      <c r="BI55" s="278">
        <f t="shared" si="40"/>
        <v>0</v>
      </c>
      <c r="BJ55" s="302">
        <f>'[2]PBF Run'!X62</f>
        <v>0</v>
      </c>
      <c r="BK55" s="302">
        <f>'[2]PBF Run'!AE62</f>
        <v>73353385</v>
      </c>
      <c r="BL55" s="282">
        <f t="shared" si="41"/>
        <v>0.98518541441543561</v>
      </c>
      <c r="BM55" s="302">
        <f>'[2]PBF Run'!AM62</f>
        <v>1086700</v>
      </c>
      <c r="BN55" s="302">
        <f>'[2]PBF Run'!$AN62</f>
        <v>27189063</v>
      </c>
      <c r="BO55" s="302">
        <f>'[2]PBF Run'!$AO62</f>
        <v>0</v>
      </c>
      <c r="BP55" s="302">
        <f>'[2]PBF Run'!AC62</f>
        <v>0</v>
      </c>
      <c r="BQ55" s="278">
        <f t="shared" si="42"/>
        <v>27189063</v>
      </c>
      <c r="BR55" s="302">
        <f>'[2]PBF Run'!AJ62</f>
        <v>26203585</v>
      </c>
      <c r="BS55" s="302">
        <f>'[2]PBF Run'!AI62</f>
        <v>8202119</v>
      </c>
      <c r="BT55" s="302">
        <f>'[2]PBF Run'!$AN62</f>
        <v>27189063</v>
      </c>
      <c r="BU55" s="302">
        <f>'[2]PBF Run'!$AN62</f>
        <v>27189063</v>
      </c>
      <c r="BV55" s="302">
        <f>'[2]PBF Run'!BI62</f>
        <v>0</v>
      </c>
      <c r="BW55" s="303">
        <f>'[2]PBF Run'!BH62</f>
        <v>0</v>
      </c>
      <c r="BX55" s="278">
        <f t="shared" si="61"/>
        <v>69532</v>
      </c>
      <c r="BY55" s="278">
        <f t="shared" si="43"/>
        <v>27189063</v>
      </c>
      <c r="BZ55" s="302">
        <f>'[2]As of 13-14 R1'!BP62</f>
        <v>0</v>
      </c>
      <c r="CA55" s="302">
        <f>'[2]As of 13-14 R1'!BQ62</f>
        <v>0</v>
      </c>
      <c r="CB55" s="302">
        <f>'[2]As of 13-14 R1'!BR62</f>
        <v>0</v>
      </c>
      <c r="CC55" s="278">
        <f t="shared" si="44"/>
        <v>0</v>
      </c>
      <c r="CD55" s="301">
        <f>'[2]Growth Deficit'!$D$2</f>
        <v>0</v>
      </c>
      <c r="CE55" s="300">
        <f>IF($CS55="S",'[2]Foundation Grant'!C62,0)</f>
        <v>0</v>
      </c>
      <c r="CF55" s="300">
        <f>IF($CS55="S",'[2]Foundation Grant'!D62,0)</f>
        <v>1</v>
      </c>
      <c r="CG55" s="300">
        <f>IF($CS55="S",'[2]Foundation Grant'!E62,0)</f>
        <v>0</v>
      </c>
      <c r="CH55" s="300">
        <f>IF($CS55="S",'[2]Foundation Grant'!F62,0)</f>
        <v>1</v>
      </c>
      <c r="CI55" s="300">
        <f>IF($CS55="M",'[2]Foundation Grant'!C62,0)</f>
        <v>0</v>
      </c>
      <c r="CJ55" s="300">
        <f>IF($CS55="M",'[2]Foundation Grant'!D62,0)</f>
        <v>0</v>
      </c>
      <c r="CK55" s="300">
        <f>IF($CS55="M",'[2]Foundation Grant'!E62,0)</f>
        <v>0</v>
      </c>
      <c r="CL55" s="300">
        <f>IF($CS55="M",'[2]Foundation Grant'!F62,0)</f>
        <v>0</v>
      </c>
      <c r="CM55" s="300">
        <f>'[2]Foundation Grant'!G62</f>
        <v>2</v>
      </c>
      <c r="CN55" s="300">
        <f>'[2]Foundation Grant'!H62</f>
        <v>0</v>
      </c>
      <c r="CO55" s="300">
        <f>'[2]Foundation Grant'!I62</f>
        <v>0</v>
      </c>
      <c r="CP55" s="300">
        <f>'[2]Foundation Grant'!J62</f>
        <v>0</v>
      </c>
      <c r="CQ55" s="300">
        <f>'[2]Foundation Grant'!K62</f>
        <v>0</v>
      </c>
      <c r="CR55" s="299">
        <f>'[2]Foundation Grant'!L62</f>
        <v>2</v>
      </c>
      <c r="CS55" s="300" t="str">
        <f>'[2]Foundation Grant'!M62</f>
        <v>S</v>
      </c>
      <c r="CT55" s="300">
        <f>'[2]Foundation Grant'!N62</f>
        <v>6747388</v>
      </c>
      <c r="CU55" s="299">
        <f>'[2]Foundation Grant'!O62</f>
        <v>0</v>
      </c>
      <c r="CV55" s="299">
        <f>'[2]Foundation Grant'!P62</f>
        <v>0</v>
      </c>
      <c r="CW55" s="298">
        <f>'[2]Foundation Grant'!$C$1</f>
        <v>5622823</v>
      </c>
      <c r="CX55" s="298">
        <f>'[2]Foundation Grant'!$D$1</f>
        <v>4498258</v>
      </c>
      <c r="CY55" s="298">
        <f>'[2]Foundation Grant'!$E$1</f>
        <v>3373694</v>
      </c>
      <c r="CZ55" s="298">
        <f>'[2]Foundation Grant'!$C$2</f>
        <v>4498258</v>
      </c>
      <c r="DA55" s="298">
        <f>'[2]Foundation Grant'!$D$2</f>
        <v>3935976</v>
      </c>
      <c r="DB55" s="298">
        <f>'[2]Foundation Grant'!$E$2</f>
        <v>3373694</v>
      </c>
      <c r="DC55" s="298">
        <f>'[2]Foundation Grant'!$G$1</f>
        <v>1124565</v>
      </c>
      <c r="DD55" s="298">
        <f>'[2]Foundation Grant'!$H$1</f>
        <v>843423</v>
      </c>
      <c r="DE55" s="298">
        <f>'[2]Foundation Grant'!$I$1</f>
        <v>562282</v>
      </c>
      <c r="DF55" s="298">
        <f>'[2]Foundation Grant'!$J$1</f>
        <v>281141</v>
      </c>
      <c r="DG55" s="298">
        <f>'[2]Foundation Grant'!$K$1</f>
        <v>140571</v>
      </c>
      <c r="DH55" s="298">
        <f>'[2]Foundation Grant'!$O$1</f>
        <v>562282</v>
      </c>
      <c r="DI55" s="298">
        <f>'[2]Foundation Grant'!$P$1</f>
        <v>1124565</v>
      </c>
      <c r="DJ55" s="297">
        <f>'[2]basic allocation'!$C$10</f>
        <v>18749</v>
      </c>
      <c r="DK55" s="297">
        <f>'[2]basic allocation'!$D$10</f>
        <v>9375</v>
      </c>
      <c r="DL55" s="297">
        <f>'[2]basic allocation'!$E$10</f>
        <v>9375</v>
      </c>
      <c r="DM55" s="297">
        <f>'[2]basic allocation'!$I$10</f>
        <v>938</v>
      </c>
      <c r="DN55" s="297">
        <f>'[2]basic allocation'!$J$10</f>
        <v>703</v>
      </c>
      <c r="DO55" s="297">
        <f>'[2]basic allocation'!$K$10</f>
        <v>469</v>
      </c>
      <c r="DP55" s="297">
        <f>'[2]basic allocation'!$L$10</f>
        <v>234</v>
      </c>
      <c r="DQ55" s="297">
        <f>'[2]basic allocation'!$M$10</f>
        <v>100</v>
      </c>
      <c r="DR55" s="296">
        <f>'[2]FTES Adjustment'!DQ62</f>
        <v>-4.1000001147040166E-5</v>
      </c>
      <c r="DS55" s="296">
        <f>'[2]FTES Adjustment'!DR62</f>
        <v>0</v>
      </c>
      <c r="DT55" s="296">
        <f>'[2]FTES Adjustment'!DS62</f>
        <v>0</v>
      </c>
      <c r="DU55" s="277">
        <f t="shared" si="45"/>
        <v>0</v>
      </c>
      <c r="DV55" s="276">
        <f t="shared" si="46"/>
        <v>155.649292</v>
      </c>
      <c r="DW55" s="276">
        <f t="shared" si="47"/>
        <v>-16.660000000000082</v>
      </c>
      <c r="DX55" s="276">
        <f t="shared" si="48"/>
        <v>112.76</v>
      </c>
      <c r="DY55" s="276">
        <f t="shared" si="49"/>
        <v>251.749</v>
      </c>
      <c r="DZ55" s="295">
        <f>ROUND([2]FTES!$D62,3)</f>
        <v>12734.7</v>
      </c>
      <c r="EA55" s="295">
        <f>ROUND([2]FTES!$M62,3)</f>
        <v>327.93</v>
      </c>
      <c r="EB55" s="295">
        <f>ROUND([2]FTES!$V62,3)</f>
        <v>515.61</v>
      </c>
      <c r="EC55" s="276">
        <f t="shared" si="50"/>
        <v>13578.24</v>
      </c>
      <c r="ED55" s="133">
        <v>0</v>
      </c>
      <c r="EE55" s="294">
        <f>'[2]10-11 WkLd126M'!$E60</f>
        <v>1686066</v>
      </c>
      <c r="EF55" s="295">
        <f>'[2]FTES Adjustment'!CG62</f>
        <v>155.649292</v>
      </c>
      <c r="EG55" s="295">
        <f>'[2]FTES Adjustment'!CH62</f>
        <v>-16.660000000000082</v>
      </c>
      <c r="EH55" s="295">
        <f>'[2]FTES Adjustment'!CI62</f>
        <v>112.76</v>
      </c>
      <c r="EI55" s="276">
        <f t="shared" si="51"/>
        <v>251.74929199999991</v>
      </c>
      <c r="EJ55" s="294">
        <f>'[2]PBF Run'!$AT62</f>
        <v>0</v>
      </c>
      <c r="EK55" s="294">
        <f>'[2]11-12 Workload Reduction'!H62</f>
        <v>68616118</v>
      </c>
      <c r="EL55" s="294">
        <f>'[2]13-14 $86M Workload Restore'!AI60</f>
        <v>0</v>
      </c>
      <c r="EM55" s="294">
        <f>'[2]13-14 $86M Workload Restore'!AC60</f>
        <v>0</v>
      </c>
      <c r="EN55" s="294">
        <f>'[2]13-14 deferrals, growth, EPA 1'!BJ62</f>
        <v>10132937</v>
      </c>
      <c r="EO55" s="293">
        <f t="shared" si="52"/>
        <v>72266685</v>
      </c>
      <c r="EP55" s="292">
        <v>0</v>
      </c>
      <c r="EQ55" s="292">
        <v>0</v>
      </c>
      <c r="ER55" s="292">
        <v>0</v>
      </c>
      <c r="ES55" s="16">
        <f t="shared" si="53"/>
        <v>0</v>
      </c>
    </row>
    <row r="56" spans="1:149">
      <c r="A56" s="291" t="s">
        <v>257</v>
      </c>
      <c r="B56" s="290" t="str">
        <f t="shared" si="54"/>
        <v>P2</v>
      </c>
      <c r="C56" s="285" t="s">
        <v>293</v>
      </c>
      <c r="D56" s="289" t="s">
        <v>292</v>
      </c>
      <c r="E56" s="288">
        <f>ROUND('[2]PBF Run'!N63,6)</f>
        <v>4636.4928840000002</v>
      </c>
      <c r="F56" s="285">
        <f t="shared" si="55"/>
        <v>4675.9030433300004</v>
      </c>
      <c r="G56" s="285">
        <f t="shared" si="56"/>
        <v>2788.0536374600001</v>
      </c>
      <c r="H56" s="285">
        <f t="shared" si="57"/>
        <v>2811.7520933800001</v>
      </c>
      <c r="I56" s="285">
        <f t="shared" si="58"/>
        <v>3282.8110613200001</v>
      </c>
      <c r="J56" s="285">
        <f t="shared" si="59"/>
        <v>3310.71495534</v>
      </c>
      <c r="K56" s="308">
        <f>ROUND([2]FTES!C63,3)</f>
        <v>14153.683999999999</v>
      </c>
      <c r="L56" s="308">
        <f>ROUND([2]FTES!F63,3)</f>
        <v>0</v>
      </c>
      <c r="M56" s="308">
        <f>ROUND('[2]Growth Deficit'!AG63,3)</f>
        <v>0</v>
      </c>
      <c r="N56" s="308">
        <f>ROUND([2]FTES!I63,3)</f>
        <v>0</v>
      </c>
      <c r="O56" s="308">
        <f>ROUND([2]FTES!E63,3)</f>
        <v>14912.17</v>
      </c>
      <c r="P56" s="308">
        <f>ROUND([2]FTES!L63,3)</f>
        <v>265.20999999999998</v>
      </c>
      <c r="Q56" s="308">
        <f>ROUND([2]FTES!O63,3)</f>
        <v>0</v>
      </c>
      <c r="R56" s="308">
        <f>ROUND('[2]Growth Deficit'!$AH63,3)</f>
        <v>0</v>
      </c>
      <c r="S56" s="308">
        <f>ROUND([2]FTES!R63,3)</f>
        <v>0</v>
      </c>
      <c r="T56" s="308">
        <f>ROUND([2]FTES!N63,3)</f>
        <v>261.83999999999997</v>
      </c>
      <c r="U56" s="308">
        <f>ROUND([2]FTES!U63,3)</f>
        <v>86.99</v>
      </c>
      <c r="V56" s="308">
        <f>ROUND([2]FTES!X63,3)</f>
        <v>0</v>
      </c>
      <c r="W56" s="308">
        <f>ROUND('[2]Growth Deficit'!$AI63,3)</f>
        <v>0</v>
      </c>
      <c r="X56" s="308">
        <f>ROUND([2]FTES!AA63,3)</f>
        <v>0</v>
      </c>
      <c r="Y56" s="308">
        <f>ROUND([2]FTES!W63,3)</f>
        <v>77.239999999999995</v>
      </c>
      <c r="Z56" s="307">
        <f>'[2]FTES Adjustment'!CW63</f>
        <v>14838.954378999999</v>
      </c>
      <c r="AA56" s="307">
        <f>'[2]FTES Adjustment'!CX63</f>
        <v>261.83999999999997</v>
      </c>
      <c r="AB56" s="307">
        <f>'[2]FTES Adjustment'!CY63</f>
        <v>77.239999999999995</v>
      </c>
      <c r="AC56" s="275">
        <f t="shared" si="31"/>
        <v>14505.884</v>
      </c>
      <c r="AD56" s="275">
        <f t="shared" si="32"/>
        <v>0</v>
      </c>
      <c r="AE56" s="275">
        <f t="shared" si="33"/>
        <v>0</v>
      </c>
      <c r="AF56" s="275">
        <f t="shared" si="34"/>
        <v>0</v>
      </c>
      <c r="AG56" s="275">
        <f t="shared" si="35"/>
        <v>15251.25</v>
      </c>
      <c r="AH56" s="275">
        <f t="shared" si="36"/>
        <v>15178.034</v>
      </c>
      <c r="AI56" s="302">
        <f>'[2]PBF Run'!F63</f>
        <v>5622823</v>
      </c>
      <c r="AJ56" s="302">
        <f>'[2]PBF Run'!H63+'[2]PBF Run'!I63+'[2]PBF Run'!J63+'[2]PBF Run'!L63</f>
        <v>66648447</v>
      </c>
      <c r="AK56" s="306">
        <f>'[2]PBF Run'!J63 + '[2]PBF Run'!$L63</f>
        <v>65623455</v>
      </c>
      <c r="AL56" s="302">
        <f>'[2]PBF Run'!H63</f>
        <v>739420</v>
      </c>
      <c r="AM56" s="302">
        <f>'[2]PBF Run'!I63</f>
        <v>285572</v>
      </c>
      <c r="AN56" s="305">
        <f>'[2]Restoration and Growth'!BM63</f>
        <v>0</v>
      </c>
      <c r="AO56" s="278">
        <f t="shared" si="37"/>
        <v>72271270</v>
      </c>
      <c r="AP56" s="285" t="str">
        <f t="shared" si="60"/>
        <v>0.85%</v>
      </c>
      <c r="AQ56" s="302">
        <f>'[2]PBF Run'!O63</f>
        <v>614306</v>
      </c>
      <c r="AR56" s="278">
        <f t="shared" si="38"/>
        <v>72885576</v>
      </c>
      <c r="AS56" s="302">
        <f>'[2]PBF Run'!$AD63</f>
        <v>0</v>
      </c>
      <c r="AT56" s="302">
        <f>'[2]PBF Run'!$T63</f>
        <v>0</v>
      </c>
      <c r="AU56" s="278">
        <f t="shared" si="39"/>
        <v>2368364</v>
      </c>
      <c r="AV56" s="304">
        <f>'[2]Restoration and Growth'!BT63</f>
        <v>0</v>
      </c>
      <c r="AW56" s="304" t="str">
        <f>'[2]Restoration and Growth'!AP63</f>
        <v>Y</v>
      </c>
      <c r="AX56" s="302">
        <f>'[2]Restoration and Growth'!CV63</f>
        <v>0</v>
      </c>
      <c r="AY56" s="302">
        <f>'[2]Growth Deficit'!$AO63</f>
        <v>0</v>
      </c>
      <c r="AZ56" s="302">
        <f>'[2]Growth Deficit'!AO63</f>
        <v>0</v>
      </c>
      <c r="BA56" s="302">
        <f>'[2]Growth Deficit'!AL63</f>
        <v>0</v>
      </c>
      <c r="BB56" s="302">
        <f>'[2]Growth Deficit'!AM63</f>
        <v>0</v>
      </c>
      <c r="BC56" s="302">
        <f>'[2]Growth Deficit'!AN63</f>
        <v>0</v>
      </c>
      <c r="BD56" s="302">
        <f>'[2]Growth Deficit'!AO63</f>
        <v>0</v>
      </c>
      <c r="BE56" s="302">
        <f>'[2]PBF Run'!AA63</f>
        <v>0</v>
      </c>
      <c r="BF56" s="302">
        <f>'[2]PBF Run'!AB63</f>
        <v>0</v>
      </c>
      <c r="BG56" s="302">
        <f>'[2]PBF Run'!AC63</f>
        <v>0</v>
      </c>
      <c r="BH56" s="302">
        <f>'[2]PBF Run'!AD63</f>
        <v>0</v>
      </c>
      <c r="BI56" s="278">
        <f t="shared" si="40"/>
        <v>0</v>
      </c>
      <c r="BJ56" s="302">
        <f>'[2]PBF Run'!X63</f>
        <v>0</v>
      </c>
      <c r="BK56" s="302">
        <f>'[2]PBF Run'!AE63</f>
        <v>76048079</v>
      </c>
      <c r="BL56" s="282">
        <f t="shared" si="41"/>
        <v>0.98518541145529792</v>
      </c>
      <c r="BM56" s="302">
        <f>'[2]PBF Run'!AM63</f>
        <v>1126621</v>
      </c>
      <c r="BN56" s="302">
        <f>'[2]PBF Run'!$AN63</f>
        <v>41039748</v>
      </c>
      <c r="BO56" s="302">
        <f>'[2]PBF Run'!$AO63</f>
        <v>0</v>
      </c>
      <c r="BP56" s="302">
        <f>'[2]PBF Run'!AC63</f>
        <v>0</v>
      </c>
      <c r="BQ56" s="278">
        <f t="shared" si="42"/>
        <v>41039748</v>
      </c>
      <c r="BR56" s="302">
        <f>'[2]PBF Run'!AJ63</f>
        <v>15032975</v>
      </c>
      <c r="BS56" s="302">
        <f>'[2]PBF Run'!AI63</f>
        <v>7644000</v>
      </c>
      <c r="BT56" s="302">
        <f>'[2]PBF Run'!$AN63</f>
        <v>41039748</v>
      </c>
      <c r="BU56" s="302">
        <f>'[2]PBF Run'!$AN63</f>
        <v>41039748</v>
      </c>
      <c r="BV56" s="302">
        <f>'[2]PBF Run'!BI63</f>
        <v>0</v>
      </c>
      <c r="BW56" s="303">
        <f>'[2]PBF Run'!BH63</f>
        <v>0</v>
      </c>
      <c r="BX56" s="278">
        <f t="shared" si="61"/>
        <v>69532</v>
      </c>
      <c r="BY56" s="278">
        <f t="shared" si="43"/>
        <v>41039748</v>
      </c>
      <c r="BZ56" s="302">
        <f>'[2]As of 13-14 R1'!BP63</f>
        <v>0</v>
      </c>
      <c r="CA56" s="302">
        <f>'[2]As of 13-14 R1'!BQ63</f>
        <v>0</v>
      </c>
      <c r="CB56" s="302">
        <f>'[2]As of 13-14 R1'!BR63</f>
        <v>0</v>
      </c>
      <c r="CC56" s="278">
        <f t="shared" si="44"/>
        <v>0</v>
      </c>
      <c r="CD56" s="301">
        <f>'[2]Growth Deficit'!$D$2</f>
        <v>0</v>
      </c>
      <c r="CE56" s="300">
        <f>IF($CS56="S",'[2]Foundation Grant'!C63,0)</f>
        <v>0</v>
      </c>
      <c r="CF56" s="300">
        <f>IF($CS56="S",'[2]Foundation Grant'!D63,0)</f>
        <v>1</v>
      </c>
      <c r="CG56" s="300">
        <f>IF($CS56="S",'[2]Foundation Grant'!E63,0)</f>
        <v>0</v>
      </c>
      <c r="CH56" s="300">
        <f>IF($CS56="S",'[2]Foundation Grant'!F63,0)</f>
        <v>1</v>
      </c>
      <c r="CI56" s="300">
        <f>IF($CS56="M",'[2]Foundation Grant'!C63,0)</f>
        <v>0</v>
      </c>
      <c r="CJ56" s="300">
        <f>IF($CS56="M",'[2]Foundation Grant'!D63,0)</f>
        <v>0</v>
      </c>
      <c r="CK56" s="300">
        <f>IF($CS56="M",'[2]Foundation Grant'!E63,0)</f>
        <v>0</v>
      </c>
      <c r="CL56" s="300">
        <f>IF($CS56="M",'[2]Foundation Grant'!F63,0)</f>
        <v>0</v>
      </c>
      <c r="CM56" s="300">
        <f>'[2]Foundation Grant'!G63</f>
        <v>0</v>
      </c>
      <c r="CN56" s="300">
        <f>'[2]Foundation Grant'!H63</f>
        <v>0</v>
      </c>
      <c r="CO56" s="300">
        <f>'[2]Foundation Grant'!I63</f>
        <v>0</v>
      </c>
      <c r="CP56" s="300">
        <f>'[2]Foundation Grant'!J63</f>
        <v>0</v>
      </c>
      <c r="CQ56" s="300">
        <f>'[2]Foundation Grant'!K63</f>
        <v>0</v>
      </c>
      <c r="CR56" s="299">
        <f>'[2]Foundation Grant'!L63</f>
        <v>0</v>
      </c>
      <c r="CS56" s="300" t="str">
        <f>'[2]Foundation Grant'!M63</f>
        <v>S</v>
      </c>
      <c r="CT56" s="300">
        <f>'[2]Foundation Grant'!N63</f>
        <v>5622823</v>
      </c>
      <c r="CU56" s="299">
        <f>'[2]Foundation Grant'!O63</f>
        <v>0</v>
      </c>
      <c r="CV56" s="299">
        <f>'[2]Foundation Grant'!P63</f>
        <v>1</v>
      </c>
      <c r="CW56" s="298">
        <f>'[2]Foundation Grant'!$C$1</f>
        <v>5622823</v>
      </c>
      <c r="CX56" s="298">
        <f>'[2]Foundation Grant'!$D$1</f>
        <v>4498258</v>
      </c>
      <c r="CY56" s="298">
        <f>'[2]Foundation Grant'!$E$1</f>
        <v>3373694</v>
      </c>
      <c r="CZ56" s="298">
        <f>'[2]Foundation Grant'!$C$2</f>
        <v>4498258</v>
      </c>
      <c r="DA56" s="298">
        <f>'[2]Foundation Grant'!$D$2</f>
        <v>3935976</v>
      </c>
      <c r="DB56" s="298">
        <f>'[2]Foundation Grant'!$E$2</f>
        <v>3373694</v>
      </c>
      <c r="DC56" s="298">
        <f>'[2]Foundation Grant'!$G$1</f>
        <v>1124565</v>
      </c>
      <c r="DD56" s="298">
        <f>'[2]Foundation Grant'!$H$1</f>
        <v>843423</v>
      </c>
      <c r="DE56" s="298">
        <f>'[2]Foundation Grant'!$I$1</f>
        <v>562282</v>
      </c>
      <c r="DF56" s="298">
        <f>'[2]Foundation Grant'!$J$1</f>
        <v>281141</v>
      </c>
      <c r="DG56" s="298">
        <f>'[2]Foundation Grant'!$K$1</f>
        <v>140571</v>
      </c>
      <c r="DH56" s="298">
        <f>'[2]Foundation Grant'!$O$1</f>
        <v>562282</v>
      </c>
      <c r="DI56" s="298">
        <f>'[2]Foundation Grant'!$P$1</f>
        <v>1124565</v>
      </c>
      <c r="DJ56" s="297">
        <f>'[2]basic allocation'!$C$10</f>
        <v>18749</v>
      </c>
      <c r="DK56" s="297">
        <f>'[2]basic allocation'!$D$10</f>
        <v>9375</v>
      </c>
      <c r="DL56" s="297">
        <f>'[2]basic allocation'!$E$10</f>
        <v>9375</v>
      </c>
      <c r="DM56" s="297">
        <f>'[2]basic allocation'!$I$10</f>
        <v>938</v>
      </c>
      <c r="DN56" s="297">
        <f>'[2]basic allocation'!$J$10</f>
        <v>703</v>
      </c>
      <c r="DO56" s="297">
        <f>'[2]basic allocation'!$K$10</f>
        <v>469</v>
      </c>
      <c r="DP56" s="297">
        <f>'[2]basic allocation'!$L$10</f>
        <v>234</v>
      </c>
      <c r="DQ56" s="297">
        <f>'[2]basic allocation'!$M$10</f>
        <v>100</v>
      </c>
      <c r="DR56" s="296">
        <f>'[2]FTES Adjustment'!DQ63</f>
        <v>73.215621000001192</v>
      </c>
      <c r="DS56" s="296">
        <f>'[2]FTES Adjustment'!DR63</f>
        <v>0</v>
      </c>
      <c r="DT56" s="296">
        <f>'[2]FTES Adjustment'!DS63</f>
        <v>0</v>
      </c>
      <c r="DU56" s="277">
        <f t="shared" si="45"/>
        <v>73.215999999999994</v>
      </c>
      <c r="DV56" s="276">
        <f t="shared" si="46"/>
        <v>685.27041099999997</v>
      </c>
      <c r="DW56" s="276">
        <f t="shared" si="47"/>
        <v>-3.3700000000000045</v>
      </c>
      <c r="DX56" s="276">
        <f t="shared" si="48"/>
        <v>-9.75</v>
      </c>
      <c r="DY56" s="276">
        <f t="shared" si="49"/>
        <v>672.15</v>
      </c>
      <c r="DZ56" s="295">
        <f>ROUND([2]FTES!$D63,3)</f>
        <v>14153.683999999999</v>
      </c>
      <c r="EA56" s="295">
        <f>ROUND([2]FTES!$M63,3)</f>
        <v>265.20999999999998</v>
      </c>
      <c r="EB56" s="295">
        <f>ROUND([2]FTES!$V63,3)</f>
        <v>86.99</v>
      </c>
      <c r="EC56" s="276">
        <f t="shared" si="50"/>
        <v>14505.884</v>
      </c>
      <c r="ED56" s="133">
        <v>0</v>
      </c>
      <c r="EE56" s="294">
        <f>'[2]10-11 WkLd126M'!$E61</f>
        <v>1666167</v>
      </c>
      <c r="EF56" s="295">
        <f>'[2]FTES Adjustment'!CG63</f>
        <v>685.27041099999997</v>
      </c>
      <c r="EG56" s="295">
        <f>'[2]FTES Adjustment'!CH63</f>
        <v>-3.3700000000000045</v>
      </c>
      <c r="EH56" s="295">
        <f>'[2]FTES Adjustment'!CI63</f>
        <v>-9.75</v>
      </c>
      <c r="EI56" s="276">
        <f t="shared" si="51"/>
        <v>672.15041099999996</v>
      </c>
      <c r="EJ56" s="294">
        <f>'[2]PBF Run'!$AT63</f>
        <v>0</v>
      </c>
      <c r="EK56" s="294">
        <f>'[2]11-12 Workload Reduction'!H63</f>
        <v>63912211</v>
      </c>
      <c r="EL56" s="294">
        <f>'[2]13-14 $86M Workload Restore'!AI61</f>
        <v>1605487</v>
      </c>
      <c r="EM56" s="294">
        <f>'[2]13-14 $86M Workload Restore'!AC61</f>
        <v>762877</v>
      </c>
      <c r="EN56" s="294">
        <f>'[2]13-14 deferrals, growth, EPA 1'!BJ63</f>
        <v>10362948</v>
      </c>
      <c r="EO56" s="293">
        <f t="shared" si="52"/>
        <v>74921458</v>
      </c>
      <c r="EP56" s="292">
        <v>0</v>
      </c>
      <c r="EQ56" s="292">
        <v>0</v>
      </c>
      <c r="ER56" s="292">
        <v>0</v>
      </c>
      <c r="ES56" s="16">
        <f t="shared" si="53"/>
        <v>0</v>
      </c>
    </row>
    <row r="57" spans="1:149">
      <c r="A57" s="291" t="s">
        <v>257</v>
      </c>
      <c r="B57" s="290" t="str">
        <f t="shared" si="54"/>
        <v>P2</v>
      </c>
      <c r="C57" s="285" t="s">
        <v>291</v>
      </c>
      <c r="D57" s="289" t="s">
        <v>290</v>
      </c>
      <c r="E57" s="288">
        <f>ROUND('[2]PBF Run'!N64,6)</f>
        <v>4709.7538670000004</v>
      </c>
      <c r="F57" s="285">
        <f t="shared" si="55"/>
        <v>4675.9030433300004</v>
      </c>
      <c r="G57" s="285">
        <f t="shared" si="56"/>
        <v>2788.0536374600001</v>
      </c>
      <c r="H57" s="285">
        <f t="shared" si="57"/>
        <v>2811.7520933800001</v>
      </c>
      <c r="I57" s="285">
        <f t="shared" si="58"/>
        <v>3282.8110613200001</v>
      </c>
      <c r="J57" s="285">
        <f t="shared" si="59"/>
        <v>3310.71495534</v>
      </c>
      <c r="K57" s="308">
        <f>ROUND([2]FTES!C64,3)</f>
        <v>20505.631000000001</v>
      </c>
      <c r="L57" s="308">
        <f>ROUND([2]FTES!F64,3)</f>
        <v>0</v>
      </c>
      <c r="M57" s="308">
        <f>ROUND('[2]Growth Deficit'!AG64,3)</f>
        <v>0</v>
      </c>
      <c r="N57" s="308">
        <f>ROUND([2]FTES!I64,3)</f>
        <v>0</v>
      </c>
      <c r="O57" s="308">
        <f>ROUND([2]FTES!E64,3)</f>
        <v>21431.5</v>
      </c>
      <c r="P57" s="308">
        <f>ROUND([2]FTES!L64,3)</f>
        <v>537.35</v>
      </c>
      <c r="Q57" s="308">
        <f>ROUND([2]FTES!O64,3)</f>
        <v>0</v>
      </c>
      <c r="R57" s="308">
        <f>ROUND('[2]Growth Deficit'!$AH64,3)</f>
        <v>0</v>
      </c>
      <c r="S57" s="308">
        <f>ROUND([2]FTES!R64,3)</f>
        <v>0</v>
      </c>
      <c r="T57" s="308">
        <f>ROUND([2]FTES!N64,3)</f>
        <v>727.16</v>
      </c>
      <c r="U57" s="308">
        <f>ROUND([2]FTES!U64,3)</f>
        <v>155.18</v>
      </c>
      <c r="V57" s="308">
        <f>ROUND([2]FTES!X64,3)</f>
        <v>0</v>
      </c>
      <c r="W57" s="308">
        <f>ROUND('[2]Growth Deficit'!$AI64,3)</f>
        <v>0</v>
      </c>
      <c r="X57" s="308">
        <f>ROUND([2]FTES!AA64,3)</f>
        <v>0</v>
      </c>
      <c r="Y57" s="308">
        <f>ROUND([2]FTES!W64,3)</f>
        <v>83.42</v>
      </c>
      <c r="Z57" s="307">
        <f>'[2]FTES Adjustment'!CW64</f>
        <v>21431.500091999998</v>
      </c>
      <c r="AA57" s="307">
        <f>'[2]FTES Adjustment'!CX64</f>
        <v>727.15999999999985</v>
      </c>
      <c r="AB57" s="307">
        <f>'[2]FTES Adjustment'!CY64</f>
        <v>83.42</v>
      </c>
      <c r="AC57" s="275">
        <f t="shared" si="31"/>
        <v>21198.161</v>
      </c>
      <c r="AD57" s="275">
        <f t="shared" si="32"/>
        <v>0</v>
      </c>
      <c r="AE57" s="275">
        <f t="shared" si="33"/>
        <v>0</v>
      </c>
      <c r="AF57" s="275">
        <f t="shared" si="34"/>
        <v>0</v>
      </c>
      <c r="AG57" s="275">
        <f t="shared" si="35"/>
        <v>22242.080000000002</v>
      </c>
      <c r="AH57" s="275">
        <f t="shared" si="36"/>
        <v>22242.080000000002</v>
      </c>
      <c r="AI57" s="302">
        <f>'[2]PBF Run'!F64</f>
        <v>6747388</v>
      </c>
      <c r="AJ57" s="302">
        <f>'[2]PBF Run'!H64+'[2]PBF Run'!I64+'[2]PBF Run'!J64+'[2]PBF Run'!L64</f>
        <v>98584064</v>
      </c>
      <c r="AK57" s="306">
        <f>'[2]PBF Run'!J64 + '[2]PBF Run'!$L64</f>
        <v>96576476</v>
      </c>
      <c r="AL57" s="302">
        <f>'[2]PBF Run'!H64</f>
        <v>1498161</v>
      </c>
      <c r="AM57" s="302">
        <f>'[2]PBF Run'!I64</f>
        <v>509427</v>
      </c>
      <c r="AN57" s="305">
        <f>'[2]Restoration and Growth'!BM64</f>
        <v>0</v>
      </c>
      <c r="AO57" s="278">
        <f t="shared" si="37"/>
        <v>105331452</v>
      </c>
      <c r="AP57" s="285" t="str">
        <f t="shared" si="60"/>
        <v>0.85%</v>
      </c>
      <c r="AQ57" s="302">
        <f>'[2]PBF Run'!O64</f>
        <v>895317</v>
      </c>
      <c r="AR57" s="278">
        <f t="shared" si="38"/>
        <v>106226769</v>
      </c>
      <c r="AS57" s="302">
        <f>'[2]PBF Run'!$AD64</f>
        <v>0</v>
      </c>
      <c r="AT57" s="302">
        <f>'[2]PBF Run'!$T64</f>
        <v>0</v>
      </c>
      <c r="AU57" s="278">
        <f t="shared" si="39"/>
        <v>2256852</v>
      </c>
      <c r="AV57" s="304">
        <f>'[2]Restoration and Growth'!BT64</f>
        <v>0</v>
      </c>
      <c r="AW57" s="304" t="str">
        <f>'[2]Restoration and Growth'!AP64</f>
        <v>Y</v>
      </c>
      <c r="AX57" s="302">
        <f>'[2]Restoration and Growth'!CV64</f>
        <v>0</v>
      </c>
      <c r="AY57" s="302">
        <f>'[2]Growth Deficit'!$AO64</f>
        <v>0</v>
      </c>
      <c r="AZ57" s="302">
        <f>'[2]Growth Deficit'!AO64</f>
        <v>0</v>
      </c>
      <c r="BA57" s="302">
        <f>'[2]Growth Deficit'!AL64</f>
        <v>0</v>
      </c>
      <c r="BB57" s="302">
        <f>'[2]Growth Deficit'!AM64</f>
        <v>0</v>
      </c>
      <c r="BC57" s="302">
        <f>'[2]Growth Deficit'!AN64</f>
        <v>0</v>
      </c>
      <c r="BD57" s="302">
        <f>'[2]Growth Deficit'!AO64</f>
        <v>0</v>
      </c>
      <c r="BE57" s="302">
        <f>'[2]PBF Run'!AA64</f>
        <v>0</v>
      </c>
      <c r="BF57" s="302">
        <f>'[2]PBF Run'!AB64</f>
        <v>0</v>
      </c>
      <c r="BG57" s="302">
        <f>'[2]PBF Run'!AC64</f>
        <v>0</v>
      </c>
      <c r="BH57" s="302">
        <f>'[2]PBF Run'!AD64</f>
        <v>0</v>
      </c>
      <c r="BI57" s="278">
        <f t="shared" si="40"/>
        <v>0</v>
      </c>
      <c r="BJ57" s="302">
        <f>'[2]PBF Run'!X64</f>
        <v>0</v>
      </c>
      <c r="BK57" s="302">
        <f>'[2]PBF Run'!AE64</f>
        <v>110852164</v>
      </c>
      <c r="BL57" s="282">
        <f t="shared" si="41"/>
        <v>0.98518542227105277</v>
      </c>
      <c r="BM57" s="302">
        <f>'[2]PBF Run'!AM64</f>
        <v>1642228</v>
      </c>
      <c r="BN57" s="302">
        <f>'[2]PBF Run'!$AN64</f>
        <v>64403314</v>
      </c>
      <c r="BO57" s="302">
        <f>'[2]PBF Run'!$AO64</f>
        <v>0</v>
      </c>
      <c r="BP57" s="302">
        <f>'[2]PBF Run'!AC64</f>
        <v>0</v>
      </c>
      <c r="BQ57" s="278">
        <f t="shared" si="42"/>
        <v>64403314</v>
      </c>
      <c r="BR57" s="302">
        <f>'[2]PBF Run'!AJ64</f>
        <v>15349212</v>
      </c>
      <c r="BS57" s="302">
        <f>'[2]PBF Run'!AI64</f>
        <v>13513055</v>
      </c>
      <c r="BT57" s="302">
        <f>'[2]PBF Run'!$AN64</f>
        <v>64403314</v>
      </c>
      <c r="BU57" s="302">
        <f>'[2]PBF Run'!$AN64</f>
        <v>64403314</v>
      </c>
      <c r="BV57" s="302">
        <f>'[2]PBF Run'!BI64</f>
        <v>0</v>
      </c>
      <c r="BW57" s="303">
        <f>'[2]PBF Run'!BH64</f>
        <v>0</v>
      </c>
      <c r="BX57" s="278">
        <f t="shared" si="61"/>
        <v>69532</v>
      </c>
      <c r="BY57" s="278">
        <f t="shared" si="43"/>
        <v>64403314</v>
      </c>
      <c r="BZ57" s="302">
        <f>'[2]As of 13-14 R1'!BP64</f>
        <v>0</v>
      </c>
      <c r="CA57" s="302">
        <f>'[2]As of 13-14 R1'!BQ64</f>
        <v>0</v>
      </c>
      <c r="CB57" s="302">
        <f>'[2]As of 13-14 R1'!BR64</f>
        <v>0</v>
      </c>
      <c r="CC57" s="278">
        <f t="shared" si="44"/>
        <v>0</v>
      </c>
      <c r="CD57" s="301">
        <f>'[2]Growth Deficit'!$D$2</f>
        <v>0</v>
      </c>
      <c r="CE57" s="300">
        <f>IF($CS57="S",'[2]Foundation Grant'!C64,0)</f>
        <v>1</v>
      </c>
      <c r="CF57" s="300">
        <f>IF($CS57="S",'[2]Foundation Grant'!D64,0)</f>
        <v>0</v>
      </c>
      <c r="CG57" s="300">
        <f>IF($CS57="S",'[2]Foundation Grant'!E64,0)</f>
        <v>0</v>
      </c>
      <c r="CH57" s="300">
        <f>IF($CS57="S",'[2]Foundation Grant'!F64,0)</f>
        <v>1</v>
      </c>
      <c r="CI57" s="300">
        <f>IF($CS57="M",'[2]Foundation Grant'!C64,0)</f>
        <v>0</v>
      </c>
      <c r="CJ57" s="300">
        <f>IF($CS57="M",'[2]Foundation Grant'!D64,0)</f>
        <v>0</v>
      </c>
      <c r="CK57" s="300">
        <f>IF($CS57="M",'[2]Foundation Grant'!E64,0)</f>
        <v>0</v>
      </c>
      <c r="CL57" s="300">
        <f>IF($CS57="M",'[2]Foundation Grant'!F64,0)</f>
        <v>0</v>
      </c>
      <c r="CM57" s="300">
        <f>'[2]Foundation Grant'!G64</f>
        <v>0</v>
      </c>
      <c r="CN57" s="300">
        <f>'[2]Foundation Grant'!H64</f>
        <v>0</v>
      </c>
      <c r="CO57" s="300">
        <f>'[2]Foundation Grant'!I64</f>
        <v>0</v>
      </c>
      <c r="CP57" s="300">
        <f>'[2]Foundation Grant'!J64</f>
        <v>0</v>
      </c>
      <c r="CQ57" s="300">
        <f>'[2]Foundation Grant'!K64</f>
        <v>0</v>
      </c>
      <c r="CR57" s="299">
        <f>'[2]Foundation Grant'!L64</f>
        <v>0</v>
      </c>
      <c r="CS57" s="300" t="str">
        <f>'[2]Foundation Grant'!M64</f>
        <v>S</v>
      </c>
      <c r="CT57" s="300">
        <f>'[2]Foundation Grant'!N64</f>
        <v>6747388</v>
      </c>
      <c r="CU57" s="299">
        <f>'[2]Foundation Grant'!O64</f>
        <v>0</v>
      </c>
      <c r="CV57" s="299">
        <f>'[2]Foundation Grant'!P64</f>
        <v>1</v>
      </c>
      <c r="CW57" s="298">
        <f>'[2]Foundation Grant'!$C$1</f>
        <v>5622823</v>
      </c>
      <c r="CX57" s="298">
        <f>'[2]Foundation Grant'!$D$1</f>
        <v>4498258</v>
      </c>
      <c r="CY57" s="298">
        <f>'[2]Foundation Grant'!$E$1</f>
        <v>3373694</v>
      </c>
      <c r="CZ57" s="298">
        <f>'[2]Foundation Grant'!$C$2</f>
        <v>4498258</v>
      </c>
      <c r="DA57" s="298">
        <f>'[2]Foundation Grant'!$D$2</f>
        <v>3935976</v>
      </c>
      <c r="DB57" s="298">
        <f>'[2]Foundation Grant'!$E$2</f>
        <v>3373694</v>
      </c>
      <c r="DC57" s="298">
        <f>'[2]Foundation Grant'!$G$1</f>
        <v>1124565</v>
      </c>
      <c r="DD57" s="298">
        <f>'[2]Foundation Grant'!$H$1</f>
        <v>843423</v>
      </c>
      <c r="DE57" s="298">
        <f>'[2]Foundation Grant'!$I$1</f>
        <v>562282</v>
      </c>
      <c r="DF57" s="298">
        <f>'[2]Foundation Grant'!$J$1</f>
        <v>281141</v>
      </c>
      <c r="DG57" s="298">
        <f>'[2]Foundation Grant'!$K$1</f>
        <v>140571</v>
      </c>
      <c r="DH57" s="298">
        <f>'[2]Foundation Grant'!$O$1</f>
        <v>562282</v>
      </c>
      <c r="DI57" s="298">
        <f>'[2]Foundation Grant'!$P$1</f>
        <v>1124565</v>
      </c>
      <c r="DJ57" s="297">
        <f>'[2]basic allocation'!$C$10</f>
        <v>18749</v>
      </c>
      <c r="DK57" s="297">
        <f>'[2]basic allocation'!$D$10</f>
        <v>9375</v>
      </c>
      <c r="DL57" s="297">
        <f>'[2]basic allocation'!$E$10</f>
        <v>9375</v>
      </c>
      <c r="DM57" s="297">
        <f>'[2]basic allocation'!$I$10</f>
        <v>938</v>
      </c>
      <c r="DN57" s="297">
        <f>'[2]basic allocation'!$J$10</f>
        <v>703</v>
      </c>
      <c r="DO57" s="297">
        <f>'[2]basic allocation'!$K$10</f>
        <v>469</v>
      </c>
      <c r="DP57" s="297">
        <f>'[2]basic allocation'!$L$10</f>
        <v>234</v>
      </c>
      <c r="DQ57" s="297">
        <f>'[2]basic allocation'!$M$10</f>
        <v>100</v>
      </c>
      <c r="DR57" s="296">
        <f>'[2]FTES Adjustment'!DQ64</f>
        <v>-9.1999998403480276E-5</v>
      </c>
      <c r="DS57" s="296">
        <f>'[2]FTES Adjustment'!DR64</f>
        <v>0</v>
      </c>
      <c r="DT57" s="296">
        <f>'[2]FTES Adjustment'!DS64</f>
        <v>0</v>
      </c>
      <c r="DU57" s="277">
        <f t="shared" si="45"/>
        <v>0</v>
      </c>
      <c r="DV57" s="276">
        <f t="shared" si="46"/>
        <v>925.86885600000005</v>
      </c>
      <c r="DW57" s="276">
        <f t="shared" si="47"/>
        <v>189.81</v>
      </c>
      <c r="DX57" s="276">
        <f t="shared" si="48"/>
        <v>-71.760000000000005</v>
      </c>
      <c r="DY57" s="276">
        <f t="shared" si="49"/>
        <v>1043.9190000000001</v>
      </c>
      <c r="DZ57" s="295">
        <f>ROUND([2]FTES!$D64,3)</f>
        <v>20505.631000000001</v>
      </c>
      <c r="EA57" s="295">
        <f>ROUND([2]FTES!$M64,3)</f>
        <v>537.35</v>
      </c>
      <c r="EB57" s="295">
        <f>ROUND([2]FTES!$V64,3)</f>
        <v>155.18</v>
      </c>
      <c r="EC57" s="276">
        <f t="shared" si="50"/>
        <v>21198.161</v>
      </c>
      <c r="ED57" s="133">
        <v>0</v>
      </c>
      <c r="EE57" s="294">
        <f>'[2]10-11 WkLd126M'!$E62</f>
        <v>2415734</v>
      </c>
      <c r="EF57" s="295">
        <f>'[2]FTES Adjustment'!CG64</f>
        <v>925.86885600000005</v>
      </c>
      <c r="EG57" s="295">
        <f>'[2]FTES Adjustment'!CH64</f>
        <v>189.81</v>
      </c>
      <c r="EH57" s="295">
        <f>'[2]FTES Adjustment'!CI64</f>
        <v>-71.760000000000005</v>
      </c>
      <c r="EI57" s="276">
        <f t="shared" si="51"/>
        <v>1043.918856</v>
      </c>
      <c r="EJ57" s="294">
        <f>'[2]PBF Run'!$AT64</f>
        <v>0</v>
      </c>
      <c r="EK57" s="294">
        <f>'[2]11-12 Workload Reduction'!H64</f>
        <v>101185525</v>
      </c>
      <c r="EL57" s="294">
        <f>'[2]13-14 $86M Workload Restore'!AI62</f>
        <v>2256852</v>
      </c>
      <c r="EM57" s="294">
        <f>'[2]13-14 $86M Workload Restore'!AC62</f>
        <v>0</v>
      </c>
      <c r="EN57" s="294">
        <f>'[2]13-14 deferrals, growth, EPA 1'!BJ64</f>
        <v>14840528</v>
      </c>
      <c r="EO57" s="293">
        <f t="shared" si="52"/>
        <v>109209936</v>
      </c>
      <c r="EP57" s="292">
        <v>0</v>
      </c>
      <c r="EQ57" s="292">
        <v>0</v>
      </c>
      <c r="ER57" s="292">
        <v>0</v>
      </c>
      <c r="ES57" s="16">
        <f t="shared" si="53"/>
        <v>0</v>
      </c>
    </row>
    <row r="58" spans="1:149">
      <c r="A58" s="291" t="s">
        <v>257</v>
      </c>
      <c r="B58" s="290" t="str">
        <f t="shared" si="54"/>
        <v>P2</v>
      </c>
      <c r="C58" s="285" t="s">
        <v>289</v>
      </c>
      <c r="D58" s="289" t="s">
        <v>288</v>
      </c>
      <c r="E58" s="288">
        <f>ROUND('[2]PBF Run'!N65,6)</f>
        <v>4636.4928529999997</v>
      </c>
      <c r="F58" s="285">
        <f t="shared" si="55"/>
        <v>4675.9030433300004</v>
      </c>
      <c r="G58" s="285">
        <f t="shared" si="56"/>
        <v>2788.0536374600001</v>
      </c>
      <c r="H58" s="285">
        <f t="shared" si="57"/>
        <v>2811.7520933800001</v>
      </c>
      <c r="I58" s="285">
        <f t="shared" si="58"/>
        <v>3282.8110613200001</v>
      </c>
      <c r="J58" s="285">
        <f t="shared" si="59"/>
        <v>3310.71495534</v>
      </c>
      <c r="K58" s="308">
        <f>ROUND([2]FTES!C65,3)</f>
        <v>8178.1490000000003</v>
      </c>
      <c r="L58" s="308">
        <f>ROUND([2]FTES!F65,3)</f>
        <v>0</v>
      </c>
      <c r="M58" s="308">
        <f>ROUND('[2]Growth Deficit'!AG65,3)</f>
        <v>0</v>
      </c>
      <c r="N58" s="308">
        <f>ROUND([2]FTES!I65,3)</f>
        <v>0</v>
      </c>
      <c r="O58" s="308">
        <f>ROUND([2]FTES!E65,3)</f>
        <v>8572.5300000000007</v>
      </c>
      <c r="P58" s="308">
        <f>ROUND([2]FTES!L65,3)</f>
        <v>448.87</v>
      </c>
      <c r="Q58" s="308">
        <f>ROUND([2]FTES!O65,3)</f>
        <v>0</v>
      </c>
      <c r="R58" s="308">
        <f>ROUND('[2]Growth Deficit'!$AH65,3)</f>
        <v>0</v>
      </c>
      <c r="S58" s="308">
        <f>ROUND([2]FTES!R65,3)</f>
        <v>0</v>
      </c>
      <c r="T58" s="308">
        <f>ROUND([2]FTES!N65,3)</f>
        <v>323.98</v>
      </c>
      <c r="U58" s="308">
        <f>ROUND([2]FTES!U65,3)</f>
        <v>85.33</v>
      </c>
      <c r="V58" s="308">
        <f>ROUND([2]FTES!X65,3)</f>
        <v>0</v>
      </c>
      <c r="W58" s="308">
        <f>ROUND('[2]Growth Deficit'!$AI65,3)</f>
        <v>0</v>
      </c>
      <c r="X58" s="308">
        <f>ROUND([2]FTES!AA65,3)</f>
        <v>0</v>
      </c>
      <c r="Y58" s="308">
        <f>ROUND([2]FTES!W65,3)</f>
        <v>89.7</v>
      </c>
      <c r="Z58" s="307">
        <f>'[2]FTES Adjustment'!CW65</f>
        <v>8572.530064999999</v>
      </c>
      <c r="AA58" s="307">
        <f>'[2]FTES Adjustment'!CX65</f>
        <v>323.98</v>
      </c>
      <c r="AB58" s="307">
        <f>'[2]FTES Adjustment'!CY65</f>
        <v>89.700000000000017</v>
      </c>
      <c r="AC58" s="275">
        <f t="shared" si="31"/>
        <v>8712.3490000000002</v>
      </c>
      <c r="AD58" s="275">
        <f t="shared" si="32"/>
        <v>0</v>
      </c>
      <c r="AE58" s="275">
        <f t="shared" si="33"/>
        <v>0</v>
      </c>
      <c r="AF58" s="275">
        <f t="shared" si="34"/>
        <v>0</v>
      </c>
      <c r="AG58" s="275">
        <f t="shared" si="35"/>
        <v>8986.2099999999991</v>
      </c>
      <c r="AH58" s="275">
        <f t="shared" si="36"/>
        <v>8986.2099999999991</v>
      </c>
      <c r="AI58" s="302">
        <f>'[2]PBF Run'!F65</f>
        <v>5622823</v>
      </c>
      <c r="AJ58" s="302">
        <f>'[2]PBF Run'!H65+'[2]PBF Run'!I65+'[2]PBF Run'!J65+'[2]PBF Run'!L65</f>
        <v>39449527</v>
      </c>
      <c r="AK58" s="306">
        <f>'[2]PBF Run'!J65 + '[2]PBF Run'!$L65</f>
        <v>37917931</v>
      </c>
      <c r="AL58" s="302">
        <f>'[2]PBF Run'!H65</f>
        <v>1251474</v>
      </c>
      <c r="AM58" s="302">
        <f>'[2]PBF Run'!I65</f>
        <v>280122</v>
      </c>
      <c r="AN58" s="305">
        <f>'[2]Restoration and Growth'!BM65</f>
        <v>0</v>
      </c>
      <c r="AO58" s="278">
        <f t="shared" si="37"/>
        <v>45072350</v>
      </c>
      <c r="AP58" s="285" t="str">
        <f t="shared" si="60"/>
        <v>0.85%</v>
      </c>
      <c r="AQ58" s="302">
        <f>'[2]PBF Run'!O65</f>
        <v>383115</v>
      </c>
      <c r="AR58" s="278">
        <f t="shared" si="38"/>
        <v>45455465</v>
      </c>
      <c r="AS58" s="302">
        <f>'[2]PBF Run'!$AD65</f>
        <v>0</v>
      </c>
      <c r="AT58" s="302">
        <f>'[2]PBF Run'!$T65</f>
        <v>0</v>
      </c>
      <c r="AU58" s="278">
        <f t="shared" si="39"/>
        <v>902417</v>
      </c>
      <c r="AV58" s="304">
        <f>'[2]Restoration and Growth'!BT65</f>
        <v>0</v>
      </c>
      <c r="AW58" s="304" t="str">
        <f>'[2]Restoration and Growth'!AP65</f>
        <v>Y</v>
      </c>
      <c r="AX58" s="302">
        <f>'[2]Restoration and Growth'!CV65</f>
        <v>0</v>
      </c>
      <c r="AY58" s="302">
        <f>'[2]Growth Deficit'!$AO65</f>
        <v>0</v>
      </c>
      <c r="AZ58" s="302">
        <f>'[2]Growth Deficit'!AO65</f>
        <v>0</v>
      </c>
      <c r="BA58" s="302">
        <f>'[2]Growth Deficit'!AL65</f>
        <v>0</v>
      </c>
      <c r="BB58" s="302">
        <f>'[2]Growth Deficit'!AM65</f>
        <v>0</v>
      </c>
      <c r="BC58" s="302">
        <f>'[2]Growth Deficit'!AN65</f>
        <v>0</v>
      </c>
      <c r="BD58" s="302">
        <f>'[2]Growth Deficit'!AO65</f>
        <v>0</v>
      </c>
      <c r="BE58" s="302">
        <f>'[2]PBF Run'!AA65</f>
        <v>0</v>
      </c>
      <c r="BF58" s="302">
        <f>'[2]PBF Run'!AB65</f>
        <v>0</v>
      </c>
      <c r="BG58" s="302">
        <f>'[2]PBF Run'!AC65</f>
        <v>0</v>
      </c>
      <c r="BH58" s="302">
        <f>'[2]PBF Run'!AD65</f>
        <v>0</v>
      </c>
      <c r="BI58" s="278">
        <f t="shared" si="40"/>
        <v>0</v>
      </c>
      <c r="BJ58" s="302">
        <f>'[2]PBF Run'!X65</f>
        <v>0</v>
      </c>
      <c r="BK58" s="302">
        <f>'[2]PBF Run'!AE65</f>
        <v>46962859</v>
      </c>
      <c r="BL58" s="282">
        <f t="shared" si="41"/>
        <v>0.98518542067466552</v>
      </c>
      <c r="BM58" s="302">
        <f>'[2]PBF Run'!AM65</f>
        <v>695735</v>
      </c>
      <c r="BN58" s="302">
        <f>'[2]PBF Run'!$AN65</f>
        <v>25530439</v>
      </c>
      <c r="BO58" s="302">
        <f>'[2]PBF Run'!$AO65</f>
        <v>0</v>
      </c>
      <c r="BP58" s="302">
        <f>'[2]PBF Run'!AC65</f>
        <v>0</v>
      </c>
      <c r="BQ58" s="278">
        <f t="shared" si="42"/>
        <v>25530439</v>
      </c>
      <c r="BR58" s="302">
        <f>'[2]PBF Run'!AJ65</f>
        <v>11410386</v>
      </c>
      <c r="BS58" s="302">
        <f>'[2]PBF Run'!AI65</f>
        <v>1953702</v>
      </c>
      <c r="BT58" s="302">
        <f>'[2]PBF Run'!$AN65</f>
        <v>25530439</v>
      </c>
      <c r="BU58" s="302">
        <f>'[2]PBF Run'!$AN65</f>
        <v>25530439</v>
      </c>
      <c r="BV58" s="302">
        <f>'[2]PBF Run'!BI65</f>
        <v>0</v>
      </c>
      <c r="BW58" s="303">
        <f>'[2]PBF Run'!BH65</f>
        <v>0</v>
      </c>
      <c r="BX58" s="278">
        <f t="shared" si="61"/>
        <v>69532</v>
      </c>
      <c r="BY58" s="278">
        <f t="shared" si="43"/>
        <v>25530439</v>
      </c>
      <c r="BZ58" s="302">
        <f>'[2]As of 13-14 R1'!BP65</f>
        <v>0</v>
      </c>
      <c r="CA58" s="302">
        <f>'[2]As of 13-14 R1'!BQ65</f>
        <v>0</v>
      </c>
      <c r="CB58" s="302">
        <f>'[2]As of 13-14 R1'!BR65</f>
        <v>0</v>
      </c>
      <c r="CC58" s="278">
        <f t="shared" si="44"/>
        <v>0</v>
      </c>
      <c r="CD58" s="301">
        <f>'[2]Growth Deficit'!$D$2</f>
        <v>0</v>
      </c>
      <c r="CE58" s="300">
        <f>IF($CS58="S",'[2]Foundation Grant'!C65,0)</f>
        <v>0</v>
      </c>
      <c r="CF58" s="300">
        <f>IF($CS58="S",'[2]Foundation Grant'!D65,0)</f>
        <v>1</v>
      </c>
      <c r="CG58" s="300">
        <f>IF($CS58="S",'[2]Foundation Grant'!E65,0)</f>
        <v>0</v>
      </c>
      <c r="CH58" s="300">
        <f>IF($CS58="S",'[2]Foundation Grant'!F65,0)</f>
        <v>1</v>
      </c>
      <c r="CI58" s="300">
        <f>IF($CS58="M",'[2]Foundation Grant'!C65,0)</f>
        <v>0</v>
      </c>
      <c r="CJ58" s="300">
        <f>IF($CS58="M",'[2]Foundation Grant'!D65,0)</f>
        <v>0</v>
      </c>
      <c r="CK58" s="300">
        <f>IF($CS58="M",'[2]Foundation Grant'!E65,0)</f>
        <v>0</v>
      </c>
      <c r="CL58" s="300">
        <f>IF($CS58="M",'[2]Foundation Grant'!F65,0)</f>
        <v>0</v>
      </c>
      <c r="CM58" s="300">
        <f>'[2]Foundation Grant'!G65</f>
        <v>0</v>
      </c>
      <c r="CN58" s="300">
        <f>'[2]Foundation Grant'!H65</f>
        <v>0</v>
      </c>
      <c r="CO58" s="300">
        <f>'[2]Foundation Grant'!I65</f>
        <v>0</v>
      </c>
      <c r="CP58" s="300">
        <f>'[2]Foundation Grant'!J65</f>
        <v>0</v>
      </c>
      <c r="CQ58" s="300">
        <f>'[2]Foundation Grant'!K65</f>
        <v>0</v>
      </c>
      <c r="CR58" s="299">
        <f>'[2]Foundation Grant'!L65</f>
        <v>0</v>
      </c>
      <c r="CS58" s="300" t="str">
        <f>'[2]Foundation Grant'!M65</f>
        <v>S</v>
      </c>
      <c r="CT58" s="300">
        <f>'[2]Foundation Grant'!N65</f>
        <v>5622823</v>
      </c>
      <c r="CU58" s="299">
        <f>'[2]Foundation Grant'!O65</f>
        <v>0</v>
      </c>
      <c r="CV58" s="299">
        <f>'[2]Foundation Grant'!P65</f>
        <v>1</v>
      </c>
      <c r="CW58" s="298">
        <f>'[2]Foundation Grant'!$C$1</f>
        <v>5622823</v>
      </c>
      <c r="CX58" s="298">
        <f>'[2]Foundation Grant'!$D$1</f>
        <v>4498258</v>
      </c>
      <c r="CY58" s="298">
        <f>'[2]Foundation Grant'!$E$1</f>
        <v>3373694</v>
      </c>
      <c r="CZ58" s="298">
        <f>'[2]Foundation Grant'!$C$2</f>
        <v>4498258</v>
      </c>
      <c r="DA58" s="298">
        <f>'[2]Foundation Grant'!$D$2</f>
        <v>3935976</v>
      </c>
      <c r="DB58" s="298">
        <f>'[2]Foundation Grant'!$E$2</f>
        <v>3373694</v>
      </c>
      <c r="DC58" s="298">
        <f>'[2]Foundation Grant'!$G$1</f>
        <v>1124565</v>
      </c>
      <c r="DD58" s="298">
        <f>'[2]Foundation Grant'!$H$1</f>
        <v>843423</v>
      </c>
      <c r="DE58" s="298">
        <f>'[2]Foundation Grant'!$I$1</f>
        <v>562282</v>
      </c>
      <c r="DF58" s="298">
        <f>'[2]Foundation Grant'!$J$1</f>
        <v>281141</v>
      </c>
      <c r="DG58" s="298">
        <f>'[2]Foundation Grant'!$K$1</f>
        <v>140571</v>
      </c>
      <c r="DH58" s="298">
        <f>'[2]Foundation Grant'!$O$1</f>
        <v>562282</v>
      </c>
      <c r="DI58" s="298">
        <f>'[2]Foundation Grant'!$P$1</f>
        <v>1124565</v>
      </c>
      <c r="DJ58" s="297">
        <f>'[2]basic allocation'!$C$10</f>
        <v>18749</v>
      </c>
      <c r="DK58" s="297">
        <f>'[2]basic allocation'!$D$10</f>
        <v>9375</v>
      </c>
      <c r="DL58" s="297">
        <f>'[2]basic allocation'!$E$10</f>
        <v>9375</v>
      </c>
      <c r="DM58" s="297">
        <f>'[2]basic allocation'!$I$10</f>
        <v>938</v>
      </c>
      <c r="DN58" s="297">
        <f>'[2]basic allocation'!$J$10</f>
        <v>703</v>
      </c>
      <c r="DO58" s="297">
        <f>'[2]basic allocation'!$K$10</f>
        <v>469</v>
      </c>
      <c r="DP58" s="297">
        <f>'[2]basic allocation'!$L$10</f>
        <v>234</v>
      </c>
      <c r="DQ58" s="297">
        <f>'[2]basic allocation'!$M$10</f>
        <v>100</v>
      </c>
      <c r="DR58" s="296">
        <f>'[2]FTES Adjustment'!DQ65</f>
        <v>-6.4999998357961886E-5</v>
      </c>
      <c r="DS58" s="296">
        <f>'[2]FTES Adjustment'!DR65</f>
        <v>0</v>
      </c>
      <c r="DT58" s="296">
        <f>'[2]FTES Adjustment'!DS65</f>
        <v>0</v>
      </c>
      <c r="DU58" s="277">
        <f t="shared" si="45"/>
        <v>0</v>
      </c>
      <c r="DV58" s="276">
        <f t="shared" si="46"/>
        <v>394.380718</v>
      </c>
      <c r="DW58" s="276">
        <f t="shared" si="47"/>
        <v>-124.88999999999999</v>
      </c>
      <c r="DX58" s="276">
        <f t="shared" si="48"/>
        <v>4.37</v>
      </c>
      <c r="DY58" s="276">
        <f t="shared" si="49"/>
        <v>273.86099999999999</v>
      </c>
      <c r="DZ58" s="295">
        <f>ROUND([2]FTES!$D65,3)</f>
        <v>8178.1490000000003</v>
      </c>
      <c r="EA58" s="295">
        <f>ROUND([2]FTES!$M65,3)</f>
        <v>448.87</v>
      </c>
      <c r="EB58" s="295">
        <f>ROUND([2]FTES!$V65,3)</f>
        <v>85.33</v>
      </c>
      <c r="EC58" s="276">
        <f t="shared" si="50"/>
        <v>8712.3490000000002</v>
      </c>
      <c r="ED58" s="133">
        <v>0</v>
      </c>
      <c r="EE58" s="294">
        <f>'[2]10-11 WkLd126M'!$E63</f>
        <v>1030460</v>
      </c>
      <c r="EF58" s="295">
        <f>'[2]FTES Adjustment'!CG65</f>
        <v>394.380718</v>
      </c>
      <c r="EG58" s="295">
        <f>'[2]FTES Adjustment'!CH65</f>
        <v>-124.88999999999999</v>
      </c>
      <c r="EH58" s="295">
        <f>'[2]FTES Adjustment'!CI65</f>
        <v>4.37</v>
      </c>
      <c r="EI58" s="276">
        <f t="shared" si="51"/>
        <v>273.86071800000002</v>
      </c>
      <c r="EJ58" s="294">
        <f>'[2]PBF Run'!$AT65</f>
        <v>0</v>
      </c>
      <c r="EK58" s="294">
        <f>'[2]11-12 Workload Reduction'!H65</f>
        <v>40459681</v>
      </c>
      <c r="EL58" s="294">
        <f>'[2]13-14 $86M Workload Restore'!AI63</f>
        <v>902417</v>
      </c>
      <c r="EM58" s="294">
        <f>'[2]13-14 $86M Workload Restore'!AC63</f>
        <v>0</v>
      </c>
      <c r="EN58" s="294">
        <f>'[2]13-14 deferrals, growth, EPA 1'!BJ65</f>
        <v>6885921</v>
      </c>
      <c r="EO58" s="293">
        <f t="shared" si="52"/>
        <v>46267124</v>
      </c>
      <c r="EP58" s="292">
        <v>0</v>
      </c>
      <c r="EQ58" s="292">
        <v>0</v>
      </c>
      <c r="ER58" s="292">
        <v>0</v>
      </c>
      <c r="ES58" s="16">
        <f t="shared" si="53"/>
        <v>0</v>
      </c>
    </row>
    <row r="59" spans="1:149">
      <c r="A59" s="291" t="s">
        <v>257</v>
      </c>
      <c r="B59" s="290" t="str">
        <f t="shared" si="54"/>
        <v>P2</v>
      </c>
      <c r="C59" s="285" t="s">
        <v>287</v>
      </c>
      <c r="D59" s="289" t="s">
        <v>286</v>
      </c>
      <c r="E59" s="288">
        <f>ROUND('[2]PBF Run'!N66,6)</f>
        <v>4636.4928769999997</v>
      </c>
      <c r="F59" s="285">
        <f t="shared" si="55"/>
        <v>4675.9030433300004</v>
      </c>
      <c r="G59" s="285">
        <f t="shared" si="56"/>
        <v>2788.0536374600001</v>
      </c>
      <c r="H59" s="285">
        <f t="shared" si="57"/>
        <v>2811.7520933800001</v>
      </c>
      <c r="I59" s="285">
        <f t="shared" si="58"/>
        <v>3282.8110613200001</v>
      </c>
      <c r="J59" s="285">
        <f t="shared" si="59"/>
        <v>3310.71495534</v>
      </c>
      <c r="K59" s="308">
        <f>ROUND([2]FTES!C66,3)</f>
        <v>6231.49</v>
      </c>
      <c r="L59" s="308">
        <f>ROUND([2]FTES!F66,3)</f>
        <v>476.09</v>
      </c>
      <c r="M59" s="308">
        <f>ROUND('[2]Growth Deficit'!AG66,3)</f>
        <v>0</v>
      </c>
      <c r="N59" s="308">
        <f>ROUND([2]FTES!I66,3)</f>
        <v>0</v>
      </c>
      <c r="O59" s="308">
        <f>ROUND([2]FTES!E66,3)</f>
        <v>6707.58</v>
      </c>
      <c r="P59" s="308">
        <f>ROUND([2]FTES!L66,3)</f>
        <v>188.16</v>
      </c>
      <c r="Q59" s="308">
        <f>ROUND([2]FTES!O66,3)</f>
        <v>23.48</v>
      </c>
      <c r="R59" s="308">
        <f>ROUND('[2]Growth Deficit'!$AH66,3)</f>
        <v>0</v>
      </c>
      <c r="S59" s="308">
        <f>ROUND([2]FTES!R66,3)</f>
        <v>0</v>
      </c>
      <c r="T59" s="308">
        <f>ROUND([2]FTES!N66,3)</f>
        <v>267.51</v>
      </c>
      <c r="U59" s="308">
        <f>ROUND([2]FTES!U66,3)</f>
        <v>47.45</v>
      </c>
      <c r="V59" s="308">
        <f>ROUND([2]FTES!X66,3)</f>
        <v>0</v>
      </c>
      <c r="W59" s="308">
        <f>ROUND('[2]Growth Deficit'!$AI66,3)</f>
        <v>0</v>
      </c>
      <c r="X59" s="308">
        <f>ROUND([2]FTES!AA66,3)</f>
        <v>0</v>
      </c>
      <c r="Y59" s="308">
        <f>ROUND([2]FTES!W66,3)</f>
        <v>0</v>
      </c>
      <c r="Z59" s="307">
        <f>'[2]FTES Adjustment'!CW66</f>
        <v>6707.579999999999</v>
      </c>
      <c r="AA59" s="307">
        <f>'[2]FTES Adjustment'!CX66</f>
        <v>267.51</v>
      </c>
      <c r="AB59" s="307">
        <f>'[2]FTES Adjustment'!CY66</f>
        <v>0</v>
      </c>
      <c r="AC59" s="275">
        <f t="shared" si="31"/>
        <v>6467.1</v>
      </c>
      <c r="AD59" s="275">
        <f t="shared" si="32"/>
        <v>499.57</v>
      </c>
      <c r="AE59" s="275">
        <f t="shared" si="33"/>
        <v>0</v>
      </c>
      <c r="AF59" s="275">
        <f t="shared" si="34"/>
        <v>0</v>
      </c>
      <c r="AG59" s="275">
        <f t="shared" si="35"/>
        <v>6975.09</v>
      </c>
      <c r="AH59" s="275">
        <f t="shared" si="36"/>
        <v>6975.09</v>
      </c>
      <c r="AI59" s="302">
        <f>'[2]PBF Run'!F66</f>
        <v>3373694</v>
      </c>
      <c r="AJ59" s="302">
        <f>'[2]PBF Run'!H66+'[2]PBF Run'!I66+'[2]PBF Run'!J66+'[2]PBF Run'!L66</f>
        <v>29572628</v>
      </c>
      <c r="AK59" s="306">
        <f>'[2]PBF Run'!J66 + '[2]PBF Run'!$L66</f>
        <v>28892259</v>
      </c>
      <c r="AL59" s="302">
        <f>'[2]PBF Run'!H66</f>
        <v>524600</v>
      </c>
      <c r="AM59" s="302">
        <f>'[2]PBF Run'!I66</f>
        <v>155769</v>
      </c>
      <c r="AN59" s="305">
        <f>'[2]Restoration and Growth'!BM66</f>
        <v>0</v>
      </c>
      <c r="AO59" s="278">
        <f t="shared" si="37"/>
        <v>32946322</v>
      </c>
      <c r="AP59" s="285" t="str">
        <f t="shared" si="60"/>
        <v>0.85%</v>
      </c>
      <c r="AQ59" s="302">
        <f>'[2]PBF Run'!O66</f>
        <v>280044</v>
      </c>
      <c r="AR59" s="278">
        <f t="shared" si="38"/>
        <v>33226366</v>
      </c>
      <c r="AS59" s="302">
        <f>'[2]PBF Run'!$AD66</f>
        <v>0</v>
      </c>
      <c r="AT59" s="302">
        <f>'[2]PBF Run'!$T66</f>
        <v>2292171</v>
      </c>
      <c r="AU59" s="278">
        <f t="shared" si="39"/>
        <v>2292171</v>
      </c>
      <c r="AV59" s="304">
        <f>'[2]Restoration and Growth'!BT66</f>
        <v>0</v>
      </c>
      <c r="AW59" s="304" t="str">
        <f>'[2]Restoration and Growth'!AP66</f>
        <v>N</v>
      </c>
      <c r="AX59" s="302">
        <f>'[2]Restoration and Growth'!CV66</f>
        <v>0</v>
      </c>
      <c r="AY59" s="302">
        <f>'[2]Growth Deficit'!$AO66</f>
        <v>0</v>
      </c>
      <c r="AZ59" s="302">
        <f>'[2]Growth Deficit'!AO66</f>
        <v>0</v>
      </c>
      <c r="BA59" s="302">
        <f>'[2]Growth Deficit'!AL66</f>
        <v>0</v>
      </c>
      <c r="BB59" s="302">
        <f>'[2]Growth Deficit'!AM66</f>
        <v>0</v>
      </c>
      <c r="BC59" s="302">
        <f>'[2]Growth Deficit'!AN66</f>
        <v>0</v>
      </c>
      <c r="BD59" s="302">
        <f>'[2]Growth Deficit'!AO66</f>
        <v>0</v>
      </c>
      <c r="BE59" s="302">
        <f>'[2]PBF Run'!AA66</f>
        <v>0</v>
      </c>
      <c r="BF59" s="302">
        <f>'[2]PBF Run'!AB66</f>
        <v>0</v>
      </c>
      <c r="BG59" s="302">
        <f>'[2]PBF Run'!AC66</f>
        <v>0</v>
      </c>
      <c r="BH59" s="302">
        <f>'[2]PBF Run'!AD66</f>
        <v>0</v>
      </c>
      <c r="BI59" s="278">
        <f t="shared" si="40"/>
        <v>0</v>
      </c>
      <c r="BJ59" s="302">
        <f>'[2]PBF Run'!X66</f>
        <v>0</v>
      </c>
      <c r="BK59" s="302">
        <f>'[2]PBF Run'!AE66</f>
        <v>35518537</v>
      </c>
      <c r="BL59" s="282">
        <f t="shared" si="41"/>
        <v>0.98518542585242175</v>
      </c>
      <c r="BM59" s="302">
        <f>'[2]PBF Run'!AM66</f>
        <v>526192</v>
      </c>
      <c r="BN59" s="302">
        <f>'[2]PBF Run'!$AN66</f>
        <v>15193152</v>
      </c>
      <c r="BO59" s="302">
        <f>'[2]PBF Run'!$AO66</f>
        <v>0</v>
      </c>
      <c r="BP59" s="302">
        <f>'[2]PBF Run'!AC66</f>
        <v>0</v>
      </c>
      <c r="BQ59" s="278">
        <f t="shared" si="42"/>
        <v>15193152</v>
      </c>
      <c r="BR59" s="302">
        <f>'[2]PBF Run'!AJ66</f>
        <v>12344717</v>
      </c>
      <c r="BS59" s="302">
        <f>'[2]PBF Run'!AI66</f>
        <v>1957028</v>
      </c>
      <c r="BT59" s="302">
        <f>'[2]PBF Run'!$AN66</f>
        <v>15193152</v>
      </c>
      <c r="BU59" s="302">
        <f>'[2]PBF Run'!$AN66</f>
        <v>15193152</v>
      </c>
      <c r="BV59" s="302">
        <f>'[2]PBF Run'!BI66</f>
        <v>0</v>
      </c>
      <c r="BW59" s="303">
        <f>'[2]PBF Run'!BH66</f>
        <v>0</v>
      </c>
      <c r="BX59" s="278">
        <f t="shared" si="61"/>
        <v>69532</v>
      </c>
      <c r="BY59" s="278">
        <f t="shared" si="43"/>
        <v>15193152</v>
      </c>
      <c r="BZ59" s="302">
        <f>'[2]As of 13-14 R1'!BP66</f>
        <v>0</v>
      </c>
      <c r="CA59" s="302">
        <f>'[2]As of 13-14 R1'!BQ66</f>
        <v>0</v>
      </c>
      <c r="CB59" s="302">
        <f>'[2]As of 13-14 R1'!BR66</f>
        <v>0</v>
      </c>
      <c r="CC59" s="278">
        <f t="shared" si="44"/>
        <v>0</v>
      </c>
      <c r="CD59" s="301">
        <f>'[2]Growth Deficit'!$D$2</f>
        <v>0</v>
      </c>
      <c r="CE59" s="300">
        <f>IF($CS59="S",'[2]Foundation Grant'!C66,0)</f>
        <v>0</v>
      </c>
      <c r="CF59" s="300">
        <f>IF($CS59="S",'[2]Foundation Grant'!D66,0)</f>
        <v>0</v>
      </c>
      <c r="CG59" s="300">
        <f>IF($CS59="S",'[2]Foundation Grant'!E66,0)</f>
        <v>1</v>
      </c>
      <c r="CH59" s="300">
        <f>IF($CS59="S",'[2]Foundation Grant'!F66,0)</f>
        <v>1</v>
      </c>
      <c r="CI59" s="300">
        <f>IF($CS59="M",'[2]Foundation Grant'!C66,0)</f>
        <v>0</v>
      </c>
      <c r="CJ59" s="300">
        <f>IF($CS59="M",'[2]Foundation Grant'!D66,0)</f>
        <v>0</v>
      </c>
      <c r="CK59" s="300">
        <f>IF($CS59="M",'[2]Foundation Grant'!E66,0)</f>
        <v>0</v>
      </c>
      <c r="CL59" s="300">
        <f>IF($CS59="M",'[2]Foundation Grant'!F66,0)</f>
        <v>0</v>
      </c>
      <c r="CM59" s="300">
        <f>'[2]Foundation Grant'!G66</f>
        <v>0</v>
      </c>
      <c r="CN59" s="300">
        <f>'[2]Foundation Grant'!H66</f>
        <v>0</v>
      </c>
      <c r="CO59" s="300">
        <f>'[2]Foundation Grant'!I66</f>
        <v>0</v>
      </c>
      <c r="CP59" s="300">
        <f>'[2]Foundation Grant'!J66</f>
        <v>0</v>
      </c>
      <c r="CQ59" s="300">
        <f>'[2]Foundation Grant'!K66</f>
        <v>0</v>
      </c>
      <c r="CR59" s="299">
        <f>'[2]Foundation Grant'!L66</f>
        <v>0</v>
      </c>
      <c r="CS59" s="300" t="str">
        <f>'[2]Foundation Grant'!M66</f>
        <v>S</v>
      </c>
      <c r="CT59" s="300">
        <f>'[2]Foundation Grant'!N66</f>
        <v>3373694</v>
      </c>
      <c r="CU59" s="299">
        <f>'[2]Foundation Grant'!O66</f>
        <v>0</v>
      </c>
      <c r="CV59" s="299">
        <f>'[2]Foundation Grant'!P66</f>
        <v>0</v>
      </c>
      <c r="CW59" s="298">
        <f>'[2]Foundation Grant'!$C$1</f>
        <v>5622823</v>
      </c>
      <c r="CX59" s="298">
        <f>'[2]Foundation Grant'!$D$1</f>
        <v>4498258</v>
      </c>
      <c r="CY59" s="298">
        <f>'[2]Foundation Grant'!$E$1</f>
        <v>3373694</v>
      </c>
      <c r="CZ59" s="298">
        <f>'[2]Foundation Grant'!$C$2</f>
        <v>4498258</v>
      </c>
      <c r="DA59" s="298">
        <f>'[2]Foundation Grant'!$D$2</f>
        <v>3935976</v>
      </c>
      <c r="DB59" s="298">
        <f>'[2]Foundation Grant'!$E$2</f>
        <v>3373694</v>
      </c>
      <c r="DC59" s="298">
        <f>'[2]Foundation Grant'!$G$1</f>
        <v>1124565</v>
      </c>
      <c r="DD59" s="298">
        <f>'[2]Foundation Grant'!$H$1</f>
        <v>843423</v>
      </c>
      <c r="DE59" s="298">
        <f>'[2]Foundation Grant'!$I$1</f>
        <v>562282</v>
      </c>
      <c r="DF59" s="298">
        <f>'[2]Foundation Grant'!$J$1</f>
        <v>281141</v>
      </c>
      <c r="DG59" s="298">
        <f>'[2]Foundation Grant'!$K$1</f>
        <v>140571</v>
      </c>
      <c r="DH59" s="298">
        <f>'[2]Foundation Grant'!$O$1</f>
        <v>562282</v>
      </c>
      <c r="DI59" s="298">
        <f>'[2]Foundation Grant'!$P$1</f>
        <v>1124565</v>
      </c>
      <c r="DJ59" s="297">
        <f>'[2]basic allocation'!$C$10</f>
        <v>18749</v>
      </c>
      <c r="DK59" s="297">
        <f>'[2]basic allocation'!$D$10</f>
        <v>9375</v>
      </c>
      <c r="DL59" s="297">
        <f>'[2]basic allocation'!$E$10</f>
        <v>9375</v>
      </c>
      <c r="DM59" s="297">
        <f>'[2]basic allocation'!$I$10</f>
        <v>938</v>
      </c>
      <c r="DN59" s="297">
        <f>'[2]basic allocation'!$J$10</f>
        <v>703</v>
      </c>
      <c r="DO59" s="297">
        <f>'[2]basic allocation'!$K$10</f>
        <v>469</v>
      </c>
      <c r="DP59" s="297">
        <f>'[2]basic allocation'!$L$10</f>
        <v>234</v>
      </c>
      <c r="DQ59" s="297">
        <f>'[2]basic allocation'!$M$10</f>
        <v>100</v>
      </c>
      <c r="DR59" s="296">
        <f>'[2]FTES Adjustment'!DQ66</f>
        <v>0</v>
      </c>
      <c r="DS59" s="296">
        <f>'[2]FTES Adjustment'!DR66</f>
        <v>0</v>
      </c>
      <c r="DT59" s="296">
        <f>'[2]FTES Adjustment'!DS66</f>
        <v>0</v>
      </c>
      <c r="DU59" s="277">
        <f t="shared" si="45"/>
        <v>0</v>
      </c>
      <c r="DV59" s="276">
        <f t="shared" si="46"/>
        <v>-6.7999999999999999E-5</v>
      </c>
      <c r="DW59" s="276">
        <f t="shared" si="47"/>
        <v>55.869978000000003</v>
      </c>
      <c r="DX59" s="276">
        <f t="shared" si="48"/>
        <v>-47.45</v>
      </c>
      <c r="DY59" s="276">
        <f t="shared" si="49"/>
        <v>8.42</v>
      </c>
      <c r="DZ59" s="295">
        <f>ROUND([2]FTES!$D66,3)</f>
        <v>6231.49</v>
      </c>
      <c r="EA59" s="295">
        <f>ROUND([2]FTES!$M66,3)</f>
        <v>188.16</v>
      </c>
      <c r="EB59" s="295">
        <f>ROUND([2]FTES!$V66,3)</f>
        <v>47.45</v>
      </c>
      <c r="EC59" s="276">
        <f t="shared" si="50"/>
        <v>6467.1</v>
      </c>
      <c r="ED59" s="133">
        <v>0</v>
      </c>
      <c r="EE59" s="294">
        <f>'[2]10-11 WkLd126M'!$E64</f>
        <v>859205</v>
      </c>
      <c r="EF59" s="295">
        <f>'[2]FTES Adjustment'!CG66</f>
        <v>-6.7999999999999999E-5</v>
      </c>
      <c r="EG59" s="295">
        <f>'[2]FTES Adjustment'!CH66</f>
        <v>55.869978000000003</v>
      </c>
      <c r="EH59" s="295">
        <f>'[2]FTES Adjustment'!CI66</f>
        <v>-47.45</v>
      </c>
      <c r="EI59" s="276">
        <f t="shared" si="51"/>
        <v>8.4199100000000016</v>
      </c>
      <c r="EJ59" s="294">
        <f>'[2]PBF Run'!$AT66</f>
        <v>0</v>
      </c>
      <c r="EK59" s="294">
        <f>'[2]11-12 Workload Reduction'!H66</f>
        <v>35029895</v>
      </c>
      <c r="EL59" s="294">
        <f>'[2]13-14 $86M Workload Restore'!AI64</f>
        <v>0</v>
      </c>
      <c r="EM59" s="294">
        <f>'[2]13-14 $86M Workload Restore'!AC64</f>
        <v>0</v>
      </c>
      <c r="EN59" s="294">
        <f>'[2]13-14 deferrals, growth, EPA 1'!BJ66</f>
        <v>5539556</v>
      </c>
      <c r="EO59" s="293">
        <f t="shared" si="52"/>
        <v>34992345</v>
      </c>
      <c r="EP59" s="292">
        <v>0</v>
      </c>
      <c r="EQ59" s="292">
        <v>0</v>
      </c>
      <c r="ER59" s="292">
        <v>0</v>
      </c>
      <c r="ES59" s="16">
        <f t="shared" si="53"/>
        <v>0</v>
      </c>
    </row>
    <row r="60" spans="1:149">
      <c r="A60" s="291" t="s">
        <v>257</v>
      </c>
      <c r="B60" s="290" t="str">
        <f t="shared" si="54"/>
        <v>P2</v>
      </c>
      <c r="C60" s="285" t="s">
        <v>285</v>
      </c>
      <c r="D60" s="289" t="s">
        <v>284</v>
      </c>
      <c r="E60" s="288">
        <f>ROUND('[2]PBF Run'!N67,6)</f>
        <v>4636.4928620000001</v>
      </c>
      <c r="F60" s="285">
        <f t="shared" si="55"/>
        <v>4675.9030433300004</v>
      </c>
      <c r="G60" s="285">
        <f t="shared" si="56"/>
        <v>2788.0536374600001</v>
      </c>
      <c r="H60" s="285">
        <f t="shared" si="57"/>
        <v>2811.7520933800001</v>
      </c>
      <c r="I60" s="285">
        <f t="shared" si="58"/>
        <v>3282.8110613200001</v>
      </c>
      <c r="J60" s="285">
        <f t="shared" si="59"/>
        <v>3310.71495534</v>
      </c>
      <c r="K60" s="308">
        <f>ROUND([2]FTES!C67,3)</f>
        <v>13021.67</v>
      </c>
      <c r="L60" s="308">
        <f>ROUND([2]FTES!F67,3)</f>
        <v>1217.367</v>
      </c>
      <c r="M60" s="308">
        <f>ROUND('[2]Growth Deficit'!AG67,3)</f>
        <v>0</v>
      </c>
      <c r="N60" s="308">
        <f>ROUND([2]FTES!I67,3)</f>
        <v>0</v>
      </c>
      <c r="O60" s="308">
        <f>ROUND([2]FTES!E67,3)</f>
        <v>14502.09</v>
      </c>
      <c r="P60" s="308">
        <f>ROUND([2]FTES!L67,3)</f>
        <v>342.51</v>
      </c>
      <c r="Q60" s="308">
        <f>ROUND([2]FTES!O67,3)</f>
        <v>0</v>
      </c>
      <c r="R60" s="308">
        <f>ROUND('[2]Growth Deficit'!$AH67,3)</f>
        <v>0</v>
      </c>
      <c r="S60" s="308">
        <f>ROUND([2]FTES!R67,3)</f>
        <v>0</v>
      </c>
      <c r="T60" s="308">
        <f>ROUND([2]FTES!N67,3)</f>
        <v>302.85000000000002</v>
      </c>
      <c r="U60" s="308">
        <f>ROUND([2]FTES!U67,3)</f>
        <v>0</v>
      </c>
      <c r="V60" s="308">
        <f>ROUND([2]FTES!X67,3)</f>
        <v>0</v>
      </c>
      <c r="W60" s="308">
        <f>ROUND('[2]Growth Deficit'!$AI67,3)</f>
        <v>0</v>
      </c>
      <c r="X60" s="308">
        <f>ROUND([2]FTES!AA67,3)</f>
        <v>0</v>
      </c>
      <c r="Y60" s="308">
        <f>ROUND([2]FTES!W67,3)</f>
        <v>0</v>
      </c>
      <c r="Z60" s="307">
        <f>'[2]FTES Adjustment'!CW67</f>
        <v>14502.089918000001</v>
      </c>
      <c r="AA60" s="307">
        <f>'[2]FTES Adjustment'!CX67</f>
        <v>302.85000000000002</v>
      </c>
      <c r="AB60" s="307">
        <f>'[2]FTES Adjustment'!CY67</f>
        <v>0</v>
      </c>
      <c r="AC60" s="275">
        <f t="shared" si="31"/>
        <v>13364.18</v>
      </c>
      <c r="AD60" s="275">
        <f t="shared" si="32"/>
        <v>1217.367</v>
      </c>
      <c r="AE60" s="275">
        <f t="shared" si="33"/>
        <v>0</v>
      </c>
      <c r="AF60" s="275">
        <f t="shared" si="34"/>
        <v>0</v>
      </c>
      <c r="AG60" s="275">
        <f t="shared" si="35"/>
        <v>14804.94</v>
      </c>
      <c r="AH60" s="275">
        <f t="shared" si="36"/>
        <v>14804.94</v>
      </c>
      <c r="AI60" s="302">
        <f>'[2]PBF Run'!F67</f>
        <v>5763394</v>
      </c>
      <c r="AJ60" s="302">
        <f>'[2]PBF Run'!H67+'[2]PBF Run'!I67+'[2]PBF Run'!J67+'[2]PBF Run'!L67</f>
        <v>61329816</v>
      </c>
      <c r="AK60" s="306">
        <f>'[2]PBF Run'!J67 + '[2]PBF Run'!$L67</f>
        <v>60374880</v>
      </c>
      <c r="AL60" s="302">
        <f>'[2]PBF Run'!H67</f>
        <v>954936</v>
      </c>
      <c r="AM60" s="302">
        <f>'[2]PBF Run'!I67</f>
        <v>0</v>
      </c>
      <c r="AN60" s="305">
        <f>'[2]Restoration and Growth'!BM67</f>
        <v>0</v>
      </c>
      <c r="AO60" s="278">
        <f t="shared" si="37"/>
        <v>67093210</v>
      </c>
      <c r="AP60" s="285" t="str">
        <f t="shared" si="60"/>
        <v>0.85%</v>
      </c>
      <c r="AQ60" s="302">
        <f>'[2]PBF Run'!O67</f>
        <v>570292</v>
      </c>
      <c r="AR60" s="278">
        <f t="shared" si="38"/>
        <v>67663502</v>
      </c>
      <c r="AS60" s="302">
        <f>'[2]PBF Run'!$AD67</f>
        <v>0</v>
      </c>
      <c r="AT60" s="302">
        <f>'[2]PBF Run'!$T67</f>
        <v>5692292</v>
      </c>
      <c r="AU60" s="278">
        <f t="shared" si="39"/>
        <v>5692292</v>
      </c>
      <c r="AV60" s="304">
        <f>'[2]Restoration and Growth'!BT67</f>
        <v>0</v>
      </c>
      <c r="AW60" s="304" t="str">
        <f>'[2]Restoration and Growth'!AP67</f>
        <v>N</v>
      </c>
      <c r="AX60" s="302">
        <f>'[2]Restoration and Growth'!CV67</f>
        <v>0</v>
      </c>
      <c r="AY60" s="302">
        <f>'[2]Growth Deficit'!$AO67</f>
        <v>0</v>
      </c>
      <c r="AZ60" s="302">
        <f>'[2]Growth Deficit'!AO67</f>
        <v>0</v>
      </c>
      <c r="BA60" s="302">
        <f>'[2]Growth Deficit'!AL67</f>
        <v>0</v>
      </c>
      <c r="BB60" s="302">
        <f>'[2]Growth Deficit'!AM67</f>
        <v>0</v>
      </c>
      <c r="BC60" s="302">
        <f>'[2]Growth Deficit'!AN67</f>
        <v>0</v>
      </c>
      <c r="BD60" s="302">
        <f>'[2]Growth Deficit'!AO67</f>
        <v>0</v>
      </c>
      <c r="BE60" s="302">
        <f>'[2]PBF Run'!AA67</f>
        <v>0</v>
      </c>
      <c r="BF60" s="302">
        <f>'[2]PBF Run'!AB67</f>
        <v>0</v>
      </c>
      <c r="BG60" s="302">
        <f>'[2]PBF Run'!AC67</f>
        <v>0</v>
      </c>
      <c r="BH60" s="302">
        <f>'[2]PBF Run'!AD67</f>
        <v>0</v>
      </c>
      <c r="BI60" s="278">
        <f t="shared" si="40"/>
        <v>0</v>
      </c>
      <c r="BJ60" s="302">
        <f>'[2]PBF Run'!X67</f>
        <v>0</v>
      </c>
      <c r="BK60" s="302">
        <f>'[2]PBF Run'!AE67</f>
        <v>74474288</v>
      </c>
      <c r="BL60" s="282">
        <f t="shared" si="41"/>
        <v>0.98518542399492293</v>
      </c>
      <c r="BM60" s="302">
        <f>'[2]PBF Run'!AM67</f>
        <v>1103305</v>
      </c>
      <c r="BN60" s="302">
        <f>'[2]PBF Run'!$AN67</f>
        <v>1118494</v>
      </c>
      <c r="BO60" s="302">
        <f>'[2]PBF Run'!$AO67</f>
        <v>0</v>
      </c>
      <c r="BP60" s="302">
        <f>'[2]PBF Run'!AC67</f>
        <v>0</v>
      </c>
      <c r="BQ60" s="278">
        <f t="shared" si="42"/>
        <v>1118494</v>
      </c>
      <c r="BR60" s="302">
        <f>'[2]PBF Run'!AJ67</f>
        <v>62837105</v>
      </c>
      <c r="BS60" s="302">
        <f>'[2]PBF Run'!AI67</f>
        <v>6447752</v>
      </c>
      <c r="BT60" s="302">
        <f>'[2]PBF Run'!$AN67</f>
        <v>1118494</v>
      </c>
      <c r="BU60" s="302">
        <f>'[2]PBF Run'!$AN67</f>
        <v>1118494</v>
      </c>
      <c r="BV60" s="302">
        <f>'[2]PBF Run'!BI67</f>
        <v>0</v>
      </c>
      <c r="BW60" s="303">
        <f>'[2]PBF Run'!BH67</f>
        <v>0</v>
      </c>
      <c r="BX60" s="278">
        <f t="shared" si="61"/>
        <v>69532</v>
      </c>
      <c r="BY60" s="278">
        <f t="shared" si="43"/>
        <v>1118494</v>
      </c>
      <c r="BZ60" s="302">
        <f>'[2]As of 13-14 R1'!BP67</f>
        <v>0</v>
      </c>
      <c r="CA60" s="302">
        <f>'[2]As of 13-14 R1'!BQ67</f>
        <v>0</v>
      </c>
      <c r="CB60" s="302">
        <f>'[2]As of 13-14 R1'!BR67</f>
        <v>0</v>
      </c>
      <c r="CC60" s="278">
        <f t="shared" si="44"/>
        <v>0</v>
      </c>
      <c r="CD60" s="301">
        <f>'[2]Growth Deficit'!$D$2</f>
        <v>0</v>
      </c>
      <c r="CE60" s="300">
        <f>IF($CS60="S",'[2]Foundation Grant'!C67,0)</f>
        <v>0</v>
      </c>
      <c r="CF60" s="300">
        <f>IF($CS60="S",'[2]Foundation Grant'!D67,0)</f>
        <v>1</v>
      </c>
      <c r="CG60" s="300">
        <f>IF($CS60="S",'[2]Foundation Grant'!E67,0)</f>
        <v>0</v>
      </c>
      <c r="CH60" s="300">
        <f>IF($CS60="S",'[2]Foundation Grant'!F67,0)</f>
        <v>1</v>
      </c>
      <c r="CI60" s="300">
        <f>IF($CS60="M",'[2]Foundation Grant'!C67,0)</f>
        <v>0</v>
      </c>
      <c r="CJ60" s="300">
        <f>IF($CS60="M",'[2]Foundation Grant'!D67,0)</f>
        <v>0</v>
      </c>
      <c r="CK60" s="300">
        <f>IF($CS60="M",'[2]Foundation Grant'!E67,0)</f>
        <v>0</v>
      </c>
      <c r="CL60" s="300">
        <f>IF($CS60="M",'[2]Foundation Grant'!F67,0)</f>
        <v>0</v>
      </c>
      <c r="CM60" s="300">
        <f>'[2]Foundation Grant'!G67</f>
        <v>0</v>
      </c>
      <c r="CN60" s="300">
        <f>'[2]Foundation Grant'!H67</f>
        <v>0</v>
      </c>
      <c r="CO60" s="300">
        <f>'[2]Foundation Grant'!I67</f>
        <v>0</v>
      </c>
      <c r="CP60" s="300">
        <f>'[2]Foundation Grant'!J67</f>
        <v>0</v>
      </c>
      <c r="CQ60" s="300">
        <f>'[2]Foundation Grant'!K67</f>
        <v>1</v>
      </c>
      <c r="CR60" s="299">
        <f>'[2]Foundation Grant'!L67</f>
        <v>1</v>
      </c>
      <c r="CS60" s="300" t="str">
        <f>'[2]Foundation Grant'!M67</f>
        <v>S</v>
      </c>
      <c r="CT60" s="300">
        <f>'[2]Foundation Grant'!N67</f>
        <v>5763394</v>
      </c>
      <c r="CU60" s="299">
        <f>'[2]Foundation Grant'!O67</f>
        <v>0</v>
      </c>
      <c r="CV60" s="299">
        <f>'[2]Foundation Grant'!P67</f>
        <v>1</v>
      </c>
      <c r="CW60" s="298">
        <f>'[2]Foundation Grant'!$C$1</f>
        <v>5622823</v>
      </c>
      <c r="CX60" s="298">
        <f>'[2]Foundation Grant'!$D$1</f>
        <v>4498258</v>
      </c>
      <c r="CY60" s="298">
        <f>'[2]Foundation Grant'!$E$1</f>
        <v>3373694</v>
      </c>
      <c r="CZ60" s="298">
        <f>'[2]Foundation Grant'!$C$2</f>
        <v>4498258</v>
      </c>
      <c r="DA60" s="298">
        <f>'[2]Foundation Grant'!$D$2</f>
        <v>3935976</v>
      </c>
      <c r="DB60" s="298">
        <f>'[2]Foundation Grant'!$E$2</f>
        <v>3373694</v>
      </c>
      <c r="DC60" s="298">
        <f>'[2]Foundation Grant'!$G$1</f>
        <v>1124565</v>
      </c>
      <c r="DD60" s="298">
        <f>'[2]Foundation Grant'!$H$1</f>
        <v>843423</v>
      </c>
      <c r="DE60" s="298">
        <f>'[2]Foundation Grant'!$I$1</f>
        <v>562282</v>
      </c>
      <c r="DF60" s="298">
        <f>'[2]Foundation Grant'!$J$1</f>
        <v>281141</v>
      </c>
      <c r="DG60" s="298">
        <f>'[2]Foundation Grant'!$K$1</f>
        <v>140571</v>
      </c>
      <c r="DH60" s="298">
        <f>'[2]Foundation Grant'!$O$1</f>
        <v>562282</v>
      </c>
      <c r="DI60" s="298">
        <f>'[2]Foundation Grant'!$P$1</f>
        <v>1124565</v>
      </c>
      <c r="DJ60" s="297">
        <f>'[2]basic allocation'!$C$10</f>
        <v>18749</v>
      </c>
      <c r="DK60" s="297">
        <f>'[2]basic allocation'!$D$10</f>
        <v>9375</v>
      </c>
      <c r="DL60" s="297">
        <f>'[2]basic allocation'!$E$10</f>
        <v>9375</v>
      </c>
      <c r="DM60" s="297">
        <f>'[2]basic allocation'!$I$10</f>
        <v>938</v>
      </c>
      <c r="DN60" s="297">
        <f>'[2]basic allocation'!$J$10</f>
        <v>703</v>
      </c>
      <c r="DO60" s="297">
        <f>'[2]basic allocation'!$K$10</f>
        <v>469</v>
      </c>
      <c r="DP60" s="297">
        <f>'[2]basic allocation'!$L$10</f>
        <v>234</v>
      </c>
      <c r="DQ60" s="297">
        <f>'[2]basic allocation'!$M$10</f>
        <v>100</v>
      </c>
      <c r="DR60" s="296">
        <f>'[2]FTES Adjustment'!DQ67</f>
        <v>8.1999998656101525E-5</v>
      </c>
      <c r="DS60" s="296">
        <f>'[2]FTES Adjustment'!DR67</f>
        <v>0</v>
      </c>
      <c r="DT60" s="296">
        <f>'[2]FTES Adjustment'!DS67</f>
        <v>0</v>
      </c>
      <c r="DU60" s="277">
        <f t="shared" si="45"/>
        <v>0</v>
      </c>
      <c r="DV60" s="276">
        <f t="shared" si="46"/>
        <v>263.052503</v>
      </c>
      <c r="DW60" s="276">
        <f t="shared" si="47"/>
        <v>-39.659999999999968</v>
      </c>
      <c r="DX60" s="276">
        <f t="shared" si="48"/>
        <v>0</v>
      </c>
      <c r="DY60" s="276">
        <f t="shared" si="49"/>
        <v>223.393</v>
      </c>
      <c r="DZ60" s="295">
        <f>ROUND([2]FTES!$D67,3)</f>
        <v>13021.67</v>
      </c>
      <c r="EA60" s="295">
        <f>ROUND([2]FTES!$M67,3)</f>
        <v>342.51</v>
      </c>
      <c r="EB60" s="295">
        <f>ROUND([2]FTES!$V67,3)</f>
        <v>0</v>
      </c>
      <c r="EC60" s="276">
        <f t="shared" si="50"/>
        <v>13364.18</v>
      </c>
      <c r="ED60" s="133">
        <v>0</v>
      </c>
      <c r="EE60" s="294">
        <f>'[2]10-11 WkLd126M'!$E65</f>
        <v>1705604</v>
      </c>
      <c r="EF60" s="295">
        <f>'[2]FTES Adjustment'!CG67</f>
        <v>263.052503</v>
      </c>
      <c r="EG60" s="295">
        <f>'[2]FTES Adjustment'!CH67</f>
        <v>-39.659999999999968</v>
      </c>
      <c r="EH60" s="295">
        <f>'[2]FTES Adjustment'!CI67</f>
        <v>0</v>
      </c>
      <c r="EI60" s="276">
        <f t="shared" si="51"/>
        <v>223.39250300000003</v>
      </c>
      <c r="EJ60" s="294">
        <f>'[2]PBF Run'!$AT67</f>
        <v>0</v>
      </c>
      <c r="EK60" s="294">
        <f>'[2]11-12 Workload Reduction'!H67</f>
        <v>70456968</v>
      </c>
      <c r="EL60" s="294">
        <f>'[2]13-14 $86M Workload Restore'!AI65</f>
        <v>0</v>
      </c>
      <c r="EM60" s="294">
        <f>'[2]13-14 $86M Workload Restore'!AC65</f>
        <v>0</v>
      </c>
      <c r="EN60" s="294">
        <f>'[2]13-14 deferrals, growth, EPA 1'!BJ67</f>
        <v>7012363</v>
      </c>
      <c r="EO60" s="293">
        <f t="shared" si="52"/>
        <v>73370983</v>
      </c>
      <c r="EP60" s="292">
        <v>0</v>
      </c>
      <c r="EQ60" s="292">
        <v>0</v>
      </c>
      <c r="ER60" s="292">
        <v>0</v>
      </c>
      <c r="ES60" s="16">
        <f t="shared" si="53"/>
        <v>0</v>
      </c>
    </row>
    <row r="61" spans="1:149">
      <c r="A61" s="291" t="s">
        <v>257</v>
      </c>
      <c r="B61" s="290" t="str">
        <f t="shared" si="54"/>
        <v>P2</v>
      </c>
      <c r="C61" s="285" t="s">
        <v>283</v>
      </c>
      <c r="D61" s="289" t="s">
        <v>282</v>
      </c>
      <c r="E61" s="288">
        <f>ROUND('[2]PBF Run'!N68,6)</f>
        <v>4636.4927090000001</v>
      </c>
      <c r="F61" s="285">
        <f t="shared" si="55"/>
        <v>4675.9030433300004</v>
      </c>
      <c r="G61" s="285">
        <f t="shared" si="56"/>
        <v>2788.0536374600001</v>
      </c>
      <c r="H61" s="285">
        <f t="shared" si="57"/>
        <v>2811.7520933800001</v>
      </c>
      <c r="I61" s="285">
        <f t="shared" si="58"/>
        <v>3282.8110613200001</v>
      </c>
      <c r="J61" s="285">
        <f t="shared" si="59"/>
        <v>3310.71495534</v>
      </c>
      <c r="K61" s="308">
        <f>ROUND([2]FTES!C68,3)</f>
        <v>1976.34</v>
      </c>
      <c r="L61" s="308">
        <f>ROUND([2]FTES!F68,3)</f>
        <v>25.82</v>
      </c>
      <c r="M61" s="308">
        <f>ROUND('[2]Growth Deficit'!AG68,3)</f>
        <v>0</v>
      </c>
      <c r="N61" s="308">
        <f>ROUND([2]FTES!I68,3)</f>
        <v>0</v>
      </c>
      <c r="O61" s="308">
        <f>ROUND([2]FTES!E68,3)</f>
        <v>2002.16</v>
      </c>
      <c r="P61" s="308">
        <f>ROUND([2]FTES!L68,3)</f>
        <v>263.8</v>
      </c>
      <c r="Q61" s="308">
        <f>ROUND([2]FTES!O68,3)</f>
        <v>0</v>
      </c>
      <c r="R61" s="308">
        <f>ROUND('[2]Growth Deficit'!$AH68,3)</f>
        <v>0</v>
      </c>
      <c r="S61" s="308">
        <f>ROUND([2]FTES!R68,3)</f>
        <v>0</v>
      </c>
      <c r="T61" s="308">
        <f>ROUND([2]FTES!N68,3)</f>
        <v>1.78</v>
      </c>
      <c r="U61" s="308">
        <f>ROUND([2]FTES!U68,3)</f>
        <v>67.900000000000006</v>
      </c>
      <c r="V61" s="308">
        <f>ROUND([2]FTES!X68,3)</f>
        <v>59.57</v>
      </c>
      <c r="W61" s="308">
        <f>ROUND('[2]Growth Deficit'!$AI68,3)</f>
        <v>0</v>
      </c>
      <c r="X61" s="308">
        <f>ROUND([2]FTES!AA68,3)</f>
        <v>0</v>
      </c>
      <c r="Y61" s="308">
        <f>ROUND([2]FTES!W68,3)</f>
        <v>350</v>
      </c>
      <c r="Z61" s="307">
        <f>'[2]FTES Adjustment'!CW68</f>
        <v>2002.1600000000003</v>
      </c>
      <c r="AA61" s="307">
        <f>'[2]FTES Adjustment'!CX68</f>
        <v>1.7799999999999727</v>
      </c>
      <c r="AB61" s="307">
        <f>'[2]FTES Adjustment'!CY68</f>
        <v>350</v>
      </c>
      <c r="AC61" s="275">
        <f t="shared" si="31"/>
        <v>2308.04</v>
      </c>
      <c r="AD61" s="275">
        <f t="shared" si="32"/>
        <v>85.39</v>
      </c>
      <c r="AE61" s="275">
        <f t="shared" si="33"/>
        <v>0</v>
      </c>
      <c r="AF61" s="275">
        <f t="shared" si="34"/>
        <v>0</v>
      </c>
      <c r="AG61" s="275">
        <f t="shared" si="35"/>
        <v>2353.94</v>
      </c>
      <c r="AH61" s="275">
        <f t="shared" si="36"/>
        <v>2353.94</v>
      </c>
      <c r="AI61" s="302">
        <f>'[2]PBF Run'!F68</f>
        <v>3935976</v>
      </c>
      <c r="AJ61" s="302">
        <f>'[2]PBF Run'!H68+'[2]PBF Run'!I68+'[2]PBF Run'!J68+'[2]PBF Run'!L68</f>
        <v>10121678</v>
      </c>
      <c r="AK61" s="306">
        <f>'[2]PBF Run'!J68 + '[2]PBF Run'!$L68</f>
        <v>9163286</v>
      </c>
      <c r="AL61" s="302">
        <f>'[2]PBF Run'!H68</f>
        <v>735489</v>
      </c>
      <c r="AM61" s="302">
        <f>'[2]PBF Run'!I68</f>
        <v>222903</v>
      </c>
      <c r="AN61" s="305">
        <f>'[2]Restoration and Growth'!BM68</f>
        <v>0</v>
      </c>
      <c r="AO61" s="278">
        <f t="shared" si="37"/>
        <v>14057654</v>
      </c>
      <c r="AP61" s="285" t="str">
        <f t="shared" si="60"/>
        <v>0.85%</v>
      </c>
      <c r="AQ61" s="302">
        <f>'[2]PBF Run'!O68</f>
        <v>119490</v>
      </c>
      <c r="AR61" s="278">
        <f t="shared" si="38"/>
        <v>14177144</v>
      </c>
      <c r="AS61" s="302">
        <f>'[2]PBF Run'!$AD68</f>
        <v>0</v>
      </c>
      <c r="AT61" s="302">
        <f>'[2]PBF Run'!$T68</f>
        <v>317950</v>
      </c>
      <c r="AU61" s="278">
        <f t="shared" si="39"/>
        <v>317950</v>
      </c>
      <c r="AV61" s="304">
        <f>'[2]Restoration and Growth'!BT68</f>
        <v>0</v>
      </c>
      <c r="AW61" s="304" t="str">
        <f>'[2]Restoration and Growth'!AP68</f>
        <v>N</v>
      </c>
      <c r="AX61" s="302">
        <f>'[2]Restoration and Growth'!CV68</f>
        <v>0</v>
      </c>
      <c r="AY61" s="302">
        <f>'[2]Growth Deficit'!$AO68</f>
        <v>0</v>
      </c>
      <c r="AZ61" s="302">
        <f>'[2]Growth Deficit'!AO68</f>
        <v>0</v>
      </c>
      <c r="BA61" s="302">
        <f>'[2]Growth Deficit'!AL68</f>
        <v>0</v>
      </c>
      <c r="BB61" s="302">
        <f>'[2]Growth Deficit'!AM68</f>
        <v>0</v>
      </c>
      <c r="BC61" s="302">
        <f>'[2]Growth Deficit'!AN68</f>
        <v>0</v>
      </c>
      <c r="BD61" s="302">
        <f>'[2]Growth Deficit'!AO68</f>
        <v>0</v>
      </c>
      <c r="BE61" s="302">
        <f>'[2]PBF Run'!AA68</f>
        <v>0</v>
      </c>
      <c r="BF61" s="302">
        <f>'[2]PBF Run'!AB68</f>
        <v>0</v>
      </c>
      <c r="BG61" s="302">
        <f>'[2]PBF Run'!AC68</f>
        <v>0</v>
      </c>
      <c r="BH61" s="302">
        <f>'[2]PBF Run'!AD68</f>
        <v>0</v>
      </c>
      <c r="BI61" s="278">
        <f t="shared" si="40"/>
        <v>0</v>
      </c>
      <c r="BJ61" s="302">
        <f>'[2]PBF Run'!X68</f>
        <v>0</v>
      </c>
      <c r="BK61" s="302">
        <f>'[2]PBF Run'!AE68</f>
        <v>14495094</v>
      </c>
      <c r="BL61" s="282">
        <f t="shared" si="41"/>
        <v>0.98518540135027755</v>
      </c>
      <c r="BM61" s="302">
        <f>'[2]PBF Run'!AM68</f>
        <v>214739</v>
      </c>
      <c r="BN61" s="302">
        <f>'[2]PBF Run'!$AN68</f>
        <v>7554228</v>
      </c>
      <c r="BO61" s="302">
        <f>'[2]PBF Run'!$AO68</f>
        <v>0</v>
      </c>
      <c r="BP61" s="302">
        <f>'[2]PBF Run'!AC68</f>
        <v>0</v>
      </c>
      <c r="BQ61" s="278">
        <f t="shared" si="42"/>
        <v>7554228</v>
      </c>
      <c r="BR61" s="302">
        <f>'[2]PBF Run'!AJ68</f>
        <v>3563498</v>
      </c>
      <c r="BS61" s="302">
        <f>'[2]PBF Run'!AI68</f>
        <v>942721</v>
      </c>
      <c r="BT61" s="302">
        <f>'[2]PBF Run'!$AN68</f>
        <v>7554228</v>
      </c>
      <c r="BU61" s="302">
        <f>'[2]PBF Run'!$AN68</f>
        <v>7554228</v>
      </c>
      <c r="BV61" s="302">
        <f>'[2]PBF Run'!BI68</f>
        <v>0</v>
      </c>
      <c r="BW61" s="303">
        <f>'[2]PBF Run'!BH68</f>
        <v>0</v>
      </c>
      <c r="BX61" s="278">
        <f t="shared" si="61"/>
        <v>69532</v>
      </c>
      <c r="BY61" s="278">
        <f t="shared" si="43"/>
        <v>7554228</v>
      </c>
      <c r="BZ61" s="302">
        <f>'[2]As of 13-14 R1'!BP68</f>
        <v>319247</v>
      </c>
      <c r="CA61" s="302">
        <f>'[2]As of 13-14 R1'!BQ68</f>
        <v>473457</v>
      </c>
      <c r="CB61" s="302">
        <f>'[2]As of 13-14 R1'!BR68</f>
        <v>0</v>
      </c>
      <c r="CC61" s="278">
        <f t="shared" si="44"/>
        <v>792704</v>
      </c>
      <c r="CD61" s="301">
        <f>'[2]Growth Deficit'!$D$2</f>
        <v>0</v>
      </c>
      <c r="CE61" s="300">
        <f>IF($CS61="S",'[2]Foundation Grant'!C68,0)</f>
        <v>0</v>
      </c>
      <c r="CF61" s="300">
        <f>IF($CS61="S",'[2]Foundation Grant'!D68,0)</f>
        <v>0</v>
      </c>
      <c r="CG61" s="300">
        <f>IF($CS61="S",'[2]Foundation Grant'!E68,0)</f>
        <v>1</v>
      </c>
      <c r="CH61" s="300">
        <f>IF($CS61="S",'[2]Foundation Grant'!F68,0)</f>
        <v>1</v>
      </c>
      <c r="CI61" s="300">
        <f>IF($CS61="M",'[2]Foundation Grant'!C68,0)</f>
        <v>0</v>
      </c>
      <c r="CJ61" s="300">
        <f>IF($CS61="M",'[2]Foundation Grant'!D68,0)</f>
        <v>0</v>
      </c>
      <c r="CK61" s="300">
        <f>IF($CS61="M",'[2]Foundation Grant'!E68,0)</f>
        <v>0</v>
      </c>
      <c r="CL61" s="300">
        <f>IF($CS61="M",'[2]Foundation Grant'!F68,0)</f>
        <v>0</v>
      </c>
      <c r="CM61" s="300">
        <f>'[2]Foundation Grant'!G68</f>
        <v>0</v>
      </c>
      <c r="CN61" s="300">
        <f>'[2]Foundation Grant'!H68</f>
        <v>0</v>
      </c>
      <c r="CO61" s="300">
        <f>'[2]Foundation Grant'!I68</f>
        <v>0</v>
      </c>
      <c r="CP61" s="300">
        <f>'[2]Foundation Grant'!J68</f>
        <v>0</v>
      </c>
      <c r="CQ61" s="300">
        <f>'[2]Foundation Grant'!K68</f>
        <v>0</v>
      </c>
      <c r="CR61" s="299">
        <f>'[2]Foundation Grant'!L68</f>
        <v>0</v>
      </c>
      <c r="CS61" s="300" t="str">
        <f>'[2]Foundation Grant'!M68</f>
        <v>S</v>
      </c>
      <c r="CT61" s="300">
        <f>'[2]Foundation Grant'!N68</f>
        <v>3935976</v>
      </c>
      <c r="CU61" s="299">
        <f>'[2]Foundation Grant'!O68</f>
        <v>1</v>
      </c>
      <c r="CV61" s="299">
        <f>'[2]Foundation Grant'!P68</f>
        <v>0</v>
      </c>
      <c r="CW61" s="298">
        <f>'[2]Foundation Grant'!$C$1</f>
        <v>5622823</v>
      </c>
      <c r="CX61" s="298">
        <f>'[2]Foundation Grant'!$D$1</f>
        <v>4498258</v>
      </c>
      <c r="CY61" s="298">
        <f>'[2]Foundation Grant'!$E$1</f>
        <v>3373694</v>
      </c>
      <c r="CZ61" s="298">
        <f>'[2]Foundation Grant'!$C$2</f>
        <v>4498258</v>
      </c>
      <c r="DA61" s="298">
        <f>'[2]Foundation Grant'!$D$2</f>
        <v>3935976</v>
      </c>
      <c r="DB61" s="298">
        <f>'[2]Foundation Grant'!$E$2</f>
        <v>3373694</v>
      </c>
      <c r="DC61" s="298">
        <f>'[2]Foundation Grant'!$G$1</f>
        <v>1124565</v>
      </c>
      <c r="DD61" s="298">
        <f>'[2]Foundation Grant'!$H$1</f>
        <v>843423</v>
      </c>
      <c r="DE61" s="298">
        <f>'[2]Foundation Grant'!$I$1</f>
        <v>562282</v>
      </c>
      <c r="DF61" s="298">
        <f>'[2]Foundation Grant'!$J$1</f>
        <v>281141</v>
      </c>
      <c r="DG61" s="298">
        <f>'[2]Foundation Grant'!$K$1</f>
        <v>140571</v>
      </c>
      <c r="DH61" s="298">
        <f>'[2]Foundation Grant'!$O$1</f>
        <v>562282</v>
      </c>
      <c r="DI61" s="298">
        <f>'[2]Foundation Grant'!$P$1</f>
        <v>1124565</v>
      </c>
      <c r="DJ61" s="297">
        <f>'[2]basic allocation'!$C$10</f>
        <v>18749</v>
      </c>
      <c r="DK61" s="297">
        <f>'[2]basic allocation'!$D$10</f>
        <v>9375</v>
      </c>
      <c r="DL61" s="297">
        <f>'[2]basic allocation'!$E$10</f>
        <v>9375</v>
      </c>
      <c r="DM61" s="297">
        <f>'[2]basic allocation'!$I$10</f>
        <v>938</v>
      </c>
      <c r="DN61" s="297">
        <f>'[2]basic allocation'!$J$10</f>
        <v>703</v>
      </c>
      <c r="DO61" s="297">
        <f>'[2]basic allocation'!$K$10</f>
        <v>469</v>
      </c>
      <c r="DP61" s="297">
        <f>'[2]basic allocation'!$L$10</f>
        <v>234</v>
      </c>
      <c r="DQ61" s="297">
        <f>'[2]basic allocation'!$M$10</f>
        <v>100</v>
      </c>
      <c r="DR61" s="296">
        <f>'[2]FTES Adjustment'!DQ68</f>
        <v>0</v>
      </c>
      <c r="DS61" s="296">
        <f>'[2]FTES Adjustment'!DR68</f>
        <v>0</v>
      </c>
      <c r="DT61" s="296">
        <f>'[2]FTES Adjustment'!DS68</f>
        <v>0</v>
      </c>
      <c r="DU61" s="277">
        <f t="shared" si="45"/>
        <v>0</v>
      </c>
      <c r="DV61" s="276">
        <f t="shared" si="46"/>
        <v>-3.8999999999999999E-5</v>
      </c>
      <c r="DW61" s="276">
        <f t="shared" si="47"/>
        <v>-262.02</v>
      </c>
      <c r="DX61" s="276">
        <f t="shared" si="48"/>
        <v>222.53039000000001</v>
      </c>
      <c r="DY61" s="276">
        <f t="shared" si="49"/>
        <v>-39.49</v>
      </c>
      <c r="DZ61" s="295">
        <f>ROUND([2]FTES!$D68,3)</f>
        <v>1976.34</v>
      </c>
      <c r="EA61" s="295">
        <f>ROUND([2]FTES!$M68,3)</f>
        <v>263.8</v>
      </c>
      <c r="EB61" s="295">
        <f>ROUND([2]FTES!$V68,3)</f>
        <v>67.900000000000006</v>
      </c>
      <c r="EC61" s="276">
        <f t="shared" si="50"/>
        <v>2308.04</v>
      </c>
      <c r="ED61" s="133">
        <v>0</v>
      </c>
      <c r="EE61" s="294">
        <f>'[2]10-11 WkLd126M'!$E66</f>
        <v>349908</v>
      </c>
      <c r="EF61" s="295">
        <f>'[2]FTES Adjustment'!CG68</f>
        <v>-3.8999999999999999E-5</v>
      </c>
      <c r="EG61" s="295">
        <f>'[2]FTES Adjustment'!CH68</f>
        <v>-262.02</v>
      </c>
      <c r="EH61" s="295">
        <f>'[2]FTES Adjustment'!CI68</f>
        <v>222.53039000000001</v>
      </c>
      <c r="EI61" s="276">
        <f t="shared" si="51"/>
        <v>-39.489648999999986</v>
      </c>
      <c r="EJ61" s="294">
        <f>'[2]PBF Run'!$AT68</f>
        <v>0</v>
      </c>
      <c r="EK61" s="294">
        <f>'[2]11-12 Workload Reduction'!H68</f>
        <v>10134423</v>
      </c>
      <c r="EL61" s="294">
        <f>'[2]13-14 $86M Workload Restore'!AI66</f>
        <v>0</v>
      </c>
      <c r="EM61" s="294">
        <f>'[2]13-14 $86M Workload Restore'!AC66</f>
        <v>0</v>
      </c>
      <c r="EN61" s="294">
        <f>'[2]13-14 deferrals, growth, EPA 1'!BJ68</f>
        <v>2188607</v>
      </c>
      <c r="EO61" s="293">
        <f t="shared" si="52"/>
        <v>14280355</v>
      </c>
      <c r="EP61" s="292">
        <v>0</v>
      </c>
      <c r="EQ61" s="292">
        <v>0</v>
      </c>
      <c r="ER61" s="292">
        <v>0</v>
      </c>
      <c r="ES61" s="16">
        <f t="shared" si="53"/>
        <v>0</v>
      </c>
    </row>
    <row r="62" spans="1:149">
      <c r="A62" s="291" t="s">
        <v>257</v>
      </c>
      <c r="B62" s="290" t="str">
        <f t="shared" si="54"/>
        <v>P2</v>
      </c>
      <c r="C62" s="285" t="s">
        <v>281</v>
      </c>
      <c r="D62" s="289" t="s">
        <v>280</v>
      </c>
      <c r="E62" s="288">
        <f>ROUND('[2]PBF Run'!N69,6)</f>
        <v>4636.4928280000004</v>
      </c>
      <c r="F62" s="285">
        <f t="shared" si="55"/>
        <v>4675.9030433300004</v>
      </c>
      <c r="G62" s="285">
        <f t="shared" si="56"/>
        <v>2788.0536374600001</v>
      </c>
      <c r="H62" s="285">
        <f t="shared" si="57"/>
        <v>2811.7520933800001</v>
      </c>
      <c r="I62" s="285">
        <f t="shared" si="58"/>
        <v>3282.8110613200001</v>
      </c>
      <c r="J62" s="285">
        <f t="shared" si="59"/>
        <v>3310.71495534</v>
      </c>
      <c r="K62" s="308">
        <f>ROUND([2]FTES!C69,3)</f>
        <v>8178.84</v>
      </c>
      <c r="L62" s="308">
        <f>ROUND([2]FTES!F69,3)</f>
        <v>0</v>
      </c>
      <c r="M62" s="308">
        <f>ROUND('[2]Growth Deficit'!AG69,3)</f>
        <v>0</v>
      </c>
      <c r="N62" s="308">
        <f>ROUND([2]FTES!I69,3)</f>
        <v>-1077.8900000000001</v>
      </c>
      <c r="O62" s="308">
        <f>ROUND([2]FTES!E69,3)</f>
        <v>7100.95</v>
      </c>
      <c r="P62" s="308">
        <f>ROUND([2]FTES!L69,3)</f>
        <v>0.59</v>
      </c>
      <c r="Q62" s="308">
        <f>ROUND([2]FTES!O69,3)</f>
        <v>0</v>
      </c>
      <c r="R62" s="308">
        <f>ROUND('[2]Growth Deficit'!$AH69,3)</f>
        <v>0</v>
      </c>
      <c r="S62" s="308">
        <f>ROUND([2]FTES!R69,3)</f>
        <v>0.2</v>
      </c>
      <c r="T62" s="308">
        <f>ROUND([2]FTES!N69,3)</f>
        <v>0.79</v>
      </c>
      <c r="U62" s="308">
        <f>ROUND([2]FTES!U69,3)</f>
        <v>0</v>
      </c>
      <c r="V62" s="308">
        <f>ROUND([2]FTES!X69,3)</f>
        <v>0</v>
      </c>
      <c r="W62" s="308">
        <f>ROUND('[2]Growth Deficit'!$AI69,3)</f>
        <v>0</v>
      </c>
      <c r="X62" s="308">
        <f>ROUND([2]FTES!AA69,3)</f>
        <v>0</v>
      </c>
      <c r="Y62" s="308">
        <f>ROUND([2]FTES!W69,3)</f>
        <v>0</v>
      </c>
      <c r="Z62" s="307">
        <f>'[2]FTES Adjustment'!CW69</f>
        <v>7100.9499999999989</v>
      </c>
      <c r="AA62" s="307">
        <f>'[2]FTES Adjustment'!CX69</f>
        <v>0.78999999999999992</v>
      </c>
      <c r="AB62" s="307">
        <f>'[2]FTES Adjustment'!CY69</f>
        <v>0</v>
      </c>
      <c r="AC62" s="275">
        <f t="shared" si="31"/>
        <v>8179.43</v>
      </c>
      <c r="AD62" s="275">
        <f t="shared" si="32"/>
        <v>0</v>
      </c>
      <c r="AE62" s="275">
        <f t="shared" si="33"/>
        <v>0</v>
      </c>
      <c r="AF62" s="275">
        <f t="shared" si="34"/>
        <v>-1077.69</v>
      </c>
      <c r="AG62" s="275">
        <f t="shared" si="35"/>
        <v>7101.74</v>
      </c>
      <c r="AH62" s="275">
        <f t="shared" si="36"/>
        <v>7101.74</v>
      </c>
      <c r="AI62" s="302">
        <f>'[2]PBF Run'!F69</f>
        <v>5622824</v>
      </c>
      <c r="AJ62" s="302">
        <f>'[2]PBF Run'!H69+'[2]PBF Run'!I69+'[2]PBF Run'!J69+'[2]PBF Run'!L69</f>
        <v>37922778</v>
      </c>
      <c r="AK62" s="306">
        <f>'[2]PBF Run'!J69 + '[2]PBF Run'!$L69</f>
        <v>37921133</v>
      </c>
      <c r="AL62" s="302">
        <f>'[2]PBF Run'!H69</f>
        <v>1645</v>
      </c>
      <c r="AM62" s="302">
        <f>'[2]PBF Run'!I69</f>
        <v>0</v>
      </c>
      <c r="AN62" s="305">
        <f>'[2]Restoration and Growth'!BM69</f>
        <v>-4997071.8889439767</v>
      </c>
      <c r="AO62" s="278">
        <f t="shared" si="37"/>
        <v>38548530.111056022</v>
      </c>
      <c r="AP62" s="285" t="str">
        <f t="shared" si="60"/>
        <v>0.85%</v>
      </c>
      <c r="AQ62" s="302">
        <f>'[2]PBF Run'!O69</f>
        <v>327663</v>
      </c>
      <c r="AR62" s="278">
        <f t="shared" si="38"/>
        <v>38876193.111056022</v>
      </c>
      <c r="AS62" s="302">
        <f>'[2]PBF Run'!$AD69</f>
        <v>0</v>
      </c>
      <c r="AT62" s="302">
        <f>'[2]PBF Run'!$T69</f>
        <v>0</v>
      </c>
      <c r="AU62" s="278">
        <f t="shared" si="39"/>
        <v>0</v>
      </c>
      <c r="AV62" s="304">
        <f>'[2]Restoration and Growth'!BT69</f>
        <v>0</v>
      </c>
      <c r="AW62" s="304" t="str">
        <f>'[2]Restoration and Growth'!AP69</f>
        <v>N</v>
      </c>
      <c r="AX62" s="302">
        <f>'[2]Restoration and Growth'!CV69</f>
        <v>0</v>
      </c>
      <c r="AY62" s="302">
        <f>'[2]Growth Deficit'!$AO69</f>
        <v>0</v>
      </c>
      <c r="AZ62" s="302">
        <f>'[2]Growth Deficit'!AO69</f>
        <v>0</v>
      </c>
      <c r="BA62" s="302">
        <f>'[2]Growth Deficit'!AL69</f>
        <v>0</v>
      </c>
      <c r="BB62" s="302">
        <f>'[2]Growth Deficit'!AM69</f>
        <v>0</v>
      </c>
      <c r="BC62" s="302">
        <f>'[2]Growth Deficit'!AN69</f>
        <v>0</v>
      </c>
      <c r="BD62" s="302">
        <f>'[2]Growth Deficit'!AO69</f>
        <v>0</v>
      </c>
      <c r="BE62" s="302">
        <f>'[2]PBF Run'!AA69</f>
        <v>0</v>
      </c>
      <c r="BF62" s="302">
        <f>'[2]PBF Run'!AB69</f>
        <v>0</v>
      </c>
      <c r="BG62" s="302">
        <f>'[2]PBF Run'!AC69</f>
        <v>0</v>
      </c>
      <c r="BH62" s="302">
        <f>'[2]PBF Run'!AD69</f>
        <v>0</v>
      </c>
      <c r="BI62" s="278">
        <f t="shared" si="40"/>
        <v>0</v>
      </c>
      <c r="BJ62" s="302">
        <f>'[2]PBF Run'!X69</f>
        <v>5039547</v>
      </c>
      <c r="BK62" s="302">
        <f>'[2]PBF Run'!AE69</f>
        <v>43915740</v>
      </c>
      <c r="BL62" s="282">
        <f t="shared" si="41"/>
        <v>0.98518542554446309</v>
      </c>
      <c r="BM62" s="302">
        <f>'[2]PBF Run'!AM69</f>
        <v>650593</v>
      </c>
      <c r="BN62" s="302">
        <f>'[2]PBF Run'!$AN69</f>
        <v>19836640</v>
      </c>
      <c r="BO62" s="302">
        <f>'[2]PBF Run'!$AO69</f>
        <v>0</v>
      </c>
      <c r="BP62" s="302">
        <f>'[2]PBF Run'!AC69</f>
        <v>0</v>
      </c>
      <c r="BQ62" s="278">
        <f t="shared" si="42"/>
        <v>19836640</v>
      </c>
      <c r="BR62" s="302">
        <f>'[2]PBF Run'!AJ69</f>
        <v>13400387</v>
      </c>
      <c r="BS62" s="302">
        <f>'[2]PBF Run'!AI69</f>
        <v>3389900</v>
      </c>
      <c r="BT62" s="302">
        <f>'[2]PBF Run'!$AN69</f>
        <v>19836640</v>
      </c>
      <c r="BU62" s="302">
        <f>'[2]PBF Run'!$AN69</f>
        <v>19836640</v>
      </c>
      <c r="BV62" s="302">
        <f>'[2]PBF Run'!BI69</f>
        <v>0</v>
      </c>
      <c r="BW62" s="303">
        <f>'[2]PBF Run'!BH69</f>
        <v>0</v>
      </c>
      <c r="BX62" s="278">
        <f t="shared" si="61"/>
        <v>69532</v>
      </c>
      <c r="BY62" s="278">
        <f t="shared" si="43"/>
        <v>19836640</v>
      </c>
      <c r="BZ62" s="302">
        <f>'[2]As of 13-14 R1'!BP69</f>
        <v>0</v>
      </c>
      <c r="CA62" s="302">
        <f>'[2]As of 13-14 R1'!BQ69</f>
        <v>0</v>
      </c>
      <c r="CB62" s="302">
        <f>'[2]As of 13-14 R1'!BR69</f>
        <v>7007900</v>
      </c>
      <c r="CC62" s="278">
        <f t="shared" si="44"/>
        <v>7007900</v>
      </c>
      <c r="CD62" s="301">
        <f>'[2]Growth Deficit'!$D$2</f>
        <v>0</v>
      </c>
      <c r="CE62" s="300">
        <f>IF($CS62="S",'[2]Foundation Grant'!C69,0)</f>
        <v>0</v>
      </c>
      <c r="CF62" s="300">
        <f>IF($CS62="S",'[2]Foundation Grant'!D69,0)</f>
        <v>0</v>
      </c>
      <c r="CG62" s="300">
        <f>IF($CS62="S",'[2]Foundation Grant'!E69,0)</f>
        <v>1</v>
      </c>
      <c r="CH62" s="300">
        <f>IF($CS62="S",'[2]Foundation Grant'!F69,0)</f>
        <v>1</v>
      </c>
      <c r="CI62" s="300">
        <f>IF($CS62="M",'[2]Foundation Grant'!C69,0)</f>
        <v>0</v>
      </c>
      <c r="CJ62" s="300">
        <f>IF($CS62="M",'[2]Foundation Grant'!D69,0)</f>
        <v>0</v>
      </c>
      <c r="CK62" s="300">
        <f>IF($CS62="M",'[2]Foundation Grant'!E69,0)</f>
        <v>0</v>
      </c>
      <c r="CL62" s="300">
        <f>IF($CS62="M",'[2]Foundation Grant'!F69,0)</f>
        <v>0</v>
      </c>
      <c r="CM62" s="300">
        <f>'[2]Foundation Grant'!G69</f>
        <v>0</v>
      </c>
      <c r="CN62" s="300">
        <f>'[2]Foundation Grant'!H69</f>
        <v>0</v>
      </c>
      <c r="CO62" s="300">
        <f>'[2]Foundation Grant'!I69</f>
        <v>0</v>
      </c>
      <c r="CP62" s="300">
        <f>'[2]Foundation Grant'!J69</f>
        <v>0</v>
      </c>
      <c r="CQ62" s="300">
        <f>'[2]Foundation Grant'!K69</f>
        <v>0</v>
      </c>
      <c r="CR62" s="299">
        <f>'[2]Foundation Grant'!L69</f>
        <v>0</v>
      </c>
      <c r="CS62" s="300" t="str">
        <f>'[2]Foundation Grant'!M69</f>
        <v>S</v>
      </c>
      <c r="CT62" s="300">
        <f>'[2]Foundation Grant'!N69</f>
        <v>5622824</v>
      </c>
      <c r="CU62" s="299">
        <f>'[2]Foundation Grant'!O69</f>
        <v>0</v>
      </c>
      <c r="CV62" s="299">
        <f>'[2]Foundation Grant'!P69</f>
        <v>2</v>
      </c>
      <c r="CW62" s="298">
        <f>'[2]Foundation Grant'!$C$1</f>
        <v>5622823</v>
      </c>
      <c r="CX62" s="298">
        <f>'[2]Foundation Grant'!$D$1</f>
        <v>4498258</v>
      </c>
      <c r="CY62" s="298">
        <f>'[2]Foundation Grant'!$E$1</f>
        <v>3373694</v>
      </c>
      <c r="CZ62" s="298">
        <f>'[2]Foundation Grant'!$C$2</f>
        <v>4498258</v>
      </c>
      <c r="DA62" s="298">
        <f>'[2]Foundation Grant'!$D$2</f>
        <v>3935976</v>
      </c>
      <c r="DB62" s="298">
        <f>'[2]Foundation Grant'!$E$2</f>
        <v>3373694</v>
      </c>
      <c r="DC62" s="298">
        <f>'[2]Foundation Grant'!$G$1</f>
        <v>1124565</v>
      </c>
      <c r="DD62" s="298">
        <f>'[2]Foundation Grant'!$H$1</f>
        <v>843423</v>
      </c>
      <c r="DE62" s="298">
        <f>'[2]Foundation Grant'!$I$1</f>
        <v>562282</v>
      </c>
      <c r="DF62" s="298">
        <f>'[2]Foundation Grant'!$J$1</f>
        <v>281141</v>
      </c>
      <c r="DG62" s="298">
        <f>'[2]Foundation Grant'!$K$1</f>
        <v>140571</v>
      </c>
      <c r="DH62" s="298">
        <f>'[2]Foundation Grant'!$O$1</f>
        <v>562282</v>
      </c>
      <c r="DI62" s="298">
        <f>'[2]Foundation Grant'!$P$1</f>
        <v>1124565</v>
      </c>
      <c r="DJ62" s="297">
        <f>'[2]basic allocation'!$C$10</f>
        <v>18749</v>
      </c>
      <c r="DK62" s="297">
        <f>'[2]basic allocation'!$D$10</f>
        <v>9375</v>
      </c>
      <c r="DL62" s="297">
        <f>'[2]basic allocation'!$E$10</f>
        <v>9375</v>
      </c>
      <c r="DM62" s="297">
        <f>'[2]basic allocation'!$I$10</f>
        <v>938</v>
      </c>
      <c r="DN62" s="297">
        <f>'[2]basic allocation'!$J$10</f>
        <v>703</v>
      </c>
      <c r="DO62" s="297">
        <f>'[2]basic allocation'!$K$10</f>
        <v>469</v>
      </c>
      <c r="DP62" s="297">
        <f>'[2]basic allocation'!$L$10</f>
        <v>234</v>
      </c>
      <c r="DQ62" s="297">
        <f>'[2]basic allocation'!$M$10</f>
        <v>100</v>
      </c>
      <c r="DR62" s="296">
        <f>'[2]FTES Adjustment'!DQ69</f>
        <v>0</v>
      </c>
      <c r="DS62" s="296">
        <f>'[2]FTES Adjustment'!DR69</f>
        <v>0</v>
      </c>
      <c r="DT62" s="296">
        <f>'[2]FTES Adjustment'!DS69</f>
        <v>0</v>
      </c>
      <c r="DU62" s="277">
        <f t="shared" si="45"/>
        <v>0</v>
      </c>
      <c r="DV62" s="276">
        <f t="shared" si="46"/>
        <v>0</v>
      </c>
      <c r="DW62" s="276">
        <f t="shared" si="47"/>
        <v>0</v>
      </c>
      <c r="DX62" s="276">
        <f t="shared" si="48"/>
        <v>0</v>
      </c>
      <c r="DY62" s="276">
        <f t="shared" si="49"/>
        <v>0</v>
      </c>
      <c r="DZ62" s="295">
        <f>ROUND([2]FTES!$D69,3)</f>
        <v>8178.84</v>
      </c>
      <c r="EA62" s="295">
        <f>ROUND([2]FTES!$M69,3)</f>
        <v>0.59</v>
      </c>
      <c r="EB62" s="295">
        <f>ROUND([2]FTES!$V69,3)</f>
        <v>0</v>
      </c>
      <c r="EC62" s="276">
        <f t="shared" si="50"/>
        <v>8179.43</v>
      </c>
      <c r="ED62" s="133">
        <v>0</v>
      </c>
      <c r="EE62" s="294">
        <f>'[2]10-11 WkLd126M'!$E67</f>
        <v>1065402</v>
      </c>
      <c r="EF62" s="295">
        <f>'[2]FTES Adjustment'!CG69</f>
        <v>0</v>
      </c>
      <c r="EG62" s="295">
        <f>'[2]FTES Adjustment'!CH69</f>
        <v>0</v>
      </c>
      <c r="EH62" s="295">
        <f>'[2]FTES Adjustment'!CI69</f>
        <v>0</v>
      </c>
      <c r="EI62" s="276">
        <f t="shared" si="51"/>
        <v>0</v>
      </c>
      <c r="EJ62" s="294">
        <f>'[2]PBF Run'!$AT69</f>
        <v>0</v>
      </c>
      <c r="EK62" s="294">
        <f>'[2]11-12 Workload Reduction'!H69</f>
        <v>42019378</v>
      </c>
      <c r="EL62" s="294">
        <f>'[2]13-14 $86M Workload Restore'!AI67</f>
        <v>0</v>
      </c>
      <c r="EM62" s="294">
        <f>'[2]13-14 $86M Workload Restore'!AC67</f>
        <v>0</v>
      </c>
      <c r="EN62" s="294">
        <f>'[2]13-14 deferrals, growth, EPA 1'!BJ69</f>
        <v>6655579</v>
      </c>
      <c r="EO62" s="293">
        <f t="shared" si="52"/>
        <v>43265147</v>
      </c>
      <c r="EP62" s="292">
        <v>0</v>
      </c>
      <c r="EQ62" s="292">
        <v>0</v>
      </c>
      <c r="ER62" s="292">
        <v>0</v>
      </c>
      <c r="ES62" s="16">
        <f t="shared" si="53"/>
        <v>0</v>
      </c>
    </row>
    <row r="63" spans="1:149">
      <c r="A63" s="291" t="s">
        <v>257</v>
      </c>
      <c r="B63" s="290" t="str">
        <f t="shared" si="54"/>
        <v>P2</v>
      </c>
      <c r="C63" s="285" t="s">
        <v>279</v>
      </c>
      <c r="D63" s="289" t="s">
        <v>278</v>
      </c>
      <c r="E63" s="288">
        <f>ROUND('[2]PBF Run'!N70,6)</f>
        <v>4636.4928630000004</v>
      </c>
      <c r="F63" s="285">
        <f t="shared" si="55"/>
        <v>4675.9030433300004</v>
      </c>
      <c r="G63" s="285">
        <f t="shared" si="56"/>
        <v>2788.0536374600001</v>
      </c>
      <c r="H63" s="285">
        <f t="shared" si="57"/>
        <v>2811.7520933800001</v>
      </c>
      <c r="I63" s="285">
        <f t="shared" si="58"/>
        <v>3282.8110613200001</v>
      </c>
      <c r="J63" s="285">
        <f t="shared" si="59"/>
        <v>3310.71495534</v>
      </c>
      <c r="K63" s="308">
        <f>ROUND([2]FTES!C70,3)</f>
        <v>16829.190999999999</v>
      </c>
      <c r="L63" s="308">
        <f>ROUND([2]FTES!F70,3)</f>
        <v>0</v>
      </c>
      <c r="M63" s="308">
        <f>ROUND('[2]Growth Deficit'!AG70,3)</f>
        <v>0</v>
      </c>
      <c r="N63" s="308">
        <f>ROUND([2]FTES!I70,3)</f>
        <v>-456.69099999999997</v>
      </c>
      <c r="O63" s="308">
        <f>ROUND([2]FTES!E70,3)</f>
        <v>16372.5</v>
      </c>
      <c r="P63" s="308">
        <f>ROUND([2]FTES!L70,3)</f>
        <v>2167.44</v>
      </c>
      <c r="Q63" s="308">
        <f>ROUND([2]FTES!O70,3)</f>
        <v>0</v>
      </c>
      <c r="R63" s="308">
        <f>ROUND('[2]Growth Deficit'!$AH70,3)</f>
        <v>0</v>
      </c>
      <c r="S63" s="308">
        <f>ROUND([2]FTES!R70,3)</f>
        <v>-630.45000000000005</v>
      </c>
      <c r="T63" s="308">
        <f>ROUND([2]FTES!N70,3)</f>
        <v>1536.99</v>
      </c>
      <c r="U63" s="308">
        <f>ROUND([2]FTES!U70,3)</f>
        <v>603.11</v>
      </c>
      <c r="V63" s="308">
        <f>ROUND([2]FTES!X70,3)</f>
        <v>0</v>
      </c>
      <c r="W63" s="308">
        <f>ROUND('[2]Growth Deficit'!$AI70,3)</f>
        <v>0</v>
      </c>
      <c r="X63" s="308">
        <f>ROUND([2]FTES!AA70,3)</f>
        <v>99.23</v>
      </c>
      <c r="Y63" s="308">
        <f>ROUND([2]FTES!W70,3)</f>
        <v>702.34</v>
      </c>
      <c r="Z63" s="307">
        <f>'[2]FTES Adjustment'!CW70</f>
        <v>16372.499999999995</v>
      </c>
      <c r="AA63" s="307">
        <f>'[2]FTES Adjustment'!CX70</f>
        <v>1536.99</v>
      </c>
      <c r="AB63" s="307">
        <f>'[2]FTES Adjustment'!CY70</f>
        <v>702.34</v>
      </c>
      <c r="AC63" s="275">
        <f t="shared" si="31"/>
        <v>19599.741000000002</v>
      </c>
      <c r="AD63" s="275">
        <f t="shared" si="32"/>
        <v>0</v>
      </c>
      <c r="AE63" s="275">
        <f t="shared" si="33"/>
        <v>0</v>
      </c>
      <c r="AF63" s="275">
        <f t="shared" si="34"/>
        <v>-987.91099999999994</v>
      </c>
      <c r="AG63" s="275">
        <f t="shared" si="35"/>
        <v>18611.830000000002</v>
      </c>
      <c r="AH63" s="275">
        <f t="shared" si="36"/>
        <v>18611.830000000002</v>
      </c>
      <c r="AI63" s="302">
        <f>'[2]PBF Run'!F70</f>
        <v>8153094</v>
      </c>
      <c r="AJ63" s="302">
        <f>'[2]PBF Run'!H70+'[2]PBF Run'!I70+'[2]PBF Run'!J70+'[2]PBF Run'!L70</f>
        <v>86051259</v>
      </c>
      <c r="AK63" s="306">
        <f>'[2]PBF Run'!J70 + '[2]PBF Run'!$L70</f>
        <v>78028424</v>
      </c>
      <c r="AL63" s="302">
        <f>'[2]PBF Run'!H70</f>
        <v>6042939</v>
      </c>
      <c r="AM63" s="302">
        <f>'[2]PBF Run'!I70</f>
        <v>1979896</v>
      </c>
      <c r="AN63" s="305">
        <f>'[2]Restoration and Growth'!BM70</f>
        <v>-3549419.9305899851</v>
      </c>
      <c r="AO63" s="278">
        <f t="shared" si="37"/>
        <v>90654933.069410011</v>
      </c>
      <c r="AP63" s="285" t="str">
        <f t="shared" si="60"/>
        <v>0.85%</v>
      </c>
      <c r="AQ63" s="302">
        <f>'[2]PBF Run'!O70</f>
        <v>770567</v>
      </c>
      <c r="AR63" s="278">
        <f t="shared" si="38"/>
        <v>91425500.069410011</v>
      </c>
      <c r="AS63" s="302">
        <f>'[2]PBF Run'!$AD70</f>
        <v>0</v>
      </c>
      <c r="AT63" s="302">
        <f>'[2]PBF Run'!$T70</f>
        <v>0</v>
      </c>
      <c r="AU63" s="278">
        <f t="shared" si="39"/>
        <v>1711745</v>
      </c>
      <c r="AV63" s="304">
        <f>'[2]Restoration and Growth'!BT70</f>
        <v>0</v>
      </c>
      <c r="AW63" s="304" t="str">
        <f>'[2]Restoration and Growth'!AP70</f>
        <v>N</v>
      </c>
      <c r="AX63" s="302">
        <f>'[2]Restoration and Growth'!CV70</f>
        <v>0</v>
      </c>
      <c r="AY63" s="302">
        <f>'[2]Growth Deficit'!$AO70</f>
        <v>0</v>
      </c>
      <c r="AZ63" s="302">
        <f>'[2]Growth Deficit'!AO70</f>
        <v>0</v>
      </c>
      <c r="BA63" s="302">
        <f>'[2]Growth Deficit'!AL70</f>
        <v>0</v>
      </c>
      <c r="BB63" s="302">
        <f>'[2]Growth Deficit'!AM70</f>
        <v>0</v>
      </c>
      <c r="BC63" s="302">
        <f>'[2]Growth Deficit'!AN70</f>
        <v>0</v>
      </c>
      <c r="BD63" s="302">
        <f>'[2]Growth Deficit'!AO70</f>
        <v>0</v>
      </c>
      <c r="BE63" s="302">
        <f>'[2]PBF Run'!AA70</f>
        <v>0</v>
      </c>
      <c r="BF63" s="302">
        <f>'[2]PBF Run'!AB70</f>
        <v>0</v>
      </c>
      <c r="BG63" s="302">
        <f>'[2]PBF Run'!AC70</f>
        <v>0</v>
      </c>
      <c r="BH63" s="302">
        <f>'[2]PBF Run'!AD70</f>
        <v>0</v>
      </c>
      <c r="BI63" s="278">
        <f t="shared" si="40"/>
        <v>0</v>
      </c>
      <c r="BJ63" s="302">
        <f>'[2]PBF Run'!X70</f>
        <v>3579590</v>
      </c>
      <c r="BK63" s="302">
        <f>'[2]PBF Run'!AE70</f>
        <v>95005090</v>
      </c>
      <c r="BL63" s="282">
        <f t="shared" si="41"/>
        <v>0.9851854148025122</v>
      </c>
      <c r="BM63" s="302">
        <f>'[2]PBF Run'!AM70</f>
        <v>1407461</v>
      </c>
      <c r="BN63" s="302">
        <f>'[2]PBF Run'!$AN70</f>
        <v>25376411</v>
      </c>
      <c r="BO63" s="302">
        <f>'[2]PBF Run'!$AO70</f>
        <v>0</v>
      </c>
      <c r="BP63" s="302">
        <f>'[2]PBF Run'!AC70</f>
        <v>0</v>
      </c>
      <c r="BQ63" s="278">
        <f t="shared" si="42"/>
        <v>25376411</v>
      </c>
      <c r="BR63" s="302">
        <f>'[2]PBF Run'!AJ70</f>
        <v>45445645</v>
      </c>
      <c r="BS63" s="302">
        <f>'[2]PBF Run'!AI70</f>
        <v>8626588</v>
      </c>
      <c r="BT63" s="302">
        <f>'[2]PBF Run'!$AN70</f>
        <v>25376411</v>
      </c>
      <c r="BU63" s="302">
        <f>'[2]PBF Run'!$AN70</f>
        <v>25376411</v>
      </c>
      <c r="BV63" s="302">
        <f>'[2]PBF Run'!BI70</f>
        <v>0</v>
      </c>
      <c r="BW63" s="303">
        <f>'[2]PBF Run'!BH70</f>
        <v>0</v>
      </c>
      <c r="BX63" s="278">
        <f t="shared" si="61"/>
        <v>69532</v>
      </c>
      <c r="BY63" s="278">
        <f t="shared" si="43"/>
        <v>25376411</v>
      </c>
      <c r="BZ63" s="302">
        <f>'[2]As of 13-14 R1'!BP70</f>
        <v>0</v>
      </c>
      <c r="CA63" s="302">
        <f>'[2]As of 13-14 R1'!BQ70</f>
        <v>0</v>
      </c>
      <c r="CB63" s="302">
        <f>'[2]As of 13-14 R1'!BR70</f>
        <v>4216310</v>
      </c>
      <c r="CC63" s="278">
        <f t="shared" si="44"/>
        <v>4216310</v>
      </c>
      <c r="CD63" s="301">
        <f>'[2]Growth Deficit'!$D$2</f>
        <v>0</v>
      </c>
      <c r="CE63" s="300">
        <f>IF($CS63="S",'[2]Foundation Grant'!C70,0)</f>
        <v>1</v>
      </c>
      <c r="CF63" s="300">
        <f>IF($CS63="S",'[2]Foundation Grant'!D70,0)</f>
        <v>0</v>
      </c>
      <c r="CG63" s="300">
        <f>IF($CS63="S",'[2]Foundation Grant'!E70,0)</f>
        <v>0</v>
      </c>
      <c r="CH63" s="300">
        <f>IF($CS63="S",'[2]Foundation Grant'!F70,0)</f>
        <v>1</v>
      </c>
      <c r="CI63" s="300">
        <f>IF($CS63="M",'[2]Foundation Grant'!C70,0)</f>
        <v>0</v>
      </c>
      <c r="CJ63" s="300">
        <f>IF($CS63="M",'[2]Foundation Grant'!D70,0)</f>
        <v>0</v>
      </c>
      <c r="CK63" s="300">
        <f>IF($CS63="M",'[2]Foundation Grant'!E70,0)</f>
        <v>0</v>
      </c>
      <c r="CL63" s="300">
        <f>IF($CS63="M",'[2]Foundation Grant'!F70,0)</f>
        <v>0</v>
      </c>
      <c r="CM63" s="300">
        <f>'[2]Foundation Grant'!G70</f>
        <v>1</v>
      </c>
      <c r="CN63" s="300">
        <f>'[2]Foundation Grant'!H70</f>
        <v>0</v>
      </c>
      <c r="CO63" s="300">
        <f>'[2]Foundation Grant'!I70</f>
        <v>0</v>
      </c>
      <c r="CP63" s="300">
        <f>'[2]Foundation Grant'!J70</f>
        <v>1</v>
      </c>
      <c r="CQ63" s="300">
        <f>'[2]Foundation Grant'!K70</f>
        <v>0</v>
      </c>
      <c r="CR63" s="299">
        <f>'[2]Foundation Grant'!L70</f>
        <v>2</v>
      </c>
      <c r="CS63" s="300" t="str">
        <f>'[2]Foundation Grant'!M70</f>
        <v>S</v>
      </c>
      <c r="CT63" s="300">
        <f>'[2]Foundation Grant'!N70</f>
        <v>8153094</v>
      </c>
      <c r="CU63" s="299">
        <f>'[2]Foundation Grant'!O70</f>
        <v>0</v>
      </c>
      <c r="CV63" s="299">
        <f>'[2]Foundation Grant'!P70</f>
        <v>1</v>
      </c>
      <c r="CW63" s="298">
        <f>'[2]Foundation Grant'!$C$1</f>
        <v>5622823</v>
      </c>
      <c r="CX63" s="298">
        <f>'[2]Foundation Grant'!$D$1</f>
        <v>4498258</v>
      </c>
      <c r="CY63" s="298">
        <f>'[2]Foundation Grant'!$E$1</f>
        <v>3373694</v>
      </c>
      <c r="CZ63" s="298">
        <f>'[2]Foundation Grant'!$C$2</f>
        <v>4498258</v>
      </c>
      <c r="DA63" s="298">
        <f>'[2]Foundation Grant'!$D$2</f>
        <v>3935976</v>
      </c>
      <c r="DB63" s="298">
        <f>'[2]Foundation Grant'!$E$2</f>
        <v>3373694</v>
      </c>
      <c r="DC63" s="298">
        <f>'[2]Foundation Grant'!$G$1</f>
        <v>1124565</v>
      </c>
      <c r="DD63" s="298">
        <f>'[2]Foundation Grant'!$H$1</f>
        <v>843423</v>
      </c>
      <c r="DE63" s="298">
        <f>'[2]Foundation Grant'!$I$1</f>
        <v>562282</v>
      </c>
      <c r="DF63" s="298">
        <f>'[2]Foundation Grant'!$J$1</f>
        <v>281141</v>
      </c>
      <c r="DG63" s="298">
        <f>'[2]Foundation Grant'!$K$1</f>
        <v>140571</v>
      </c>
      <c r="DH63" s="298">
        <f>'[2]Foundation Grant'!$O$1</f>
        <v>562282</v>
      </c>
      <c r="DI63" s="298">
        <f>'[2]Foundation Grant'!$P$1</f>
        <v>1124565</v>
      </c>
      <c r="DJ63" s="297">
        <f>'[2]basic allocation'!$C$10</f>
        <v>18749</v>
      </c>
      <c r="DK63" s="297">
        <f>'[2]basic allocation'!$D$10</f>
        <v>9375</v>
      </c>
      <c r="DL63" s="297">
        <f>'[2]basic allocation'!$E$10</f>
        <v>9375</v>
      </c>
      <c r="DM63" s="297">
        <f>'[2]basic allocation'!$I$10</f>
        <v>938</v>
      </c>
      <c r="DN63" s="297">
        <f>'[2]basic allocation'!$J$10</f>
        <v>703</v>
      </c>
      <c r="DO63" s="297">
        <f>'[2]basic allocation'!$K$10</f>
        <v>469</v>
      </c>
      <c r="DP63" s="297">
        <f>'[2]basic allocation'!$L$10</f>
        <v>234</v>
      </c>
      <c r="DQ63" s="297">
        <f>'[2]basic allocation'!$M$10</f>
        <v>100</v>
      </c>
      <c r="DR63" s="296">
        <f>'[2]FTES Adjustment'!DQ70</f>
        <v>0</v>
      </c>
      <c r="DS63" s="296">
        <f>'[2]FTES Adjustment'!DR70</f>
        <v>0</v>
      </c>
      <c r="DT63" s="296">
        <f>'[2]FTES Adjustment'!DS70</f>
        <v>0</v>
      </c>
      <c r="DU63" s="277">
        <f t="shared" si="45"/>
        <v>0</v>
      </c>
      <c r="DV63" s="276">
        <f t="shared" si="46"/>
        <v>0</v>
      </c>
      <c r="DW63" s="276">
        <f t="shared" si="47"/>
        <v>0</v>
      </c>
      <c r="DX63" s="276">
        <f t="shared" si="48"/>
        <v>0</v>
      </c>
      <c r="DY63" s="276">
        <f t="shared" si="49"/>
        <v>0</v>
      </c>
      <c r="DZ63" s="295">
        <f>ROUND([2]FTES!$D70,3)</f>
        <v>16829.190999999999</v>
      </c>
      <c r="EA63" s="295">
        <f>ROUND([2]FTES!$M70,3)</f>
        <v>2167.44</v>
      </c>
      <c r="EB63" s="295">
        <f>ROUND([2]FTES!$V70,3)</f>
        <v>603.11</v>
      </c>
      <c r="EC63" s="276">
        <f t="shared" si="50"/>
        <v>19599.741000000002</v>
      </c>
      <c r="ED63" s="133">
        <v>0</v>
      </c>
      <c r="EE63" s="294">
        <f>'[2]10-11 WkLd126M'!$E68</f>
        <v>2194122</v>
      </c>
      <c r="EF63" s="295">
        <f>'[2]FTES Adjustment'!CG70</f>
        <v>0</v>
      </c>
      <c r="EG63" s="295">
        <f>'[2]FTES Adjustment'!CH70</f>
        <v>0</v>
      </c>
      <c r="EH63" s="295">
        <f>'[2]FTES Adjustment'!CI70</f>
        <v>0</v>
      </c>
      <c r="EI63" s="276">
        <f t="shared" si="51"/>
        <v>0</v>
      </c>
      <c r="EJ63" s="294">
        <f>'[2]PBF Run'!$AT70</f>
        <v>0</v>
      </c>
      <c r="EK63" s="294">
        <f>'[2]11-12 Workload Reduction'!H70</f>
        <v>89909686</v>
      </c>
      <c r="EL63" s="294">
        <f>'[2]13-14 $86M Workload Restore'!AI68</f>
        <v>689509</v>
      </c>
      <c r="EM63" s="294">
        <f>'[2]13-14 $86M Workload Restore'!AC68</f>
        <v>1022236</v>
      </c>
      <c r="EN63" s="294">
        <f>'[2]13-14 deferrals, growth, EPA 1'!BJ70</f>
        <v>13898759</v>
      </c>
      <c r="EO63" s="293">
        <f t="shared" si="52"/>
        <v>93597629</v>
      </c>
      <c r="EP63" s="292">
        <v>0</v>
      </c>
      <c r="EQ63" s="292">
        <v>0</v>
      </c>
      <c r="ER63" s="292">
        <v>0</v>
      </c>
      <c r="ES63" s="16">
        <f t="shared" si="53"/>
        <v>0</v>
      </c>
    </row>
    <row r="64" spans="1:149">
      <c r="A64" s="291" t="s">
        <v>257</v>
      </c>
      <c r="B64" s="290" t="str">
        <f t="shared" si="54"/>
        <v>P2</v>
      </c>
      <c r="C64" s="285" t="s">
        <v>277</v>
      </c>
      <c r="D64" s="289" t="s">
        <v>276</v>
      </c>
      <c r="E64" s="288">
        <f>ROUND('[2]PBF Run'!N71,6)</f>
        <v>4781.93048</v>
      </c>
      <c r="F64" s="285">
        <f t="shared" si="55"/>
        <v>4675.9030433300004</v>
      </c>
      <c r="G64" s="285">
        <f t="shared" si="56"/>
        <v>2788.0536374600001</v>
      </c>
      <c r="H64" s="285">
        <f t="shared" si="57"/>
        <v>2811.7520933800001</v>
      </c>
      <c r="I64" s="285">
        <f t="shared" si="58"/>
        <v>3282.8110613200001</v>
      </c>
      <c r="J64" s="285">
        <f t="shared" si="59"/>
        <v>3310.71495534</v>
      </c>
      <c r="K64" s="308">
        <f>ROUND([2]FTES!C71,3)</f>
        <v>22957.5</v>
      </c>
      <c r="L64" s="308">
        <f>ROUND([2]FTES!F71,3)</f>
        <v>3084.3069999999998</v>
      </c>
      <c r="M64" s="308">
        <f>ROUND('[2]Growth Deficit'!AG71,3)</f>
        <v>0</v>
      </c>
      <c r="N64" s="308">
        <f>ROUND([2]FTES!I71,3)</f>
        <v>0</v>
      </c>
      <c r="O64" s="308">
        <f>ROUND([2]FTES!E71,3)</f>
        <v>26053.06</v>
      </c>
      <c r="P64" s="308">
        <f>ROUND([2]FTES!L71,3)</f>
        <v>1759.38</v>
      </c>
      <c r="Q64" s="308">
        <f>ROUND([2]FTES!O71,3)</f>
        <v>0</v>
      </c>
      <c r="R64" s="308">
        <f>ROUND('[2]Growth Deficit'!$AH71,3)</f>
        <v>0</v>
      </c>
      <c r="S64" s="308">
        <f>ROUND([2]FTES!R71,3)</f>
        <v>0</v>
      </c>
      <c r="T64" s="308">
        <f>ROUND([2]FTES!N71,3)</f>
        <v>1770.75</v>
      </c>
      <c r="U64" s="308">
        <f>ROUND([2]FTES!U71,3)</f>
        <v>175.26</v>
      </c>
      <c r="V64" s="308">
        <f>ROUND([2]FTES!X71,3)</f>
        <v>0</v>
      </c>
      <c r="W64" s="308">
        <f>ROUND('[2]Growth Deficit'!$AI71,3)</f>
        <v>0</v>
      </c>
      <c r="X64" s="308">
        <f>ROUND([2]FTES!AA71,3)</f>
        <v>0</v>
      </c>
      <c r="Y64" s="308">
        <f>ROUND([2]FTES!W71,3)</f>
        <v>149.71</v>
      </c>
      <c r="Z64" s="307">
        <f>'[2]FTES Adjustment'!CW71</f>
        <v>26053.059909</v>
      </c>
      <c r="AA64" s="307">
        <f>'[2]FTES Adjustment'!CX71</f>
        <v>1770.75</v>
      </c>
      <c r="AB64" s="307">
        <f>'[2]FTES Adjustment'!CY71</f>
        <v>149.71</v>
      </c>
      <c r="AC64" s="275">
        <f t="shared" si="31"/>
        <v>24892.14</v>
      </c>
      <c r="AD64" s="275">
        <f t="shared" si="32"/>
        <v>3084.3069999999998</v>
      </c>
      <c r="AE64" s="275">
        <f t="shared" si="33"/>
        <v>0</v>
      </c>
      <c r="AF64" s="275">
        <f t="shared" si="34"/>
        <v>0</v>
      </c>
      <c r="AG64" s="275">
        <f t="shared" si="35"/>
        <v>27973.52</v>
      </c>
      <c r="AH64" s="275">
        <f t="shared" si="36"/>
        <v>27973.52</v>
      </c>
      <c r="AI64" s="302">
        <f>'[2]PBF Run'!F71</f>
        <v>7871952</v>
      </c>
      <c r="AJ64" s="302">
        <f>'[2]PBF Run'!H71+'[2]PBF Run'!I71+'[2]PBF Run'!J71+'[2]PBF Run'!L71</f>
        <v>115261760</v>
      </c>
      <c r="AK64" s="306">
        <f>'[2]PBF Run'!J71 + '[2]PBF Run'!$L71</f>
        <v>109781169</v>
      </c>
      <c r="AL64" s="302">
        <f>'[2]PBF Run'!H71</f>
        <v>4905246</v>
      </c>
      <c r="AM64" s="302">
        <f>'[2]PBF Run'!I71</f>
        <v>575345</v>
      </c>
      <c r="AN64" s="305">
        <f>'[2]Restoration and Growth'!BM71</f>
        <v>0</v>
      </c>
      <c r="AO64" s="278">
        <f t="shared" si="37"/>
        <v>123133712</v>
      </c>
      <c r="AP64" s="285" t="str">
        <f t="shared" si="60"/>
        <v>0.85%</v>
      </c>
      <c r="AQ64" s="302">
        <f>'[2]PBF Run'!O71</f>
        <v>1046637</v>
      </c>
      <c r="AR64" s="278">
        <f t="shared" si="38"/>
        <v>124180349</v>
      </c>
      <c r="AS64" s="302">
        <f>'[2]PBF Run'!$AD71</f>
        <v>0</v>
      </c>
      <c r="AT64" s="302">
        <f>'[2]PBF Run'!$T71</f>
        <v>14421919</v>
      </c>
      <c r="AU64" s="278">
        <f t="shared" si="39"/>
        <v>14421919</v>
      </c>
      <c r="AV64" s="304">
        <f>'[2]Restoration and Growth'!BT71</f>
        <v>0</v>
      </c>
      <c r="AW64" s="304" t="str">
        <f>'[2]Restoration and Growth'!AP71</f>
        <v>Y</v>
      </c>
      <c r="AX64" s="302">
        <f>'[2]Restoration and Growth'!CV71</f>
        <v>0</v>
      </c>
      <c r="AY64" s="302">
        <f>'[2]Growth Deficit'!$AO71</f>
        <v>0</v>
      </c>
      <c r="AZ64" s="302">
        <f>'[2]Growth Deficit'!AO71</f>
        <v>0</v>
      </c>
      <c r="BA64" s="302">
        <f>'[2]Growth Deficit'!AL71</f>
        <v>0</v>
      </c>
      <c r="BB64" s="302">
        <f>'[2]Growth Deficit'!AM71</f>
        <v>0</v>
      </c>
      <c r="BC64" s="302">
        <f>'[2]Growth Deficit'!AN71</f>
        <v>0</v>
      </c>
      <c r="BD64" s="302">
        <f>'[2]Growth Deficit'!AO71</f>
        <v>0</v>
      </c>
      <c r="BE64" s="302">
        <f>'[2]PBF Run'!AA71</f>
        <v>0</v>
      </c>
      <c r="BF64" s="302">
        <f>'[2]PBF Run'!AB71</f>
        <v>0</v>
      </c>
      <c r="BG64" s="302">
        <f>'[2]PBF Run'!AC71</f>
        <v>0</v>
      </c>
      <c r="BH64" s="302">
        <f>'[2]PBF Run'!AD71</f>
        <v>0</v>
      </c>
      <c r="BI64" s="278">
        <f t="shared" si="40"/>
        <v>0</v>
      </c>
      <c r="BJ64" s="302">
        <f>'[2]PBF Run'!X71</f>
        <v>0</v>
      </c>
      <c r="BK64" s="302">
        <f>'[2]PBF Run'!AE71</f>
        <v>138602268</v>
      </c>
      <c r="BL64" s="282">
        <f t="shared" si="41"/>
        <v>1</v>
      </c>
      <c r="BM64" s="302">
        <f>'[2]PBF Run'!AM71</f>
        <v>0</v>
      </c>
      <c r="BN64" s="302">
        <f>'[2]PBF Run'!$AN71</f>
        <v>0</v>
      </c>
      <c r="BO64" s="302">
        <f>'[2]PBF Run'!$AO71</f>
        <v>56147462</v>
      </c>
      <c r="BP64" s="302">
        <f>'[2]PBF Run'!AC71</f>
        <v>0</v>
      </c>
      <c r="BQ64" s="278">
        <f t="shared" si="42"/>
        <v>0</v>
      </c>
      <c r="BR64" s="302">
        <f>'[2]PBF Run'!AJ71</f>
        <v>176142815</v>
      </c>
      <c r="BS64" s="302">
        <f>'[2]PBF Run'!AI71</f>
        <v>15809563</v>
      </c>
      <c r="BT64" s="302">
        <f>'[2]PBF Run'!$AN71</f>
        <v>0</v>
      </c>
      <c r="BU64" s="302">
        <f>'[2]PBF Run'!$AN71</f>
        <v>0</v>
      </c>
      <c r="BV64" s="302">
        <f>'[2]PBF Run'!BI71</f>
        <v>0</v>
      </c>
      <c r="BW64" s="303">
        <f>'[2]PBF Run'!BH71</f>
        <v>0</v>
      </c>
      <c r="BX64" s="278">
        <f t="shared" si="61"/>
        <v>69532</v>
      </c>
      <c r="BY64" s="278">
        <f t="shared" si="43"/>
        <v>0</v>
      </c>
      <c r="BZ64" s="302">
        <f>'[2]As of 13-14 R1'!BP71</f>
        <v>0</v>
      </c>
      <c r="CA64" s="302">
        <f>'[2]As of 13-14 R1'!BQ71</f>
        <v>2274866</v>
      </c>
      <c r="CB64" s="302">
        <f>'[2]As of 13-14 R1'!BR71</f>
        <v>1748744</v>
      </c>
      <c r="CC64" s="278">
        <f t="shared" si="44"/>
        <v>4023610</v>
      </c>
      <c r="CD64" s="301">
        <f>'[2]Growth Deficit'!$D$2</f>
        <v>0</v>
      </c>
      <c r="CE64" s="300">
        <f>IF($CS64="S",'[2]Foundation Grant'!C71,0)</f>
        <v>0</v>
      </c>
      <c r="CF64" s="300">
        <f>IF($CS64="S",'[2]Foundation Grant'!D71,0)</f>
        <v>0</v>
      </c>
      <c r="CG64" s="300">
        <f>IF($CS64="S",'[2]Foundation Grant'!E71,0)</f>
        <v>0</v>
      </c>
      <c r="CH64" s="300">
        <f>IF($CS64="S",'[2]Foundation Grant'!F71,0)</f>
        <v>0</v>
      </c>
      <c r="CI64" s="300">
        <f>IF($CS64="M",'[2]Foundation Grant'!C71,0)</f>
        <v>0</v>
      </c>
      <c r="CJ64" s="300">
        <f>IF($CS64="M",'[2]Foundation Grant'!D71,0)</f>
        <v>2</v>
      </c>
      <c r="CK64" s="300">
        <f>IF($CS64="M",'[2]Foundation Grant'!E71,0)</f>
        <v>0</v>
      </c>
      <c r="CL64" s="300">
        <f>IF($CS64="M",'[2]Foundation Grant'!F71,0)</f>
        <v>2</v>
      </c>
      <c r="CM64" s="300">
        <f>'[2]Foundation Grant'!G71</f>
        <v>0</v>
      </c>
      <c r="CN64" s="300">
        <f>'[2]Foundation Grant'!H71</f>
        <v>0</v>
      </c>
      <c r="CO64" s="300">
        <f>'[2]Foundation Grant'!I71</f>
        <v>0</v>
      </c>
      <c r="CP64" s="300">
        <f>'[2]Foundation Grant'!J71</f>
        <v>0</v>
      </c>
      <c r="CQ64" s="300">
        <f>'[2]Foundation Grant'!K71</f>
        <v>0</v>
      </c>
      <c r="CR64" s="299">
        <f>'[2]Foundation Grant'!L71</f>
        <v>0</v>
      </c>
      <c r="CS64" s="300" t="str">
        <f>'[2]Foundation Grant'!M71</f>
        <v>M</v>
      </c>
      <c r="CT64" s="300">
        <f>'[2]Foundation Grant'!N71</f>
        <v>7871952</v>
      </c>
      <c r="CU64" s="299">
        <f>'[2]Foundation Grant'!O71</f>
        <v>0</v>
      </c>
      <c r="CV64" s="299">
        <f>'[2]Foundation Grant'!P71</f>
        <v>0</v>
      </c>
      <c r="CW64" s="298">
        <f>'[2]Foundation Grant'!$C$1</f>
        <v>5622823</v>
      </c>
      <c r="CX64" s="298">
        <f>'[2]Foundation Grant'!$D$1</f>
        <v>4498258</v>
      </c>
      <c r="CY64" s="298">
        <f>'[2]Foundation Grant'!$E$1</f>
        <v>3373694</v>
      </c>
      <c r="CZ64" s="298">
        <f>'[2]Foundation Grant'!$C$2</f>
        <v>4498258</v>
      </c>
      <c r="DA64" s="298">
        <f>'[2]Foundation Grant'!$D$2</f>
        <v>3935976</v>
      </c>
      <c r="DB64" s="298">
        <f>'[2]Foundation Grant'!$E$2</f>
        <v>3373694</v>
      </c>
      <c r="DC64" s="298">
        <f>'[2]Foundation Grant'!$G$1</f>
        <v>1124565</v>
      </c>
      <c r="DD64" s="298">
        <f>'[2]Foundation Grant'!$H$1</f>
        <v>843423</v>
      </c>
      <c r="DE64" s="298">
        <f>'[2]Foundation Grant'!$I$1</f>
        <v>562282</v>
      </c>
      <c r="DF64" s="298">
        <f>'[2]Foundation Grant'!$J$1</f>
        <v>281141</v>
      </c>
      <c r="DG64" s="298">
        <f>'[2]Foundation Grant'!$K$1</f>
        <v>140571</v>
      </c>
      <c r="DH64" s="298">
        <f>'[2]Foundation Grant'!$O$1</f>
        <v>562282</v>
      </c>
      <c r="DI64" s="298">
        <f>'[2]Foundation Grant'!$P$1</f>
        <v>1124565</v>
      </c>
      <c r="DJ64" s="297">
        <f>'[2]basic allocation'!$C$10</f>
        <v>18749</v>
      </c>
      <c r="DK64" s="297">
        <f>'[2]basic allocation'!$D$10</f>
        <v>9375</v>
      </c>
      <c r="DL64" s="297">
        <f>'[2]basic allocation'!$E$10</f>
        <v>9375</v>
      </c>
      <c r="DM64" s="297">
        <f>'[2]basic allocation'!$I$10</f>
        <v>938</v>
      </c>
      <c r="DN64" s="297">
        <f>'[2]basic allocation'!$J$10</f>
        <v>703</v>
      </c>
      <c r="DO64" s="297">
        <f>'[2]basic allocation'!$K$10</f>
        <v>469</v>
      </c>
      <c r="DP64" s="297">
        <f>'[2]basic allocation'!$L$10</f>
        <v>234</v>
      </c>
      <c r="DQ64" s="297">
        <f>'[2]basic allocation'!$M$10</f>
        <v>100</v>
      </c>
      <c r="DR64" s="296">
        <f>'[2]FTES Adjustment'!DQ71</f>
        <v>9.1000001702923328E-5</v>
      </c>
      <c r="DS64" s="296">
        <f>'[2]FTES Adjustment'!DR71</f>
        <v>0</v>
      </c>
      <c r="DT64" s="296">
        <f>'[2]FTES Adjustment'!DS71</f>
        <v>0</v>
      </c>
      <c r="DU64" s="277">
        <f t="shared" si="45"/>
        <v>0</v>
      </c>
      <c r="DV64" s="276">
        <f t="shared" si="46"/>
        <v>11.253227000000001</v>
      </c>
      <c r="DW64" s="276">
        <f t="shared" si="47"/>
        <v>11.37</v>
      </c>
      <c r="DX64" s="276">
        <f t="shared" si="48"/>
        <v>-25.549999999999983</v>
      </c>
      <c r="DY64" s="276">
        <f t="shared" si="49"/>
        <v>-2.927</v>
      </c>
      <c r="DZ64" s="295">
        <f>ROUND([2]FTES!$D71,3)</f>
        <v>22957.5</v>
      </c>
      <c r="EA64" s="295">
        <f>ROUND([2]FTES!$M71,3)</f>
        <v>1759.38</v>
      </c>
      <c r="EB64" s="295">
        <f>ROUND([2]FTES!$V71,3)</f>
        <v>175.26</v>
      </c>
      <c r="EC64" s="276">
        <f t="shared" si="50"/>
        <v>24892.14</v>
      </c>
      <c r="ED64" s="133">
        <v>0</v>
      </c>
      <c r="EE64" s="294">
        <f>'[2]10-11 WkLd126M'!$E69</f>
        <v>0</v>
      </c>
      <c r="EF64" s="295">
        <f>'[2]FTES Adjustment'!CG71</f>
        <v>11.253227000000001</v>
      </c>
      <c r="EG64" s="295">
        <f>'[2]FTES Adjustment'!CH71</f>
        <v>11.37</v>
      </c>
      <c r="EH64" s="295">
        <f>'[2]FTES Adjustment'!CI71</f>
        <v>-25.549999999999983</v>
      </c>
      <c r="EI64" s="276">
        <f t="shared" si="51"/>
        <v>-2.926772999999983</v>
      </c>
      <c r="EJ64" s="294">
        <f>'[2]PBF Run'!$AT71</f>
        <v>0</v>
      </c>
      <c r="EK64" s="294">
        <f>'[2]11-12 Workload Reduction'!H71</f>
        <v>129403254</v>
      </c>
      <c r="EL64" s="294">
        <f>'[2]13-14 $86M Workload Restore'!AI69</f>
        <v>0</v>
      </c>
      <c r="EM64" s="294">
        <f>'[2]13-14 $86M Workload Restore'!AC69</f>
        <v>0</v>
      </c>
      <c r="EN64" s="294">
        <f>'[2]13-14 deferrals, growth, EPA 1'!BJ71</f>
        <v>2486490</v>
      </c>
      <c r="EO64" s="293">
        <f t="shared" si="52"/>
        <v>138602268</v>
      </c>
      <c r="EP64" s="292">
        <v>0</v>
      </c>
      <c r="EQ64" s="292">
        <v>0</v>
      </c>
      <c r="ER64" s="292">
        <v>0</v>
      </c>
      <c r="ES64" s="16">
        <f t="shared" si="53"/>
        <v>0</v>
      </c>
    </row>
    <row r="65" spans="1:149">
      <c r="A65" s="291" t="s">
        <v>257</v>
      </c>
      <c r="B65" s="290" t="str">
        <f t="shared" si="54"/>
        <v>P2</v>
      </c>
      <c r="C65" s="285" t="s">
        <v>275</v>
      </c>
      <c r="D65" s="289" t="s">
        <v>274</v>
      </c>
      <c r="E65" s="288">
        <f>ROUND('[2]PBF Run'!N72,6)</f>
        <v>4636.4928579999996</v>
      </c>
      <c r="F65" s="285">
        <f t="shared" si="55"/>
        <v>4675.9030433300004</v>
      </c>
      <c r="G65" s="285">
        <f t="shared" si="56"/>
        <v>2788.0536374600001</v>
      </c>
      <c r="H65" s="285">
        <f t="shared" si="57"/>
        <v>2811.7520933800001</v>
      </c>
      <c r="I65" s="285">
        <f t="shared" si="58"/>
        <v>3282.8110613200001</v>
      </c>
      <c r="J65" s="285">
        <f t="shared" si="59"/>
        <v>3310.71495534</v>
      </c>
      <c r="K65" s="308">
        <f>ROUND([2]FTES!C72,3)</f>
        <v>14763.81</v>
      </c>
      <c r="L65" s="308">
        <f>ROUND([2]FTES!F72,3)</f>
        <v>0</v>
      </c>
      <c r="M65" s="308">
        <f>ROUND('[2]Growth Deficit'!AG72,3)</f>
        <v>0</v>
      </c>
      <c r="N65" s="308">
        <f>ROUND([2]FTES!I72,3)</f>
        <v>0</v>
      </c>
      <c r="O65" s="308">
        <f>ROUND([2]FTES!E72,3)</f>
        <v>15207.23</v>
      </c>
      <c r="P65" s="308">
        <f>ROUND([2]FTES!L72,3)</f>
        <v>179.64</v>
      </c>
      <c r="Q65" s="308">
        <f>ROUND([2]FTES!O72,3)</f>
        <v>0</v>
      </c>
      <c r="R65" s="308">
        <f>ROUND('[2]Growth Deficit'!$AH72,3)</f>
        <v>0</v>
      </c>
      <c r="S65" s="308">
        <f>ROUND([2]FTES!R72,3)</f>
        <v>0</v>
      </c>
      <c r="T65" s="308">
        <f>ROUND([2]FTES!N72,3)</f>
        <v>182.33</v>
      </c>
      <c r="U65" s="308">
        <f>ROUND([2]FTES!U72,3)</f>
        <v>35.549999999999997</v>
      </c>
      <c r="V65" s="308">
        <f>ROUND([2]FTES!X72,3)</f>
        <v>0</v>
      </c>
      <c r="W65" s="308">
        <f>ROUND('[2]Growth Deficit'!$AI72,3)</f>
        <v>0</v>
      </c>
      <c r="X65" s="308">
        <f>ROUND([2]FTES!AA72,3)</f>
        <v>0</v>
      </c>
      <c r="Y65" s="308">
        <f>ROUND([2]FTES!W72,3)</f>
        <v>38.44</v>
      </c>
      <c r="Z65" s="307">
        <f>'[2]FTES Adjustment'!CW72</f>
        <v>15207.230097</v>
      </c>
      <c r="AA65" s="307">
        <f>'[2]FTES Adjustment'!CX72</f>
        <v>182.32999999999998</v>
      </c>
      <c r="AB65" s="307">
        <f>'[2]FTES Adjustment'!CY72</f>
        <v>38.440000000000005</v>
      </c>
      <c r="AC65" s="275">
        <f t="shared" si="31"/>
        <v>14979</v>
      </c>
      <c r="AD65" s="275">
        <f t="shared" si="32"/>
        <v>0</v>
      </c>
      <c r="AE65" s="275">
        <f t="shared" si="33"/>
        <v>0</v>
      </c>
      <c r="AF65" s="275">
        <f t="shared" si="34"/>
        <v>0</v>
      </c>
      <c r="AG65" s="275">
        <f t="shared" si="35"/>
        <v>15428</v>
      </c>
      <c r="AH65" s="275">
        <f t="shared" si="36"/>
        <v>15428</v>
      </c>
      <c r="AI65" s="302">
        <f>'[2]PBF Run'!F72</f>
        <v>7871953</v>
      </c>
      <c r="AJ65" s="302">
        <f>'[2]PBF Run'!H72+'[2]PBF Run'!I72+'[2]PBF Run'!J72+'[2]PBF Run'!L72</f>
        <v>69069850</v>
      </c>
      <c r="AK65" s="306">
        <f>'[2]PBF Run'!J72 + '[2]PBF Run'!$L72</f>
        <v>68452300</v>
      </c>
      <c r="AL65" s="302">
        <f>'[2]PBF Run'!H72</f>
        <v>500846</v>
      </c>
      <c r="AM65" s="302">
        <f>'[2]PBF Run'!I72</f>
        <v>116704</v>
      </c>
      <c r="AN65" s="305">
        <f>'[2]Restoration and Growth'!BM72</f>
        <v>0</v>
      </c>
      <c r="AO65" s="278">
        <f t="shared" si="37"/>
        <v>76941803</v>
      </c>
      <c r="AP65" s="285" t="str">
        <f t="shared" si="60"/>
        <v>0.85%</v>
      </c>
      <c r="AQ65" s="302">
        <f>'[2]PBF Run'!O72</f>
        <v>654005</v>
      </c>
      <c r="AR65" s="278">
        <f t="shared" si="38"/>
        <v>77595808</v>
      </c>
      <c r="AS65" s="302">
        <f>'[2]PBF Run'!$AD72</f>
        <v>0</v>
      </c>
      <c r="AT65" s="302">
        <f>'[2]PBF Run'!$T72</f>
        <v>0</v>
      </c>
      <c r="AU65" s="278">
        <f t="shared" si="39"/>
        <v>1092915</v>
      </c>
      <c r="AV65" s="304">
        <f>'[2]Restoration and Growth'!BT72</f>
        <v>0</v>
      </c>
      <c r="AW65" s="304" t="str">
        <f>'[2]Restoration and Growth'!AP72</f>
        <v>Y</v>
      </c>
      <c r="AX65" s="302">
        <f>'[2]Restoration and Growth'!CV72</f>
        <v>0</v>
      </c>
      <c r="AY65" s="302">
        <f>'[2]Growth Deficit'!$AO72</f>
        <v>0</v>
      </c>
      <c r="AZ65" s="302">
        <f>'[2]Growth Deficit'!AO72</f>
        <v>0</v>
      </c>
      <c r="BA65" s="302">
        <f>'[2]Growth Deficit'!AL72</f>
        <v>0</v>
      </c>
      <c r="BB65" s="302">
        <f>'[2]Growth Deficit'!AM72</f>
        <v>0</v>
      </c>
      <c r="BC65" s="302">
        <f>'[2]Growth Deficit'!AN72</f>
        <v>0</v>
      </c>
      <c r="BD65" s="302">
        <f>'[2]Growth Deficit'!AO72</f>
        <v>0</v>
      </c>
      <c r="BE65" s="302">
        <f>'[2]PBF Run'!AA72</f>
        <v>0</v>
      </c>
      <c r="BF65" s="302">
        <f>'[2]PBF Run'!AB72</f>
        <v>0</v>
      </c>
      <c r="BG65" s="302">
        <f>'[2]PBF Run'!AC72</f>
        <v>0</v>
      </c>
      <c r="BH65" s="302">
        <f>'[2]PBF Run'!AD72</f>
        <v>0</v>
      </c>
      <c r="BI65" s="278">
        <f t="shared" si="40"/>
        <v>0</v>
      </c>
      <c r="BJ65" s="302">
        <f>'[2]PBF Run'!X72</f>
        <v>0</v>
      </c>
      <c r="BK65" s="302">
        <f>'[2]PBF Run'!AE72</f>
        <v>79686329</v>
      </c>
      <c r="BL65" s="282">
        <f t="shared" si="41"/>
        <v>0.98518541367365531</v>
      </c>
      <c r="BM65" s="302">
        <f>'[2]PBF Run'!AM72</f>
        <v>1180520</v>
      </c>
      <c r="BN65" s="302">
        <f>'[2]PBF Run'!$AN72</f>
        <v>42044758</v>
      </c>
      <c r="BO65" s="302">
        <f>'[2]PBF Run'!$AO72</f>
        <v>0</v>
      </c>
      <c r="BP65" s="302">
        <f>'[2]PBF Run'!AC72</f>
        <v>0</v>
      </c>
      <c r="BQ65" s="278">
        <f t="shared" si="42"/>
        <v>42044758</v>
      </c>
      <c r="BR65" s="302">
        <f>'[2]PBF Run'!AJ72</f>
        <v>20160957</v>
      </c>
      <c r="BS65" s="302">
        <f>'[2]PBF Run'!AI72</f>
        <v>3883413</v>
      </c>
      <c r="BT65" s="302">
        <f>'[2]PBF Run'!$AN72</f>
        <v>42044758</v>
      </c>
      <c r="BU65" s="302">
        <f>'[2]PBF Run'!$AN72</f>
        <v>42044758</v>
      </c>
      <c r="BV65" s="302">
        <f>'[2]PBF Run'!BI72</f>
        <v>0</v>
      </c>
      <c r="BW65" s="303">
        <f>'[2]PBF Run'!BH72</f>
        <v>0</v>
      </c>
      <c r="BX65" s="278">
        <f t="shared" si="61"/>
        <v>69532</v>
      </c>
      <c r="BY65" s="278">
        <f t="shared" si="43"/>
        <v>42044758</v>
      </c>
      <c r="BZ65" s="302">
        <f>'[2]As of 13-14 R1'!BP72</f>
        <v>0</v>
      </c>
      <c r="CA65" s="302">
        <f>'[2]As of 13-14 R1'!BQ72</f>
        <v>0</v>
      </c>
      <c r="CB65" s="302">
        <f>'[2]As of 13-14 R1'!BR72</f>
        <v>0</v>
      </c>
      <c r="CC65" s="278">
        <f t="shared" si="44"/>
        <v>0</v>
      </c>
      <c r="CD65" s="301">
        <f>'[2]Growth Deficit'!$D$2</f>
        <v>0</v>
      </c>
      <c r="CE65" s="300">
        <f>IF($CS65="S",'[2]Foundation Grant'!C72,0)</f>
        <v>0</v>
      </c>
      <c r="CF65" s="300">
        <f>IF($CS65="S",'[2]Foundation Grant'!D72,0)</f>
        <v>1</v>
      </c>
      <c r="CG65" s="300">
        <f>IF($CS65="S",'[2]Foundation Grant'!E72,0)</f>
        <v>0</v>
      </c>
      <c r="CH65" s="300">
        <f>IF($CS65="S",'[2]Foundation Grant'!F72,0)</f>
        <v>1</v>
      </c>
      <c r="CI65" s="300">
        <f>IF($CS65="M",'[2]Foundation Grant'!C72,0)</f>
        <v>0</v>
      </c>
      <c r="CJ65" s="300">
        <f>IF($CS65="M",'[2]Foundation Grant'!D72,0)</f>
        <v>0</v>
      </c>
      <c r="CK65" s="300">
        <f>IF($CS65="M",'[2]Foundation Grant'!E72,0)</f>
        <v>0</v>
      </c>
      <c r="CL65" s="300">
        <f>IF($CS65="M",'[2]Foundation Grant'!F72,0)</f>
        <v>0</v>
      </c>
      <c r="CM65" s="300">
        <f>'[2]Foundation Grant'!G72</f>
        <v>0</v>
      </c>
      <c r="CN65" s="300">
        <f>'[2]Foundation Grant'!H72</f>
        <v>0</v>
      </c>
      <c r="CO65" s="300">
        <f>'[2]Foundation Grant'!I72</f>
        <v>0</v>
      </c>
      <c r="CP65" s="300">
        <f>'[2]Foundation Grant'!J72</f>
        <v>0</v>
      </c>
      <c r="CQ65" s="300">
        <f>'[2]Foundation Grant'!K72</f>
        <v>0</v>
      </c>
      <c r="CR65" s="299">
        <f>'[2]Foundation Grant'!L72</f>
        <v>0</v>
      </c>
      <c r="CS65" s="300" t="str">
        <f>'[2]Foundation Grant'!M72</f>
        <v>S</v>
      </c>
      <c r="CT65" s="300">
        <f>'[2]Foundation Grant'!N72</f>
        <v>7871953</v>
      </c>
      <c r="CU65" s="299">
        <f>'[2]Foundation Grant'!O72</f>
        <v>0</v>
      </c>
      <c r="CV65" s="299">
        <f>'[2]Foundation Grant'!P72</f>
        <v>3</v>
      </c>
      <c r="CW65" s="298">
        <f>'[2]Foundation Grant'!$C$1</f>
        <v>5622823</v>
      </c>
      <c r="CX65" s="298">
        <f>'[2]Foundation Grant'!$D$1</f>
        <v>4498258</v>
      </c>
      <c r="CY65" s="298">
        <f>'[2]Foundation Grant'!$E$1</f>
        <v>3373694</v>
      </c>
      <c r="CZ65" s="298">
        <f>'[2]Foundation Grant'!$C$2</f>
        <v>4498258</v>
      </c>
      <c r="DA65" s="298">
        <f>'[2]Foundation Grant'!$D$2</f>
        <v>3935976</v>
      </c>
      <c r="DB65" s="298">
        <f>'[2]Foundation Grant'!$E$2</f>
        <v>3373694</v>
      </c>
      <c r="DC65" s="298">
        <f>'[2]Foundation Grant'!$G$1</f>
        <v>1124565</v>
      </c>
      <c r="DD65" s="298">
        <f>'[2]Foundation Grant'!$H$1</f>
        <v>843423</v>
      </c>
      <c r="DE65" s="298">
        <f>'[2]Foundation Grant'!$I$1</f>
        <v>562282</v>
      </c>
      <c r="DF65" s="298">
        <f>'[2]Foundation Grant'!$J$1</f>
        <v>281141</v>
      </c>
      <c r="DG65" s="298">
        <f>'[2]Foundation Grant'!$K$1</f>
        <v>140571</v>
      </c>
      <c r="DH65" s="298">
        <f>'[2]Foundation Grant'!$O$1</f>
        <v>562282</v>
      </c>
      <c r="DI65" s="298">
        <f>'[2]Foundation Grant'!$P$1</f>
        <v>1124565</v>
      </c>
      <c r="DJ65" s="297">
        <f>'[2]basic allocation'!$C$10</f>
        <v>18749</v>
      </c>
      <c r="DK65" s="297">
        <f>'[2]basic allocation'!$D$10</f>
        <v>9375</v>
      </c>
      <c r="DL65" s="297">
        <f>'[2]basic allocation'!$E$10</f>
        <v>9375</v>
      </c>
      <c r="DM65" s="297">
        <f>'[2]basic allocation'!$I$10</f>
        <v>938</v>
      </c>
      <c r="DN65" s="297">
        <f>'[2]basic allocation'!$J$10</f>
        <v>703</v>
      </c>
      <c r="DO65" s="297">
        <f>'[2]basic allocation'!$K$10</f>
        <v>469</v>
      </c>
      <c r="DP65" s="297">
        <f>'[2]basic allocation'!$L$10</f>
        <v>234</v>
      </c>
      <c r="DQ65" s="297">
        <f>'[2]basic allocation'!$M$10</f>
        <v>100</v>
      </c>
      <c r="DR65" s="296">
        <f>'[2]FTES Adjustment'!DQ72</f>
        <v>-9.7000000096159056E-5</v>
      </c>
      <c r="DS65" s="296">
        <f>'[2]FTES Adjustment'!DR72</f>
        <v>0</v>
      </c>
      <c r="DT65" s="296">
        <f>'[2]FTES Adjustment'!DS72</f>
        <v>0</v>
      </c>
      <c r="DU65" s="277">
        <f t="shared" si="45"/>
        <v>0</v>
      </c>
      <c r="DV65" s="276">
        <f t="shared" si="46"/>
        <v>443.42001599999998</v>
      </c>
      <c r="DW65" s="276">
        <f t="shared" si="47"/>
        <v>2.69</v>
      </c>
      <c r="DX65" s="276">
        <f t="shared" si="48"/>
        <v>2.89</v>
      </c>
      <c r="DY65" s="276">
        <f t="shared" si="49"/>
        <v>449</v>
      </c>
      <c r="DZ65" s="295">
        <f>ROUND([2]FTES!$D72,3)</f>
        <v>14763.81</v>
      </c>
      <c r="EA65" s="295">
        <f>ROUND([2]FTES!$M72,3)</f>
        <v>179.64</v>
      </c>
      <c r="EB65" s="295">
        <f>ROUND([2]FTES!$V72,3)</f>
        <v>35.549999999999997</v>
      </c>
      <c r="EC65" s="276">
        <f t="shared" si="50"/>
        <v>14979</v>
      </c>
      <c r="ED65" s="133">
        <v>0</v>
      </c>
      <c r="EE65" s="294">
        <f>'[2]10-11 WkLd126M'!$E70</f>
        <v>1728311</v>
      </c>
      <c r="EF65" s="295">
        <f>'[2]FTES Adjustment'!CG72</f>
        <v>443.42001599999998</v>
      </c>
      <c r="EG65" s="295">
        <f>'[2]FTES Adjustment'!CH72</f>
        <v>2.69</v>
      </c>
      <c r="EH65" s="295">
        <f>'[2]FTES Adjustment'!CI72</f>
        <v>2.89</v>
      </c>
      <c r="EI65" s="276">
        <f t="shared" si="51"/>
        <v>449.00001599999996</v>
      </c>
      <c r="EJ65" s="294">
        <f>'[2]PBF Run'!$AT72</f>
        <v>0</v>
      </c>
      <c r="EK65" s="294">
        <f>'[2]11-12 Workload Reduction'!H72</f>
        <v>71608933</v>
      </c>
      <c r="EL65" s="294">
        <f>'[2]13-14 $86M Workload Restore'!AI70</f>
        <v>1092086</v>
      </c>
      <c r="EM65" s="294">
        <f>'[2]13-14 $86M Workload Restore'!AC70</f>
        <v>829</v>
      </c>
      <c r="EN65" s="294">
        <f>'[2]13-14 deferrals, growth, EPA 1'!BJ72</f>
        <v>11635751</v>
      </c>
      <c r="EO65" s="293">
        <f t="shared" si="52"/>
        <v>78505809</v>
      </c>
      <c r="EP65" s="292">
        <v>0</v>
      </c>
      <c r="EQ65" s="292">
        <v>0</v>
      </c>
      <c r="ER65" s="292">
        <v>0</v>
      </c>
      <c r="ES65" s="16">
        <f t="shared" si="53"/>
        <v>0</v>
      </c>
    </row>
    <row r="66" spans="1:149">
      <c r="A66" s="291" t="s">
        <v>257</v>
      </c>
      <c r="B66" s="290" t="str">
        <f t="shared" si="54"/>
        <v>P2</v>
      </c>
      <c r="C66" s="285" t="s">
        <v>273</v>
      </c>
      <c r="D66" s="289" t="s">
        <v>272</v>
      </c>
      <c r="E66" s="288">
        <f>ROUND('[2]PBF Run'!N73,6)</f>
        <v>4636.4928410000002</v>
      </c>
      <c r="F66" s="285">
        <f t="shared" si="55"/>
        <v>4675.9030433300004</v>
      </c>
      <c r="G66" s="285">
        <f t="shared" si="56"/>
        <v>2788.0536374600001</v>
      </c>
      <c r="H66" s="285">
        <f t="shared" si="57"/>
        <v>2811.7520933800001</v>
      </c>
      <c r="I66" s="285">
        <f t="shared" si="58"/>
        <v>3282.8110613200001</v>
      </c>
      <c r="J66" s="285">
        <f t="shared" si="59"/>
        <v>3310.71495534</v>
      </c>
      <c r="K66" s="308">
        <f>ROUND([2]FTES!C73,3)</f>
        <v>25751.437999999998</v>
      </c>
      <c r="L66" s="308">
        <f>ROUND([2]FTES!F73,3)</f>
        <v>0</v>
      </c>
      <c r="M66" s="308">
        <f>ROUND('[2]Growth Deficit'!AG73,3)</f>
        <v>0</v>
      </c>
      <c r="N66" s="308">
        <f>ROUND([2]FTES!I73,3)</f>
        <v>0</v>
      </c>
      <c r="O66" s="308">
        <f>ROUND([2]FTES!E73,3)</f>
        <v>27631.96</v>
      </c>
      <c r="P66" s="308">
        <f>ROUND([2]FTES!L73,3)</f>
        <v>302.26</v>
      </c>
      <c r="Q66" s="308">
        <f>ROUND([2]FTES!O73,3)</f>
        <v>0</v>
      </c>
      <c r="R66" s="308">
        <f>ROUND('[2]Growth Deficit'!$AH73,3)</f>
        <v>0</v>
      </c>
      <c r="S66" s="308">
        <f>ROUND([2]FTES!R73,3)</f>
        <v>0</v>
      </c>
      <c r="T66" s="308">
        <f>ROUND([2]FTES!N73,3)</f>
        <v>285.58999999999997</v>
      </c>
      <c r="U66" s="308">
        <f>ROUND([2]FTES!U73,3)</f>
        <v>187.06</v>
      </c>
      <c r="V66" s="308">
        <f>ROUND([2]FTES!X73,3)</f>
        <v>0</v>
      </c>
      <c r="W66" s="308">
        <f>ROUND('[2]Growth Deficit'!$AI73,3)</f>
        <v>0</v>
      </c>
      <c r="X66" s="308">
        <f>ROUND([2]FTES!AA73,3)</f>
        <v>0</v>
      </c>
      <c r="Y66" s="308">
        <f>ROUND([2]FTES!W73,3)</f>
        <v>182.45</v>
      </c>
      <c r="Z66" s="307">
        <f>'[2]FTES Adjustment'!CW73</f>
        <v>27077.051904</v>
      </c>
      <c r="AA66" s="307">
        <f>'[2]FTES Adjustment'!CX73</f>
        <v>285.59000000000003</v>
      </c>
      <c r="AB66" s="307">
        <f>'[2]FTES Adjustment'!CY73</f>
        <v>182.45</v>
      </c>
      <c r="AC66" s="275">
        <f t="shared" ref="AC66:AC73" si="62">ROUND(K66+P66+U66,3)</f>
        <v>26240.758000000002</v>
      </c>
      <c r="AD66" s="275">
        <f t="shared" ref="AD66:AD73" si="63">ROUND(L66+Q66+V66,3)</f>
        <v>0</v>
      </c>
      <c r="AE66" s="275">
        <f t="shared" ref="AE66:AE73" si="64">ROUND(M66+R66+W66,3)</f>
        <v>0</v>
      </c>
      <c r="AF66" s="275">
        <f t="shared" ref="AF66:AF73" si="65">ROUND(N66+S66+X66,3)</f>
        <v>0</v>
      </c>
      <c r="AG66" s="275">
        <f t="shared" ref="AG66:AG73" si="66">ROUND(O66+T66+Y66,3)</f>
        <v>28100</v>
      </c>
      <c r="AH66" s="275">
        <f t="shared" ref="AH66:AH73" si="67">ROUND(Z66+AA66+AB66,3)</f>
        <v>27545.092000000001</v>
      </c>
      <c r="AI66" s="302">
        <f>'[2]PBF Run'!F73</f>
        <v>11245647</v>
      </c>
      <c r="AJ66" s="302">
        <f>'[2]PBF Run'!H73+'[2]PBF Run'!I73+'[2]PBF Run'!J73+'[2]PBF Run'!L73</f>
        <v>120853160</v>
      </c>
      <c r="AK66" s="306">
        <f>'[2]PBF Run'!J73 + '[2]PBF Run'!$L73</f>
        <v>119396360</v>
      </c>
      <c r="AL66" s="302">
        <f>'[2]PBF Run'!H73</f>
        <v>842717</v>
      </c>
      <c r="AM66" s="302">
        <f>'[2]PBF Run'!I73</f>
        <v>614083</v>
      </c>
      <c r="AN66" s="305">
        <f>'[2]Restoration and Growth'!BM73</f>
        <v>0</v>
      </c>
      <c r="AO66" s="278">
        <f t="shared" ref="AO66:AO73" si="68">AI66+AJ66+AN66</f>
        <v>132098807</v>
      </c>
      <c r="AP66" s="285" t="str">
        <f t="shared" si="60"/>
        <v>0.85%</v>
      </c>
      <c r="AQ66" s="302">
        <f>'[2]PBF Run'!O73</f>
        <v>1122840</v>
      </c>
      <c r="AR66" s="278">
        <f t="shared" ref="AR66:AR73" si="69">SUM(AO66,AQ66)</f>
        <v>133221647</v>
      </c>
      <c r="AS66" s="302">
        <f>'[2]PBF Run'!$AD73</f>
        <v>0</v>
      </c>
      <c r="AT66" s="302">
        <f>'[2]PBF Run'!$T73</f>
        <v>0</v>
      </c>
      <c r="AU66" s="278">
        <f t="shared" ref="AU66:AU73" si="70">AS66+AT66+EM66+EL66</f>
        <v>2765951</v>
      </c>
      <c r="AV66" s="304">
        <f>'[2]Restoration and Growth'!BT73</f>
        <v>0</v>
      </c>
      <c r="AW66" s="304" t="str">
        <f>'[2]Restoration and Growth'!AP73</f>
        <v>Y</v>
      </c>
      <c r="AX66" s="302">
        <f>'[2]Restoration and Growth'!CV73</f>
        <v>0</v>
      </c>
      <c r="AY66" s="302">
        <f>'[2]Growth Deficit'!$AO73</f>
        <v>0</v>
      </c>
      <c r="AZ66" s="302">
        <f>'[2]Growth Deficit'!AO73</f>
        <v>0</v>
      </c>
      <c r="BA66" s="302">
        <f>'[2]Growth Deficit'!AL73</f>
        <v>0</v>
      </c>
      <c r="BB66" s="302">
        <f>'[2]Growth Deficit'!AM73</f>
        <v>0</v>
      </c>
      <c r="BC66" s="302">
        <f>'[2]Growth Deficit'!AN73</f>
        <v>0</v>
      </c>
      <c r="BD66" s="302">
        <f>'[2]Growth Deficit'!AO73</f>
        <v>0</v>
      </c>
      <c r="BE66" s="302">
        <f>'[2]PBF Run'!AA73</f>
        <v>0</v>
      </c>
      <c r="BF66" s="302">
        <f>'[2]PBF Run'!AB73</f>
        <v>0</v>
      </c>
      <c r="BG66" s="302">
        <f>'[2]PBF Run'!AC73</f>
        <v>0</v>
      </c>
      <c r="BH66" s="302">
        <f>'[2]PBF Run'!AD73</f>
        <v>0</v>
      </c>
      <c r="BI66" s="278">
        <f t="shared" ref="BI66:BI73" si="71">BE66+BF66+BG66+BH66</f>
        <v>0</v>
      </c>
      <c r="BJ66" s="302">
        <f>'[2]PBF Run'!X73</f>
        <v>0</v>
      </c>
      <c r="BK66" s="302">
        <f>'[2]PBF Run'!AE73</f>
        <v>139357953</v>
      </c>
      <c r="BL66" s="282">
        <f t="shared" ref="BL66:BL74" si="72">1-BM66/BK66</f>
        <v>0.98518541672322069</v>
      </c>
      <c r="BM66" s="302">
        <f>'[2]PBF Run'!AM73</f>
        <v>2064530</v>
      </c>
      <c r="BN66" s="302">
        <f>'[2]PBF Run'!$AN73</f>
        <v>74589607</v>
      </c>
      <c r="BO66" s="302">
        <f>'[2]PBF Run'!$AO73</f>
        <v>0</v>
      </c>
      <c r="BP66" s="302">
        <f>'[2]PBF Run'!AC73</f>
        <v>0</v>
      </c>
      <c r="BQ66" s="278">
        <f t="shared" ref="BQ66:BQ73" si="73">BU66</f>
        <v>74589607</v>
      </c>
      <c r="BR66" s="302">
        <f>'[2]PBF Run'!AJ73</f>
        <v>34320271</v>
      </c>
      <c r="BS66" s="302">
        <f>'[2]PBF Run'!AI73</f>
        <v>6644853</v>
      </c>
      <c r="BT66" s="302">
        <f>'[2]PBF Run'!$AN73</f>
        <v>74589607</v>
      </c>
      <c r="BU66" s="302">
        <f>'[2]PBF Run'!$AN73</f>
        <v>74589607</v>
      </c>
      <c r="BV66" s="302">
        <f>'[2]PBF Run'!BI73</f>
        <v>0</v>
      </c>
      <c r="BW66" s="303">
        <f>'[2]PBF Run'!BH73</f>
        <v>0</v>
      </c>
      <c r="BX66" s="278">
        <f t="shared" si="61"/>
        <v>69532</v>
      </c>
      <c r="BY66" s="278">
        <f t="shared" ref="BY66:BY73" si="74">BU66+BV66</f>
        <v>74589607</v>
      </c>
      <c r="BZ66" s="302">
        <f>'[2]As of 13-14 R1'!BP73</f>
        <v>0</v>
      </c>
      <c r="CA66" s="302">
        <f>'[2]As of 13-14 R1'!BQ73</f>
        <v>0</v>
      </c>
      <c r="CB66" s="302">
        <f>'[2]As of 13-14 R1'!BR73</f>
        <v>0</v>
      </c>
      <c r="CC66" s="278">
        <f t="shared" ref="CC66:CC73" si="75">BZ66+CA66+CB66</f>
        <v>0</v>
      </c>
      <c r="CD66" s="301">
        <f>'[2]Growth Deficit'!$D$2</f>
        <v>0</v>
      </c>
      <c r="CE66" s="300">
        <f>IF($CS66="S",'[2]Foundation Grant'!C73,0)</f>
        <v>0</v>
      </c>
      <c r="CF66" s="300">
        <f>IF($CS66="S",'[2]Foundation Grant'!D73,0)</f>
        <v>0</v>
      </c>
      <c r="CG66" s="300">
        <f>IF($CS66="S",'[2]Foundation Grant'!E73,0)</f>
        <v>0</v>
      </c>
      <c r="CH66" s="300">
        <f>IF($CS66="S",'[2]Foundation Grant'!F73,0)</f>
        <v>0</v>
      </c>
      <c r="CI66" s="300">
        <f>IF($CS66="M",'[2]Foundation Grant'!C73,0)</f>
        <v>0</v>
      </c>
      <c r="CJ66" s="300">
        <f>IF($CS66="M",'[2]Foundation Grant'!D73,0)</f>
        <v>2</v>
      </c>
      <c r="CK66" s="300">
        <f>IF($CS66="M",'[2]Foundation Grant'!E73,0)</f>
        <v>0</v>
      </c>
      <c r="CL66" s="300">
        <f>IF($CS66="M",'[2]Foundation Grant'!F73,0)</f>
        <v>2</v>
      </c>
      <c r="CM66" s="300">
        <f>'[2]Foundation Grant'!G73</f>
        <v>0</v>
      </c>
      <c r="CN66" s="300">
        <f>'[2]Foundation Grant'!H73</f>
        <v>0</v>
      </c>
      <c r="CO66" s="300">
        <f>'[2]Foundation Grant'!I73</f>
        <v>0</v>
      </c>
      <c r="CP66" s="300">
        <f>'[2]Foundation Grant'!J73</f>
        <v>0</v>
      </c>
      <c r="CQ66" s="300">
        <f>'[2]Foundation Grant'!K73</f>
        <v>0</v>
      </c>
      <c r="CR66" s="299">
        <f>'[2]Foundation Grant'!L73</f>
        <v>0</v>
      </c>
      <c r="CS66" s="300" t="str">
        <f>'[2]Foundation Grant'!M73</f>
        <v>M</v>
      </c>
      <c r="CT66" s="300">
        <f>'[2]Foundation Grant'!N73</f>
        <v>11245647</v>
      </c>
      <c r="CU66" s="299">
        <f>'[2]Foundation Grant'!O73</f>
        <v>0</v>
      </c>
      <c r="CV66" s="299">
        <f>'[2]Foundation Grant'!P73</f>
        <v>3</v>
      </c>
      <c r="CW66" s="298">
        <f>'[2]Foundation Grant'!$C$1</f>
        <v>5622823</v>
      </c>
      <c r="CX66" s="298">
        <f>'[2]Foundation Grant'!$D$1</f>
        <v>4498258</v>
      </c>
      <c r="CY66" s="298">
        <f>'[2]Foundation Grant'!$E$1</f>
        <v>3373694</v>
      </c>
      <c r="CZ66" s="298">
        <f>'[2]Foundation Grant'!$C$2</f>
        <v>4498258</v>
      </c>
      <c r="DA66" s="298">
        <f>'[2]Foundation Grant'!$D$2</f>
        <v>3935976</v>
      </c>
      <c r="DB66" s="298">
        <f>'[2]Foundation Grant'!$E$2</f>
        <v>3373694</v>
      </c>
      <c r="DC66" s="298">
        <f>'[2]Foundation Grant'!$G$1</f>
        <v>1124565</v>
      </c>
      <c r="DD66" s="298">
        <f>'[2]Foundation Grant'!$H$1</f>
        <v>843423</v>
      </c>
      <c r="DE66" s="298">
        <f>'[2]Foundation Grant'!$I$1</f>
        <v>562282</v>
      </c>
      <c r="DF66" s="298">
        <f>'[2]Foundation Grant'!$J$1</f>
        <v>281141</v>
      </c>
      <c r="DG66" s="298">
        <f>'[2]Foundation Grant'!$K$1</f>
        <v>140571</v>
      </c>
      <c r="DH66" s="298">
        <f>'[2]Foundation Grant'!$O$1</f>
        <v>562282</v>
      </c>
      <c r="DI66" s="298">
        <f>'[2]Foundation Grant'!$P$1</f>
        <v>1124565</v>
      </c>
      <c r="DJ66" s="297">
        <f>'[2]basic allocation'!$C$10</f>
        <v>18749</v>
      </c>
      <c r="DK66" s="297">
        <f>'[2]basic allocation'!$D$10</f>
        <v>9375</v>
      </c>
      <c r="DL66" s="297">
        <f>'[2]basic allocation'!$E$10</f>
        <v>9375</v>
      </c>
      <c r="DM66" s="297">
        <f>'[2]basic allocation'!$I$10</f>
        <v>938</v>
      </c>
      <c r="DN66" s="297">
        <f>'[2]basic allocation'!$J$10</f>
        <v>703</v>
      </c>
      <c r="DO66" s="297">
        <f>'[2]basic allocation'!$K$10</f>
        <v>469</v>
      </c>
      <c r="DP66" s="297">
        <f>'[2]basic allocation'!$L$10</f>
        <v>234</v>
      </c>
      <c r="DQ66" s="297">
        <f>'[2]basic allocation'!$M$10</f>
        <v>100</v>
      </c>
      <c r="DR66" s="296">
        <f>'[2]FTES Adjustment'!DQ73</f>
        <v>554.9080959999992</v>
      </c>
      <c r="DS66" s="296">
        <f>'[2]FTES Adjustment'!DR73</f>
        <v>0</v>
      </c>
      <c r="DT66" s="296">
        <f>'[2]FTES Adjustment'!DS73</f>
        <v>0</v>
      </c>
      <c r="DU66" s="277">
        <f t="shared" ref="DU66:DU73" si="76">ROUND(DR66+DS66+DT66,3)</f>
        <v>554.90800000000002</v>
      </c>
      <c r="DV66" s="276">
        <f t="shared" ref="DV66:DV73" si="77">EF66</f>
        <v>1325.6134569999999</v>
      </c>
      <c r="DW66" s="276">
        <f t="shared" ref="DW66:DW73" si="78">EG66</f>
        <v>-16.669999999999959</v>
      </c>
      <c r="DX66" s="276">
        <f t="shared" ref="DX66:DX73" si="79">EH66</f>
        <v>-4.6100000000000136</v>
      </c>
      <c r="DY66" s="276">
        <f t="shared" ref="DY66:DY73" si="80">ROUND(SUM(DV66:DX66),3)</f>
        <v>1304.3330000000001</v>
      </c>
      <c r="DZ66" s="295">
        <f>ROUND([2]FTES!$D73,3)</f>
        <v>25751.437999999998</v>
      </c>
      <c r="EA66" s="295">
        <f>ROUND([2]FTES!$M73,3)</f>
        <v>302.26</v>
      </c>
      <c r="EB66" s="295">
        <f>ROUND([2]FTES!$V73,3)</f>
        <v>187.06</v>
      </c>
      <c r="EC66" s="276">
        <f t="shared" ref="EC66:EC73" si="81">ROUND(SUM(DZ66:EB66),3)</f>
        <v>26240.758000000002</v>
      </c>
      <c r="ED66" s="133">
        <v>0</v>
      </c>
      <c r="EE66" s="294">
        <f>'[2]10-11 WkLd126M'!$E71</f>
        <v>3026319</v>
      </c>
      <c r="EF66" s="295">
        <f>'[2]FTES Adjustment'!CG73</f>
        <v>1325.6134569999999</v>
      </c>
      <c r="EG66" s="295">
        <f>'[2]FTES Adjustment'!CH73</f>
        <v>-16.669999999999959</v>
      </c>
      <c r="EH66" s="295">
        <f>'[2]FTES Adjustment'!CI73</f>
        <v>-4.6100000000000136</v>
      </c>
      <c r="EI66" s="276">
        <f t="shared" ref="EI66:EI73" si="82">SUM(EF66:EH66)</f>
        <v>1304.3334569999997</v>
      </c>
      <c r="EJ66" s="294">
        <f>'[2]PBF Run'!$AT73</f>
        <v>0</v>
      </c>
      <c r="EK66" s="294">
        <f>'[2]11-12 Workload Reduction'!H73</f>
        <v>124010870</v>
      </c>
      <c r="EL66" s="294">
        <f>'[2]13-14 $86M Workload Restore'!AI71</f>
        <v>2765951</v>
      </c>
      <c r="EM66" s="294">
        <f>'[2]13-14 $86M Workload Restore'!AC71</f>
        <v>0</v>
      </c>
      <c r="EN66" s="294">
        <f>'[2]13-14 deferrals, growth, EPA 1'!BJ73</f>
        <v>20143251</v>
      </c>
      <c r="EO66" s="293">
        <f t="shared" ref="EO66:EO73" si="83">BK66-BM66</f>
        <v>137293423</v>
      </c>
      <c r="EP66" s="292">
        <v>0</v>
      </c>
      <c r="EQ66" s="292">
        <v>0</v>
      </c>
      <c r="ER66" s="292">
        <v>0</v>
      </c>
      <c r="ES66" s="16">
        <f t="shared" ref="ES66:ES74" si="84">SUM(EP66:ER66)</f>
        <v>0</v>
      </c>
    </row>
    <row r="67" spans="1:149">
      <c r="A67" s="291" t="s">
        <v>257</v>
      </c>
      <c r="B67" s="290" t="str">
        <f t="shared" ref="B67:B74" si="85">$B$2</f>
        <v>P2</v>
      </c>
      <c r="C67" s="285" t="s">
        <v>271</v>
      </c>
      <c r="D67" s="289" t="s">
        <v>270</v>
      </c>
      <c r="E67" s="288">
        <f>ROUND('[2]PBF Run'!N74,6)</f>
        <v>4636.4928730000001</v>
      </c>
      <c r="F67" s="285">
        <f t="shared" ref="F67:F74" si="86">F66</f>
        <v>4675.9030433300004</v>
      </c>
      <c r="G67" s="285">
        <f t="shared" ref="G67:G74" si="87">G66</f>
        <v>2788.0536374600001</v>
      </c>
      <c r="H67" s="285">
        <f t="shared" ref="H67:H74" si="88">H66</f>
        <v>2811.7520933800001</v>
      </c>
      <c r="I67" s="285">
        <f t="shared" ref="I67:I74" si="89">I66</f>
        <v>3282.8110613200001</v>
      </c>
      <c r="J67" s="285">
        <f t="shared" ref="J67:J74" si="90">J66</f>
        <v>3310.71495534</v>
      </c>
      <c r="K67" s="308">
        <f>ROUND([2]FTES!C74,3)</f>
        <v>24858.07</v>
      </c>
      <c r="L67" s="308">
        <f>ROUND([2]FTES!F74,3)</f>
        <v>0</v>
      </c>
      <c r="M67" s="308">
        <f>ROUND('[2]Growth Deficit'!AG74,3)</f>
        <v>0</v>
      </c>
      <c r="N67" s="308">
        <f>ROUND([2]FTES!I74,3)</f>
        <v>0</v>
      </c>
      <c r="O67" s="308">
        <f>ROUND([2]FTES!E74,3)</f>
        <v>26070.5</v>
      </c>
      <c r="P67" s="308">
        <f>ROUND([2]FTES!L74,3)</f>
        <v>453.38</v>
      </c>
      <c r="Q67" s="308">
        <f>ROUND([2]FTES!O74,3)</f>
        <v>0</v>
      </c>
      <c r="R67" s="308">
        <f>ROUND('[2]Growth Deficit'!$AH74,3)</f>
        <v>0</v>
      </c>
      <c r="S67" s="308">
        <f>ROUND([2]FTES!R74,3)</f>
        <v>0</v>
      </c>
      <c r="T67" s="308">
        <f>ROUND([2]FTES!N74,3)</f>
        <v>436.73</v>
      </c>
      <c r="U67" s="308">
        <f>ROUND([2]FTES!U74,3)</f>
        <v>0</v>
      </c>
      <c r="V67" s="308">
        <f>ROUND([2]FTES!X74,3)</f>
        <v>0</v>
      </c>
      <c r="W67" s="308">
        <f>ROUND('[2]Growth Deficit'!$AI74,3)</f>
        <v>0</v>
      </c>
      <c r="X67" s="308">
        <f>ROUND([2]FTES!AA74,3)</f>
        <v>0</v>
      </c>
      <c r="Y67" s="308">
        <f>ROUND([2]FTES!W74,3)</f>
        <v>0</v>
      </c>
      <c r="Z67" s="307">
        <f>'[2]FTES Adjustment'!CW74</f>
        <v>26070.500101000005</v>
      </c>
      <c r="AA67" s="307">
        <f>'[2]FTES Adjustment'!CX74</f>
        <v>436.73</v>
      </c>
      <c r="AB67" s="307">
        <f>'[2]FTES Adjustment'!CY74</f>
        <v>0</v>
      </c>
      <c r="AC67" s="275">
        <f t="shared" si="62"/>
        <v>25311.45</v>
      </c>
      <c r="AD67" s="275">
        <f t="shared" si="63"/>
        <v>0</v>
      </c>
      <c r="AE67" s="275">
        <f t="shared" si="64"/>
        <v>0</v>
      </c>
      <c r="AF67" s="275">
        <f t="shared" si="65"/>
        <v>0</v>
      </c>
      <c r="AG67" s="275">
        <f t="shared" si="66"/>
        <v>26507.23</v>
      </c>
      <c r="AH67" s="275">
        <f t="shared" si="67"/>
        <v>26507.23</v>
      </c>
      <c r="AI67" s="302">
        <f>'[2]PBF Run'!F74</f>
        <v>11245646</v>
      </c>
      <c r="AJ67" s="302">
        <f>'[2]PBF Run'!H74+'[2]PBF Run'!I74+'[2]PBF Run'!J74+'[2]PBF Run'!L74</f>
        <v>116518312</v>
      </c>
      <c r="AK67" s="306">
        <f>'[2]PBF Run'!J74 + '[2]PBF Run'!$L74</f>
        <v>115254264</v>
      </c>
      <c r="AL67" s="302">
        <f>'[2]PBF Run'!H74</f>
        <v>1264048</v>
      </c>
      <c r="AM67" s="302">
        <f>'[2]PBF Run'!I74</f>
        <v>0</v>
      </c>
      <c r="AN67" s="305">
        <f>'[2]Restoration and Growth'!BM74</f>
        <v>0</v>
      </c>
      <c r="AO67" s="278">
        <f t="shared" si="68"/>
        <v>127763958</v>
      </c>
      <c r="AP67" s="285" t="str">
        <f t="shared" ref="AP67:AP73" si="91">$AP$2</f>
        <v>0.85%</v>
      </c>
      <c r="AQ67" s="302">
        <f>'[2]PBF Run'!O74</f>
        <v>1085994</v>
      </c>
      <c r="AR67" s="278">
        <f t="shared" si="69"/>
        <v>128849952</v>
      </c>
      <c r="AS67" s="302">
        <f>'[2]PBF Run'!$AD74</f>
        <v>0</v>
      </c>
      <c r="AT67" s="302">
        <f>'[2]PBF Run'!$T74</f>
        <v>0</v>
      </c>
      <c r="AU67" s="278">
        <f t="shared" si="70"/>
        <v>2074079</v>
      </c>
      <c r="AV67" s="304">
        <f>'[2]Restoration and Growth'!BT74</f>
        <v>0</v>
      </c>
      <c r="AW67" s="304" t="str">
        <f>'[2]Restoration and Growth'!AP74</f>
        <v>Y</v>
      </c>
      <c r="AX67" s="302">
        <f>'[2]Restoration and Growth'!CV74</f>
        <v>0</v>
      </c>
      <c r="AY67" s="302">
        <f>'[2]Growth Deficit'!$AO74</f>
        <v>0</v>
      </c>
      <c r="AZ67" s="302">
        <f>'[2]Growth Deficit'!AO74</f>
        <v>0</v>
      </c>
      <c r="BA67" s="302">
        <f>'[2]Growth Deficit'!AL74</f>
        <v>0</v>
      </c>
      <c r="BB67" s="302">
        <f>'[2]Growth Deficit'!AM74</f>
        <v>0</v>
      </c>
      <c r="BC67" s="302">
        <f>'[2]Growth Deficit'!AN74</f>
        <v>0</v>
      </c>
      <c r="BD67" s="302">
        <f>'[2]Growth Deficit'!AO74</f>
        <v>0</v>
      </c>
      <c r="BE67" s="302">
        <f>'[2]PBF Run'!AA74</f>
        <v>0</v>
      </c>
      <c r="BF67" s="302">
        <f>'[2]PBF Run'!AB74</f>
        <v>0</v>
      </c>
      <c r="BG67" s="302">
        <f>'[2]PBF Run'!AC74</f>
        <v>0</v>
      </c>
      <c r="BH67" s="302">
        <f>'[2]PBF Run'!AD74</f>
        <v>0</v>
      </c>
      <c r="BI67" s="278">
        <f t="shared" si="71"/>
        <v>0</v>
      </c>
      <c r="BJ67" s="302">
        <f>'[2]PBF Run'!X74</f>
        <v>0</v>
      </c>
      <c r="BK67" s="302">
        <f>'[2]PBF Run'!AE74</f>
        <v>134472342</v>
      </c>
      <c r="BL67" s="282">
        <f t="shared" si="72"/>
        <v>0.98518541455907715</v>
      </c>
      <c r="BM67" s="302">
        <f>'[2]PBF Run'!AM74</f>
        <v>1992152</v>
      </c>
      <c r="BN67" s="302">
        <f>'[2]PBF Run'!$AN74</f>
        <v>49821710</v>
      </c>
      <c r="BO67" s="302">
        <f>'[2]PBF Run'!$AO74</f>
        <v>0</v>
      </c>
      <c r="BP67" s="302">
        <f>'[2]PBF Run'!AC74</f>
        <v>0</v>
      </c>
      <c r="BQ67" s="278">
        <f t="shared" si="73"/>
        <v>49821710</v>
      </c>
      <c r="BR67" s="302">
        <f>'[2]PBF Run'!AJ74</f>
        <v>51100750</v>
      </c>
      <c r="BS67" s="302">
        <f>'[2]PBF Run'!AI74</f>
        <v>11397865</v>
      </c>
      <c r="BT67" s="302">
        <f>'[2]PBF Run'!$AN74</f>
        <v>49821710</v>
      </c>
      <c r="BU67" s="302">
        <f>'[2]PBF Run'!$AN74</f>
        <v>49821710</v>
      </c>
      <c r="BV67" s="302">
        <f>'[2]PBF Run'!BI74</f>
        <v>0</v>
      </c>
      <c r="BW67" s="303">
        <f>'[2]PBF Run'!BH74</f>
        <v>0</v>
      </c>
      <c r="BX67" s="278">
        <f t="shared" ref="BX67:BX73" si="92">$BX$2</f>
        <v>69532</v>
      </c>
      <c r="BY67" s="278">
        <f t="shared" si="74"/>
        <v>49821710</v>
      </c>
      <c r="BZ67" s="302">
        <f>'[2]As of 13-14 R1'!BP74</f>
        <v>0</v>
      </c>
      <c r="CA67" s="302">
        <f>'[2]As of 13-14 R1'!BQ74</f>
        <v>0</v>
      </c>
      <c r="CB67" s="302">
        <f>'[2]As of 13-14 R1'!BR74</f>
        <v>0</v>
      </c>
      <c r="CC67" s="278">
        <f t="shared" si="75"/>
        <v>0</v>
      </c>
      <c r="CD67" s="301">
        <f>'[2]Growth Deficit'!$D$2</f>
        <v>0</v>
      </c>
      <c r="CE67" s="300">
        <f>IF($CS67="S",'[2]Foundation Grant'!C74,0)</f>
        <v>0</v>
      </c>
      <c r="CF67" s="300">
        <f>IF($CS67="S",'[2]Foundation Grant'!D74,0)</f>
        <v>0</v>
      </c>
      <c r="CG67" s="300">
        <f>IF($CS67="S",'[2]Foundation Grant'!E74,0)</f>
        <v>0</v>
      </c>
      <c r="CH67" s="300">
        <f>IF($CS67="S",'[2]Foundation Grant'!F74,0)</f>
        <v>0</v>
      </c>
      <c r="CI67" s="300">
        <f>IF($CS67="M",'[2]Foundation Grant'!C74,0)</f>
        <v>0</v>
      </c>
      <c r="CJ67" s="300">
        <f>IF($CS67="M",'[2]Foundation Grant'!D74,0)</f>
        <v>2</v>
      </c>
      <c r="CK67" s="300">
        <f>IF($CS67="M",'[2]Foundation Grant'!E74,0)</f>
        <v>1</v>
      </c>
      <c r="CL67" s="300">
        <f>IF($CS67="M",'[2]Foundation Grant'!F74,0)</f>
        <v>3</v>
      </c>
      <c r="CM67" s="300">
        <f>'[2]Foundation Grant'!G74</f>
        <v>0</v>
      </c>
      <c r="CN67" s="300">
        <f>'[2]Foundation Grant'!H74</f>
        <v>0</v>
      </c>
      <c r="CO67" s="300">
        <f>'[2]Foundation Grant'!I74</f>
        <v>0</v>
      </c>
      <c r="CP67" s="300">
        <f>'[2]Foundation Grant'!J74</f>
        <v>0</v>
      </c>
      <c r="CQ67" s="300">
        <f>'[2]Foundation Grant'!K74</f>
        <v>0</v>
      </c>
      <c r="CR67" s="299">
        <f>'[2]Foundation Grant'!L74</f>
        <v>0</v>
      </c>
      <c r="CS67" s="300" t="str">
        <f>'[2]Foundation Grant'!M74</f>
        <v>M</v>
      </c>
      <c r="CT67" s="300">
        <f>'[2]Foundation Grant'!N74</f>
        <v>11245646</v>
      </c>
      <c r="CU67" s="299">
        <f>'[2]Foundation Grant'!O74</f>
        <v>0</v>
      </c>
      <c r="CV67" s="299">
        <f>'[2]Foundation Grant'!P74</f>
        <v>0</v>
      </c>
      <c r="CW67" s="298">
        <f>'[2]Foundation Grant'!$C$1</f>
        <v>5622823</v>
      </c>
      <c r="CX67" s="298">
        <f>'[2]Foundation Grant'!$D$1</f>
        <v>4498258</v>
      </c>
      <c r="CY67" s="298">
        <f>'[2]Foundation Grant'!$E$1</f>
        <v>3373694</v>
      </c>
      <c r="CZ67" s="298">
        <f>'[2]Foundation Grant'!$C$2</f>
        <v>4498258</v>
      </c>
      <c r="DA67" s="298">
        <f>'[2]Foundation Grant'!$D$2</f>
        <v>3935976</v>
      </c>
      <c r="DB67" s="298">
        <f>'[2]Foundation Grant'!$E$2</f>
        <v>3373694</v>
      </c>
      <c r="DC67" s="298">
        <f>'[2]Foundation Grant'!$G$1</f>
        <v>1124565</v>
      </c>
      <c r="DD67" s="298">
        <f>'[2]Foundation Grant'!$H$1</f>
        <v>843423</v>
      </c>
      <c r="DE67" s="298">
        <f>'[2]Foundation Grant'!$I$1</f>
        <v>562282</v>
      </c>
      <c r="DF67" s="298">
        <f>'[2]Foundation Grant'!$J$1</f>
        <v>281141</v>
      </c>
      <c r="DG67" s="298">
        <f>'[2]Foundation Grant'!$K$1</f>
        <v>140571</v>
      </c>
      <c r="DH67" s="298">
        <f>'[2]Foundation Grant'!$O$1</f>
        <v>562282</v>
      </c>
      <c r="DI67" s="298">
        <f>'[2]Foundation Grant'!$P$1</f>
        <v>1124565</v>
      </c>
      <c r="DJ67" s="297">
        <f>'[2]basic allocation'!$C$10</f>
        <v>18749</v>
      </c>
      <c r="DK67" s="297">
        <f>'[2]basic allocation'!$D$10</f>
        <v>9375</v>
      </c>
      <c r="DL67" s="297">
        <f>'[2]basic allocation'!$E$10</f>
        <v>9375</v>
      </c>
      <c r="DM67" s="297">
        <f>'[2]basic allocation'!$I$10</f>
        <v>938</v>
      </c>
      <c r="DN67" s="297">
        <f>'[2]basic allocation'!$J$10</f>
        <v>703</v>
      </c>
      <c r="DO67" s="297">
        <f>'[2]basic allocation'!$K$10</f>
        <v>469</v>
      </c>
      <c r="DP67" s="297">
        <f>'[2]basic allocation'!$L$10</f>
        <v>234</v>
      </c>
      <c r="DQ67" s="297">
        <f>'[2]basic allocation'!$M$10</f>
        <v>100</v>
      </c>
      <c r="DR67" s="296">
        <f>'[2]FTES Adjustment'!DQ74</f>
        <v>-1.0100000508828089E-4</v>
      </c>
      <c r="DS67" s="296">
        <f>'[2]FTES Adjustment'!DR74</f>
        <v>0</v>
      </c>
      <c r="DT67" s="296">
        <f>'[2]FTES Adjustment'!DS74</f>
        <v>0</v>
      </c>
      <c r="DU67" s="277">
        <f t="shared" si="76"/>
        <v>0</v>
      </c>
      <c r="DV67" s="276">
        <f t="shared" si="77"/>
        <v>1212.4301869999999</v>
      </c>
      <c r="DW67" s="276">
        <f t="shared" si="78"/>
        <v>-16.649999999999977</v>
      </c>
      <c r="DX67" s="276">
        <f t="shared" si="79"/>
        <v>0</v>
      </c>
      <c r="DY67" s="276">
        <f t="shared" si="80"/>
        <v>1195.78</v>
      </c>
      <c r="DZ67" s="295">
        <f>ROUND([2]FTES!$D74,3)</f>
        <v>24858.07</v>
      </c>
      <c r="EA67" s="295">
        <f>ROUND([2]FTES!$M74,3)</f>
        <v>453.38</v>
      </c>
      <c r="EB67" s="295">
        <f>ROUND([2]FTES!$V74,3)</f>
        <v>0</v>
      </c>
      <c r="EC67" s="276">
        <f t="shared" si="81"/>
        <v>25311.45</v>
      </c>
      <c r="ED67" s="133">
        <v>0</v>
      </c>
      <c r="EE67" s="294">
        <f>'[2]10-11 WkLd126M'!$E72</f>
        <v>2940525</v>
      </c>
      <c r="EF67" s="295">
        <f>'[2]FTES Adjustment'!CG74</f>
        <v>1212.4301869999999</v>
      </c>
      <c r="EG67" s="295">
        <f>'[2]FTES Adjustment'!CH74</f>
        <v>-16.649999999999977</v>
      </c>
      <c r="EH67" s="295">
        <f>'[2]FTES Adjustment'!CI74</f>
        <v>0</v>
      </c>
      <c r="EI67" s="276">
        <f t="shared" si="82"/>
        <v>1195.7801869999998</v>
      </c>
      <c r="EJ67" s="294">
        <f>'[2]PBF Run'!$AT74</f>
        <v>0</v>
      </c>
      <c r="EK67" s="294">
        <f>'[2]11-12 Workload Reduction'!H74</f>
        <v>120181403</v>
      </c>
      <c r="EL67" s="294">
        <f>'[2]13-14 $86M Workload Restore'!AI72</f>
        <v>2074079</v>
      </c>
      <c r="EM67" s="294">
        <f>'[2]13-14 $86M Workload Restore'!AC72</f>
        <v>0</v>
      </c>
      <c r="EN67" s="294">
        <f>'[2]13-14 deferrals, growth, EPA 1'!BJ74</f>
        <v>18641571</v>
      </c>
      <c r="EO67" s="293">
        <f t="shared" si="83"/>
        <v>132480190</v>
      </c>
      <c r="EP67" s="292">
        <v>0</v>
      </c>
      <c r="EQ67" s="292">
        <v>0</v>
      </c>
      <c r="ER67" s="292">
        <v>0</v>
      </c>
      <c r="ES67" s="16">
        <f t="shared" si="84"/>
        <v>0</v>
      </c>
    </row>
    <row r="68" spans="1:149">
      <c r="A68" s="291" t="s">
        <v>257</v>
      </c>
      <c r="B68" s="290" t="str">
        <f t="shared" si="85"/>
        <v>P2</v>
      </c>
      <c r="C68" s="285" t="s">
        <v>269</v>
      </c>
      <c r="D68" s="289" t="s">
        <v>268</v>
      </c>
      <c r="E68" s="288">
        <f>ROUND('[2]PBF Run'!N75,6)</f>
        <v>4636.4928030000001</v>
      </c>
      <c r="F68" s="285">
        <f t="shared" si="86"/>
        <v>4675.9030433300004</v>
      </c>
      <c r="G68" s="285">
        <f t="shared" si="87"/>
        <v>2788.0536374600001</v>
      </c>
      <c r="H68" s="285">
        <f t="shared" si="88"/>
        <v>2811.7520933800001</v>
      </c>
      <c r="I68" s="285">
        <f t="shared" si="89"/>
        <v>3282.8110613200001</v>
      </c>
      <c r="J68" s="285">
        <f t="shared" si="90"/>
        <v>3310.71495534</v>
      </c>
      <c r="K68" s="308">
        <f>ROUND([2]FTES!C75,3)</f>
        <v>9140.2099999999991</v>
      </c>
      <c r="L68" s="308">
        <f>ROUND([2]FTES!F75,3)</f>
        <v>0</v>
      </c>
      <c r="M68" s="308">
        <f>ROUND('[2]Growth Deficit'!AG75,3)</f>
        <v>0</v>
      </c>
      <c r="N68" s="308">
        <f>ROUND([2]FTES!I75,3)</f>
        <v>0</v>
      </c>
      <c r="O68" s="308">
        <f>ROUND([2]FTES!E75,3)</f>
        <v>9255.08</v>
      </c>
      <c r="P68" s="308">
        <f>ROUND([2]FTES!L75,3)</f>
        <v>91.83</v>
      </c>
      <c r="Q68" s="308">
        <f>ROUND([2]FTES!O75,3)</f>
        <v>0</v>
      </c>
      <c r="R68" s="308">
        <f>ROUND('[2]Growth Deficit'!$AH75,3)</f>
        <v>0</v>
      </c>
      <c r="S68" s="308">
        <f>ROUND([2]FTES!R75,3)</f>
        <v>0</v>
      </c>
      <c r="T68" s="308">
        <f>ROUND([2]FTES!N75,3)</f>
        <v>84.21</v>
      </c>
      <c r="U68" s="308">
        <f>ROUND([2]FTES!U75,3)</f>
        <v>0</v>
      </c>
      <c r="V68" s="308">
        <f>ROUND([2]FTES!X75,3)</f>
        <v>0</v>
      </c>
      <c r="W68" s="308">
        <f>ROUND('[2]Growth Deficit'!$AI75,3)</f>
        <v>0</v>
      </c>
      <c r="X68" s="308">
        <f>ROUND([2]FTES!AA75,3)</f>
        <v>0</v>
      </c>
      <c r="Y68" s="308">
        <f>ROUND([2]FTES!W75,3)</f>
        <v>0</v>
      </c>
      <c r="Z68" s="307">
        <f>'[2]FTES Adjustment'!CW75</f>
        <v>9255.080027</v>
      </c>
      <c r="AA68" s="307">
        <f>'[2]FTES Adjustment'!CX75</f>
        <v>84.21</v>
      </c>
      <c r="AB68" s="307">
        <f>'[2]FTES Adjustment'!CY75</f>
        <v>0</v>
      </c>
      <c r="AC68" s="275">
        <f t="shared" si="62"/>
        <v>9232.0400000000009</v>
      </c>
      <c r="AD68" s="275">
        <f t="shared" si="63"/>
        <v>0</v>
      </c>
      <c r="AE68" s="275">
        <f t="shared" si="64"/>
        <v>0</v>
      </c>
      <c r="AF68" s="275">
        <f t="shared" si="65"/>
        <v>0</v>
      </c>
      <c r="AG68" s="275">
        <f t="shared" si="66"/>
        <v>9339.2900000000009</v>
      </c>
      <c r="AH68" s="275">
        <f t="shared" si="67"/>
        <v>9339.2900000000009</v>
      </c>
      <c r="AI68" s="302">
        <f>'[2]PBF Run'!F75</f>
        <v>4498258</v>
      </c>
      <c r="AJ68" s="302">
        <f>'[2]PBF Run'!H75+'[2]PBF Run'!I75+'[2]PBF Run'!J75+'[2]PBF Run'!L75</f>
        <v>42634544</v>
      </c>
      <c r="AK68" s="306">
        <f>'[2]PBF Run'!J75 + '[2]PBF Run'!$L75</f>
        <v>42378517</v>
      </c>
      <c r="AL68" s="302">
        <f>'[2]PBF Run'!H75</f>
        <v>256027</v>
      </c>
      <c r="AM68" s="302">
        <f>'[2]PBF Run'!I75</f>
        <v>0</v>
      </c>
      <c r="AN68" s="305">
        <f>'[2]Restoration and Growth'!BM75</f>
        <v>0</v>
      </c>
      <c r="AO68" s="278">
        <f t="shared" si="68"/>
        <v>47132802</v>
      </c>
      <c r="AP68" s="285" t="str">
        <f t="shared" si="91"/>
        <v>0.85%</v>
      </c>
      <c r="AQ68" s="302">
        <f>'[2]PBF Run'!O75</f>
        <v>400629</v>
      </c>
      <c r="AR68" s="278">
        <f t="shared" si="69"/>
        <v>47533431</v>
      </c>
      <c r="AS68" s="302">
        <f>'[2]PBF Run'!$AD75</f>
        <v>0</v>
      </c>
      <c r="AT68" s="302">
        <f>'[2]PBF Run'!$T75</f>
        <v>0</v>
      </c>
      <c r="AU68" s="278">
        <f t="shared" si="70"/>
        <v>975647</v>
      </c>
      <c r="AV68" s="304">
        <f>'[2]Restoration and Growth'!BT75</f>
        <v>0</v>
      </c>
      <c r="AW68" s="304" t="str">
        <f>'[2]Restoration and Growth'!AP75</f>
        <v>N</v>
      </c>
      <c r="AX68" s="302">
        <f>'[2]Restoration and Growth'!CV75</f>
        <v>0</v>
      </c>
      <c r="AY68" s="302">
        <f>'[2]Growth Deficit'!$AO75</f>
        <v>0</v>
      </c>
      <c r="AZ68" s="302">
        <f>'[2]Growth Deficit'!AO75</f>
        <v>0</v>
      </c>
      <c r="BA68" s="302">
        <f>'[2]Growth Deficit'!AL75</f>
        <v>0</v>
      </c>
      <c r="BB68" s="302">
        <f>'[2]Growth Deficit'!AM75</f>
        <v>0</v>
      </c>
      <c r="BC68" s="302">
        <f>'[2]Growth Deficit'!AN75</f>
        <v>0</v>
      </c>
      <c r="BD68" s="302">
        <f>'[2]Growth Deficit'!AO75</f>
        <v>0</v>
      </c>
      <c r="BE68" s="302">
        <f>'[2]PBF Run'!AA75</f>
        <v>0</v>
      </c>
      <c r="BF68" s="302">
        <f>'[2]PBF Run'!AB75</f>
        <v>0</v>
      </c>
      <c r="BG68" s="302">
        <f>'[2]PBF Run'!AC75</f>
        <v>0</v>
      </c>
      <c r="BH68" s="302">
        <f>'[2]PBF Run'!AD75</f>
        <v>0</v>
      </c>
      <c r="BI68" s="278">
        <f t="shared" si="71"/>
        <v>0</v>
      </c>
      <c r="BJ68" s="302">
        <f>'[2]PBF Run'!X75</f>
        <v>0</v>
      </c>
      <c r="BK68" s="302">
        <f>'[2]PBF Run'!AE75</f>
        <v>48049127</v>
      </c>
      <c r="BL68" s="282">
        <f t="shared" si="72"/>
        <v>0.98518541242174906</v>
      </c>
      <c r="BM68" s="302">
        <f>'[2]PBF Run'!AM75</f>
        <v>711828</v>
      </c>
      <c r="BN68" s="302">
        <f>'[2]PBF Run'!$AN75</f>
        <v>30172362</v>
      </c>
      <c r="BO68" s="302">
        <f>'[2]PBF Run'!$AO75</f>
        <v>0</v>
      </c>
      <c r="BP68" s="302">
        <f>'[2]PBF Run'!AC75</f>
        <v>0</v>
      </c>
      <c r="BQ68" s="278">
        <f t="shared" si="73"/>
        <v>30172362</v>
      </c>
      <c r="BR68" s="302">
        <f>'[2]PBF Run'!AJ75</f>
        <v>7573704</v>
      </c>
      <c r="BS68" s="302">
        <f>'[2]PBF Run'!AI75</f>
        <v>2057745</v>
      </c>
      <c r="BT68" s="302">
        <f>'[2]PBF Run'!$AN75</f>
        <v>30172362</v>
      </c>
      <c r="BU68" s="302">
        <f>'[2]PBF Run'!$AN75</f>
        <v>30172362</v>
      </c>
      <c r="BV68" s="302">
        <f>'[2]PBF Run'!BI75</f>
        <v>0</v>
      </c>
      <c r="BW68" s="303">
        <f>'[2]PBF Run'!BH75</f>
        <v>0</v>
      </c>
      <c r="BX68" s="278">
        <f t="shared" si="92"/>
        <v>69532</v>
      </c>
      <c r="BY68" s="278">
        <f t="shared" si="74"/>
        <v>30172362</v>
      </c>
      <c r="BZ68" s="302">
        <f>'[2]As of 13-14 R1'!BP75</f>
        <v>0</v>
      </c>
      <c r="CA68" s="302">
        <f>'[2]As of 13-14 R1'!BQ75</f>
        <v>0</v>
      </c>
      <c r="CB68" s="302">
        <f>'[2]As of 13-14 R1'!BR75</f>
        <v>0</v>
      </c>
      <c r="CC68" s="278">
        <f t="shared" si="75"/>
        <v>0</v>
      </c>
      <c r="CD68" s="301">
        <f>'[2]Growth Deficit'!$D$2</f>
        <v>0</v>
      </c>
      <c r="CE68" s="300">
        <f>IF($CS68="S",'[2]Foundation Grant'!C75,0)</f>
        <v>0</v>
      </c>
      <c r="CF68" s="300">
        <f>IF($CS68="S",'[2]Foundation Grant'!D75,0)</f>
        <v>1</v>
      </c>
      <c r="CG68" s="300">
        <f>IF($CS68="S",'[2]Foundation Grant'!E75,0)</f>
        <v>0</v>
      </c>
      <c r="CH68" s="300">
        <f>IF($CS68="S",'[2]Foundation Grant'!F75,0)</f>
        <v>1</v>
      </c>
      <c r="CI68" s="300">
        <f>IF($CS68="M",'[2]Foundation Grant'!C75,0)</f>
        <v>0</v>
      </c>
      <c r="CJ68" s="300">
        <f>IF($CS68="M",'[2]Foundation Grant'!D75,0)</f>
        <v>0</v>
      </c>
      <c r="CK68" s="300">
        <f>IF($CS68="M",'[2]Foundation Grant'!E75,0)</f>
        <v>0</v>
      </c>
      <c r="CL68" s="300">
        <f>IF($CS68="M",'[2]Foundation Grant'!F75,0)</f>
        <v>0</v>
      </c>
      <c r="CM68" s="300">
        <f>'[2]Foundation Grant'!G75</f>
        <v>0</v>
      </c>
      <c r="CN68" s="300">
        <f>'[2]Foundation Grant'!H75</f>
        <v>0</v>
      </c>
      <c r="CO68" s="300">
        <f>'[2]Foundation Grant'!I75</f>
        <v>0</v>
      </c>
      <c r="CP68" s="300">
        <f>'[2]Foundation Grant'!J75</f>
        <v>0</v>
      </c>
      <c r="CQ68" s="300">
        <f>'[2]Foundation Grant'!K75</f>
        <v>0</v>
      </c>
      <c r="CR68" s="299">
        <f>'[2]Foundation Grant'!L75</f>
        <v>0</v>
      </c>
      <c r="CS68" s="300" t="str">
        <f>'[2]Foundation Grant'!M75</f>
        <v>S</v>
      </c>
      <c r="CT68" s="300">
        <f>'[2]Foundation Grant'!N75</f>
        <v>4498258</v>
      </c>
      <c r="CU68" s="299">
        <f>'[2]Foundation Grant'!O75</f>
        <v>0</v>
      </c>
      <c r="CV68" s="299">
        <f>'[2]Foundation Grant'!P75</f>
        <v>0</v>
      </c>
      <c r="CW68" s="298">
        <f>'[2]Foundation Grant'!$C$1</f>
        <v>5622823</v>
      </c>
      <c r="CX68" s="298">
        <f>'[2]Foundation Grant'!$D$1</f>
        <v>4498258</v>
      </c>
      <c r="CY68" s="298">
        <f>'[2]Foundation Grant'!$E$1</f>
        <v>3373694</v>
      </c>
      <c r="CZ68" s="298">
        <f>'[2]Foundation Grant'!$C$2</f>
        <v>4498258</v>
      </c>
      <c r="DA68" s="298">
        <f>'[2]Foundation Grant'!$D$2</f>
        <v>3935976</v>
      </c>
      <c r="DB68" s="298">
        <f>'[2]Foundation Grant'!$E$2</f>
        <v>3373694</v>
      </c>
      <c r="DC68" s="298">
        <f>'[2]Foundation Grant'!$G$1</f>
        <v>1124565</v>
      </c>
      <c r="DD68" s="298">
        <f>'[2]Foundation Grant'!$H$1</f>
        <v>843423</v>
      </c>
      <c r="DE68" s="298">
        <f>'[2]Foundation Grant'!$I$1</f>
        <v>562282</v>
      </c>
      <c r="DF68" s="298">
        <f>'[2]Foundation Grant'!$J$1</f>
        <v>281141</v>
      </c>
      <c r="DG68" s="298">
        <f>'[2]Foundation Grant'!$K$1</f>
        <v>140571</v>
      </c>
      <c r="DH68" s="298">
        <f>'[2]Foundation Grant'!$O$1</f>
        <v>562282</v>
      </c>
      <c r="DI68" s="298">
        <f>'[2]Foundation Grant'!$P$1</f>
        <v>1124565</v>
      </c>
      <c r="DJ68" s="297">
        <f>'[2]basic allocation'!$C$10</f>
        <v>18749</v>
      </c>
      <c r="DK68" s="297">
        <f>'[2]basic allocation'!$D$10</f>
        <v>9375</v>
      </c>
      <c r="DL68" s="297">
        <f>'[2]basic allocation'!$E$10</f>
        <v>9375</v>
      </c>
      <c r="DM68" s="297">
        <f>'[2]basic allocation'!$I$10</f>
        <v>938</v>
      </c>
      <c r="DN68" s="297">
        <f>'[2]basic allocation'!$J$10</f>
        <v>703</v>
      </c>
      <c r="DO68" s="297">
        <f>'[2]basic allocation'!$K$10</f>
        <v>469</v>
      </c>
      <c r="DP68" s="297">
        <f>'[2]basic allocation'!$L$10</f>
        <v>234</v>
      </c>
      <c r="DQ68" s="297">
        <f>'[2]basic allocation'!$M$10</f>
        <v>100</v>
      </c>
      <c r="DR68" s="296">
        <f>'[2]FTES Adjustment'!DQ75</f>
        <v>-2.7000000045518391E-5</v>
      </c>
      <c r="DS68" s="296">
        <f>'[2]FTES Adjustment'!DR75</f>
        <v>0</v>
      </c>
      <c r="DT68" s="296">
        <f>'[2]FTES Adjustment'!DS75</f>
        <v>0</v>
      </c>
      <c r="DU68" s="277">
        <f t="shared" si="76"/>
        <v>0</v>
      </c>
      <c r="DV68" s="276">
        <f t="shared" si="77"/>
        <v>114.87021799999999</v>
      </c>
      <c r="DW68" s="276">
        <f t="shared" si="78"/>
        <v>-7.6200000000000045</v>
      </c>
      <c r="DX68" s="276">
        <f t="shared" si="79"/>
        <v>0</v>
      </c>
      <c r="DY68" s="276">
        <f t="shared" si="80"/>
        <v>107.25</v>
      </c>
      <c r="DZ68" s="295">
        <f>ROUND([2]FTES!$D75,3)</f>
        <v>9140.2099999999991</v>
      </c>
      <c r="EA68" s="295">
        <f>ROUND([2]FTES!$M75,3)</f>
        <v>91.83</v>
      </c>
      <c r="EB68" s="295">
        <f>ROUND([2]FTES!$V75,3)</f>
        <v>0</v>
      </c>
      <c r="EC68" s="276">
        <f t="shared" si="81"/>
        <v>9232.0400000000009</v>
      </c>
      <c r="ED68" s="133">
        <v>0</v>
      </c>
      <c r="EE68" s="294">
        <f>'[2]10-11 WkLd126M'!$E73</f>
        <v>1079211</v>
      </c>
      <c r="EF68" s="295">
        <f>'[2]FTES Adjustment'!CG75</f>
        <v>114.87021799999999</v>
      </c>
      <c r="EG68" s="295">
        <f>'[2]FTES Adjustment'!CH75</f>
        <v>-7.6200000000000045</v>
      </c>
      <c r="EH68" s="295">
        <f>'[2]FTES Adjustment'!CI75</f>
        <v>0</v>
      </c>
      <c r="EI68" s="276">
        <f t="shared" si="82"/>
        <v>107.25021799999999</v>
      </c>
      <c r="EJ68" s="294">
        <f>'[2]PBF Run'!$AT75</f>
        <v>0</v>
      </c>
      <c r="EK68" s="294">
        <f>'[2]11-12 Workload Reduction'!H75</f>
        <v>43742915</v>
      </c>
      <c r="EL68" s="294">
        <f>'[2]13-14 $86M Workload Restore'!AI73</f>
        <v>975647</v>
      </c>
      <c r="EM68" s="294">
        <f>'[2]13-14 $86M Workload Restore'!AC73</f>
        <v>0</v>
      </c>
      <c r="EN68" s="294">
        <f>'[2]13-14 deferrals, growth, EPA 1'!BJ75</f>
        <v>7253138</v>
      </c>
      <c r="EO68" s="293">
        <f t="shared" si="83"/>
        <v>47337299</v>
      </c>
      <c r="EP68" s="292">
        <v>0</v>
      </c>
      <c r="EQ68" s="292">
        <v>0</v>
      </c>
      <c r="ER68" s="292">
        <v>0</v>
      </c>
      <c r="ES68" s="16">
        <f t="shared" si="84"/>
        <v>0</v>
      </c>
    </row>
    <row r="69" spans="1:149">
      <c r="A69" s="291" t="s">
        <v>257</v>
      </c>
      <c r="B69" s="290" t="str">
        <f t="shared" si="85"/>
        <v>P2</v>
      </c>
      <c r="C69" s="285" t="s">
        <v>267</v>
      </c>
      <c r="D69" s="289" t="s">
        <v>266</v>
      </c>
      <c r="E69" s="288">
        <f>ROUND('[2]PBF Run'!N76,6)</f>
        <v>4636.4927950000001</v>
      </c>
      <c r="F69" s="285">
        <f t="shared" si="86"/>
        <v>4675.9030433300004</v>
      </c>
      <c r="G69" s="285">
        <f t="shared" si="87"/>
        <v>2788.0536374600001</v>
      </c>
      <c r="H69" s="285">
        <f t="shared" si="88"/>
        <v>2811.7520933800001</v>
      </c>
      <c r="I69" s="285">
        <f t="shared" si="89"/>
        <v>3282.8110613200001</v>
      </c>
      <c r="J69" s="285">
        <f t="shared" si="90"/>
        <v>3310.71495534</v>
      </c>
      <c r="K69" s="308">
        <f>ROUND([2]FTES!C76,3)</f>
        <v>4550.2920000000004</v>
      </c>
      <c r="L69" s="308">
        <f>ROUND([2]FTES!F76,3)</f>
        <v>0</v>
      </c>
      <c r="M69" s="308">
        <f>ROUND('[2]Growth Deficit'!AG76,3)</f>
        <v>0</v>
      </c>
      <c r="N69" s="308">
        <f>ROUND([2]FTES!I76,3)</f>
        <v>0</v>
      </c>
      <c r="O69" s="308">
        <f>ROUND([2]FTES!E76,3)</f>
        <v>4734.53</v>
      </c>
      <c r="P69" s="308">
        <f>ROUND([2]FTES!L76,3)</f>
        <v>350.21</v>
      </c>
      <c r="Q69" s="308">
        <f>ROUND([2]FTES!O76,3)</f>
        <v>0</v>
      </c>
      <c r="R69" s="308">
        <f>ROUND('[2]Growth Deficit'!$AH76,3)</f>
        <v>0</v>
      </c>
      <c r="S69" s="308">
        <f>ROUND([2]FTES!R76,3)</f>
        <v>0</v>
      </c>
      <c r="T69" s="308">
        <f>ROUND([2]FTES!N76,3)</f>
        <v>365.57</v>
      </c>
      <c r="U69" s="308">
        <f>ROUND([2]FTES!U76,3)</f>
        <v>0</v>
      </c>
      <c r="V69" s="308">
        <f>ROUND([2]FTES!X76,3)</f>
        <v>0</v>
      </c>
      <c r="W69" s="308">
        <f>ROUND('[2]Growth Deficit'!$AI76,3)</f>
        <v>0</v>
      </c>
      <c r="X69" s="308">
        <f>ROUND([2]FTES!AA76,3)</f>
        <v>0</v>
      </c>
      <c r="Y69" s="308">
        <f>ROUND([2]FTES!W76,3)</f>
        <v>0</v>
      </c>
      <c r="Z69" s="307">
        <f>'[2]FTES Adjustment'!CW76</f>
        <v>4734.5299810000006</v>
      </c>
      <c r="AA69" s="307">
        <f>'[2]FTES Adjustment'!CX76</f>
        <v>365.57</v>
      </c>
      <c r="AB69" s="307">
        <f>'[2]FTES Adjustment'!CY76</f>
        <v>0</v>
      </c>
      <c r="AC69" s="275">
        <f t="shared" si="62"/>
        <v>4900.5020000000004</v>
      </c>
      <c r="AD69" s="275">
        <f t="shared" si="63"/>
        <v>0</v>
      </c>
      <c r="AE69" s="275">
        <f t="shared" si="64"/>
        <v>0</v>
      </c>
      <c r="AF69" s="275">
        <f t="shared" si="65"/>
        <v>0</v>
      </c>
      <c r="AG69" s="275">
        <f t="shared" si="66"/>
        <v>5100.1000000000004</v>
      </c>
      <c r="AH69" s="275">
        <f t="shared" si="67"/>
        <v>5100.1000000000004</v>
      </c>
      <c r="AI69" s="302">
        <f>'[2]PBF Run'!F76</f>
        <v>7028529</v>
      </c>
      <c r="AJ69" s="302">
        <f>'[2]PBF Run'!H76+'[2]PBF Run'!I76+'[2]PBF Run'!J76+'[2]PBF Run'!L76</f>
        <v>22073801</v>
      </c>
      <c r="AK69" s="306">
        <f>'[2]PBF Run'!J76 + '[2]PBF Run'!$L76</f>
        <v>21097397</v>
      </c>
      <c r="AL69" s="302">
        <f>'[2]PBF Run'!H76</f>
        <v>976404</v>
      </c>
      <c r="AM69" s="302">
        <f>'[2]PBF Run'!I76</f>
        <v>0</v>
      </c>
      <c r="AN69" s="305">
        <f>'[2]Restoration and Growth'!BM76</f>
        <v>0</v>
      </c>
      <c r="AO69" s="278">
        <f t="shared" si="68"/>
        <v>29102330</v>
      </c>
      <c r="AP69" s="285" t="str">
        <f t="shared" si="91"/>
        <v>0.85%</v>
      </c>
      <c r="AQ69" s="302">
        <f>'[2]PBF Run'!O76</f>
        <v>247370</v>
      </c>
      <c r="AR69" s="278">
        <f t="shared" si="69"/>
        <v>29349700</v>
      </c>
      <c r="AS69" s="302">
        <f>'[2]PBF Run'!$AD76</f>
        <v>0</v>
      </c>
      <c r="AT69" s="302">
        <f>'[2]PBF Run'!$T76</f>
        <v>0</v>
      </c>
      <c r="AU69" s="278">
        <f t="shared" si="70"/>
        <v>504029</v>
      </c>
      <c r="AV69" s="304">
        <f>'[2]Restoration and Growth'!BT76</f>
        <v>0</v>
      </c>
      <c r="AW69" s="304" t="str">
        <f>'[2]Restoration and Growth'!AP76</f>
        <v>Y</v>
      </c>
      <c r="AX69" s="302">
        <f>'[2]Restoration and Growth'!CV76</f>
        <v>0</v>
      </c>
      <c r="AY69" s="302">
        <f>'[2]Growth Deficit'!$AO76</f>
        <v>0</v>
      </c>
      <c r="AZ69" s="302">
        <f>'[2]Growth Deficit'!AO76</f>
        <v>0</v>
      </c>
      <c r="BA69" s="302">
        <f>'[2]Growth Deficit'!AL76</f>
        <v>0</v>
      </c>
      <c r="BB69" s="302">
        <f>'[2]Growth Deficit'!AM76</f>
        <v>0</v>
      </c>
      <c r="BC69" s="302">
        <f>'[2]Growth Deficit'!AN76</f>
        <v>0</v>
      </c>
      <c r="BD69" s="302">
        <f>'[2]Growth Deficit'!AO76</f>
        <v>0</v>
      </c>
      <c r="BE69" s="302">
        <f>'[2]PBF Run'!AA76</f>
        <v>0</v>
      </c>
      <c r="BF69" s="302">
        <f>'[2]PBF Run'!AB76</f>
        <v>0</v>
      </c>
      <c r="BG69" s="302">
        <f>'[2]PBF Run'!AC76</f>
        <v>0</v>
      </c>
      <c r="BH69" s="302">
        <f>'[2]PBF Run'!AD76</f>
        <v>0</v>
      </c>
      <c r="BI69" s="278">
        <f t="shared" si="71"/>
        <v>0</v>
      </c>
      <c r="BJ69" s="302">
        <f>'[2]PBF Run'!X76</f>
        <v>0</v>
      </c>
      <c r="BK69" s="302">
        <f>'[2]PBF Run'!AE76</f>
        <v>30254367</v>
      </c>
      <c r="BL69" s="282">
        <f t="shared" si="72"/>
        <v>0.98518541141515203</v>
      </c>
      <c r="BM69" s="302">
        <f>'[2]PBF Run'!AM76</f>
        <v>448206</v>
      </c>
      <c r="BN69" s="302">
        <f>'[2]PBF Run'!$AN76</f>
        <v>19080418</v>
      </c>
      <c r="BO69" s="302">
        <f>'[2]PBF Run'!$AO76</f>
        <v>0</v>
      </c>
      <c r="BP69" s="302">
        <f>'[2]PBF Run'!AC76</f>
        <v>0</v>
      </c>
      <c r="BQ69" s="278">
        <f t="shared" si="73"/>
        <v>19080418</v>
      </c>
      <c r="BR69" s="302">
        <f>'[2]PBF Run'!AJ76</f>
        <v>4932950</v>
      </c>
      <c r="BS69" s="302">
        <f>'[2]PBF Run'!AI76</f>
        <v>1001034</v>
      </c>
      <c r="BT69" s="302">
        <f>'[2]PBF Run'!$AN76</f>
        <v>19080418</v>
      </c>
      <c r="BU69" s="302">
        <f>'[2]PBF Run'!$AN76</f>
        <v>19080418</v>
      </c>
      <c r="BV69" s="302">
        <f>'[2]PBF Run'!BI76</f>
        <v>0</v>
      </c>
      <c r="BW69" s="303">
        <f>'[2]PBF Run'!BH76</f>
        <v>0</v>
      </c>
      <c r="BX69" s="278">
        <f t="shared" si="92"/>
        <v>69532</v>
      </c>
      <c r="BY69" s="278">
        <f t="shared" si="74"/>
        <v>19080418</v>
      </c>
      <c r="BZ69" s="302">
        <f>'[2]As of 13-14 R1'!BP76</f>
        <v>0</v>
      </c>
      <c r="CA69" s="302">
        <f>'[2]As of 13-14 R1'!BQ76</f>
        <v>0</v>
      </c>
      <c r="CB69" s="302">
        <f>'[2]As of 13-14 R1'!BR76</f>
        <v>0</v>
      </c>
      <c r="CC69" s="278">
        <f t="shared" si="75"/>
        <v>0</v>
      </c>
      <c r="CD69" s="301">
        <f>'[2]Growth Deficit'!$D$2</f>
        <v>0</v>
      </c>
      <c r="CE69" s="300">
        <f>IF($CS69="S",'[2]Foundation Grant'!C76,0)</f>
        <v>0</v>
      </c>
      <c r="CF69" s="300">
        <f>IF($CS69="S",'[2]Foundation Grant'!D76,0)</f>
        <v>0</v>
      </c>
      <c r="CG69" s="300">
        <f>IF($CS69="S",'[2]Foundation Grant'!E76,0)</f>
        <v>2</v>
      </c>
      <c r="CH69" s="300">
        <f>IF($CS69="S",'[2]Foundation Grant'!F76,0)</f>
        <v>2</v>
      </c>
      <c r="CI69" s="300">
        <f>IF($CS69="M",'[2]Foundation Grant'!C76,0)</f>
        <v>0</v>
      </c>
      <c r="CJ69" s="300">
        <f>IF($CS69="M",'[2]Foundation Grant'!D76,0)</f>
        <v>0</v>
      </c>
      <c r="CK69" s="300">
        <f>IF($CS69="M",'[2]Foundation Grant'!E76,0)</f>
        <v>0</v>
      </c>
      <c r="CL69" s="300">
        <f>IF($CS69="M",'[2]Foundation Grant'!F76,0)</f>
        <v>0</v>
      </c>
      <c r="CM69" s="300">
        <f>'[2]Foundation Grant'!G76</f>
        <v>0</v>
      </c>
      <c r="CN69" s="300">
        <f>'[2]Foundation Grant'!H76</f>
        <v>0</v>
      </c>
      <c r="CO69" s="300">
        <f>'[2]Foundation Grant'!I76</f>
        <v>0</v>
      </c>
      <c r="CP69" s="300">
        <f>'[2]Foundation Grant'!J76</f>
        <v>1</v>
      </c>
      <c r="CQ69" s="300">
        <f>'[2]Foundation Grant'!K76</f>
        <v>0</v>
      </c>
      <c r="CR69" s="299">
        <f>'[2]Foundation Grant'!L76</f>
        <v>1</v>
      </c>
      <c r="CS69" s="300" t="str">
        <f>'[2]Foundation Grant'!M76</f>
        <v>S</v>
      </c>
      <c r="CT69" s="300">
        <f>'[2]Foundation Grant'!N76</f>
        <v>7028529</v>
      </c>
      <c r="CU69" s="299">
        <f>'[2]Foundation Grant'!O76</f>
        <v>0</v>
      </c>
      <c r="CV69" s="299">
        <f>'[2]Foundation Grant'!P76</f>
        <v>0</v>
      </c>
      <c r="CW69" s="298">
        <f>'[2]Foundation Grant'!$C$1</f>
        <v>5622823</v>
      </c>
      <c r="CX69" s="298">
        <f>'[2]Foundation Grant'!$D$1</f>
        <v>4498258</v>
      </c>
      <c r="CY69" s="298">
        <f>'[2]Foundation Grant'!$E$1</f>
        <v>3373694</v>
      </c>
      <c r="CZ69" s="298">
        <f>'[2]Foundation Grant'!$C$2</f>
        <v>4498258</v>
      </c>
      <c r="DA69" s="298">
        <f>'[2]Foundation Grant'!$D$2</f>
        <v>3935976</v>
      </c>
      <c r="DB69" s="298">
        <f>'[2]Foundation Grant'!$E$2</f>
        <v>3373694</v>
      </c>
      <c r="DC69" s="298">
        <f>'[2]Foundation Grant'!$G$1</f>
        <v>1124565</v>
      </c>
      <c r="DD69" s="298">
        <f>'[2]Foundation Grant'!$H$1</f>
        <v>843423</v>
      </c>
      <c r="DE69" s="298">
        <f>'[2]Foundation Grant'!$I$1</f>
        <v>562282</v>
      </c>
      <c r="DF69" s="298">
        <f>'[2]Foundation Grant'!$J$1</f>
        <v>281141</v>
      </c>
      <c r="DG69" s="298">
        <f>'[2]Foundation Grant'!$K$1</f>
        <v>140571</v>
      </c>
      <c r="DH69" s="298">
        <f>'[2]Foundation Grant'!$O$1</f>
        <v>562282</v>
      </c>
      <c r="DI69" s="298">
        <f>'[2]Foundation Grant'!$P$1</f>
        <v>1124565</v>
      </c>
      <c r="DJ69" s="297">
        <f>'[2]basic allocation'!$C$10</f>
        <v>18749</v>
      </c>
      <c r="DK69" s="297">
        <f>'[2]basic allocation'!$D$10</f>
        <v>9375</v>
      </c>
      <c r="DL69" s="297">
        <f>'[2]basic allocation'!$E$10</f>
        <v>9375</v>
      </c>
      <c r="DM69" s="297">
        <f>'[2]basic allocation'!$I$10</f>
        <v>938</v>
      </c>
      <c r="DN69" s="297">
        <f>'[2]basic allocation'!$J$10</f>
        <v>703</v>
      </c>
      <c r="DO69" s="297">
        <f>'[2]basic allocation'!$K$10</f>
        <v>469</v>
      </c>
      <c r="DP69" s="297">
        <f>'[2]basic allocation'!$L$10</f>
        <v>234</v>
      </c>
      <c r="DQ69" s="297">
        <f>'[2]basic allocation'!$M$10</f>
        <v>100</v>
      </c>
      <c r="DR69" s="296">
        <f>'[2]FTES Adjustment'!DQ76</f>
        <v>1.8999999156221747E-5</v>
      </c>
      <c r="DS69" s="296">
        <f>'[2]FTES Adjustment'!DR76</f>
        <v>0</v>
      </c>
      <c r="DT69" s="296">
        <f>'[2]FTES Adjustment'!DS76</f>
        <v>0</v>
      </c>
      <c r="DU69" s="277">
        <f t="shared" si="76"/>
        <v>0</v>
      </c>
      <c r="DV69" s="276">
        <f t="shared" si="77"/>
        <v>184.23778100000001</v>
      </c>
      <c r="DW69" s="276">
        <f t="shared" si="78"/>
        <v>15.36</v>
      </c>
      <c r="DX69" s="276">
        <f t="shared" si="79"/>
        <v>0</v>
      </c>
      <c r="DY69" s="276">
        <f t="shared" si="80"/>
        <v>199.59800000000001</v>
      </c>
      <c r="DZ69" s="295">
        <f>ROUND([2]FTES!$D76,3)</f>
        <v>4550.2920000000004</v>
      </c>
      <c r="EA69" s="295">
        <f>ROUND([2]FTES!$M76,3)</f>
        <v>350.21</v>
      </c>
      <c r="EB69" s="295">
        <f>ROUND([2]FTES!$V76,3)</f>
        <v>0</v>
      </c>
      <c r="EC69" s="276">
        <f t="shared" si="81"/>
        <v>4900.5020000000004</v>
      </c>
      <c r="ED69" s="133">
        <v>0</v>
      </c>
      <c r="EE69" s="294">
        <f>'[2]10-11 WkLd126M'!$E74</f>
        <v>661304</v>
      </c>
      <c r="EF69" s="295">
        <f>'[2]FTES Adjustment'!CG76</f>
        <v>184.23778100000001</v>
      </c>
      <c r="EG69" s="295">
        <f>'[2]FTES Adjustment'!CH76</f>
        <v>15.36</v>
      </c>
      <c r="EH69" s="295">
        <f>'[2]FTES Adjustment'!CI76</f>
        <v>0</v>
      </c>
      <c r="EI69" s="276">
        <f t="shared" si="82"/>
        <v>199.597781</v>
      </c>
      <c r="EJ69" s="294">
        <f>'[2]PBF Run'!$AT76</f>
        <v>0</v>
      </c>
      <c r="EK69" s="294">
        <f>'[2]11-12 Workload Reduction'!H76</f>
        <v>22598051</v>
      </c>
      <c r="EL69" s="294">
        <f>'[2]13-14 $86M Workload Restore'!AI74</f>
        <v>504029</v>
      </c>
      <c r="EM69" s="294">
        <f>'[2]13-14 $86M Workload Restore'!AC74</f>
        <v>0</v>
      </c>
      <c r="EN69" s="294">
        <f>'[2]13-14 deferrals, growth, EPA 1'!BJ76</f>
        <v>4506256</v>
      </c>
      <c r="EO69" s="293">
        <f t="shared" si="83"/>
        <v>29806161</v>
      </c>
      <c r="EP69" s="292">
        <v>0</v>
      </c>
      <c r="EQ69" s="292">
        <v>0</v>
      </c>
      <c r="ER69" s="292">
        <v>0</v>
      </c>
      <c r="ES69" s="16">
        <f t="shared" si="84"/>
        <v>0</v>
      </c>
    </row>
    <row r="70" spans="1:149">
      <c r="A70" s="291" t="s">
        <v>257</v>
      </c>
      <c r="B70" s="290" t="str">
        <f t="shared" si="85"/>
        <v>P2</v>
      </c>
      <c r="C70" s="285" t="s">
        <v>265</v>
      </c>
      <c r="D70" s="289" t="s">
        <v>264</v>
      </c>
      <c r="E70" s="288">
        <f>ROUND('[2]PBF Run'!N77,6)</f>
        <v>6393.0354930000003</v>
      </c>
      <c r="F70" s="285">
        <f t="shared" si="86"/>
        <v>4675.9030433300004</v>
      </c>
      <c r="G70" s="285">
        <f t="shared" si="87"/>
        <v>2788.0536374600001</v>
      </c>
      <c r="H70" s="285">
        <f t="shared" si="88"/>
        <v>2811.7520933800001</v>
      </c>
      <c r="I70" s="285">
        <f t="shared" si="89"/>
        <v>3282.8110613200001</v>
      </c>
      <c r="J70" s="285">
        <f t="shared" si="90"/>
        <v>3310.71495534</v>
      </c>
      <c r="K70" s="308">
        <f>ROUND([2]FTES!C77,3)</f>
        <v>2469.23</v>
      </c>
      <c r="L70" s="308">
        <f>ROUND([2]FTES!F77,3)</f>
        <v>0</v>
      </c>
      <c r="M70" s="308">
        <f>ROUND('[2]Growth Deficit'!AG77,3)</f>
        <v>0</v>
      </c>
      <c r="N70" s="308">
        <f>ROUND([2]FTES!I77,3)</f>
        <v>0</v>
      </c>
      <c r="O70" s="308">
        <f>ROUND([2]FTES!E77,3)</f>
        <v>2492.0300000000002</v>
      </c>
      <c r="P70" s="308">
        <f>ROUND([2]FTES!L77,3)</f>
        <v>61.34</v>
      </c>
      <c r="Q70" s="308">
        <f>ROUND([2]FTES!O77,3)</f>
        <v>0</v>
      </c>
      <c r="R70" s="308">
        <f>ROUND('[2]Growth Deficit'!$AH77,3)</f>
        <v>0</v>
      </c>
      <c r="S70" s="308">
        <f>ROUND([2]FTES!R77,3)</f>
        <v>0</v>
      </c>
      <c r="T70" s="308">
        <f>ROUND([2]FTES!N77,3)</f>
        <v>39.619999999999997</v>
      </c>
      <c r="U70" s="308">
        <f>ROUND([2]FTES!U77,3)</f>
        <v>0</v>
      </c>
      <c r="V70" s="308">
        <f>ROUND([2]FTES!X77,3)</f>
        <v>0</v>
      </c>
      <c r="W70" s="308">
        <f>ROUND('[2]Growth Deficit'!$AI77,3)</f>
        <v>0</v>
      </c>
      <c r="X70" s="308">
        <f>ROUND([2]FTES!AA77,3)</f>
        <v>0</v>
      </c>
      <c r="Y70" s="308">
        <f>ROUND([2]FTES!W77,3)</f>
        <v>0</v>
      </c>
      <c r="Z70" s="307">
        <f>'[2]FTES Adjustment'!CW77</f>
        <v>2482.2911009999998</v>
      </c>
      <c r="AA70" s="307">
        <f>'[2]FTES Adjustment'!CX77</f>
        <v>39.619999999999997</v>
      </c>
      <c r="AB70" s="307">
        <f>'[2]FTES Adjustment'!CY77</f>
        <v>0</v>
      </c>
      <c r="AC70" s="275">
        <f t="shared" si="62"/>
        <v>2530.5700000000002</v>
      </c>
      <c r="AD70" s="275">
        <f t="shared" si="63"/>
        <v>0</v>
      </c>
      <c r="AE70" s="275">
        <f t="shared" si="64"/>
        <v>0</v>
      </c>
      <c r="AF70" s="275">
        <f t="shared" si="65"/>
        <v>0</v>
      </c>
      <c r="AG70" s="275">
        <f t="shared" si="66"/>
        <v>2531.65</v>
      </c>
      <c r="AH70" s="275">
        <f t="shared" si="67"/>
        <v>2521.9110000000001</v>
      </c>
      <c r="AI70" s="302">
        <f>'[2]PBF Run'!F77</f>
        <v>3935976</v>
      </c>
      <c r="AJ70" s="302">
        <f>'[2]PBF Run'!H77+'[2]PBF Run'!I77+'[2]PBF Run'!J77+'[2]PBF Run'!L77</f>
        <v>15956896</v>
      </c>
      <c r="AK70" s="306">
        <f>'[2]PBF Run'!J77 + '[2]PBF Run'!$L77</f>
        <v>15785877</v>
      </c>
      <c r="AL70" s="302">
        <f>'[2]PBF Run'!H77</f>
        <v>171019</v>
      </c>
      <c r="AM70" s="302">
        <f>'[2]PBF Run'!I77</f>
        <v>0</v>
      </c>
      <c r="AN70" s="305">
        <f>'[2]Restoration and Growth'!BM77</f>
        <v>0</v>
      </c>
      <c r="AO70" s="278">
        <f t="shared" si="68"/>
        <v>19892872</v>
      </c>
      <c r="AP70" s="285" t="str">
        <f t="shared" si="91"/>
        <v>0.85%</v>
      </c>
      <c r="AQ70" s="302">
        <f>'[2]PBF Run'!O77</f>
        <v>169089</v>
      </c>
      <c r="AR70" s="278">
        <f t="shared" si="69"/>
        <v>20061961</v>
      </c>
      <c r="AS70" s="302">
        <f>'[2]PBF Run'!$AD77</f>
        <v>0</v>
      </c>
      <c r="AT70" s="302">
        <f>'[2]PBF Run'!$T77</f>
        <v>0</v>
      </c>
      <c r="AU70" s="278">
        <f t="shared" si="70"/>
        <v>0</v>
      </c>
      <c r="AV70" s="304">
        <f>'[2]Restoration and Growth'!BT77</f>
        <v>0</v>
      </c>
      <c r="AW70" s="304" t="str">
        <f>'[2]Restoration and Growth'!AP77</f>
        <v>N</v>
      </c>
      <c r="AX70" s="302">
        <f>'[2]Restoration and Growth'!CV77</f>
        <v>0</v>
      </c>
      <c r="AY70" s="302">
        <f>'[2]Growth Deficit'!$AO77</f>
        <v>0</v>
      </c>
      <c r="AZ70" s="302">
        <f>'[2]Growth Deficit'!AO77</f>
        <v>0</v>
      </c>
      <c r="BA70" s="302">
        <f>'[2]Growth Deficit'!AL77</f>
        <v>0</v>
      </c>
      <c r="BB70" s="302">
        <f>'[2]Growth Deficit'!AM77</f>
        <v>0</v>
      </c>
      <c r="BC70" s="302">
        <f>'[2]Growth Deficit'!AN77</f>
        <v>0</v>
      </c>
      <c r="BD70" s="302">
        <f>'[2]Growth Deficit'!AO77</f>
        <v>0</v>
      </c>
      <c r="BE70" s="302">
        <f>'[2]PBF Run'!AA77</f>
        <v>0</v>
      </c>
      <c r="BF70" s="302">
        <f>'[2]PBF Run'!AB77</f>
        <v>0</v>
      </c>
      <c r="BG70" s="302">
        <f>'[2]PBF Run'!AC77</f>
        <v>0</v>
      </c>
      <c r="BH70" s="302">
        <f>'[2]PBF Run'!AD77</f>
        <v>0</v>
      </c>
      <c r="BI70" s="278">
        <f t="shared" si="71"/>
        <v>0</v>
      </c>
      <c r="BJ70" s="302">
        <f>'[2]PBF Run'!X77</f>
        <v>0</v>
      </c>
      <c r="BK70" s="302">
        <f>'[2]PBF Run'!AE77</f>
        <v>20061961</v>
      </c>
      <c r="BL70" s="282">
        <f t="shared" si="72"/>
        <v>0.9851853963827365</v>
      </c>
      <c r="BM70" s="302">
        <f>'[2]PBF Run'!AM77</f>
        <v>297210</v>
      </c>
      <c r="BN70" s="302">
        <f>'[2]PBF Run'!$AN77</f>
        <v>5906035</v>
      </c>
      <c r="BO70" s="302">
        <f>'[2]PBF Run'!$AO77</f>
        <v>0</v>
      </c>
      <c r="BP70" s="302">
        <f>'[2]PBF Run'!AC77</f>
        <v>0</v>
      </c>
      <c r="BQ70" s="278">
        <f t="shared" si="73"/>
        <v>5906035</v>
      </c>
      <c r="BR70" s="302">
        <f>'[2]PBF Run'!AJ77</f>
        <v>9917748</v>
      </c>
      <c r="BS70" s="302">
        <f>'[2]PBF Run'!AI77</f>
        <v>783040</v>
      </c>
      <c r="BT70" s="302">
        <f>'[2]PBF Run'!$AN77</f>
        <v>5906035</v>
      </c>
      <c r="BU70" s="302">
        <f>'[2]PBF Run'!$AN77</f>
        <v>5906035</v>
      </c>
      <c r="BV70" s="302">
        <f>'[2]PBF Run'!BI77</f>
        <v>0</v>
      </c>
      <c r="BW70" s="303">
        <f>'[2]PBF Run'!BH77</f>
        <v>0</v>
      </c>
      <c r="BX70" s="278">
        <f t="shared" si="92"/>
        <v>69532</v>
      </c>
      <c r="BY70" s="278">
        <f t="shared" si="74"/>
        <v>5906035</v>
      </c>
      <c r="BZ70" s="302">
        <f>'[2]As of 13-14 R1'!BP77</f>
        <v>0</v>
      </c>
      <c r="CA70" s="302">
        <f>'[2]As of 13-14 R1'!BQ77</f>
        <v>0</v>
      </c>
      <c r="CB70" s="302">
        <f>'[2]As of 13-14 R1'!BR77</f>
        <v>0</v>
      </c>
      <c r="CC70" s="278">
        <f t="shared" si="75"/>
        <v>0</v>
      </c>
      <c r="CD70" s="301">
        <f>'[2]Growth Deficit'!$D$2</f>
        <v>0</v>
      </c>
      <c r="CE70" s="300">
        <f>IF($CS70="S",'[2]Foundation Grant'!C77,0)</f>
        <v>0</v>
      </c>
      <c r="CF70" s="300">
        <f>IF($CS70="S",'[2]Foundation Grant'!D77,0)</f>
        <v>0</v>
      </c>
      <c r="CG70" s="300">
        <f>IF($CS70="S",'[2]Foundation Grant'!E77,0)</f>
        <v>1</v>
      </c>
      <c r="CH70" s="300">
        <f>IF($CS70="S",'[2]Foundation Grant'!F77,0)</f>
        <v>1</v>
      </c>
      <c r="CI70" s="300">
        <f>IF($CS70="M",'[2]Foundation Grant'!C77,0)</f>
        <v>0</v>
      </c>
      <c r="CJ70" s="300">
        <f>IF($CS70="M",'[2]Foundation Grant'!D77,0)</f>
        <v>0</v>
      </c>
      <c r="CK70" s="300">
        <f>IF($CS70="M",'[2]Foundation Grant'!E77,0)</f>
        <v>0</v>
      </c>
      <c r="CL70" s="300">
        <f>IF($CS70="M",'[2]Foundation Grant'!F77,0)</f>
        <v>0</v>
      </c>
      <c r="CM70" s="300">
        <f>'[2]Foundation Grant'!G77</f>
        <v>0</v>
      </c>
      <c r="CN70" s="300">
        <f>'[2]Foundation Grant'!H77</f>
        <v>0</v>
      </c>
      <c r="CO70" s="300">
        <f>'[2]Foundation Grant'!I77</f>
        <v>0</v>
      </c>
      <c r="CP70" s="300">
        <f>'[2]Foundation Grant'!J77</f>
        <v>0</v>
      </c>
      <c r="CQ70" s="300">
        <f>'[2]Foundation Grant'!K77</f>
        <v>0</v>
      </c>
      <c r="CR70" s="299">
        <f>'[2]Foundation Grant'!L77</f>
        <v>0</v>
      </c>
      <c r="CS70" s="300" t="str">
        <f>'[2]Foundation Grant'!M77</f>
        <v>S</v>
      </c>
      <c r="CT70" s="300">
        <f>'[2]Foundation Grant'!N77</f>
        <v>3935976</v>
      </c>
      <c r="CU70" s="299">
        <f>'[2]Foundation Grant'!O77</f>
        <v>1</v>
      </c>
      <c r="CV70" s="299">
        <f>'[2]Foundation Grant'!P77</f>
        <v>0</v>
      </c>
      <c r="CW70" s="298">
        <f>'[2]Foundation Grant'!$C$1</f>
        <v>5622823</v>
      </c>
      <c r="CX70" s="298">
        <f>'[2]Foundation Grant'!$D$1</f>
        <v>4498258</v>
      </c>
      <c r="CY70" s="298">
        <f>'[2]Foundation Grant'!$E$1</f>
        <v>3373694</v>
      </c>
      <c r="CZ70" s="298">
        <f>'[2]Foundation Grant'!$C$2</f>
        <v>4498258</v>
      </c>
      <c r="DA70" s="298">
        <f>'[2]Foundation Grant'!$D$2</f>
        <v>3935976</v>
      </c>
      <c r="DB70" s="298">
        <f>'[2]Foundation Grant'!$E$2</f>
        <v>3373694</v>
      </c>
      <c r="DC70" s="298">
        <f>'[2]Foundation Grant'!$G$1</f>
        <v>1124565</v>
      </c>
      <c r="DD70" s="298">
        <f>'[2]Foundation Grant'!$H$1</f>
        <v>843423</v>
      </c>
      <c r="DE70" s="298">
        <f>'[2]Foundation Grant'!$I$1</f>
        <v>562282</v>
      </c>
      <c r="DF70" s="298">
        <f>'[2]Foundation Grant'!$J$1</f>
        <v>281141</v>
      </c>
      <c r="DG70" s="298">
        <f>'[2]Foundation Grant'!$K$1</f>
        <v>140571</v>
      </c>
      <c r="DH70" s="298">
        <f>'[2]Foundation Grant'!$O$1</f>
        <v>562282</v>
      </c>
      <c r="DI70" s="298">
        <f>'[2]Foundation Grant'!$P$1</f>
        <v>1124565</v>
      </c>
      <c r="DJ70" s="297">
        <f>'[2]basic allocation'!$C$10</f>
        <v>18749</v>
      </c>
      <c r="DK70" s="297">
        <f>'[2]basic allocation'!$D$10</f>
        <v>9375</v>
      </c>
      <c r="DL70" s="297">
        <f>'[2]basic allocation'!$E$10</f>
        <v>9375</v>
      </c>
      <c r="DM70" s="297">
        <f>'[2]basic allocation'!$I$10</f>
        <v>938</v>
      </c>
      <c r="DN70" s="297">
        <f>'[2]basic allocation'!$J$10</f>
        <v>703</v>
      </c>
      <c r="DO70" s="297">
        <f>'[2]basic allocation'!$K$10</f>
        <v>469</v>
      </c>
      <c r="DP70" s="297">
        <f>'[2]basic allocation'!$L$10</f>
        <v>234</v>
      </c>
      <c r="DQ70" s="297">
        <f>'[2]basic allocation'!$M$10</f>
        <v>100</v>
      </c>
      <c r="DR70" s="296">
        <f>'[2]FTES Adjustment'!DQ77</f>
        <v>9.7388990000004014</v>
      </c>
      <c r="DS70" s="296">
        <f>'[2]FTES Adjustment'!DR77</f>
        <v>0</v>
      </c>
      <c r="DT70" s="296">
        <f>'[2]FTES Adjustment'!DS77</f>
        <v>0</v>
      </c>
      <c r="DU70" s="277">
        <f t="shared" si="76"/>
        <v>9.7390000000000008</v>
      </c>
      <c r="DV70" s="276">
        <f t="shared" si="77"/>
        <v>13.060793</v>
      </c>
      <c r="DW70" s="276">
        <f t="shared" si="78"/>
        <v>-21.720000000000006</v>
      </c>
      <c r="DX70" s="276">
        <f t="shared" si="79"/>
        <v>0</v>
      </c>
      <c r="DY70" s="276">
        <f t="shared" si="80"/>
        <v>-8.6590000000000007</v>
      </c>
      <c r="DZ70" s="295">
        <f>ROUND([2]FTES!$D77,3)</f>
        <v>2469.23</v>
      </c>
      <c r="EA70" s="295">
        <f>ROUND([2]FTES!$M77,3)</f>
        <v>61.34</v>
      </c>
      <c r="EB70" s="295">
        <f>ROUND([2]FTES!$V77,3)</f>
        <v>0</v>
      </c>
      <c r="EC70" s="276">
        <f t="shared" si="81"/>
        <v>2530.5700000000002</v>
      </c>
      <c r="ED70" s="133">
        <v>0</v>
      </c>
      <c r="EE70" s="294">
        <f>'[2]10-11 WkLd126M'!$E75</f>
        <v>434317</v>
      </c>
      <c r="EF70" s="295">
        <f>'[2]FTES Adjustment'!CG77</f>
        <v>13.060793</v>
      </c>
      <c r="EG70" s="295">
        <f>'[2]FTES Adjustment'!CH77</f>
        <v>-21.720000000000006</v>
      </c>
      <c r="EH70" s="295">
        <f>'[2]FTES Adjustment'!CI77</f>
        <v>0</v>
      </c>
      <c r="EI70" s="276">
        <f t="shared" si="82"/>
        <v>-8.6592070000000056</v>
      </c>
      <c r="EJ70" s="294">
        <f>'[2]PBF Run'!$AT77</f>
        <v>0</v>
      </c>
      <c r="EK70" s="294">
        <f>'[2]11-12 Workload Reduction'!H77</f>
        <v>15511027</v>
      </c>
      <c r="EL70" s="294">
        <f>'[2]13-14 $86M Workload Restore'!AI75</f>
        <v>0</v>
      </c>
      <c r="EM70" s="294">
        <f>'[2]13-14 $86M Workload Restore'!AC75</f>
        <v>0</v>
      </c>
      <c r="EN70" s="294">
        <f>'[2]13-14 deferrals, growth, EPA 1'!BJ77</f>
        <v>3061312</v>
      </c>
      <c r="EO70" s="293">
        <f t="shared" si="83"/>
        <v>19764751</v>
      </c>
      <c r="EP70" s="292">
        <v>0</v>
      </c>
      <c r="EQ70" s="292">
        <v>0</v>
      </c>
      <c r="ER70" s="292">
        <v>0</v>
      </c>
      <c r="ES70" s="16">
        <f t="shared" si="84"/>
        <v>0</v>
      </c>
    </row>
    <row r="71" spans="1:149">
      <c r="A71" s="291" t="s">
        <v>257</v>
      </c>
      <c r="B71" s="290" t="str">
        <f t="shared" si="85"/>
        <v>P2</v>
      </c>
      <c r="C71" s="285" t="s">
        <v>263</v>
      </c>
      <c r="D71" s="289" t="s">
        <v>262</v>
      </c>
      <c r="E71" s="288">
        <f>ROUND('[2]PBF Run'!N78,6)</f>
        <v>4636.4928799999998</v>
      </c>
      <c r="F71" s="285">
        <f t="shared" si="86"/>
        <v>4675.9030433300004</v>
      </c>
      <c r="G71" s="285">
        <f t="shared" si="87"/>
        <v>2788.0536374600001</v>
      </c>
      <c r="H71" s="285">
        <f t="shared" si="88"/>
        <v>2811.7520933800001</v>
      </c>
      <c r="I71" s="285">
        <f t="shared" si="89"/>
        <v>3282.8110613200001</v>
      </c>
      <c r="J71" s="285">
        <f t="shared" si="90"/>
        <v>3310.71495534</v>
      </c>
      <c r="K71" s="308">
        <f>ROUND([2]FTES!C78,3)</f>
        <v>13645.1</v>
      </c>
      <c r="L71" s="308">
        <f>ROUND([2]FTES!F78,3)</f>
        <v>4</v>
      </c>
      <c r="M71" s="308">
        <f>ROUND('[2]Growth Deficit'!AG78,3)</f>
        <v>0</v>
      </c>
      <c r="N71" s="308">
        <f>ROUND([2]FTES!I78,3)</f>
        <v>0</v>
      </c>
      <c r="O71" s="308">
        <f>ROUND([2]FTES!E78,3)</f>
        <v>13649.1</v>
      </c>
      <c r="P71" s="308">
        <f>ROUND([2]FTES!L78,3)</f>
        <v>751.44</v>
      </c>
      <c r="Q71" s="308">
        <f>ROUND([2]FTES!O78,3)</f>
        <v>1.0900000000000001</v>
      </c>
      <c r="R71" s="308">
        <f>ROUND('[2]Growth Deficit'!$AH78,3)</f>
        <v>0</v>
      </c>
      <c r="S71" s="308">
        <f>ROUND([2]FTES!R78,3)</f>
        <v>0</v>
      </c>
      <c r="T71" s="308">
        <f>ROUND([2]FTES!N78,3)</f>
        <v>752.53</v>
      </c>
      <c r="U71" s="308">
        <f>ROUND([2]FTES!U78,3)</f>
        <v>0</v>
      </c>
      <c r="V71" s="308">
        <f>ROUND([2]FTES!X78,3)</f>
        <v>0</v>
      </c>
      <c r="W71" s="308">
        <f>ROUND('[2]Growth Deficit'!$AI78,3)</f>
        <v>0</v>
      </c>
      <c r="X71" s="308">
        <f>ROUND([2]FTES!AA78,3)</f>
        <v>0</v>
      </c>
      <c r="Y71" s="308">
        <f>ROUND([2]FTES!W78,3)</f>
        <v>0</v>
      </c>
      <c r="Z71" s="307">
        <f>'[2]FTES Adjustment'!CW78</f>
        <v>13649.1</v>
      </c>
      <c r="AA71" s="307">
        <f>'[2]FTES Adjustment'!CX78</f>
        <v>752.53006800000003</v>
      </c>
      <c r="AB71" s="307">
        <f>'[2]FTES Adjustment'!CY78</f>
        <v>0</v>
      </c>
      <c r="AC71" s="275">
        <f t="shared" si="62"/>
        <v>14396.54</v>
      </c>
      <c r="AD71" s="275">
        <f t="shared" si="63"/>
        <v>5.09</v>
      </c>
      <c r="AE71" s="275">
        <f t="shared" si="64"/>
        <v>0</v>
      </c>
      <c r="AF71" s="275">
        <f t="shared" si="65"/>
        <v>0</v>
      </c>
      <c r="AG71" s="275">
        <f t="shared" si="66"/>
        <v>14401.63</v>
      </c>
      <c r="AH71" s="275">
        <f t="shared" si="67"/>
        <v>14401.63</v>
      </c>
      <c r="AI71" s="302">
        <f>'[2]PBF Run'!F78</f>
        <v>7309670</v>
      </c>
      <c r="AJ71" s="302">
        <f>'[2]PBF Run'!H78+'[2]PBF Run'!I78+'[2]PBF Run'!J78+'[2]PBF Run'!L78</f>
        <v>65360464</v>
      </c>
      <c r="AK71" s="306">
        <f>'[2]PBF Run'!J78 + '[2]PBF Run'!$L78</f>
        <v>63265409</v>
      </c>
      <c r="AL71" s="302">
        <f>'[2]PBF Run'!H78</f>
        <v>2095055</v>
      </c>
      <c r="AM71" s="302">
        <f>'[2]PBF Run'!I78</f>
        <v>0</v>
      </c>
      <c r="AN71" s="305">
        <f>'[2]Restoration and Growth'!BM78</f>
        <v>0</v>
      </c>
      <c r="AO71" s="278">
        <f t="shared" si="68"/>
        <v>72670134</v>
      </c>
      <c r="AP71" s="285" t="str">
        <f t="shared" si="91"/>
        <v>0.85%</v>
      </c>
      <c r="AQ71" s="302">
        <f>'[2]PBF Run'!O78</f>
        <v>617696</v>
      </c>
      <c r="AR71" s="278">
        <f t="shared" si="69"/>
        <v>73287830</v>
      </c>
      <c r="AS71" s="302">
        <f>'[2]PBF Run'!$AD78</f>
        <v>-4779</v>
      </c>
      <c r="AT71" s="302">
        <f>'[2]PBF Run'!$T78</f>
        <v>21769</v>
      </c>
      <c r="AU71" s="278">
        <f t="shared" si="70"/>
        <v>16990</v>
      </c>
      <c r="AV71" s="304">
        <f>'[2]Restoration and Growth'!BT78</f>
        <v>0</v>
      </c>
      <c r="AW71" s="304" t="str">
        <f>'[2]Restoration and Growth'!AP78</f>
        <v>N</v>
      </c>
      <c r="AX71" s="302">
        <f>'[2]Restoration and Growth'!CV78</f>
        <v>0</v>
      </c>
      <c r="AY71" s="302">
        <f>'[2]Growth Deficit'!$AO78</f>
        <v>0</v>
      </c>
      <c r="AZ71" s="302">
        <f>'[2]Growth Deficit'!AO78</f>
        <v>0</v>
      </c>
      <c r="BA71" s="302">
        <f>'[2]Growth Deficit'!AL78</f>
        <v>0</v>
      </c>
      <c r="BB71" s="302">
        <f>'[2]Growth Deficit'!AM78</f>
        <v>0</v>
      </c>
      <c r="BC71" s="302">
        <f>'[2]Growth Deficit'!AN78</f>
        <v>0</v>
      </c>
      <c r="BD71" s="302">
        <f>'[2]Growth Deficit'!AO78</f>
        <v>0</v>
      </c>
      <c r="BE71" s="302">
        <f>'[2]PBF Run'!AA78</f>
        <v>0</v>
      </c>
      <c r="BF71" s="302">
        <f>'[2]PBF Run'!AB78</f>
        <v>0</v>
      </c>
      <c r="BG71" s="302">
        <f>'[2]PBF Run'!AC78</f>
        <v>-562282</v>
      </c>
      <c r="BH71" s="302">
        <f>'[2]PBF Run'!AD78</f>
        <v>-4779</v>
      </c>
      <c r="BI71" s="278">
        <f t="shared" si="71"/>
        <v>-567061</v>
      </c>
      <c r="BJ71" s="302">
        <f>'[2]PBF Run'!X78</f>
        <v>0</v>
      </c>
      <c r="BK71" s="302">
        <f>'[2]PBF Run'!AE78</f>
        <v>72742538</v>
      </c>
      <c r="BL71" s="282">
        <f t="shared" si="72"/>
        <v>1</v>
      </c>
      <c r="BM71" s="302">
        <f>'[2]PBF Run'!AM78</f>
        <v>0</v>
      </c>
      <c r="BN71" s="302">
        <f>'[2]PBF Run'!$AN78</f>
        <v>0</v>
      </c>
      <c r="BO71" s="302">
        <f>'[2]PBF Run'!$AO78</f>
        <v>17791778</v>
      </c>
      <c r="BP71" s="302">
        <f>'[2]PBF Run'!AC78</f>
        <v>-562282</v>
      </c>
      <c r="BQ71" s="278">
        <f t="shared" si="73"/>
        <v>0</v>
      </c>
      <c r="BR71" s="302">
        <f>'[2]PBF Run'!AJ78</f>
        <v>81484028</v>
      </c>
      <c r="BS71" s="302">
        <f>'[2]PBF Run'!AI78</f>
        <v>7610125</v>
      </c>
      <c r="BT71" s="302">
        <f>'[2]PBF Run'!$AN78</f>
        <v>0</v>
      </c>
      <c r="BU71" s="302">
        <f>'[2]PBF Run'!$AN78</f>
        <v>0</v>
      </c>
      <c r="BV71" s="302">
        <f>'[2]PBF Run'!BI78</f>
        <v>0</v>
      </c>
      <c r="BW71" s="303">
        <f>'[2]PBF Run'!BH78</f>
        <v>0</v>
      </c>
      <c r="BX71" s="278">
        <f t="shared" si="92"/>
        <v>69532</v>
      </c>
      <c r="BY71" s="278">
        <f t="shared" si="74"/>
        <v>0</v>
      </c>
      <c r="BZ71" s="302">
        <f>'[2]As of 13-14 R1'!BP78</f>
        <v>0</v>
      </c>
      <c r="CA71" s="302">
        <f>'[2]As of 13-14 R1'!BQ78</f>
        <v>0</v>
      </c>
      <c r="CB71" s="302">
        <f>'[2]As of 13-14 R1'!BR78</f>
        <v>2350681</v>
      </c>
      <c r="CC71" s="278">
        <f t="shared" si="75"/>
        <v>2350681</v>
      </c>
      <c r="CD71" s="301">
        <f>'[2]Growth Deficit'!$D$2</f>
        <v>0</v>
      </c>
      <c r="CE71" s="300">
        <f>IF($CS71="S",'[2]Foundation Grant'!C78,0)</f>
        <v>0</v>
      </c>
      <c r="CF71" s="300">
        <f>IF($CS71="S",'[2]Foundation Grant'!D78,0)</f>
        <v>0</v>
      </c>
      <c r="CG71" s="300">
        <f>IF($CS71="S",'[2]Foundation Grant'!E78,0)</f>
        <v>0</v>
      </c>
      <c r="CH71" s="300">
        <f>IF($CS71="S",'[2]Foundation Grant'!F78,0)</f>
        <v>0</v>
      </c>
      <c r="CI71" s="300">
        <f>IF($CS71="M",'[2]Foundation Grant'!C78,0)</f>
        <v>0</v>
      </c>
      <c r="CJ71" s="300">
        <f>IF($CS71="M",'[2]Foundation Grant'!D78,0)</f>
        <v>0</v>
      </c>
      <c r="CK71" s="300">
        <f>IF($CS71="M",'[2]Foundation Grant'!E78,0)</f>
        <v>2</v>
      </c>
      <c r="CL71" s="300">
        <f>IF($CS71="M",'[2]Foundation Grant'!F78,0)</f>
        <v>2</v>
      </c>
      <c r="CM71" s="300">
        <f>'[2]Foundation Grant'!G78</f>
        <v>0</v>
      </c>
      <c r="CN71" s="300">
        <f>'[2]Foundation Grant'!H78</f>
        <v>0</v>
      </c>
      <c r="CO71" s="300">
        <f>'[2]Foundation Grant'!I78</f>
        <v>0</v>
      </c>
      <c r="CP71" s="300">
        <f>'[2]Foundation Grant'!J78</f>
        <v>0</v>
      </c>
      <c r="CQ71" s="300">
        <f>'[2]Foundation Grant'!K78</f>
        <v>0</v>
      </c>
      <c r="CR71" s="299">
        <f>'[2]Foundation Grant'!L78</f>
        <v>0</v>
      </c>
      <c r="CS71" s="300" t="str">
        <f>'[2]Foundation Grant'!M78</f>
        <v>M</v>
      </c>
      <c r="CT71" s="300">
        <f>'[2]Foundation Grant'!N78</f>
        <v>6747388</v>
      </c>
      <c r="CU71" s="299">
        <f>'[2]Foundation Grant'!O78</f>
        <v>0</v>
      </c>
      <c r="CV71" s="299">
        <f>'[2]Foundation Grant'!P78</f>
        <v>0</v>
      </c>
      <c r="CW71" s="298">
        <f>'[2]Foundation Grant'!$C$1</f>
        <v>5622823</v>
      </c>
      <c r="CX71" s="298">
        <f>'[2]Foundation Grant'!$D$1</f>
        <v>4498258</v>
      </c>
      <c r="CY71" s="298">
        <f>'[2]Foundation Grant'!$E$1</f>
        <v>3373694</v>
      </c>
      <c r="CZ71" s="298">
        <f>'[2]Foundation Grant'!$C$2</f>
        <v>4498258</v>
      </c>
      <c r="DA71" s="298">
        <f>'[2]Foundation Grant'!$D$2</f>
        <v>3935976</v>
      </c>
      <c r="DB71" s="298">
        <f>'[2]Foundation Grant'!$E$2</f>
        <v>3373694</v>
      </c>
      <c r="DC71" s="298">
        <f>'[2]Foundation Grant'!$G$1</f>
        <v>1124565</v>
      </c>
      <c r="DD71" s="298">
        <f>'[2]Foundation Grant'!$H$1</f>
        <v>843423</v>
      </c>
      <c r="DE71" s="298">
        <f>'[2]Foundation Grant'!$I$1</f>
        <v>562282</v>
      </c>
      <c r="DF71" s="298">
        <f>'[2]Foundation Grant'!$J$1</f>
        <v>281141</v>
      </c>
      <c r="DG71" s="298">
        <f>'[2]Foundation Grant'!$K$1</f>
        <v>140571</v>
      </c>
      <c r="DH71" s="298">
        <f>'[2]Foundation Grant'!$O$1</f>
        <v>562282</v>
      </c>
      <c r="DI71" s="298">
        <f>'[2]Foundation Grant'!$P$1</f>
        <v>1124565</v>
      </c>
      <c r="DJ71" s="297">
        <f>'[2]basic allocation'!$C$10</f>
        <v>18749</v>
      </c>
      <c r="DK71" s="297">
        <f>'[2]basic allocation'!$D$10</f>
        <v>9375</v>
      </c>
      <c r="DL71" s="297">
        <f>'[2]basic allocation'!$E$10</f>
        <v>9375</v>
      </c>
      <c r="DM71" s="297">
        <f>'[2]basic allocation'!$I$10</f>
        <v>938</v>
      </c>
      <c r="DN71" s="297">
        <f>'[2]basic allocation'!$J$10</f>
        <v>703</v>
      </c>
      <c r="DO71" s="297">
        <f>'[2]basic allocation'!$K$10</f>
        <v>469</v>
      </c>
      <c r="DP71" s="297">
        <f>'[2]basic allocation'!$L$10</f>
        <v>234</v>
      </c>
      <c r="DQ71" s="297">
        <f>'[2]basic allocation'!$M$10</f>
        <v>100</v>
      </c>
      <c r="DR71" s="296">
        <f>'[2]FTES Adjustment'!DQ78</f>
        <v>0</v>
      </c>
      <c r="DS71" s="296">
        <f>'[2]FTES Adjustment'!DR78</f>
        <v>-6.800000005569018E-5</v>
      </c>
      <c r="DT71" s="296">
        <f>'[2]FTES Adjustment'!DS78</f>
        <v>0</v>
      </c>
      <c r="DU71" s="277">
        <f t="shared" si="76"/>
        <v>0</v>
      </c>
      <c r="DV71" s="276">
        <f t="shared" si="77"/>
        <v>-8.2999999999999998E-5</v>
      </c>
      <c r="DW71" s="276">
        <f t="shared" si="78"/>
        <v>0</v>
      </c>
      <c r="DX71" s="276">
        <f t="shared" si="79"/>
        <v>0</v>
      </c>
      <c r="DY71" s="276">
        <f t="shared" si="80"/>
        <v>0</v>
      </c>
      <c r="DZ71" s="295">
        <f>ROUND([2]FTES!$D78,3)</f>
        <v>13645.1</v>
      </c>
      <c r="EA71" s="295">
        <f>ROUND([2]FTES!$M78,3)</f>
        <v>751.44</v>
      </c>
      <c r="EB71" s="295">
        <f>ROUND([2]FTES!$V78,3)</f>
        <v>0</v>
      </c>
      <c r="EC71" s="276">
        <f t="shared" si="81"/>
        <v>14396.54</v>
      </c>
      <c r="ED71" s="133">
        <v>0</v>
      </c>
      <c r="EE71" s="294">
        <f>'[2]10-11 WkLd126M'!$E76</f>
        <v>1921919</v>
      </c>
      <c r="EF71" s="295">
        <f>'[2]FTES Adjustment'!CG78</f>
        <v>-8.2999999999999998E-5</v>
      </c>
      <c r="EG71" s="295">
        <f>'[2]FTES Adjustment'!CH78</f>
        <v>0</v>
      </c>
      <c r="EH71" s="295">
        <f>'[2]FTES Adjustment'!CI78</f>
        <v>0</v>
      </c>
      <c r="EI71" s="276">
        <f t="shared" si="82"/>
        <v>-8.2999999999999998E-5</v>
      </c>
      <c r="EJ71" s="294">
        <f>'[2]PBF Run'!$AT78</f>
        <v>0</v>
      </c>
      <c r="EK71" s="294">
        <f>'[2]11-12 Workload Reduction'!H78</f>
        <v>78590056</v>
      </c>
      <c r="EL71" s="294">
        <f>'[2]13-14 $86M Workload Restore'!AI76</f>
        <v>0</v>
      </c>
      <c r="EM71" s="294">
        <f>'[2]13-14 $86M Workload Restore'!AC76</f>
        <v>0</v>
      </c>
      <c r="EN71" s="294">
        <f>'[2]13-14 deferrals, growth, EPA 1'!BJ78</f>
        <v>1431526</v>
      </c>
      <c r="EO71" s="293">
        <f t="shared" si="83"/>
        <v>72742538</v>
      </c>
      <c r="EP71" s="292">
        <v>0</v>
      </c>
      <c r="EQ71" s="292">
        <v>0</v>
      </c>
      <c r="ER71" s="292">
        <v>0</v>
      </c>
      <c r="ES71" s="16">
        <f t="shared" si="84"/>
        <v>0</v>
      </c>
    </row>
    <row r="72" spans="1:149">
      <c r="A72" s="291" t="s">
        <v>257</v>
      </c>
      <c r="B72" s="290" t="str">
        <f t="shared" si="85"/>
        <v>P2</v>
      </c>
      <c r="C72" s="285" t="s">
        <v>261</v>
      </c>
      <c r="D72" s="289" t="s">
        <v>260</v>
      </c>
      <c r="E72" s="288">
        <f>ROUND('[2]PBF Run'!N79,6)</f>
        <v>4636.492878</v>
      </c>
      <c r="F72" s="285">
        <f t="shared" si="86"/>
        <v>4675.9030433300004</v>
      </c>
      <c r="G72" s="285">
        <f t="shared" si="87"/>
        <v>2788.0536374600001</v>
      </c>
      <c r="H72" s="285">
        <f t="shared" si="88"/>
        <v>2811.7520933800001</v>
      </c>
      <c r="I72" s="285">
        <f t="shared" si="89"/>
        <v>3282.8110613200001</v>
      </c>
      <c r="J72" s="285">
        <f t="shared" si="90"/>
        <v>3310.71495534</v>
      </c>
      <c r="K72" s="308">
        <f>ROUND([2]FTES!C79,3)</f>
        <v>16281.54</v>
      </c>
      <c r="L72" s="308">
        <f>ROUND([2]FTES!F79,3)</f>
        <v>0</v>
      </c>
      <c r="M72" s="308">
        <f>ROUND('[2]Growth Deficit'!AG79,3)</f>
        <v>0</v>
      </c>
      <c r="N72" s="308">
        <f>ROUND([2]FTES!I79,3)</f>
        <v>0</v>
      </c>
      <c r="O72" s="308">
        <f>ROUND([2]FTES!E79,3)</f>
        <v>16390.02</v>
      </c>
      <c r="P72" s="308">
        <f>ROUND([2]FTES!L79,3)</f>
        <v>120.21</v>
      </c>
      <c r="Q72" s="308">
        <f>ROUND([2]FTES!O79,3)</f>
        <v>0</v>
      </c>
      <c r="R72" s="308">
        <f>ROUND('[2]Growth Deficit'!$AH79,3)</f>
        <v>0</v>
      </c>
      <c r="S72" s="308">
        <f>ROUND([2]FTES!R79,3)</f>
        <v>0</v>
      </c>
      <c r="T72" s="308">
        <f>ROUND([2]FTES!N79,3)</f>
        <v>39.03</v>
      </c>
      <c r="U72" s="308">
        <f>ROUND([2]FTES!U79,3)</f>
        <v>166.26</v>
      </c>
      <c r="V72" s="308">
        <f>ROUND([2]FTES!X79,3)</f>
        <v>0</v>
      </c>
      <c r="W72" s="308">
        <f>ROUND('[2]Growth Deficit'!$AI79,3)</f>
        <v>0</v>
      </c>
      <c r="X72" s="308">
        <f>ROUND([2]FTES!AA79,3)</f>
        <v>0</v>
      </c>
      <c r="Y72" s="308">
        <f>ROUND([2]FTES!W79,3)</f>
        <v>127.9</v>
      </c>
      <c r="Z72" s="307">
        <f>'[2]FTES Adjustment'!CW79</f>
        <v>16390.019952999999</v>
      </c>
      <c r="AA72" s="307">
        <f>'[2]FTES Adjustment'!CX79</f>
        <v>39.03</v>
      </c>
      <c r="AB72" s="307">
        <f>'[2]FTES Adjustment'!CY79</f>
        <v>127.9</v>
      </c>
      <c r="AC72" s="275">
        <f t="shared" si="62"/>
        <v>16568.009999999998</v>
      </c>
      <c r="AD72" s="275">
        <f t="shared" si="63"/>
        <v>0</v>
      </c>
      <c r="AE72" s="275">
        <f t="shared" si="64"/>
        <v>0</v>
      </c>
      <c r="AF72" s="275">
        <f t="shared" si="65"/>
        <v>0</v>
      </c>
      <c r="AG72" s="275">
        <f t="shared" si="66"/>
        <v>16556.95</v>
      </c>
      <c r="AH72" s="275">
        <f t="shared" si="67"/>
        <v>16556.95</v>
      </c>
      <c r="AI72" s="302">
        <f>'[2]PBF Run'!F79</f>
        <v>7309670</v>
      </c>
      <c r="AJ72" s="302">
        <f>'[2]PBF Run'!H79+'[2]PBF Run'!I79+'[2]PBF Run'!J79+'[2]PBF Run'!L79</f>
        <v>76370196</v>
      </c>
      <c r="AK72" s="306">
        <f>'[2]PBF Run'!J79 + '[2]PBF Run'!$L79</f>
        <v>75489244</v>
      </c>
      <c r="AL72" s="302">
        <f>'[2]PBF Run'!H79</f>
        <v>335152</v>
      </c>
      <c r="AM72" s="302">
        <f>'[2]PBF Run'!I79</f>
        <v>545800</v>
      </c>
      <c r="AN72" s="305">
        <f>'[2]Restoration and Growth'!BM79</f>
        <v>0</v>
      </c>
      <c r="AO72" s="278">
        <f t="shared" si="68"/>
        <v>83679866</v>
      </c>
      <c r="AP72" s="285" t="str">
        <f t="shared" si="91"/>
        <v>0.85%</v>
      </c>
      <c r="AQ72" s="302">
        <f>'[2]PBF Run'!O79</f>
        <v>711279</v>
      </c>
      <c r="AR72" s="278">
        <f t="shared" si="69"/>
        <v>84391145</v>
      </c>
      <c r="AS72" s="302">
        <f>'[2]PBF Run'!$AD79</f>
        <v>0</v>
      </c>
      <c r="AT72" s="302">
        <f>'[2]PBF Run'!$T79</f>
        <v>0</v>
      </c>
      <c r="AU72" s="278">
        <f t="shared" si="70"/>
        <v>1784261</v>
      </c>
      <c r="AV72" s="304">
        <f>'[2]Restoration and Growth'!BT79</f>
        <v>0</v>
      </c>
      <c r="AW72" s="304" t="str">
        <f>'[2]Restoration and Growth'!AP79</f>
        <v>N</v>
      </c>
      <c r="AX72" s="302">
        <f>'[2]Restoration and Growth'!CV79</f>
        <v>0</v>
      </c>
      <c r="AY72" s="302">
        <f>'[2]Growth Deficit'!$AO79</f>
        <v>0</v>
      </c>
      <c r="AZ72" s="302">
        <f>'[2]Growth Deficit'!AO79</f>
        <v>0</v>
      </c>
      <c r="BA72" s="302">
        <f>'[2]Growth Deficit'!AL79</f>
        <v>0</v>
      </c>
      <c r="BB72" s="302">
        <f>'[2]Growth Deficit'!AM79</f>
        <v>0</v>
      </c>
      <c r="BC72" s="302">
        <f>'[2]Growth Deficit'!AN79</f>
        <v>0</v>
      </c>
      <c r="BD72" s="302">
        <f>'[2]Growth Deficit'!AO79</f>
        <v>0</v>
      </c>
      <c r="BE72" s="302">
        <f>'[2]PBF Run'!AA79</f>
        <v>0</v>
      </c>
      <c r="BF72" s="302">
        <f>'[2]PBF Run'!AB79</f>
        <v>0</v>
      </c>
      <c r="BG72" s="302">
        <f>'[2]PBF Run'!AC79</f>
        <v>0</v>
      </c>
      <c r="BH72" s="302">
        <f>'[2]PBF Run'!AD79</f>
        <v>0</v>
      </c>
      <c r="BI72" s="278">
        <f t="shared" si="71"/>
        <v>0</v>
      </c>
      <c r="BJ72" s="302">
        <f>'[2]PBF Run'!X79</f>
        <v>0</v>
      </c>
      <c r="BK72" s="302">
        <f>'[2]PBF Run'!AE79</f>
        <v>84543130</v>
      </c>
      <c r="BL72" s="282">
        <f t="shared" si="72"/>
        <v>0.98518541956040662</v>
      </c>
      <c r="BM72" s="302">
        <f>'[2]PBF Run'!AM79</f>
        <v>1252471</v>
      </c>
      <c r="BN72" s="302">
        <f>'[2]PBF Run'!$AN79</f>
        <v>32861555</v>
      </c>
      <c r="BO72" s="302">
        <f>'[2]PBF Run'!$AO79</f>
        <v>0</v>
      </c>
      <c r="BP72" s="302">
        <f>'[2]PBF Run'!AC79</f>
        <v>0</v>
      </c>
      <c r="BQ72" s="278">
        <f t="shared" si="73"/>
        <v>32861555</v>
      </c>
      <c r="BR72" s="302">
        <f>'[2]PBF Run'!AJ79</f>
        <v>32893124</v>
      </c>
      <c r="BS72" s="302">
        <f>'[2]PBF Run'!AI79</f>
        <v>4410000</v>
      </c>
      <c r="BT72" s="302">
        <f>'[2]PBF Run'!$AN79</f>
        <v>32861555</v>
      </c>
      <c r="BU72" s="302">
        <f>'[2]PBF Run'!$AN79</f>
        <v>32861555</v>
      </c>
      <c r="BV72" s="302">
        <f>'[2]PBF Run'!BI79</f>
        <v>0</v>
      </c>
      <c r="BW72" s="303">
        <f>'[2]PBF Run'!BH79</f>
        <v>0</v>
      </c>
      <c r="BX72" s="278">
        <f t="shared" si="92"/>
        <v>69532</v>
      </c>
      <c r="BY72" s="278">
        <f t="shared" si="74"/>
        <v>32861555</v>
      </c>
      <c r="BZ72" s="302">
        <f>'[2]As of 13-14 R1'!BP79</f>
        <v>0</v>
      </c>
      <c r="CA72" s="302">
        <f>'[2]As of 13-14 R1'!BQ79</f>
        <v>0</v>
      </c>
      <c r="CB72" s="302">
        <f>'[2]As of 13-14 R1'!BR79</f>
        <v>0</v>
      </c>
      <c r="CC72" s="278">
        <f t="shared" si="75"/>
        <v>0</v>
      </c>
      <c r="CD72" s="301">
        <f>'[2]Growth Deficit'!$D$2</f>
        <v>0</v>
      </c>
      <c r="CE72" s="300">
        <f>IF($CS72="S",'[2]Foundation Grant'!C79,0)</f>
        <v>0</v>
      </c>
      <c r="CF72" s="300">
        <f>IF($CS72="S",'[2]Foundation Grant'!D79,0)</f>
        <v>0</v>
      </c>
      <c r="CG72" s="300">
        <f>IF($CS72="S",'[2]Foundation Grant'!E79,0)</f>
        <v>0</v>
      </c>
      <c r="CH72" s="300">
        <f>IF($CS72="S",'[2]Foundation Grant'!F79,0)</f>
        <v>0</v>
      </c>
      <c r="CI72" s="300">
        <f>IF($CS72="M",'[2]Foundation Grant'!C79,0)</f>
        <v>0</v>
      </c>
      <c r="CJ72" s="300">
        <f>IF($CS72="M",'[2]Foundation Grant'!D79,0)</f>
        <v>1</v>
      </c>
      <c r="CK72" s="300">
        <f>IF($CS72="M",'[2]Foundation Grant'!E79,0)</f>
        <v>1</v>
      </c>
      <c r="CL72" s="300">
        <f>IF($CS72="M",'[2]Foundation Grant'!F79,0)</f>
        <v>2</v>
      </c>
      <c r="CM72" s="300">
        <f>'[2]Foundation Grant'!G79</f>
        <v>0</v>
      </c>
      <c r="CN72" s="300">
        <f>'[2]Foundation Grant'!H79</f>
        <v>0</v>
      </c>
      <c r="CO72" s="300">
        <f>'[2]Foundation Grant'!I79</f>
        <v>0</v>
      </c>
      <c r="CP72" s="300">
        <f>'[2]Foundation Grant'!J79</f>
        <v>0</v>
      </c>
      <c r="CQ72" s="300">
        <f>'[2]Foundation Grant'!K79</f>
        <v>0</v>
      </c>
      <c r="CR72" s="299">
        <f>'[2]Foundation Grant'!L79</f>
        <v>0</v>
      </c>
      <c r="CS72" s="300" t="str">
        <f>'[2]Foundation Grant'!M79</f>
        <v>M</v>
      </c>
      <c r="CT72" s="300">
        <f>'[2]Foundation Grant'!N79</f>
        <v>7309670</v>
      </c>
      <c r="CU72" s="299">
        <f>'[2]Foundation Grant'!O79</f>
        <v>0</v>
      </c>
      <c r="CV72" s="299">
        <f>'[2]Foundation Grant'!P79</f>
        <v>0</v>
      </c>
      <c r="CW72" s="298">
        <f>'[2]Foundation Grant'!$C$1</f>
        <v>5622823</v>
      </c>
      <c r="CX72" s="298">
        <f>'[2]Foundation Grant'!$D$1</f>
        <v>4498258</v>
      </c>
      <c r="CY72" s="298">
        <f>'[2]Foundation Grant'!$E$1</f>
        <v>3373694</v>
      </c>
      <c r="CZ72" s="298">
        <f>'[2]Foundation Grant'!$C$2</f>
        <v>4498258</v>
      </c>
      <c r="DA72" s="298">
        <f>'[2]Foundation Grant'!$D$2</f>
        <v>3935976</v>
      </c>
      <c r="DB72" s="298">
        <f>'[2]Foundation Grant'!$E$2</f>
        <v>3373694</v>
      </c>
      <c r="DC72" s="298">
        <f>'[2]Foundation Grant'!$G$1</f>
        <v>1124565</v>
      </c>
      <c r="DD72" s="298">
        <f>'[2]Foundation Grant'!$H$1</f>
        <v>843423</v>
      </c>
      <c r="DE72" s="298">
        <f>'[2]Foundation Grant'!$I$1</f>
        <v>562282</v>
      </c>
      <c r="DF72" s="298">
        <f>'[2]Foundation Grant'!$J$1</f>
        <v>281141</v>
      </c>
      <c r="DG72" s="298">
        <f>'[2]Foundation Grant'!$K$1</f>
        <v>140571</v>
      </c>
      <c r="DH72" s="298">
        <f>'[2]Foundation Grant'!$O$1</f>
        <v>562282</v>
      </c>
      <c r="DI72" s="298">
        <f>'[2]Foundation Grant'!$P$1</f>
        <v>1124565</v>
      </c>
      <c r="DJ72" s="297">
        <f>'[2]basic allocation'!$C$10</f>
        <v>18749</v>
      </c>
      <c r="DK72" s="297">
        <f>'[2]basic allocation'!$D$10</f>
        <v>9375</v>
      </c>
      <c r="DL72" s="297">
        <f>'[2]basic allocation'!$E$10</f>
        <v>9375</v>
      </c>
      <c r="DM72" s="297">
        <f>'[2]basic allocation'!$I$10</f>
        <v>938</v>
      </c>
      <c r="DN72" s="297">
        <f>'[2]basic allocation'!$J$10</f>
        <v>703</v>
      </c>
      <c r="DO72" s="297">
        <f>'[2]basic allocation'!$K$10</f>
        <v>469</v>
      </c>
      <c r="DP72" s="297">
        <f>'[2]basic allocation'!$L$10</f>
        <v>234</v>
      </c>
      <c r="DQ72" s="297">
        <f>'[2]basic allocation'!$M$10</f>
        <v>100</v>
      </c>
      <c r="DR72" s="296">
        <f>'[2]FTES Adjustment'!DQ79</f>
        <v>4.7000001359265298E-5</v>
      </c>
      <c r="DS72" s="296">
        <f>'[2]FTES Adjustment'!DR79</f>
        <v>0</v>
      </c>
      <c r="DT72" s="296">
        <f>'[2]FTES Adjustment'!DS79</f>
        <v>0</v>
      </c>
      <c r="DU72" s="277">
        <f t="shared" si="76"/>
        <v>0</v>
      </c>
      <c r="DV72" s="276">
        <f t="shared" si="77"/>
        <v>108.480008</v>
      </c>
      <c r="DW72" s="276">
        <f t="shared" si="78"/>
        <v>-81.179999999999993</v>
      </c>
      <c r="DX72" s="276">
        <f t="shared" si="79"/>
        <v>-38.359999999999985</v>
      </c>
      <c r="DY72" s="276">
        <f t="shared" si="80"/>
        <v>-11.06</v>
      </c>
      <c r="DZ72" s="295">
        <f>ROUND([2]FTES!$D79,3)</f>
        <v>16281.54</v>
      </c>
      <c r="EA72" s="295">
        <f>ROUND([2]FTES!$M79,3)</f>
        <v>120.21</v>
      </c>
      <c r="EB72" s="295">
        <f>ROUND([2]FTES!$V79,3)</f>
        <v>166.26</v>
      </c>
      <c r="EC72" s="276">
        <f t="shared" si="81"/>
        <v>16568.009999999998</v>
      </c>
      <c r="ED72" s="133">
        <v>0</v>
      </c>
      <c r="EE72" s="294">
        <f>'[2]10-11 WkLd126M'!$E77</f>
        <v>1921144</v>
      </c>
      <c r="EF72" s="295">
        <f>'[2]FTES Adjustment'!CG79</f>
        <v>108.480008</v>
      </c>
      <c r="EG72" s="295">
        <f>'[2]FTES Adjustment'!CH79</f>
        <v>-81.179999999999993</v>
      </c>
      <c r="EH72" s="295">
        <f>'[2]FTES Adjustment'!CI79</f>
        <v>-38.359999999999985</v>
      </c>
      <c r="EI72" s="276">
        <f t="shared" si="82"/>
        <v>-11.05999199999998</v>
      </c>
      <c r="EJ72" s="294">
        <f>'[2]PBF Run'!$AT79</f>
        <v>0</v>
      </c>
      <c r="EK72" s="294">
        <f>'[2]11-12 Workload Reduction'!H79</f>
        <v>78555434</v>
      </c>
      <c r="EL72" s="294">
        <f>'[2]13-14 $86M Workload Restore'!AI77</f>
        <v>1784261</v>
      </c>
      <c r="EM72" s="294">
        <f>'[2]13-14 $86M Workload Restore'!AC77</f>
        <v>0</v>
      </c>
      <c r="EN72" s="294">
        <f>'[2]13-14 deferrals, growth, EPA 1'!BJ79</f>
        <v>12752100</v>
      </c>
      <c r="EO72" s="293">
        <f t="shared" si="83"/>
        <v>83290659</v>
      </c>
      <c r="EP72" s="292">
        <v>0</v>
      </c>
      <c r="EQ72" s="292">
        <v>0</v>
      </c>
      <c r="ER72" s="292">
        <v>0</v>
      </c>
      <c r="ES72" s="16">
        <f t="shared" si="84"/>
        <v>0</v>
      </c>
    </row>
    <row r="73" spans="1:149">
      <c r="A73" s="291" t="s">
        <v>257</v>
      </c>
      <c r="B73" s="290" t="str">
        <f t="shared" si="85"/>
        <v>P2</v>
      </c>
      <c r="C73" s="285" t="s">
        <v>259</v>
      </c>
      <c r="D73" s="289" t="s">
        <v>258</v>
      </c>
      <c r="E73" s="288">
        <f>ROUND('[2]PBF Run'!N80,6)</f>
        <v>4636.4928159999999</v>
      </c>
      <c r="F73" s="285">
        <f t="shared" si="86"/>
        <v>4675.9030433300004</v>
      </c>
      <c r="G73" s="285">
        <f t="shared" si="87"/>
        <v>2788.0536374600001</v>
      </c>
      <c r="H73" s="285">
        <f t="shared" si="88"/>
        <v>2811.7520933800001</v>
      </c>
      <c r="I73" s="285">
        <f t="shared" si="89"/>
        <v>3282.8110613200001</v>
      </c>
      <c r="J73" s="285">
        <f t="shared" si="90"/>
        <v>3310.71495534</v>
      </c>
      <c r="K73" s="308">
        <f>ROUND([2]FTES!C80,3)</f>
        <v>6545.48</v>
      </c>
      <c r="L73" s="308">
        <f>ROUND([2]FTES!F80,3)</f>
        <v>838.96100000000001</v>
      </c>
      <c r="M73" s="308">
        <f>ROUND('[2]Growth Deficit'!AG80,3)</f>
        <v>0</v>
      </c>
      <c r="N73" s="308">
        <f>ROUND([2]FTES!I80,3)</f>
        <v>0</v>
      </c>
      <c r="O73" s="308">
        <f>ROUND([2]FTES!E80,3)</f>
        <v>7475.92</v>
      </c>
      <c r="P73" s="308">
        <f>ROUND([2]FTES!L80,3)</f>
        <v>138.53</v>
      </c>
      <c r="Q73" s="308">
        <f>ROUND([2]FTES!O80,3)</f>
        <v>0</v>
      </c>
      <c r="R73" s="308">
        <f>ROUND('[2]Growth Deficit'!$AH80,3)</f>
        <v>0</v>
      </c>
      <c r="S73" s="308">
        <f>ROUND([2]FTES!R80,3)</f>
        <v>0</v>
      </c>
      <c r="T73" s="308">
        <f>ROUND([2]FTES!N80,3)</f>
        <v>150.30000000000001</v>
      </c>
      <c r="U73" s="308">
        <f>ROUND([2]FTES!U80,3)</f>
        <v>0</v>
      </c>
      <c r="V73" s="308">
        <f>ROUND([2]FTES!X80,3)</f>
        <v>0</v>
      </c>
      <c r="W73" s="308">
        <f>ROUND('[2]Growth Deficit'!$AI80,3)</f>
        <v>0</v>
      </c>
      <c r="X73" s="308">
        <f>ROUND([2]FTES!AA80,3)</f>
        <v>0</v>
      </c>
      <c r="Y73" s="308">
        <f>ROUND([2]FTES!W80,3)</f>
        <v>0</v>
      </c>
      <c r="Z73" s="307">
        <f>'[2]FTES Adjustment'!CW80</f>
        <v>7475.9199509999999</v>
      </c>
      <c r="AA73" s="307">
        <f>'[2]FTES Adjustment'!CX80</f>
        <v>150.30000000000001</v>
      </c>
      <c r="AB73" s="307">
        <f>'[2]FTES Adjustment'!CY80</f>
        <v>0</v>
      </c>
      <c r="AC73" s="275">
        <f t="shared" si="62"/>
        <v>6684.01</v>
      </c>
      <c r="AD73" s="275">
        <f t="shared" si="63"/>
        <v>838.96100000000001</v>
      </c>
      <c r="AE73" s="275">
        <f t="shared" si="64"/>
        <v>0</v>
      </c>
      <c r="AF73" s="275">
        <f t="shared" si="65"/>
        <v>0</v>
      </c>
      <c r="AG73" s="275">
        <f t="shared" si="66"/>
        <v>7626.22</v>
      </c>
      <c r="AH73" s="275">
        <f t="shared" si="67"/>
        <v>7626.22</v>
      </c>
      <c r="AI73" s="302">
        <f>'[2]PBF Run'!F80</f>
        <v>8434235</v>
      </c>
      <c r="AJ73" s="302">
        <f>'[2]PBF Run'!H80+'[2]PBF Run'!I80+'[2]PBF Run'!J80+'[2]PBF Run'!L80</f>
        <v>30734300</v>
      </c>
      <c r="AK73" s="306">
        <f>'[2]PBF Run'!J80 + '[2]PBF Run'!$L80</f>
        <v>30348071</v>
      </c>
      <c r="AL73" s="302">
        <f>'[2]PBF Run'!H80</f>
        <v>386229</v>
      </c>
      <c r="AM73" s="302">
        <f>'[2]PBF Run'!I80</f>
        <v>0</v>
      </c>
      <c r="AN73" s="305">
        <f>'[2]Restoration and Growth'!BM80</f>
        <v>0</v>
      </c>
      <c r="AO73" s="278">
        <f t="shared" si="68"/>
        <v>39168535</v>
      </c>
      <c r="AP73" s="285" t="str">
        <f t="shared" si="91"/>
        <v>0.85%</v>
      </c>
      <c r="AQ73" s="302">
        <f>'[2]PBF Run'!O80</f>
        <v>332933</v>
      </c>
      <c r="AR73" s="278">
        <f t="shared" si="69"/>
        <v>39501468</v>
      </c>
      <c r="AS73" s="302">
        <f>'[2]PBF Run'!$AD80</f>
        <v>0</v>
      </c>
      <c r="AT73" s="302">
        <f>'[2]PBF Run'!$T80</f>
        <v>3922900</v>
      </c>
      <c r="AU73" s="278">
        <f t="shared" si="70"/>
        <v>3922900</v>
      </c>
      <c r="AV73" s="304">
        <f>'[2]Restoration and Growth'!BT80</f>
        <v>0</v>
      </c>
      <c r="AW73" s="304" t="str">
        <f>'[2]Restoration and Growth'!AP80</f>
        <v>N</v>
      </c>
      <c r="AX73" s="302">
        <f>'[2]Restoration and Growth'!CV80</f>
        <v>0</v>
      </c>
      <c r="AY73" s="302">
        <f>'[2]Growth Deficit'!$AO80</f>
        <v>0</v>
      </c>
      <c r="AZ73" s="302">
        <f>'[2]Growth Deficit'!AO80</f>
        <v>0</v>
      </c>
      <c r="BA73" s="302">
        <f>'[2]Growth Deficit'!AL80</f>
        <v>0</v>
      </c>
      <c r="BB73" s="302">
        <f>'[2]Growth Deficit'!AM80</f>
        <v>0</v>
      </c>
      <c r="BC73" s="302">
        <f>'[2]Growth Deficit'!AN80</f>
        <v>0</v>
      </c>
      <c r="BD73" s="302">
        <f>'[2]Growth Deficit'!AO80</f>
        <v>0</v>
      </c>
      <c r="BE73" s="302">
        <f>'[2]PBF Run'!AA80</f>
        <v>0</v>
      </c>
      <c r="BF73" s="302">
        <f>'[2]PBF Run'!AB80</f>
        <v>0</v>
      </c>
      <c r="BG73" s="302">
        <f>'[2]PBF Run'!AC80</f>
        <v>0</v>
      </c>
      <c r="BH73" s="302">
        <f>'[2]PBF Run'!AD80</f>
        <v>0</v>
      </c>
      <c r="BI73" s="278">
        <f t="shared" si="71"/>
        <v>0</v>
      </c>
      <c r="BJ73" s="302">
        <f>'[2]PBF Run'!X80</f>
        <v>0</v>
      </c>
      <c r="BK73" s="302">
        <f>'[2]PBF Run'!AE80</f>
        <v>43885209</v>
      </c>
      <c r="BL73" s="282">
        <f t="shared" si="72"/>
        <v>0.98518541862247944</v>
      </c>
      <c r="BM73" s="302">
        <f>'[2]PBF Run'!AM80</f>
        <v>650141</v>
      </c>
      <c r="BN73" s="302">
        <f>'[2]PBF Run'!$AN80</f>
        <v>12367596</v>
      </c>
      <c r="BO73" s="302">
        <f>'[2]PBF Run'!$AO80</f>
        <v>0</v>
      </c>
      <c r="BP73" s="302">
        <f>'[2]PBF Run'!AC80</f>
        <v>0</v>
      </c>
      <c r="BQ73" s="278">
        <f t="shared" si="73"/>
        <v>12367596</v>
      </c>
      <c r="BR73" s="302">
        <f>'[2]PBF Run'!AJ80</f>
        <v>22496641</v>
      </c>
      <c r="BS73" s="302">
        <f>'[2]PBF Run'!AI80</f>
        <v>1413947</v>
      </c>
      <c r="BT73" s="302">
        <f>'[2]PBF Run'!$AN80</f>
        <v>12367596</v>
      </c>
      <c r="BU73" s="302">
        <f>'[2]PBF Run'!$AN80</f>
        <v>12367596</v>
      </c>
      <c r="BV73" s="302">
        <f>'[2]PBF Run'!BI80</f>
        <v>0</v>
      </c>
      <c r="BW73" s="303">
        <f>'[2]PBF Run'!BH80</f>
        <v>0</v>
      </c>
      <c r="BX73" s="278">
        <f t="shared" si="92"/>
        <v>69532</v>
      </c>
      <c r="BY73" s="278">
        <f t="shared" si="74"/>
        <v>12367596</v>
      </c>
      <c r="BZ73" s="302">
        <f>'[2]As of 13-14 R1'!BP80</f>
        <v>0</v>
      </c>
      <c r="CA73" s="302">
        <f>'[2]As of 13-14 R1'!BQ80</f>
        <v>0</v>
      </c>
      <c r="CB73" s="302">
        <f>'[2]As of 13-14 R1'!BR80</f>
        <v>0</v>
      </c>
      <c r="CC73" s="278">
        <f t="shared" si="75"/>
        <v>0</v>
      </c>
      <c r="CD73" s="301">
        <f>'[2]Growth Deficit'!$D$2</f>
        <v>0</v>
      </c>
      <c r="CE73" s="300">
        <f>IF($CS73="S",'[2]Foundation Grant'!C80,0)</f>
        <v>0</v>
      </c>
      <c r="CF73" s="300">
        <f>IF($CS73="S",'[2]Foundation Grant'!D80,0)</f>
        <v>0</v>
      </c>
      <c r="CG73" s="300">
        <f>IF($CS73="S",'[2]Foundation Grant'!E80,0)</f>
        <v>0</v>
      </c>
      <c r="CH73" s="300">
        <f>IF($CS73="S",'[2]Foundation Grant'!F80,0)</f>
        <v>0</v>
      </c>
      <c r="CI73" s="300">
        <f>IF($CS73="M",'[2]Foundation Grant'!C80,0)</f>
        <v>0</v>
      </c>
      <c r="CJ73" s="300">
        <f>IF($CS73="M",'[2]Foundation Grant'!D80,0)</f>
        <v>0</v>
      </c>
      <c r="CK73" s="300">
        <f>IF($CS73="M",'[2]Foundation Grant'!E80,0)</f>
        <v>2</v>
      </c>
      <c r="CL73" s="300">
        <f>IF($CS73="M",'[2]Foundation Grant'!F80,0)</f>
        <v>2</v>
      </c>
      <c r="CM73" s="300">
        <f>'[2]Foundation Grant'!G80</f>
        <v>0</v>
      </c>
      <c r="CN73" s="300">
        <f>'[2]Foundation Grant'!H80</f>
        <v>0</v>
      </c>
      <c r="CO73" s="300">
        <f>'[2]Foundation Grant'!I80</f>
        <v>1</v>
      </c>
      <c r="CP73" s="300">
        <f>'[2]Foundation Grant'!J80</f>
        <v>0</v>
      </c>
      <c r="CQ73" s="300">
        <f>'[2]Foundation Grant'!K80</f>
        <v>0</v>
      </c>
      <c r="CR73" s="299">
        <f>'[2]Foundation Grant'!L80</f>
        <v>1</v>
      </c>
      <c r="CS73" s="300" t="str">
        <f>'[2]Foundation Grant'!M80</f>
        <v>M</v>
      </c>
      <c r="CT73" s="300">
        <f>'[2]Foundation Grant'!N80</f>
        <v>8434235</v>
      </c>
      <c r="CU73" s="299">
        <f>'[2]Foundation Grant'!O80</f>
        <v>0</v>
      </c>
      <c r="CV73" s="299">
        <f>'[2]Foundation Grant'!P80</f>
        <v>1</v>
      </c>
      <c r="CW73" s="298">
        <f>'[2]Foundation Grant'!$C$1</f>
        <v>5622823</v>
      </c>
      <c r="CX73" s="298">
        <f>'[2]Foundation Grant'!$D$1</f>
        <v>4498258</v>
      </c>
      <c r="CY73" s="298">
        <f>'[2]Foundation Grant'!$E$1</f>
        <v>3373694</v>
      </c>
      <c r="CZ73" s="298">
        <f>'[2]Foundation Grant'!$C$2</f>
        <v>4498258</v>
      </c>
      <c r="DA73" s="298">
        <f>'[2]Foundation Grant'!$D$2</f>
        <v>3935976</v>
      </c>
      <c r="DB73" s="298">
        <f>'[2]Foundation Grant'!$E$2</f>
        <v>3373694</v>
      </c>
      <c r="DC73" s="298">
        <f>'[2]Foundation Grant'!$G$1</f>
        <v>1124565</v>
      </c>
      <c r="DD73" s="298">
        <f>'[2]Foundation Grant'!$H$1</f>
        <v>843423</v>
      </c>
      <c r="DE73" s="298">
        <f>'[2]Foundation Grant'!$I$1</f>
        <v>562282</v>
      </c>
      <c r="DF73" s="298">
        <f>'[2]Foundation Grant'!$J$1</f>
        <v>281141</v>
      </c>
      <c r="DG73" s="298">
        <f>'[2]Foundation Grant'!$K$1</f>
        <v>140571</v>
      </c>
      <c r="DH73" s="298">
        <f>'[2]Foundation Grant'!$O$1</f>
        <v>562282</v>
      </c>
      <c r="DI73" s="298">
        <f>'[2]Foundation Grant'!$P$1</f>
        <v>1124565</v>
      </c>
      <c r="DJ73" s="297">
        <f>'[2]basic allocation'!$C$10</f>
        <v>18749</v>
      </c>
      <c r="DK73" s="297">
        <f>'[2]basic allocation'!$D$10</f>
        <v>9375</v>
      </c>
      <c r="DL73" s="297">
        <f>'[2]basic allocation'!$E$10</f>
        <v>9375</v>
      </c>
      <c r="DM73" s="297">
        <f>'[2]basic allocation'!$I$10</f>
        <v>938</v>
      </c>
      <c r="DN73" s="297">
        <f>'[2]basic allocation'!$J$10</f>
        <v>703</v>
      </c>
      <c r="DO73" s="297">
        <f>'[2]basic allocation'!$K$10</f>
        <v>469</v>
      </c>
      <c r="DP73" s="297">
        <f>'[2]basic allocation'!$L$10</f>
        <v>234</v>
      </c>
      <c r="DQ73" s="297">
        <f>'[2]basic allocation'!$M$10</f>
        <v>100</v>
      </c>
      <c r="DR73" s="296">
        <f>'[2]FTES Adjustment'!DQ80</f>
        <v>4.9000000217347406E-5</v>
      </c>
      <c r="DS73" s="296">
        <f>'[2]FTES Adjustment'!DR80</f>
        <v>0</v>
      </c>
      <c r="DT73" s="296">
        <f>'[2]FTES Adjustment'!DS80</f>
        <v>0</v>
      </c>
      <c r="DU73" s="277">
        <f t="shared" si="76"/>
        <v>0</v>
      </c>
      <c r="DV73" s="276">
        <f t="shared" si="77"/>
        <v>91.479014000000006</v>
      </c>
      <c r="DW73" s="276">
        <f t="shared" si="78"/>
        <v>11.77</v>
      </c>
      <c r="DX73" s="276">
        <f t="shared" si="79"/>
        <v>0</v>
      </c>
      <c r="DY73" s="276">
        <f t="shared" si="80"/>
        <v>103.249</v>
      </c>
      <c r="DZ73" s="295">
        <f>ROUND([2]FTES!$D80,3)</f>
        <v>6545.48</v>
      </c>
      <c r="EA73" s="295">
        <f>ROUND([2]FTES!$M80,3)</f>
        <v>138.53</v>
      </c>
      <c r="EB73" s="295">
        <f>ROUND([2]FTES!$V80,3)</f>
        <v>0</v>
      </c>
      <c r="EC73" s="276">
        <f t="shared" si="81"/>
        <v>6684.01</v>
      </c>
      <c r="ED73" s="133">
        <v>0</v>
      </c>
      <c r="EE73" s="294">
        <f>'[2]10-11 WkLd126M'!$E78</f>
        <v>995019</v>
      </c>
      <c r="EF73" s="295">
        <f>'[2]FTES Adjustment'!CG80</f>
        <v>91.479014000000006</v>
      </c>
      <c r="EG73" s="295">
        <f>'[2]FTES Adjustment'!CH80</f>
        <v>11.77</v>
      </c>
      <c r="EH73" s="295">
        <f>'[2]FTES Adjustment'!CI80</f>
        <v>0</v>
      </c>
      <c r="EI73" s="276">
        <f t="shared" si="82"/>
        <v>103.249014</v>
      </c>
      <c r="EJ73" s="294">
        <f>'[2]PBF Run'!$AT80</f>
        <v>0</v>
      </c>
      <c r="EK73" s="294">
        <f>'[2]11-12 Workload Reduction'!H80</f>
        <v>36448546</v>
      </c>
      <c r="EL73" s="294">
        <f>'[2]13-14 $86M Workload Restore'!AI78</f>
        <v>0</v>
      </c>
      <c r="EM73" s="294">
        <f>'[2]13-14 $86M Workload Restore'!AC78</f>
        <v>0</v>
      </c>
      <c r="EN73" s="294">
        <f>'[2]13-14 deferrals, growth, EPA 1'!BJ80</f>
        <v>6680877</v>
      </c>
      <c r="EO73" s="293">
        <f t="shared" si="83"/>
        <v>43235068</v>
      </c>
      <c r="EP73" s="292">
        <v>0</v>
      </c>
      <c r="EQ73" s="292">
        <v>0</v>
      </c>
      <c r="ER73" s="292">
        <v>0</v>
      </c>
      <c r="ES73" s="16">
        <f t="shared" si="84"/>
        <v>0</v>
      </c>
    </row>
    <row r="74" spans="1:149">
      <c r="A74" s="291" t="s">
        <v>257</v>
      </c>
      <c r="B74" s="290" t="str">
        <f t="shared" si="85"/>
        <v>P2</v>
      </c>
      <c r="C74" s="289" t="s">
        <v>256</v>
      </c>
      <c r="D74" s="289" t="s">
        <v>255</v>
      </c>
      <c r="E74" s="288">
        <f>ROUND('[2]PBF Run'!N82,6)</f>
        <v>4636.4928540000001</v>
      </c>
      <c r="F74" s="285">
        <f t="shared" si="86"/>
        <v>4675.9030433300004</v>
      </c>
      <c r="G74" s="285">
        <f t="shared" si="87"/>
        <v>2788.0536374600001</v>
      </c>
      <c r="H74" s="285">
        <f t="shared" si="88"/>
        <v>2811.7520933800001</v>
      </c>
      <c r="I74" s="285">
        <f t="shared" si="89"/>
        <v>3282.8110613200001</v>
      </c>
      <c r="J74" s="285">
        <f t="shared" si="90"/>
        <v>3310.71495534</v>
      </c>
      <c r="K74" s="276">
        <f t="shared" ref="K74:AO74" si="93">SUM(K2:K73)</f>
        <v>1046155.2540000001</v>
      </c>
      <c r="L74" s="276">
        <f t="shared" si="93"/>
        <v>8351.509</v>
      </c>
      <c r="M74" s="276">
        <f t="shared" si="93"/>
        <v>0</v>
      </c>
      <c r="N74" s="276">
        <f t="shared" si="93"/>
        <v>-13516.474</v>
      </c>
      <c r="O74" s="276">
        <f t="shared" si="93"/>
        <v>1077631.9899999998</v>
      </c>
      <c r="P74" s="276">
        <f t="shared" si="93"/>
        <v>29356.152999999984</v>
      </c>
      <c r="Q74" s="276">
        <f t="shared" si="93"/>
        <v>128.37</v>
      </c>
      <c r="R74" s="276">
        <f t="shared" si="93"/>
        <v>0</v>
      </c>
      <c r="S74" s="276">
        <f t="shared" si="93"/>
        <v>-1545.9929999999999</v>
      </c>
      <c r="T74" s="276">
        <f t="shared" si="93"/>
        <v>30453.609999999997</v>
      </c>
      <c r="U74" s="276">
        <f t="shared" si="93"/>
        <v>37600.480000000003</v>
      </c>
      <c r="V74" s="276">
        <f t="shared" si="93"/>
        <v>105.077</v>
      </c>
      <c r="W74" s="276">
        <f t="shared" si="93"/>
        <v>0</v>
      </c>
      <c r="X74" s="276">
        <f t="shared" si="93"/>
        <v>-1524.37</v>
      </c>
      <c r="Y74" s="276">
        <f t="shared" si="93"/>
        <v>35455.69999999999</v>
      </c>
      <c r="Z74" s="287">
        <f t="shared" si="93"/>
        <v>1070014.6524750001</v>
      </c>
      <c r="AA74" s="287">
        <f t="shared" si="93"/>
        <v>30453.610115503023</v>
      </c>
      <c r="AB74" s="287">
        <f t="shared" si="93"/>
        <v>35455.69999999999</v>
      </c>
      <c r="AC74" s="276">
        <f t="shared" si="93"/>
        <v>1113111.8870000006</v>
      </c>
      <c r="AD74" s="276">
        <f t="shared" si="93"/>
        <v>8584.9560000000001</v>
      </c>
      <c r="AE74" s="276">
        <f t="shared" si="93"/>
        <v>0</v>
      </c>
      <c r="AF74" s="276">
        <f t="shared" si="93"/>
        <v>-16586.837</v>
      </c>
      <c r="AG74" s="276">
        <f t="shared" si="93"/>
        <v>1143541.2999999993</v>
      </c>
      <c r="AH74" s="276">
        <f t="shared" si="93"/>
        <v>1135923.9609999994</v>
      </c>
      <c r="AI74" s="278">
        <f t="shared" si="93"/>
        <v>515612886</v>
      </c>
      <c r="AJ74" s="278">
        <f t="shared" si="93"/>
        <v>5070364554</v>
      </c>
      <c r="AK74" s="286">
        <f t="shared" si="93"/>
        <v>4865082751</v>
      </c>
      <c r="AL74" s="278">
        <f t="shared" si="93"/>
        <v>81846531</v>
      </c>
      <c r="AM74" s="278">
        <f t="shared" si="93"/>
        <v>123435272</v>
      </c>
      <c r="AN74" s="283">
        <f t="shared" si="93"/>
        <v>-71983564.700049579</v>
      </c>
      <c r="AO74" s="278">
        <f t="shared" si="93"/>
        <v>5513993875.2999525</v>
      </c>
      <c r="AP74" s="285"/>
      <c r="AQ74" s="278">
        <f t="shared" ref="AQ74:BK74" si="94">SUM(AQ2:AQ73)</f>
        <v>46868949</v>
      </c>
      <c r="AR74" s="278">
        <f t="shared" si="94"/>
        <v>5560862824.2999525</v>
      </c>
      <c r="AS74" s="278">
        <f t="shared" si="94"/>
        <v>-4779</v>
      </c>
      <c r="AT74" s="348">
        <f t="shared" si="94"/>
        <v>39759671</v>
      </c>
      <c r="AU74" s="278">
        <f t="shared" si="94"/>
        <v>125802199</v>
      </c>
      <c r="AV74" s="284">
        <f t="shared" si="94"/>
        <v>0</v>
      </c>
      <c r="AW74" s="284">
        <f t="shared" si="94"/>
        <v>0</v>
      </c>
      <c r="AX74" s="278">
        <f t="shared" si="94"/>
        <v>0</v>
      </c>
      <c r="AY74" s="278">
        <f t="shared" si="94"/>
        <v>0</v>
      </c>
      <c r="AZ74" s="278">
        <f t="shared" si="94"/>
        <v>0</v>
      </c>
      <c r="BA74" s="278">
        <f t="shared" si="94"/>
        <v>0</v>
      </c>
      <c r="BB74" s="283">
        <f t="shared" si="94"/>
        <v>0</v>
      </c>
      <c r="BC74" s="278">
        <f t="shared" si="94"/>
        <v>0</v>
      </c>
      <c r="BD74" s="278">
        <f t="shared" si="94"/>
        <v>0</v>
      </c>
      <c r="BE74" s="278">
        <f t="shared" si="94"/>
        <v>-148826</v>
      </c>
      <c r="BF74" s="278">
        <f t="shared" si="94"/>
        <v>0</v>
      </c>
      <c r="BG74" s="278">
        <f t="shared" si="94"/>
        <v>-562282</v>
      </c>
      <c r="BH74" s="278">
        <f t="shared" si="94"/>
        <v>-4779</v>
      </c>
      <c r="BI74" s="278">
        <f t="shared" si="94"/>
        <v>-715887</v>
      </c>
      <c r="BJ74" s="278">
        <f t="shared" si="94"/>
        <v>72595425</v>
      </c>
      <c r="BK74" s="278">
        <f t="shared" si="94"/>
        <v>5812887033</v>
      </c>
      <c r="BL74" s="282">
        <f t="shared" si="72"/>
        <v>0.98632070044565068</v>
      </c>
      <c r="BM74" s="278">
        <f>SUM(BM2:BM73)</f>
        <v>79516223</v>
      </c>
      <c r="BN74" s="278">
        <f>SUM(BN2:BN73)</f>
        <v>2302984878</v>
      </c>
      <c r="BO74" s="278">
        <f>SUM(BO2:BO73)</f>
        <v>173175560</v>
      </c>
      <c r="BP74" s="278">
        <f>SUM(BP2:BP73)</f>
        <v>-562282</v>
      </c>
      <c r="BQ74" s="281">
        <f>BU74-BT64-BT33-BT30</f>
        <v>2302984878</v>
      </c>
      <c r="BR74" s="278">
        <f t="shared" ref="BR74:BW74" si="95">SUM(BR2:BR73)</f>
        <v>2384659929</v>
      </c>
      <c r="BS74" s="278">
        <f t="shared" si="95"/>
        <v>398912174</v>
      </c>
      <c r="BT74" s="278">
        <f t="shared" si="95"/>
        <v>2302984878</v>
      </c>
      <c r="BU74" s="278">
        <f t="shared" si="95"/>
        <v>2302984878</v>
      </c>
      <c r="BV74" s="278">
        <f t="shared" si="95"/>
        <v>0</v>
      </c>
      <c r="BW74" s="280">
        <f t="shared" si="95"/>
        <v>0</v>
      </c>
      <c r="BX74" s="278"/>
      <c r="BY74" s="278">
        <f>SUM(BY2:BY73)</f>
        <v>2302984878</v>
      </c>
      <c r="BZ74" s="278">
        <f>SUM(BZ2:BZ73)</f>
        <v>1819115</v>
      </c>
      <c r="CA74" s="278">
        <f>SUM(CA2:CA73)</f>
        <v>19036946</v>
      </c>
      <c r="CB74" s="278">
        <f>SUM(CB2:CB73)</f>
        <v>53972699</v>
      </c>
      <c r="CC74" s="278">
        <f>SUM(CC2:CC73)</f>
        <v>74828760</v>
      </c>
      <c r="CD74" s="279">
        <f>'[2]Growth Deficit'!$D$2</f>
        <v>0</v>
      </c>
      <c r="CE74" s="231">
        <f t="shared" ref="CE74:CR74" si="96">SUM(CE2:CE73)</f>
        <v>7</v>
      </c>
      <c r="CF74" s="231">
        <f t="shared" si="96"/>
        <v>20</v>
      </c>
      <c r="CG74" s="231">
        <f t="shared" si="96"/>
        <v>25</v>
      </c>
      <c r="CH74" s="231">
        <f t="shared" si="96"/>
        <v>52</v>
      </c>
      <c r="CI74" s="231">
        <f t="shared" si="96"/>
        <v>3</v>
      </c>
      <c r="CJ74" s="231">
        <f t="shared" si="96"/>
        <v>27</v>
      </c>
      <c r="CK74" s="231">
        <f t="shared" si="96"/>
        <v>32</v>
      </c>
      <c r="CL74" s="231">
        <f t="shared" si="96"/>
        <v>62</v>
      </c>
      <c r="CM74" s="231">
        <f t="shared" si="96"/>
        <v>23</v>
      </c>
      <c r="CN74" s="231">
        <f t="shared" si="96"/>
        <v>0</v>
      </c>
      <c r="CO74" s="231">
        <f t="shared" si="96"/>
        <v>3</v>
      </c>
      <c r="CP74" s="231">
        <f t="shared" si="96"/>
        <v>9</v>
      </c>
      <c r="CQ74" s="231">
        <f t="shared" si="96"/>
        <v>2</v>
      </c>
      <c r="CR74" s="231">
        <f t="shared" si="96"/>
        <v>37</v>
      </c>
      <c r="CS74" s="225" t="s">
        <v>254</v>
      </c>
      <c r="CT74" s="278">
        <f>SUM(CT2:CT73)</f>
        <v>515050604</v>
      </c>
      <c r="CU74" s="231">
        <f>SUM(CU2:CU73)</f>
        <v>11</v>
      </c>
      <c r="CV74" s="231">
        <f>SUM(CV2:CV73)</f>
        <v>33</v>
      </c>
      <c r="CW74" s="10">
        <f>'[2]Foundation Grant'!$C$1</f>
        <v>5622823</v>
      </c>
      <c r="CX74" s="10">
        <f>'[2]Foundation Grant'!$D$1</f>
        <v>4498258</v>
      </c>
      <c r="CY74" s="10">
        <f>'[2]Foundation Grant'!$E$1</f>
        <v>3373694</v>
      </c>
      <c r="CZ74" s="10">
        <f>'[2]Foundation Grant'!$C$2</f>
        <v>4498258</v>
      </c>
      <c r="DA74" s="10">
        <f>'[2]Foundation Grant'!$D$2</f>
        <v>3935976</v>
      </c>
      <c r="DB74" s="10">
        <f>'[2]Foundation Grant'!$E$2</f>
        <v>3373694</v>
      </c>
      <c r="DC74" s="10">
        <f>'[2]Foundation Grant'!$G$1</f>
        <v>1124565</v>
      </c>
      <c r="DD74" s="10">
        <f>'[2]Foundation Grant'!$H$1</f>
        <v>843423</v>
      </c>
      <c r="DE74" s="10">
        <f>'[2]Foundation Grant'!$I$1</f>
        <v>562282</v>
      </c>
      <c r="DF74" s="10">
        <f>'[2]Foundation Grant'!$J$1</f>
        <v>281141</v>
      </c>
      <c r="DG74" s="10">
        <f>'[2]Foundation Grant'!$K$1</f>
        <v>140571</v>
      </c>
      <c r="DH74" s="10">
        <f>'[2]Foundation Grant'!$O$1</f>
        <v>562282</v>
      </c>
      <c r="DI74" s="10">
        <f>'[2]Foundation Grant'!$P$1</f>
        <v>1124565</v>
      </c>
      <c r="DJ74" s="144">
        <f>'[2]basic allocation'!$C$10</f>
        <v>18749</v>
      </c>
      <c r="DK74" s="144">
        <f>'[2]basic allocation'!$D$10</f>
        <v>9375</v>
      </c>
      <c r="DL74" s="144">
        <f>'[2]basic allocation'!$E$10</f>
        <v>9375</v>
      </c>
      <c r="DM74" s="144">
        <f>'[2]basic allocation'!$I$10</f>
        <v>938</v>
      </c>
      <c r="DN74" s="144">
        <f>'[2]basic allocation'!$J$10</f>
        <v>703</v>
      </c>
      <c r="DO74" s="144">
        <f>'[2]basic allocation'!$K$10</f>
        <v>469</v>
      </c>
      <c r="DP74" s="144">
        <f>'[2]basic allocation'!$L$10</f>
        <v>234</v>
      </c>
      <c r="DQ74" s="144">
        <f>'[2]basic allocation'!$M$10</f>
        <v>100</v>
      </c>
      <c r="DR74" s="347">
        <f t="shared" ref="DR74:ER74" si="97">SUM(DR2:DR73)</f>
        <v>7617.337524999999</v>
      </c>
      <c r="DS74" s="277">
        <f t="shared" si="97"/>
        <v>-1.1550301850604683E-4</v>
      </c>
      <c r="DT74" s="277">
        <f t="shared" si="97"/>
        <v>-4.4408920985006262E-16</v>
      </c>
      <c r="DU74" s="277">
        <f t="shared" si="97"/>
        <v>7617.3390000000009</v>
      </c>
      <c r="DV74" s="275">
        <f t="shared" si="97"/>
        <v>29024.360902</v>
      </c>
      <c r="DW74" s="275">
        <f t="shared" si="97"/>
        <v>2515.079901000001</v>
      </c>
      <c r="DX74" s="275">
        <f t="shared" si="97"/>
        <v>-725.48640200000045</v>
      </c>
      <c r="DY74" s="275">
        <f t="shared" si="97"/>
        <v>30813.954000000002</v>
      </c>
      <c r="DZ74" s="275">
        <f t="shared" si="97"/>
        <v>1046155.2540000001</v>
      </c>
      <c r="EA74" s="275">
        <f t="shared" si="97"/>
        <v>29356.152999999984</v>
      </c>
      <c r="EB74" s="275">
        <f t="shared" si="97"/>
        <v>37600.480000000003</v>
      </c>
      <c r="EC74" s="275">
        <f t="shared" si="97"/>
        <v>1113111.8870000006</v>
      </c>
      <c r="ED74" s="275">
        <f t="shared" si="97"/>
        <v>0</v>
      </c>
      <c r="EE74" s="275">
        <f t="shared" si="97"/>
        <v>126000000</v>
      </c>
      <c r="EF74" s="276">
        <f t="shared" si="97"/>
        <v>29024.360902</v>
      </c>
      <c r="EG74" s="276">
        <f t="shared" si="97"/>
        <v>2515.079901000001</v>
      </c>
      <c r="EH74" s="276">
        <f t="shared" si="97"/>
        <v>-725.48640200000045</v>
      </c>
      <c r="EI74" s="276">
        <f t="shared" si="97"/>
        <v>30813.95440100001</v>
      </c>
      <c r="EJ74" s="275">
        <f t="shared" si="97"/>
        <v>325000</v>
      </c>
      <c r="EK74" s="275">
        <f t="shared" si="97"/>
        <v>5327752696</v>
      </c>
      <c r="EL74" s="275">
        <f t="shared" si="97"/>
        <v>79898812</v>
      </c>
      <c r="EM74" s="275">
        <f t="shared" si="97"/>
        <v>6148495</v>
      </c>
      <c r="EN74" s="274">
        <f t="shared" si="97"/>
        <v>776572306</v>
      </c>
      <c r="EO74" s="274">
        <f t="shared" si="97"/>
        <v>5733370810</v>
      </c>
      <c r="EP74" s="274">
        <f t="shared" si="97"/>
        <v>0</v>
      </c>
      <c r="EQ74" s="274">
        <f t="shared" si="97"/>
        <v>0</v>
      </c>
      <c r="ER74" s="274">
        <f t="shared" si="97"/>
        <v>0</v>
      </c>
      <c r="ES74" s="16">
        <f t="shared" si="84"/>
        <v>0</v>
      </c>
    </row>
    <row r="77" spans="1:149">
      <c r="AJ77" s="51" t="s">
        <v>253</v>
      </c>
      <c r="AK77" s="51" t="s">
        <v>253</v>
      </c>
      <c r="AO77" s="51" t="s">
        <v>253</v>
      </c>
      <c r="AQ77" s="51" t="s">
        <v>253</v>
      </c>
      <c r="AR77" s="51" t="s">
        <v>253</v>
      </c>
      <c r="AT77" s="51" t="s">
        <v>253</v>
      </c>
      <c r="AU77" s="51" t="s">
        <v>253</v>
      </c>
      <c r="BE77" s="51" t="s">
        <v>253</v>
      </c>
      <c r="BI77" s="51" t="s">
        <v>253</v>
      </c>
      <c r="BK77" s="51" t="s">
        <v>253</v>
      </c>
      <c r="BL77" s="51" t="s">
        <v>253</v>
      </c>
      <c r="BM77" s="51" t="s">
        <v>253</v>
      </c>
      <c r="BN77" s="51" t="s">
        <v>253</v>
      </c>
      <c r="BO77" s="51" t="s">
        <v>253</v>
      </c>
      <c r="BQ77" s="51" t="s">
        <v>253</v>
      </c>
      <c r="BR77" s="51" t="s">
        <v>253</v>
      </c>
      <c r="BT77" s="51" t="s">
        <v>253</v>
      </c>
      <c r="BU77" s="51" t="s">
        <v>253</v>
      </c>
      <c r="BY77" s="51" t="s">
        <v>253</v>
      </c>
      <c r="DU77" s="51" t="s">
        <v>253</v>
      </c>
      <c r="DY77" s="51" t="s">
        <v>253</v>
      </c>
      <c r="EN77" s="51" t="s">
        <v>253</v>
      </c>
      <c r="EO77" s="51"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EM74"/>
  <sheetViews>
    <sheetView workbookViewId="0">
      <pane xSplit="3" ySplit="1" topLeftCell="BI50" activePane="bottomRight" state="frozen"/>
      <selection activeCell="FM2" sqref="FM2:FM73"/>
      <selection pane="topRight" activeCell="FM2" sqref="FM2:FM73"/>
      <selection pane="bottomLeft" activeCell="FM2" sqref="FM2:FM73"/>
      <selection pane="bottomRight" activeCell="BL27" sqref="BL27"/>
    </sheetView>
  </sheetViews>
  <sheetFormatPr defaultColWidth="9.140625" defaultRowHeight="12.75"/>
  <cols>
    <col min="1" max="1" width="9.5703125" style="346" bestFit="1" customWidth="1"/>
    <col min="2" max="2" width="6.28515625" style="451" bestFit="1" customWidth="1"/>
    <col min="3" max="3" width="8.5703125" style="346" bestFit="1" customWidth="1"/>
    <col min="4" max="4" width="25" style="450" bestFit="1" customWidth="1"/>
    <col min="5" max="5" width="11.5703125" style="449" bestFit="1" customWidth="1"/>
    <col min="6" max="6" width="12.5703125" style="340" bestFit="1" customWidth="1"/>
    <col min="7" max="7" width="11.7109375" style="340" bestFit="1" customWidth="1"/>
    <col min="8" max="8" width="13.42578125" style="336" bestFit="1" customWidth="1"/>
    <col min="9" max="9" width="14.42578125" style="336" bestFit="1" customWidth="1"/>
    <col min="10" max="10" width="16" style="336" bestFit="1" customWidth="1"/>
    <col min="11" max="11" width="12.7109375" style="448" bestFit="1" customWidth="1"/>
    <col min="12" max="12" width="10.140625" style="448" bestFit="1" customWidth="1"/>
    <col min="13" max="13" width="10.42578125" style="448" bestFit="1" customWidth="1"/>
    <col min="14" max="14" width="12.7109375" style="343" bestFit="1" customWidth="1"/>
    <col min="15" max="16" width="10.140625" style="343" bestFit="1" customWidth="1"/>
    <col min="17" max="17" width="12" style="447" bestFit="1" customWidth="1"/>
    <col min="18" max="18" width="10" style="447" bestFit="1" customWidth="1"/>
    <col min="19" max="19" width="10.140625" style="447" bestFit="1" customWidth="1"/>
    <col min="20" max="22" width="8.5703125" style="341" bestFit="1" customWidth="1"/>
    <col min="23" max="23" width="9.7109375" style="340" bestFit="1" customWidth="1"/>
    <col min="24" max="25" width="8.5703125" style="340" bestFit="1" customWidth="1"/>
    <col min="26" max="26" width="12.7109375" style="341" bestFit="1" customWidth="1"/>
    <col min="27" max="27" width="10.140625" style="341" bestFit="1" customWidth="1"/>
    <col min="28" max="28" width="11.42578125" style="341" bestFit="1" customWidth="1"/>
    <col min="29" max="29" width="13.28515625" style="327" bestFit="1" customWidth="1"/>
    <col min="30" max="30" width="12.140625" style="327" bestFit="1" customWidth="1"/>
    <col min="31" max="31" width="12.28515625" style="327" bestFit="1" customWidth="1"/>
    <col min="32" max="33" width="15.42578125" style="329" bestFit="1" customWidth="1"/>
    <col min="34" max="34" width="14" style="329" bestFit="1" customWidth="1"/>
    <col min="35" max="35" width="15.28515625" style="340" bestFit="1" customWidth="1"/>
    <col min="36" max="36" width="15.42578125" style="340" bestFit="1" customWidth="1"/>
    <col min="37" max="37" width="17.5703125" style="340" bestFit="1" customWidth="1"/>
    <col min="38" max="38" width="13.28515625" style="343" bestFit="1" customWidth="1"/>
    <col min="39" max="40" width="11.5703125" style="343" bestFit="1" customWidth="1"/>
    <col min="41" max="42" width="12.7109375" style="336" bestFit="1" customWidth="1"/>
    <col min="43" max="43" width="11.5703125" style="336" bestFit="1" customWidth="1"/>
    <col min="44" max="44" width="8.5703125" style="336" bestFit="1" customWidth="1"/>
    <col min="45" max="45" width="9.7109375" style="336" bestFit="1" customWidth="1"/>
    <col min="46" max="46" width="12.7109375" style="336" bestFit="1" customWidth="1"/>
    <col min="47" max="47" width="13.28515625" style="336" bestFit="1" customWidth="1"/>
    <col min="48" max="48" width="12.7109375" style="330" bestFit="1" customWidth="1"/>
    <col min="49" max="49" width="16.28515625" style="336" bestFit="1" customWidth="1"/>
    <col min="50" max="50" width="12.140625" style="336" bestFit="1" customWidth="1"/>
    <col min="51" max="51" width="16.28515625" style="332" bestFit="1" customWidth="1"/>
    <col min="52" max="53" width="14.42578125" style="332" bestFit="1" customWidth="1"/>
    <col min="54" max="54" width="12.28515625" style="332" bestFit="1" customWidth="1"/>
    <col min="55" max="55" width="15" style="332" bestFit="1" customWidth="1"/>
    <col min="56" max="56" width="15" style="331" bestFit="1" customWidth="1"/>
    <col min="57" max="57" width="11.7109375" style="332" bestFit="1" customWidth="1"/>
    <col min="58" max="58" width="17.85546875" style="332" bestFit="1" customWidth="1"/>
    <col min="59" max="59" width="10.42578125" style="333" bestFit="1" customWidth="1"/>
    <col min="60" max="60" width="11.7109375" style="333" bestFit="1" customWidth="1"/>
    <col min="61" max="61" width="14.42578125" style="333" bestFit="1" customWidth="1"/>
    <col min="62" max="63" width="13.5703125" style="334" bestFit="1" customWidth="1"/>
    <col min="64" max="66" width="14.7109375" style="334" bestFit="1" customWidth="1"/>
    <col min="67" max="67" width="16.85546875" style="334" bestFit="1" customWidth="1"/>
    <col min="68" max="68" width="18.5703125" style="335" bestFit="1" customWidth="1"/>
    <col min="69" max="69" width="14.5703125" style="335" bestFit="1" customWidth="1"/>
    <col min="70" max="70" width="12.42578125" style="341" bestFit="1" customWidth="1"/>
    <col min="71" max="76" width="19.140625" style="341" bestFit="1" customWidth="1"/>
    <col min="77" max="77" width="11.28515625" style="340" bestFit="1" customWidth="1"/>
    <col min="78" max="79" width="11.5703125" style="340" bestFit="1" customWidth="1"/>
    <col min="80" max="80" width="11.28515625" style="340" bestFit="1" customWidth="1"/>
    <col min="81" max="81" width="11.7109375" style="343" bestFit="1" customWidth="1"/>
    <col min="82" max="82" width="14.42578125" style="336" bestFit="1" customWidth="1"/>
    <col min="83" max="83" width="14.7109375" style="337" bestFit="1" customWidth="1"/>
    <col min="84" max="84" width="16.7109375" style="338" bestFit="1" customWidth="1"/>
    <col min="85" max="85" width="19.28515625" style="338" bestFit="1" customWidth="1"/>
    <col min="86" max="86" width="17.85546875" style="338" bestFit="1" customWidth="1"/>
    <col min="87" max="87" width="14.42578125" style="338" bestFit="1" customWidth="1"/>
    <col min="88" max="88" width="12.7109375" style="338" bestFit="1" customWidth="1"/>
    <col min="89" max="91" width="19.7109375" style="338" bestFit="1" customWidth="1"/>
    <col min="92" max="92" width="14.42578125" style="340" customWidth="1"/>
    <col min="93" max="93" width="11.42578125" style="340" customWidth="1"/>
    <col min="94" max="94" width="17.85546875" style="339" customWidth="1"/>
    <col min="95" max="95" width="18.42578125" style="340" customWidth="1"/>
    <col min="96" max="96" width="14.42578125" style="340" customWidth="1"/>
    <col min="97" max="98" width="11.7109375" style="341" bestFit="1" customWidth="1"/>
    <col min="99" max="99" width="13.85546875" style="341" customWidth="1"/>
    <col min="100" max="100" width="11.7109375" style="341" customWidth="1"/>
    <col min="101" max="101" width="16.42578125" style="342" customWidth="1"/>
    <col min="102" max="102" width="18.85546875" style="343" customWidth="1"/>
    <col min="103" max="103" width="20.85546875" style="343" customWidth="1"/>
    <col min="104" max="104" width="19" style="343" customWidth="1"/>
    <col min="105" max="105" width="17.28515625" style="343" customWidth="1"/>
    <col min="106" max="106" width="19.140625" style="343" customWidth="1"/>
    <col min="107" max="107" width="21.140625" style="343" customWidth="1"/>
    <col min="108" max="108" width="19.28515625" style="343" customWidth="1"/>
    <col min="109" max="109" width="17.5703125" style="343" customWidth="1"/>
    <col min="110" max="110" width="15.7109375" style="343" customWidth="1"/>
    <col min="111" max="111" width="20" style="343" customWidth="1"/>
    <col min="112" max="112" width="17.85546875" style="343" customWidth="1"/>
    <col min="113" max="113" width="20.7109375" style="343" customWidth="1"/>
    <col min="114" max="114" width="15.85546875" style="343" customWidth="1"/>
    <col min="115" max="115" width="14.140625" style="343" customWidth="1"/>
    <col min="116" max="116" width="15" style="343" customWidth="1"/>
    <col min="117" max="117" width="18.5703125" style="343" customWidth="1"/>
    <col min="118" max="118" width="17" style="343" customWidth="1"/>
    <col min="119" max="119" width="24.7109375" style="343" customWidth="1"/>
    <col min="120" max="126" width="10.140625" style="344" customWidth="1"/>
    <col min="127" max="131" width="8.5703125" style="344" customWidth="1"/>
    <col min="132" max="132" width="10.140625" style="344" customWidth="1"/>
    <col min="133" max="133" width="11.140625" style="345" customWidth="1"/>
    <col min="134" max="134" width="11.7109375" style="345" customWidth="1"/>
    <col min="135" max="135" width="11.42578125" style="345" customWidth="1"/>
    <col min="136" max="136" width="12.28515625" style="345" customWidth="1"/>
    <col min="137" max="137" width="14" style="345" customWidth="1"/>
    <col min="138" max="138" width="12.85546875" style="345" customWidth="1"/>
    <col min="139" max="139" width="14.28515625" style="345" customWidth="1"/>
    <col min="140" max="140" width="12.5703125" style="345" customWidth="1"/>
    <col min="141" max="141" width="11.140625" style="345" customWidth="1"/>
    <col min="142" max="142" width="9.140625" style="346"/>
    <col min="143" max="143" width="12.7109375" style="346" bestFit="1" customWidth="1"/>
    <col min="144" max="16384" width="9.140625" style="346"/>
  </cols>
  <sheetData>
    <row r="1" spans="1:143" s="479" customFormat="1">
      <c r="A1" s="346" t="s">
        <v>549</v>
      </c>
      <c r="B1" s="451" t="s">
        <v>548</v>
      </c>
      <c r="C1" s="479" t="s">
        <v>547</v>
      </c>
      <c r="D1" s="479" t="s">
        <v>70</v>
      </c>
      <c r="E1" s="494" t="s">
        <v>546</v>
      </c>
      <c r="F1" s="485" t="s">
        <v>545</v>
      </c>
      <c r="G1" s="485" t="s">
        <v>544</v>
      </c>
      <c r="H1" s="489" t="s">
        <v>543</v>
      </c>
      <c r="I1" s="489" t="s">
        <v>542</v>
      </c>
      <c r="J1" s="489" t="s">
        <v>541</v>
      </c>
      <c r="K1" s="493" t="s">
        <v>540</v>
      </c>
      <c r="L1" s="493" t="s">
        <v>535</v>
      </c>
      <c r="M1" s="493" t="s">
        <v>530</v>
      </c>
      <c r="N1" s="482" t="s">
        <v>421</v>
      </c>
      <c r="O1" s="482" t="s">
        <v>420</v>
      </c>
      <c r="P1" s="482" t="s">
        <v>419</v>
      </c>
      <c r="Q1" s="492" t="s">
        <v>539</v>
      </c>
      <c r="R1" s="492" t="s">
        <v>534</v>
      </c>
      <c r="S1" s="492" t="s">
        <v>529</v>
      </c>
      <c r="T1" s="484" t="s">
        <v>538</v>
      </c>
      <c r="U1" s="484" t="s">
        <v>533</v>
      </c>
      <c r="V1" s="484" t="s">
        <v>528</v>
      </c>
      <c r="W1" s="485" t="s">
        <v>537</v>
      </c>
      <c r="X1" s="485" t="s">
        <v>532</v>
      </c>
      <c r="Y1" s="485" t="s">
        <v>527</v>
      </c>
      <c r="Z1" s="484" t="s">
        <v>536</v>
      </c>
      <c r="AA1" s="484" t="s">
        <v>531</v>
      </c>
      <c r="AB1" s="484" t="s">
        <v>526</v>
      </c>
      <c r="AC1" s="327" t="s">
        <v>525</v>
      </c>
      <c r="AD1" s="327" t="s">
        <v>524</v>
      </c>
      <c r="AE1" s="327" t="s">
        <v>523</v>
      </c>
      <c r="AF1" s="329" t="s">
        <v>429</v>
      </c>
      <c r="AG1" s="329" t="s">
        <v>428</v>
      </c>
      <c r="AH1" s="329" t="s">
        <v>427</v>
      </c>
      <c r="AI1" s="491" t="s">
        <v>406</v>
      </c>
      <c r="AJ1" s="485" t="s">
        <v>405</v>
      </c>
      <c r="AK1" s="485" t="s">
        <v>404</v>
      </c>
      <c r="AL1" s="482" t="s">
        <v>425</v>
      </c>
      <c r="AM1" s="482" t="s">
        <v>424</v>
      </c>
      <c r="AN1" s="482" t="s">
        <v>423</v>
      </c>
      <c r="AO1" s="489" t="s">
        <v>522</v>
      </c>
      <c r="AP1" s="489" t="s">
        <v>418</v>
      </c>
      <c r="AQ1" s="489" t="s">
        <v>521</v>
      </c>
      <c r="AR1" s="489" t="s">
        <v>520</v>
      </c>
      <c r="AS1" s="489" t="s">
        <v>519</v>
      </c>
      <c r="AT1" s="489" t="s">
        <v>518</v>
      </c>
      <c r="AU1" s="489" t="s">
        <v>517</v>
      </c>
      <c r="AV1" s="330" t="s">
        <v>426</v>
      </c>
      <c r="AW1" s="489" t="s">
        <v>403</v>
      </c>
      <c r="AX1" s="489" t="s">
        <v>422</v>
      </c>
      <c r="AY1" s="332" t="s">
        <v>516</v>
      </c>
      <c r="AZ1" s="332" t="s">
        <v>515</v>
      </c>
      <c r="BA1" s="332" t="s">
        <v>514</v>
      </c>
      <c r="BB1" s="332" t="s">
        <v>513</v>
      </c>
      <c r="BC1" s="332" t="s">
        <v>512</v>
      </c>
      <c r="BD1" s="331" t="s">
        <v>417</v>
      </c>
      <c r="BE1" s="332" t="s">
        <v>511</v>
      </c>
      <c r="BF1" s="332" t="s">
        <v>510</v>
      </c>
      <c r="BG1" s="490" t="s">
        <v>509</v>
      </c>
      <c r="BH1" s="490" t="s">
        <v>508</v>
      </c>
      <c r="BI1" s="490" t="s">
        <v>507</v>
      </c>
      <c r="BJ1" s="332" t="s">
        <v>483</v>
      </c>
      <c r="BK1" s="332" t="s">
        <v>506</v>
      </c>
      <c r="BL1" s="332" t="s">
        <v>505</v>
      </c>
      <c r="BM1" s="332" t="s">
        <v>408</v>
      </c>
      <c r="BN1" s="332" t="s">
        <v>409</v>
      </c>
      <c r="BO1" s="332" t="s">
        <v>504</v>
      </c>
      <c r="BP1" s="478" t="s">
        <v>503</v>
      </c>
      <c r="BQ1" s="478" t="s">
        <v>502</v>
      </c>
      <c r="BR1" s="484" t="s">
        <v>501</v>
      </c>
      <c r="BS1" s="484" t="s">
        <v>500</v>
      </c>
      <c r="BT1" s="484" t="s">
        <v>499</v>
      </c>
      <c r="BU1" s="484" t="s">
        <v>498</v>
      </c>
      <c r="BV1" s="484" t="s">
        <v>497</v>
      </c>
      <c r="BW1" s="484" t="s">
        <v>496</v>
      </c>
      <c r="BX1" s="484" t="s">
        <v>495</v>
      </c>
      <c r="BY1" s="485" t="s">
        <v>494</v>
      </c>
      <c r="BZ1" s="485" t="s">
        <v>493</v>
      </c>
      <c r="CA1" s="485" t="s">
        <v>491</v>
      </c>
      <c r="CB1" s="485" t="s">
        <v>490</v>
      </c>
      <c r="CC1" s="482" t="s">
        <v>489</v>
      </c>
      <c r="CD1" s="489" t="s">
        <v>488</v>
      </c>
      <c r="CE1" s="488" t="s">
        <v>487</v>
      </c>
      <c r="CF1" s="487" t="s">
        <v>486</v>
      </c>
      <c r="CG1" s="487" t="s">
        <v>485</v>
      </c>
      <c r="CH1" s="487" t="s">
        <v>484</v>
      </c>
      <c r="CI1" s="487" t="s">
        <v>481</v>
      </c>
      <c r="CJ1" s="487" t="s">
        <v>480</v>
      </c>
      <c r="CK1" s="487" t="s">
        <v>479</v>
      </c>
      <c r="CL1" s="487" t="s">
        <v>98</v>
      </c>
      <c r="CM1" s="487" t="s">
        <v>606</v>
      </c>
      <c r="CN1" s="485" t="s">
        <v>478</v>
      </c>
      <c r="CO1" s="485" t="s">
        <v>477</v>
      </c>
      <c r="CP1" s="486" t="s">
        <v>476</v>
      </c>
      <c r="CQ1" s="485" t="s">
        <v>475</v>
      </c>
      <c r="CR1" s="485" t="s">
        <v>474</v>
      </c>
      <c r="CS1" s="484" t="s">
        <v>473</v>
      </c>
      <c r="CT1" s="484" t="s">
        <v>472</v>
      </c>
      <c r="CU1" s="484" t="s">
        <v>471</v>
      </c>
      <c r="CV1" s="484" t="s">
        <v>470</v>
      </c>
      <c r="CW1" s="483" t="s">
        <v>469</v>
      </c>
      <c r="CX1" s="482" t="s">
        <v>468</v>
      </c>
      <c r="CY1" s="482" t="s">
        <v>467</v>
      </c>
      <c r="CZ1" s="482" t="s">
        <v>466</v>
      </c>
      <c r="DA1" s="482" t="s">
        <v>465</v>
      </c>
      <c r="DB1" s="482" t="s">
        <v>464</v>
      </c>
      <c r="DC1" s="482" t="s">
        <v>463</v>
      </c>
      <c r="DD1" s="482" t="s">
        <v>462</v>
      </c>
      <c r="DE1" s="482" t="s">
        <v>461</v>
      </c>
      <c r="DF1" s="482" t="s">
        <v>460</v>
      </c>
      <c r="DG1" s="482" t="s">
        <v>459</v>
      </c>
      <c r="DH1" s="482" t="s">
        <v>458</v>
      </c>
      <c r="DI1" s="482" t="s">
        <v>457</v>
      </c>
      <c r="DJ1" s="482" t="s">
        <v>456</v>
      </c>
      <c r="DK1" s="482" t="s">
        <v>455</v>
      </c>
      <c r="DL1" s="482" t="s">
        <v>454</v>
      </c>
      <c r="DM1" s="482" t="s">
        <v>453</v>
      </c>
      <c r="DN1" s="482" t="s">
        <v>452</v>
      </c>
      <c r="DO1" s="482" t="s">
        <v>451</v>
      </c>
      <c r="DP1" s="481" t="s">
        <v>450</v>
      </c>
      <c r="DQ1" s="481" t="s">
        <v>449</v>
      </c>
      <c r="DR1" s="481" t="s">
        <v>448</v>
      </c>
      <c r="DS1" s="481" t="s">
        <v>447</v>
      </c>
      <c r="DT1" s="481" t="s">
        <v>446</v>
      </c>
      <c r="DU1" s="481" t="s">
        <v>445</v>
      </c>
      <c r="DV1" s="481" t="s">
        <v>444</v>
      </c>
      <c r="DW1" s="481" t="s">
        <v>443</v>
      </c>
      <c r="DX1" s="481" t="s">
        <v>442</v>
      </c>
      <c r="DY1" s="481" t="s">
        <v>441</v>
      </c>
      <c r="DZ1" s="481" t="s">
        <v>440</v>
      </c>
      <c r="EA1" s="481" t="s">
        <v>439</v>
      </c>
      <c r="EB1" s="481" t="s">
        <v>438</v>
      </c>
      <c r="EC1" s="480" t="s">
        <v>437</v>
      </c>
      <c r="ED1" s="480" t="s">
        <v>436</v>
      </c>
      <c r="EE1" s="480" t="s">
        <v>435</v>
      </c>
      <c r="EF1" s="480" t="s">
        <v>434</v>
      </c>
      <c r="EG1" s="480" t="s">
        <v>433</v>
      </c>
      <c r="EH1" s="480" t="s">
        <v>432</v>
      </c>
      <c r="EI1" s="480" t="s">
        <v>431</v>
      </c>
      <c r="EJ1" s="480" t="s">
        <v>430</v>
      </c>
      <c r="EK1" s="480" t="s">
        <v>411</v>
      </c>
    </row>
    <row r="2" spans="1:143">
      <c r="A2" s="476" t="s">
        <v>605</v>
      </c>
      <c r="B2" s="475" t="s">
        <v>220</v>
      </c>
      <c r="C2" s="346" t="s">
        <v>401</v>
      </c>
      <c r="D2" s="450" t="s">
        <v>400</v>
      </c>
      <c r="E2" s="449">
        <f>ROUND('[2]PBF Run'!N9,6)</f>
        <v>4636.4928980000004</v>
      </c>
      <c r="F2" s="340">
        <f>ROUND('[2]PBF Run'!AN4,2)</f>
        <v>4636.49</v>
      </c>
      <c r="G2" s="474">
        <f>'[2]PBF Run'!AE4</f>
        <v>2788.0536374600001</v>
      </c>
      <c r="H2" s="473">
        <f>'[2]PBF Run'!AF4</f>
        <v>2811.7520933800001</v>
      </c>
      <c r="I2" s="473">
        <f>'[2]PBF Run'!AI4</f>
        <v>3282.8110613200001</v>
      </c>
      <c r="J2" s="473">
        <f>'[2]PBF Run'!AJ4</f>
        <v>3310.71495534</v>
      </c>
      <c r="K2" s="472">
        <f>ROUND([2]FTES!C9,3)</f>
        <v>8462.58</v>
      </c>
      <c r="L2" s="472">
        <f>ROUND([2]FTES!L9,3)</f>
        <v>594.39</v>
      </c>
      <c r="M2" s="472">
        <f>ROUND([2]FTES!U9,3)</f>
        <v>324.99</v>
      </c>
      <c r="N2" s="465">
        <f>ROUND([2]FTES!$D9,3)</f>
        <v>8462.58</v>
      </c>
      <c r="O2" s="465">
        <f>ROUND([2]FTES!$M9,3)</f>
        <v>594.39</v>
      </c>
      <c r="P2" s="465">
        <f>ROUND([2]FTES!$V9,3)</f>
        <v>324.99</v>
      </c>
      <c r="Q2" s="471">
        <f>'[2]FTES Adjustment'!BU9</f>
        <v>0</v>
      </c>
      <c r="R2" s="471">
        <f>'[2]FTES Adjustment'!BV9</f>
        <v>0</v>
      </c>
      <c r="S2" s="471">
        <f>'[2]FTES Adjustment'!BW9</f>
        <v>0</v>
      </c>
      <c r="T2" s="469">
        <f>ROUND('[2]Growth Deficit'!$AG9,3)</f>
        <v>0</v>
      </c>
      <c r="U2" s="469">
        <f>ROUND('[2]Growth Deficit'!$AH9,3)</f>
        <v>0</v>
      </c>
      <c r="V2" s="469">
        <f>ROUND('[2]Growth Deficit'!$AI9,3)</f>
        <v>0</v>
      </c>
      <c r="W2" s="470">
        <f>ROUND([2]FTES!I9,3)</f>
        <v>0</v>
      </c>
      <c r="X2" s="470">
        <f>ROUND([2]FTES!R9,3)</f>
        <v>0</v>
      </c>
      <c r="Y2" s="470">
        <f>ROUND([2]FTES!AA9,3)</f>
        <v>0</v>
      </c>
      <c r="Z2" s="469">
        <f>ROUND([2]FTES!E9,3)</f>
        <v>8734.1299999999992</v>
      </c>
      <c r="AA2" s="469">
        <f>ROUND([2]FTES!N9,3)</f>
        <v>618.83000000000004</v>
      </c>
      <c r="AB2" s="469">
        <f>ROUND([2]FTES!W9,3)</f>
        <v>344.32</v>
      </c>
      <c r="AC2" s="468">
        <f>'[2]FTES Adjustment'!CW9</f>
        <v>8734.1300979999996</v>
      </c>
      <c r="AD2" s="468">
        <f>'[2]FTES Adjustment'!CX9</f>
        <v>618.83000000000004</v>
      </c>
      <c r="AE2" s="468">
        <f>'[2]FTES Adjustment'!CY9</f>
        <v>344.31999999999994</v>
      </c>
      <c r="AF2" s="467">
        <f>'[2]FTES Adjustment'!DQ9</f>
        <v>-9.8000000434694812E-5</v>
      </c>
      <c r="AG2" s="467">
        <f>'[2]FTES Adjustment'!DR9</f>
        <v>0</v>
      </c>
      <c r="AH2" s="467">
        <f>'[2]FTES Adjustment'!DS9</f>
        <v>0</v>
      </c>
      <c r="AI2" s="340">
        <f>'[2]FTES Adjustment'!$DX9</f>
        <v>0</v>
      </c>
      <c r="AJ2" s="340">
        <v>0</v>
      </c>
      <c r="AK2" s="340">
        <v>0</v>
      </c>
      <c r="AL2" s="465">
        <f>'[2]FTES Adjustment'!CG9</f>
        <v>271.55011300000001</v>
      </c>
      <c r="AM2" s="465">
        <f>'[2]FTES Adjustment'!CH9</f>
        <v>24.44</v>
      </c>
      <c r="AN2" s="465">
        <f>'[2]FTES Adjustment'!CI9</f>
        <v>19.329999999999998</v>
      </c>
      <c r="AO2" s="463">
        <f t="shared" ref="AO2:AO33" si="0">ROUND(K2+L2+M2,3)</f>
        <v>9381.9599999999991</v>
      </c>
      <c r="AP2" s="463">
        <f t="shared" ref="AP2:AP33" si="1">ROUND(N2+O2+P2,3)</f>
        <v>9381.9599999999991</v>
      </c>
      <c r="AQ2" s="463">
        <f t="shared" ref="AQ2:AQ33" si="2">ROUND(Q2+R2+S2,3)</f>
        <v>0</v>
      </c>
      <c r="AR2" s="463">
        <f t="shared" ref="AR2:AR33" si="3">ROUND(T2+U2+V2,3)</f>
        <v>0</v>
      </c>
      <c r="AS2" s="463">
        <f t="shared" ref="AS2:AS33" si="4">ROUND(W2+X2+Y2,3)</f>
        <v>0</v>
      </c>
      <c r="AT2" s="463">
        <f t="shared" ref="AT2:AT33" si="5">ROUND(Z2+AA2+AB2,3)</f>
        <v>9697.2800000000007</v>
      </c>
      <c r="AU2" s="463">
        <f t="shared" ref="AU2:AU33" si="6">ROUND(AC2+AD2+AE2,3)</f>
        <v>9697.2800000000007</v>
      </c>
      <c r="AV2" s="464">
        <f t="shared" ref="AV2:AV33" si="7">ROUND(AF2+AG2+AH2,3)</f>
        <v>0</v>
      </c>
      <c r="AW2" s="464">
        <f t="shared" ref="AW2:AW33" si="8">ROUND(AI2+AJ2+AK2,3)</f>
        <v>0</v>
      </c>
      <c r="AX2" s="464">
        <f t="shared" ref="AX2:AX33" si="9">ROUND(AL2+AM2+AN2,3)</f>
        <v>315.32</v>
      </c>
      <c r="AY2" s="460">
        <f>'[2]PBF Run'!F9</f>
        <v>5622823</v>
      </c>
      <c r="AZ2" s="460">
        <f t="shared" ref="AZ2:AZ33" si="10">BA2+BB2+BC2</f>
        <v>41960764</v>
      </c>
      <c r="BA2" s="460">
        <f>'[2]PBF Run'!J9 + '[2]PBF Run'!$L9</f>
        <v>39236692</v>
      </c>
      <c r="BB2" s="460">
        <f>'[2]PBF Run'!H9</f>
        <v>1657191</v>
      </c>
      <c r="BC2" s="460">
        <f>'[2]PBF Run'!I9</f>
        <v>1066881</v>
      </c>
      <c r="BD2" s="462">
        <v>0</v>
      </c>
      <c r="BE2" s="461">
        <f>'[2]Restoration and Growth'!BM9</f>
        <v>0</v>
      </c>
      <c r="BF2" s="460">
        <f t="shared" ref="BF2:BF33" si="11">AY2+AZ2-BD2+BE2</f>
        <v>47583587</v>
      </c>
      <c r="BG2" s="333" t="str">
        <f>CONCATENATE('[2]PBF Run'!C4 * 100,"%")</f>
        <v>0.85%</v>
      </c>
      <c r="BH2" s="459">
        <f>'[2]PBF Run'!O9</f>
        <v>404460</v>
      </c>
      <c r="BI2" s="459">
        <f t="shared" ref="BI2:BI33" si="12">SUM(BF2,BH2)</f>
        <v>47988047</v>
      </c>
      <c r="BJ2" s="458">
        <f>'[2]PBF Run'!AC9</f>
        <v>0</v>
      </c>
      <c r="BK2" s="458">
        <f>'[2]PBF Run'!$AD9</f>
        <v>0</v>
      </c>
      <c r="BL2" s="458">
        <f>'[2]PBF Run'!$T9</f>
        <v>0</v>
      </c>
      <c r="BM2" s="458">
        <f>'[2]PBF Run'!$S9</f>
        <v>1402457</v>
      </c>
      <c r="BN2" s="458">
        <f>'[2]13-14 $86M Workload Restore'!$P7</f>
        <v>0</v>
      </c>
      <c r="BO2" s="458">
        <f t="shared" ref="BO2:BO33" si="13">BJ2+BK2+BL2+BM2+BN2</f>
        <v>1402457</v>
      </c>
      <c r="BP2" s="478">
        <f>'[2]Restoration and Growth'!AA9</f>
        <v>0</v>
      </c>
      <c r="BQ2" s="478">
        <f>'[2]Restoration and Growth'!AB9</f>
        <v>0</v>
      </c>
      <c r="BR2" s="453">
        <f>'[2]Restoration and Growth'!BT9</f>
        <v>0</v>
      </c>
      <c r="BS2" s="453">
        <f>'[2]Growth Deficit'!$AO9</f>
        <v>0</v>
      </c>
      <c r="BT2" s="453">
        <f>'[2]Growth Deficit'!AO9</f>
        <v>0</v>
      </c>
      <c r="BU2" s="453">
        <f>'[2]Growth Deficit'!AL9</f>
        <v>0</v>
      </c>
      <c r="BV2" s="453">
        <f>'[2]Growth Deficit'!AM9</f>
        <v>0</v>
      </c>
      <c r="BW2" s="453">
        <f>'[2]Growth Deficit'!AN9</f>
        <v>0</v>
      </c>
      <c r="BX2" s="453">
        <f>'[2]Growth Deficit'!AO9</f>
        <v>0</v>
      </c>
      <c r="BY2" s="454">
        <f>'[2]PBF Run'!AA9</f>
        <v>0</v>
      </c>
      <c r="BZ2" s="454">
        <f>'[2]PBF Run'!AB9</f>
        <v>0</v>
      </c>
      <c r="CA2" s="454">
        <f>'[2]PBF Run'!AC9</f>
        <v>0</v>
      </c>
      <c r="CB2" s="454">
        <f t="shared" ref="CB2:CB33" si="14">BY2+BZ2</f>
        <v>0</v>
      </c>
      <c r="CC2" s="457">
        <f>'[2]PBF Run'!X9</f>
        <v>0</v>
      </c>
      <c r="CD2" s="456">
        <f>'[2]PBF Run'!AE9</f>
        <v>49390504</v>
      </c>
      <c r="CE2" s="337">
        <f t="shared" ref="CE2:CE33" si="15">1-CF2/CD2</f>
        <v>0.98518541134951776</v>
      </c>
      <c r="CF2" s="455">
        <f>'[2]PBF Run'!AM9</f>
        <v>731700</v>
      </c>
      <c r="CG2" s="455">
        <f>'[2]PBF Run'!$AN9</f>
        <v>24769099</v>
      </c>
      <c r="CH2" s="455">
        <f>'[2]PBF Run'!$AO9</f>
        <v>0</v>
      </c>
      <c r="CI2" s="455">
        <f>'[2]PBF Run'!AJ9</f>
        <v>13719342</v>
      </c>
      <c r="CJ2" s="455">
        <f>'[2]PBF Run'!AI9</f>
        <v>2487560</v>
      </c>
      <c r="CK2" s="455">
        <f>'[2]PBF Run'!$AN9</f>
        <v>24769099</v>
      </c>
      <c r="CL2" s="455">
        <f>'[2]PBF Run'!AK9</f>
        <v>7682803</v>
      </c>
      <c r="CM2" s="455">
        <f t="shared" ref="CM2:CM33" si="16">CD2-CF2</f>
        <v>48658804</v>
      </c>
      <c r="CN2" s="454">
        <f>'[2]PBF Run'!$AN9</f>
        <v>24769099</v>
      </c>
      <c r="CO2" s="454">
        <f>'[2]PBF Run'!BI9</f>
        <v>0</v>
      </c>
      <c r="CP2" s="339">
        <f>'[2]PBF Run'!BH9</f>
        <v>0</v>
      </c>
      <c r="CQ2" s="454">
        <f>'[2]PBF Run'!$AQ$4</f>
        <v>69532</v>
      </c>
      <c r="CR2" s="454">
        <f t="shared" ref="CR2:CR33" si="17">CN2+CO2</f>
        <v>24769099</v>
      </c>
      <c r="CS2" s="453">
        <f>'[2]As of 13-14 R1'!BX9</f>
        <v>0</v>
      </c>
      <c r="CT2" s="453">
        <f>'[2]As of 13-14 R1'!BY9</f>
        <v>0</v>
      </c>
      <c r="CU2" s="453">
        <f>'[2]As of 13-14 R1'!BZ9</f>
        <v>0</v>
      </c>
      <c r="CV2" s="453">
        <f t="shared" ref="CV2:CV33" si="18">CS2+CT2+CU2</f>
        <v>0</v>
      </c>
      <c r="CW2" s="342">
        <f>'[2]Growth Deficit'!$D$2</f>
        <v>0</v>
      </c>
      <c r="CX2" s="343">
        <f>IF($DL2="S",'[2]Foundation Grant'!C9,0)</f>
        <v>0</v>
      </c>
      <c r="CY2" s="343">
        <f>IF($DL2="S",'[2]Foundation Grant'!D9,0)</f>
        <v>1</v>
      </c>
      <c r="CZ2" s="343">
        <f>IF($DL2="S",'[2]Foundation Grant'!E9,0)</f>
        <v>0</v>
      </c>
      <c r="DA2" s="343">
        <f>IF($DL2="S",'[2]Foundation Grant'!F9,0)</f>
        <v>1</v>
      </c>
      <c r="DB2" s="343">
        <f>IF($DL2="M",'[2]Foundation Grant'!C9,0)</f>
        <v>0</v>
      </c>
      <c r="DC2" s="343">
        <f>IF($DL2="M",'[2]Foundation Grant'!D9,0)</f>
        <v>0</v>
      </c>
      <c r="DD2" s="343">
        <f>IF($DL2="M",'[2]Foundation Grant'!E9,0)</f>
        <v>0</v>
      </c>
      <c r="DE2" s="343">
        <f>IF($DL2="M",'[2]Foundation Grant'!F9,0)</f>
        <v>0</v>
      </c>
      <c r="DF2" s="343">
        <f>'[2]Foundation Grant'!G9</f>
        <v>0</v>
      </c>
      <c r="DG2" s="343">
        <f>'[2]Foundation Grant'!H9</f>
        <v>0</v>
      </c>
      <c r="DH2" s="343">
        <f>'[2]Foundation Grant'!I9</f>
        <v>0</v>
      </c>
      <c r="DI2" s="343">
        <f>'[2]Foundation Grant'!J9</f>
        <v>0</v>
      </c>
      <c r="DJ2" s="343">
        <f>'[2]Foundation Grant'!K9</f>
        <v>0</v>
      </c>
      <c r="DK2" s="452">
        <f>'[2]Foundation Grant'!L9</f>
        <v>0</v>
      </c>
      <c r="DL2" s="343" t="str">
        <f>'[2]Foundation Grant'!M9</f>
        <v>S</v>
      </c>
      <c r="DM2" s="343">
        <f>'[2]Foundation Grant'!N9</f>
        <v>5622823</v>
      </c>
      <c r="DN2" s="452">
        <f>'[2]Foundation Grant'!O9</f>
        <v>0</v>
      </c>
      <c r="DO2" s="452">
        <f>'[2]Foundation Grant'!P9</f>
        <v>1</v>
      </c>
      <c r="DP2" s="344">
        <f>'[2]Foundation Grant'!$C$1</f>
        <v>5622823</v>
      </c>
      <c r="DQ2" s="344">
        <f>'[2]Foundation Grant'!$D$1</f>
        <v>4498258</v>
      </c>
      <c r="DR2" s="344">
        <f>'[2]Foundation Grant'!$E$1</f>
        <v>3373694</v>
      </c>
      <c r="DS2" s="344">
        <f>'[2]Foundation Grant'!$C$2</f>
        <v>4498258</v>
      </c>
      <c r="DT2" s="344">
        <f>'[2]Foundation Grant'!$D$2</f>
        <v>3935976</v>
      </c>
      <c r="DU2" s="344">
        <f>'[2]Foundation Grant'!$E$2</f>
        <v>3373694</v>
      </c>
      <c r="DV2" s="344">
        <f>'[2]Foundation Grant'!$G$1</f>
        <v>1124565</v>
      </c>
      <c r="DW2" s="344">
        <f>'[2]Foundation Grant'!$H$1</f>
        <v>843423</v>
      </c>
      <c r="DX2" s="344">
        <f>'[2]Foundation Grant'!$I$1</f>
        <v>562282</v>
      </c>
      <c r="DY2" s="344">
        <f>'[2]Foundation Grant'!$J$1</f>
        <v>281141</v>
      </c>
      <c r="DZ2" s="344">
        <f>'[2]Foundation Grant'!$K$1</f>
        <v>140571</v>
      </c>
      <c r="EA2" s="344">
        <f>'[2]Foundation Grant'!$O$1</f>
        <v>562282</v>
      </c>
      <c r="EB2" s="344">
        <f>'[2]Foundation Grant'!$P$1</f>
        <v>1124565</v>
      </c>
      <c r="EC2" s="345">
        <f>'[2]basic allocation'!$C$10</f>
        <v>18749</v>
      </c>
      <c r="ED2" s="345">
        <f>'[2]basic allocation'!$D$10</f>
        <v>9375</v>
      </c>
      <c r="EE2" s="345">
        <f>'[2]basic allocation'!$E$10</f>
        <v>9375</v>
      </c>
      <c r="EF2" s="345">
        <f>'[2]basic allocation'!$I$10</f>
        <v>938</v>
      </c>
      <c r="EG2" s="345">
        <f>'[2]basic allocation'!$J$10</f>
        <v>703</v>
      </c>
      <c r="EH2" s="345">
        <f>'[2]basic allocation'!$K$10</f>
        <v>469</v>
      </c>
      <c r="EI2" s="345">
        <f>'[2]basic allocation'!$L$10</f>
        <v>234</v>
      </c>
      <c r="EJ2" s="345">
        <f>'[2]basic allocation'!$M$10</f>
        <v>100</v>
      </c>
      <c r="EK2" s="345">
        <f>'[2]PBF Run'!$AT9</f>
        <v>0</v>
      </c>
      <c r="EM2" s="477"/>
    </row>
    <row r="3" spans="1:143">
      <c r="A3" s="476" t="s">
        <v>605</v>
      </c>
      <c r="B3" s="475" t="str">
        <f t="shared" ref="B3:B34" si="19">$B$2</f>
        <v>P1</v>
      </c>
      <c r="C3" s="346" t="s">
        <v>399</v>
      </c>
      <c r="D3" s="450" t="s">
        <v>398</v>
      </c>
      <c r="E3" s="449">
        <f>ROUND('[2]PBF Run'!N10,6)</f>
        <v>4636.4928399999999</v>
      </c>
      <c r="F3" s="340">
        <f t="shared" ref="F3:F34" si="20">F2</f>
        <v>4636.49</v>
      </c>
      <c r="G3" s="474">
        <f t="shared" ref="G3:G34" si="21">G2</f>
        <v>2788.0536374600001</v>
      </c>
      <c r="H3" s="473">
        <f t="shared" ref="H3:H34" si="22">H2</f>
        <v>2811.7520933800001</v>
      </c>
      <c r="I3" s="473">
        <f t="shared" ref="I3:I34" si="23">I2</f>
        <v>3282.8110613200001</v>
      </c>
      <c r="J3" s="473">
        <f t="shared" ref="J3:J34" si="24">J2</f>
        <v>3310.71495534</v>
      </c>
      <c r="K3" s="472">
        <f>ROUND([2]FTES!C10,3)</f>
        <v>10900.098</v>
      </c>
      <c r="L3" s="472">
        <f>ROUND([2]FTES!L10,3)</f>
        <v>0</v>
      </c>
      <c r="M3" s="472">
        <f>ROUND([2]FTES!U10,3)</f>
        <v>0</v>
      </c>
      <c r="N3" s="465">
        <f>ROUND([2]FTES!$D10,3)</f>
        <v>10900.098</v>
      </c>
      <c r="O3" s="465">
        <f>ROUND([2]FTES!$M10,3)</f>
        <v>0</v>
      </c>
      <c r="P3" s="465">
        <f>ROUND([2]FTES!$V10,3)</f>
        <v>0</v>
      </c>
      <c r="Q3" s="471">
        <f>'[2]FTES Adjustment'!BU10</f>
        <v>0</v>
      </c>
      <c r="R3" s="471">
        <f>'[2]FTES Adjustment'!BV10</f>
        <v>0</v>
      </c>
      <c r="S3" s="471">
        <f>'[2]FTES Adjustment'!BW10</f>
        <v>0</v>
      </c>
      <c r="T3" s="469">
        <f>ROUND('[2]Growth Deficit'!$AG10,3)</f>
        <v>0</v>
      </c>
      <c r="U3" s="469">
        <f>ROUND('[2]Growth Deficit'!$AH10,3)</f>
        <v>0</v>
      </c>
      <c r="V3" s="469">
        <f>ROUND('[2]Growth Deficit'!$AI10,3)</f>
        <v>0</v>
      </c>
      <c r="W3" s="470">
        <f>ROUND([2]FTES!I10,3)</f>
        <v>0</v>
      </c>
      <c r="X3" s="470">
        <f>ROUND([2]FTES!R10,3)</f>
        <v>0</v>
      </c>
      <c r="Y3" s="470">
        <f>ROUND([2]FTES!AA10,3)</f>
        <v>0</v>
      </c>
      <c r="Z3" s="469">
        <f>ROUND([2]FTES!E10,3)</f>
        <v>11292.81</v>
      </c>
      <c r="AA3" s="469">
        <f>ROUND([2]FTES!N10,3)</f>
        <v>0</v>
      </c>
      <c r="AB3" s="469">
        <f>ROUND([2]FTES!W10,3)</f>
        <v>0</v>
      </c>
      <c r="AC3" s="468">
        <f>'[2]FTES Adjustment'!CW10</f>
        <v>11292.810094</v>
      </c>
      <c r="AD3" s="468">
        <f>'[2]FTES Adjustment'!CX10</f>
        <v>0</v>
      </c>
      <c r="AE3" s="468">
        <f>'[2]FTES Adjustment'!CY10</f>
        <v>0</v>
      </c>
      <c r="AF3" s="467">
        <f>'[2]FTES Adjustment'!DQ10</f>
        <v>-9.4000000899541192E-5</v>
      </c>
      <c r="AG3" s="467">
        <f>'[2]FTES Adjustment'!DR10</f>
        <v>0</v>
      </c>
      <c r="AH3" s="467">
        <f>'[2]FTES Adjustment'!DS10</f>
        <v>0</v>
      </c>
      <c r="AI3" s="340">
        <f>'[2]FTES Adjustment'!$DX10</f>
        <v>0</v>
      </c>
      <c r="AJ3" s="340">
        <v>0</v>
      </c>
      <c r="AK3" s="340">
        <v>0</v>
      </c>
      <c r="AL3" s="465">
        <f>'[2]FTES Adjustment'!CG10</f>
        <v>392.71195</v>
      </c>
      <c r="AM3" s="465">
        <f>'[2]FTES Adjustment'!CH10</f>
        <v>0</v>
      </c>
      <c r="AN3" s="465">
        <f>'[2]FTES Adjustment'!CI10</f>
        <v>0</v>
      </c>
      <c r="AO3" s="463">
        <f t="shared" si="0"/>
        <v>10900.098</v>
      </c>
      <c r="AP3" s="463">
        <f t="shared" si="1"/>
        <v>10900.098</v>
      </c>
      <c r="AQ3" s="463">
        <f t="shared" si="2"/>
        <v>0</v>
      </c>
      <c r="AR3" s="463">
        <f t="shared" si="3"/>
        <v>0</v>
      </c>
      <c r="AS3" s="463">
        <f t="shared" si="4"/>
        <v>0</v>
      </c>
      <c r="AT3" s="463">
        <f t="shared" si="5"/>
        <v>11292.81</v>
      </c>
      <c r="AU3" s="463">
        <f t="shared" si="6"/>
        <v>11292.81</v>
      </c>
      <c r="AV3" s="464">
        <f t="shared" si="7"/>
        <v>0</v>
      </c>
      <c r="AW3" s="464">
        <f t="shared" si="8"/>
        <v>0</v>
      </c>
      <c r="AX3" s="464">
        <f t="shared" si="9"/>
        <v>392.71199999999999</v>
      </c>
      <c r="AY3" s="460">
        <f>'[2]PBF Run'!F10</f>
        <v>5622823</v>
      </c>
      <c r="AZ3" s="460">
        <f t="shared" si="10"/>
        <v>50538227</v>
      </c>
      <c r="BA3" s="460">
        <f>'[2]PBF Run'!J10 + '[2]PBF Run'!$L10</f>
        <v>50538227</v>
      </c>
      <c r="BB3" s="460">
        <f>'[2]PBF Run'!H10</f>
        <v>0</v>
      </c>
      <c r="BC3" s="460">
        <f>'[2]PBF Run'!I10</f>
        <v>0</v>
      </c>
      <c r="BD3" s="462">
        <v>0</v>
      </c>
      <c r="BE3" s="461">
        <f>'[2]Restoration and Growth'!BM10</f>
        <v>0</v>
      </c>
      <c r="BF3" s="460">
        <f t="shared" si="11"/>
        <v>56161050</v>
      </c>
      <c r="BG3" s="333" t="str">
        <f t="shared" ref="BG3:BG34" si="25">$BG$2</f>
        <v>0.85%</v>
      </c>
      <c r="BH3" s="459">
        <f>'[2]PBF Run'!O10</f>
        <v>477369</v>
      </c>
      <c r="BI3" s="459">
        <f t="shared" si="12"/>
        <v>56638419</v>
      </c>
      <c r="BJ3" s="458">
        <f>'[2]PBF Run'!AC10</f>
        <v>0</v>
      </c>
      <c r="BK3" s="458">
        <f>'[2]PBF Run'!$AD10</f>
        <v>0</v>
      </c>
      <c r="BL3" s="458">
        <f>'[2]PBF Run'!$T10</f>
        <v>0</v>
      </c>
      <c r="BM3" s="458">
        <f>'[2]PBF Run'!$S10</f>
        <v>1836283</v>
      </c>
      <c r="BN3" s="458">
        <f>'[2]13-14 $86M Workload Restore'!$P8</f>
        <v>0</v>
      </c>
      <c r="BO3" s="458">
        <f t="shared" si="13"/>
        <v>1836283</v>
      </c>
      <c r="BP3" s="478">
        <f>'[2]Restoration and Growth'!AA10</f>
        <v>0</v>
      </c>
      <c r="BQ3" s="478">
        <f>'[2]Restoration and Growth'!AB10</f>
        <v>0</v>
      </c>
      <c r="BR3" s="453">
        <f>'[2]Restoration and Growth'!BT10</f>
        <v>0</v>
      </c>
      <c r="BS3" s="453">
        <f>'[2]Growth Deficit'!$AO10</f>
        <v>0</v>
      </c>
      <c r="BT3" s="453">
        <f>'[2]Growth Deficit'!AO10</f>
        <v>0</v>
      </c>
      <c r="BU3" s="453">
        <f>'[2]Growth Deficit'!AL10</f>
        <v>0</v>
      </c>
      <c r="BV3" s="453">
        <f>'[2]Growth Deficit'!AM10</f>
        <v>0</v>
      </c>
      <c r="BW3" s="453">
        <f>'[2]Growth Deficit'!AN10</f>
        <v>0</v>
      </c>
      <c r="BX3" s="453">
        <f>'[2]Growth Deficit'!AO10</f>
        <v>0</v>
      </c>
      <c r="BY3" s="454">
        <f>'[2]PBF Run'!AA10</f>
        <v>0</v>
      </c>
      <c r="BZ3" s="454">
        <f>'[2]PBF Run'!AB10</f>
        <v>0</v>
      </c>
      <c r="CA3" s="454">
        <f>'[2]PBF Run'!AC10</f>
        <v>0</v>
      </c>
      <c r="CB3" s="454">
        <f t="shared" si="14"/>
        <v>0</v>
      </c>
      <c r="CC3" s="457">
        <f>'[2]PBF Run'!X10</f>
        <v>0</v>
      </c>
      <c r="CD3" s="456">
        <f>'[2]PBF Run'!AE10</f>
        <v>58474702</v>
      </c>
      <c r="CE3" s="337">
        <f t="shared" si="15"/>
        <v>0.98518542257812614</v>
      </c>
      <c r="CF3" s="455">
        <f>'[2]PBF Run'!AM10</f>
        <v>866278</v>
      </c>
      <c r="CG3" s="455">
        <f>'[2]PBF Run'!$AN10</f>
        <v>40127067</v>
      </c>
      <c r="CH3" s="455">
        <f>'[2]PBF Run'!$AO10</f>
        <v>0</v>
      </c>
      <c r="CI3" s="455">
        <f>'[2]PBF Run'!AJ10</f>
        <v>5995183</v>
      </c>
      <c r="CJ3" s="455">
        <f>'[2]PBF Run'!AI10</f>
        <v>2281628</v>
      </c>
      <c r="CK3" s="455">
        <f>'[2]PBF Run'!$AN10</f>
        <v>40127067</v>
      </c>
      <c r="CL3" s="455">
        <f>'[2]PBF Run'!AK10</f>
        <v>9204546</v>
      </c>
      <c r="CM3" s="455">
        <f t="shared" si="16"/>
        <v>57608424</v>
      </c>
      <c r="CN3" s="454">
        <f>'[2]PBF Run'!$AN10</f>
        <v>40127067</v>
      </c>
      <c r="CO3" s="454">
        <f>'[2]PBF Run'!BI10</f>
        <v>0</v>
      </c>
      <c r="CP3" s="339">
        <f>'[2]PBF Run'!BH10</f>
        <v>0</v>
      </c>
      <c r="CQ3" s="454">
        <f t="shared" ref="CQ3:CQ34" si="26">$CQ$2</f>
        <v>69532</v>
      </c>
      <c r="CR3" s="454">
        <f t="shared" si="17"/>
        <v>40127067</v>
      </c>
      <c r="CS3" s="453">
        <f>'[2]As of 13-14 R1'!BX10</f>
        <v>0</v>
      </c>
      <c r="CT3" s="453">
        <f>'[2]As of 13-14 R1'!BY10</f>
        <v>0</v>
      </c>
      <c r="CU3" s="453">
        <f>'[2]As of 13-14 R1'!BZ10</f>
        <v>0</v>
      </c>
      <c r="CV3" s="453">
        <f t="shared" si="18"/>
        <v>0</v>
      </c>
      <c r="CW3" s="342">
        <f>'[2]Growth Deficit'!$D$2</f>
        <v>0</v>
      </c>
      <c r="CX3" s="343">
        <f>IF($DL3="S",'[2]Foundation Grant'!C10,0)</f>
        <v>0</v>
      </c>
      <c r="CY3" s="343">
        <f>IF($DL3="S",'[2]Foundation Grant'!D10,0)</f>
        <v>1</v>
      </c>
      <c r="CZ3" s="343">
        <f>IF($DL3="S",'[2]Foundation Grant'!E10,0)</f>
        <v>0</v>
      </c>
      <c r="DA3" s="343">
        <f>IF($DL3="S",'[2]Foundation Grant'!F10,0)</f>
        <v>1</v>
      </c>
      <c r="DB3" s="343">
        <f>IF($DL3="M",'[2]Foundation Grant'!C10,0)</f>
        <v>0</v>
      </c>
      <c r="DC3" s="343">
        <f>IF($DL3="M",'[2]Foundation Grant'!D10,0)</f>
        <v>0</v>
      </c>
      <c r="DD3" s="343">
        <f>IF($DL3="M",'[2]Foundation Grant'!E10,0)</f>
        <v>0</v>
      </c>
      <c r="DE3" s="343">
        <f>IF($DL3="M",'[2]Foundation Grant'!F10,0)</f>
        <v>0</v>
      </c>
      <c r="DF3" s="343">
        <f>'[2]Foundation Grant'!G10</f>
        <v>1</v>
      </c>
      <c r="DG3" s="343">
        <f>'[2]Foundation Grant'!H10</f>
        <v>0</v>
      </c>
      <c r="DH3" s="343">
        <f>'[2]Foundation Grant'!I10</f>
        <v>0</v>
      </c>
      <c r="DI3" s="343">
        <f>'[2]Foundation Grant'!J10</f>
        <v>0</v>
      </c>
      <c r="DJ3" s="343">
        <f>'[2]Foundation Grant'!K10</f>
        <v>0</v>
      </c>
      <c r="DK3" s="452">
        <f>'[2]Foundation Grant'!L10</f>
        <v>1</v>
      </c>
      <c r="DL3" s="343" t="str">
        <f>'[2]Foundation Grant'!M10</f>
        <v>S</v>
      </c>
      <c r="DM3" s="343">
        <f>'[2]Foundation Grant'!N10</f>
        <v>5622823</v>
      </c>
      <c r="DN3" s="452">
        <f>'[2]Foundation Grant'!O10</f>
        <v>0</v>
      </c>
      <c r="DO3" s="452">
        <f>'[2]Foundation Grant'!P10</f>
        <v>0</v>
      </c>
      <c r="DP3" s="344">
        <f>'[2]Foundation Grant'!$C$1</f>
        <v>5622823</v>
      </c>
      <c r="DQ3" s="344">
        <f>'[2]Foundation Grant'!$D$1</f>
        <v>4498258</v>
      </c>
      <c r="DR3" s="344">
        <f>'[2]Foundation Grant'!$E$1</f>
        <v>3373694</v>
      </c>
      <c r="DS3" s="344">
        <f>'[2]Foundation Grant'!$C$2</f>
        <v>4498258</v>
      </c>
      <c r="DT3" s="344">
        <f>'[2]Foundation Grant'!$D$2</f>
        <v>3935976</v>
      </c>
      <c r="DU3" s="344">
        <f>'[2]Foundation Grant'!$E$2</f>
        <v>3373694</v>
      </c>
      <c r="DV3" s="344">
        <f>'[2]Foundation Grant'!$G$1</f>
        <v>1124565</v>
      </c>
      <c r="DW3" s="344">
        <f>'[2]Foundation Grant'!$H$1</f>
        <v>843423</v>
      </c>
      <c r="DX3" s="344">
        <f>'[2]Foundation Grant'!$I$1</f>
        <v>562282</v>
      </c>
      <c r="DY3" s="344">
        <f>'[2]Foundation Grant'!$J$1</f>
        <v>281141</v>
      </c>
      <c r="DZ3" s="344">
        <f>'[2]Foundation Grant'!$K$1</f>
        <v>140571</v>
      </c>
      <c r="EA3" s="344">
        <f>'[2]Foundation Grant'!$O$1</f>
        <v>562282</v>
      </c>
      <c r="EB3" s="344">
        <f>'[2]Foundation Grant'!$P$1</f>
        <v>1124565</v>
      </c>
      <c r="EC3" s="345">
        <f>'[2]basic allocation'!$C$10</f>
        <v>18749</v>
      </c>
      <c r="ED3" s="345">
        <f>'[2]basic allocation'!$D$10</f>
        <v>9375</v>
      </c>
      <c r="EE3" s="345">
        <f>'[2]basic allocation'!$E$10</f>
        <v>9375</v>
      </c>
      <c r="EF3" s="345">
        <f>'[2]basic allocation'!$I$10</f>
        <v>938</v>
      </c>
      <c r="EG3" s="345">
        <f>'[2]basic allocation'!$J$10</f>
        <v>703</v>
      </c>
      <c r="EH3" s="345">
        <f>'[2]basic allocation'!$K$10</f>
        <v>469</v>
      </c>
      <c r="EI3" s="345">
        <f>'[2]basic allocation'!$L$10</f>
        <v>234</v>
      </c>
      <c r="EJ3" s="345">
        <f>'[2]basic allocation'!$M$10</f>
        <v>100</v>
      </c>
      <c r="EK3" s="345">
        <f>'[2]PBF Run'!$AT10</f>
        <v>0</v>
      </c>
      <c r="EM3" s="477"/>
    </row>
    <row r="4" spans="1:143">
      <c r="A4" s="476" t="s">
        <v>605</v>
      </c>
      <c r="B4" s="475" t="str">
        <f t="shared" si="19"/>
        <v>P1</v>
      </c>
      <c r="C4" s="346" t="s">
        <v>397</v>
      </c>
      <c r="D4" s="450" t="s">
        <v>396</v>
      </c>
      <c r="E4" s="449">
        <f>ROUND('[2]PBF Run'!N11,6)</f>
        <v>4636.4928900000004</v>
      </c>
      <c r="F4" s="340">
        <f t="shared" si="20"/>
        <v>4636.49</v>
      </c>
      <c r="G4" s="474">
        <f t="shared" si="21"/>
        <v>2788.0536374600001</v>
      </c>
      <c r="H4" s="473">
        <f t="shared" si="22"/>
        <v>2811.7520933800001</v>
      </c>
      <c r="I4" s="473">
        <f t="shared" si="23"/>
        <v>3282.8110613200001</v>
      </c>
      <c r="J4" s="473">
        <f t="shared" si="24"/>
        <v>3310.71495534</v>
      </c>
      <c r="K4" s="472">
        <f>ROUND([2]FTES!C11,3)</f>
        <v>2350.018</v>
      </c>
      <c r="L4" s="472">
        <f>ROUND([2]FTES!L11,3)</f>
        <v>34.6</v>
      </c>
      <c r="M4" s="472">
        <f>ROUND([2]FTES!U11,3)</f>
        <v>0</v>
      </c>
      <c r="N4" s="465">
        <f>ROUND([2]FTES!$D11,3)</f>
        <v>2350.018</v>
      </c>
      <c r="O4" s="465">
        <f>ROUND([2]FTES!$M11,3)</f>
        <v>34.6</v>
      </c>
      <c r="P4" s="465">
        <f>ROUND([2]FTES!$V11,3)</f>
        <v>0</v>
      </c>
      <c r="Q4" s="471">
        <f>'[2]FTES Adjustment'!BU11</f>
        <v>0</v>
      </c>
      <c r="R4" s="471">
        <f>'[2]FTES Adjustment'!BV11</f>
        <v>0</v>
      </c>
      <c r="S4" s="471">
        <f>'[2]FTES Adjustment'!BW11</f>
        <v>0</v>
      </c>
      <c r="T4" s="469">
        <f>ROUND('[2]Growth Deficit'!$AG11,3)</f>
        <v>0</v>
      </c>
      <c r="U4" s="469">
        <f>ROUND('[2]Growth Deficit'!$AH11,3)</f>
        <v>0</v>
      </c>
      <c r="V4" s="469">
        <f>ROUND('[2]Growth Deficit'!$AI11,3)</f>
        <v>0</v>
      </c>
      <c r="W4" s="470">
        <f>ROUND([2]FTES!I11,3)</f>
        <v>0</v>
      </c>
      <c r="X4" s="470">
        <f>ROUND([2]FTES!R11,3)</f>
        <v>0</v>
      </c>
      <c r="Y4" s="470">
        <f>ROUND([2]FTES!AA11,3)</f>
        <v>0</v>
      </c>
      <c r="Z4" s="469">
        <f>ROUND([2]FTES!E11,3)</f>
        <v>2509.5100000000002</v>
      </c>
      <c r="AA4" s="469">
        <f>ROUND([2]FTES!N11,3)</f>
        <v>28.82</v>
      </c>
      <c r="AB4" s="469">
        <f>ROUND([2]FTES!W11,3)</f>
        <v>0</v>
      </c>
      <c r="AC4" s="468">
        <f>'[2]FTES Adjustment'!CW11</f>
        <v>2353.4939619999996</v>
      </c>
      <c r="AD4" s="468">
        <f>'[2]FTES Adjustment'!CX11</f>
        <v>28.82</v>
      </c>
      <c r="AE4" s="468">
        <f>'[2]FTES Adjustment'!CY11</f>
        <v>0</v>
      </c>
      <c r="AF4" s="467">
        <f>'[2]FTES Adjustment'!DQ11</f>
        <v>156.01603800000066</v>
      </c>
      <c r="AG4" s="467">
        <f>'[2]FTES Adjustment'!DR11</f>
        <v>0</v>
      </c>
      <c r="AH4" s="467">
        <f>'[2]FTES Adjustment'!DS11</f>
        <v>0</v>
      </c>
      <c r="AI4" s="340">
        <f>'[2]FTES Adjustment'!$DX11</f>
        <v>0</v>
      </c>
      <c r="AJ4" s="340">
        <v>0</v>
      </c>
      <c r="AK4" s="340">
        <v>0</v>
      </c>
      <c r="AL4" s="465">
        <f>'[2]FTES Adjustment'!CG11</f>
        <v>3.475692</v>
      </c>
      <c r="AM4" s="465">
        <f>'[2]FTES Adjustment'!CH11</f>
        <v>-5.7800000000000011</v>
      </c>
      <c r="AN4" s="465">
        <f>'[2]FTES Adjustment'!CI11</f>
        <v>0</v>
      </c>
      <c r="AO4" s="463">
        <f t="shared" si="0"/>
        <v>2384.6179999999999</v>
      </c>
      <c r="AP4" s="463">
        <f t="shared" si="1"/>
        <v>2384.6179999999999</v>
      </c>
      <c r="AQ4" s="463">
        <f t="shared" si="2"/>
        <v>0</v>
      </c>
      <c r="AR4" s="463">
        <f t="shared" si="3"/>
        <v>0</v>
      </c>
      <c r="AS4" s="463">
        <f t="shared" si="4"/>
        <v>0</v>
      </c>
      <c r="AT4" s="463">
        <f t="shared" si="5"/>
        <v>2538.33</v>
      </c>
      <c r="AU4" s="463">
        <f t="shared" si="6"/>
        <v>2382.3139999999999</v>
      </c>
      <c r="AV4" s="464">
        <f t="shared" si="7"/>
        <v>156.01599999999999</v>
      </c>
      <c r="AW4" s="464">
        <f t="shared" si="8"/>
        <v>0</v>
      </c>
      <c r="AX4" s="464">
        <f t="shared" si="9"/>
        <v>-2.3039999999999998</v>
      </c>
      <c r="AY4" s="460">
        <f>'[2]PBF Run'!F11</f>
        <v>3935976</v>
      </c>
      <c r="AZ4" s="460">
        <f t="shared" si="10"/>
        <v>10992310</v>
      </c>
      <c r="BA4" s="460">
        <f>'[2]PBF Run'!J11 + '[2]PBF Run'!$L11</f>
        <v>10895843</v>
      </c>
      <c r="BB4" s="460">
        <f>'[2]PBF Run'!H11</f>
        <v>96467</v>
      </c>
      <c r="BC4" s="460">
        <f>'[2]PBF Run'!I11</f>
        <v>0</v>
      </c>
      <c r="BD4" s="462">
        <v>0</v>
      </c>
      <c r="BE4" s="461">
        <f>'[2]Restoration and Growth'!BM11</f>
        <v>0</v>
      </c>
      <c r="BF4" s="460">
        <f t="shared" si="11"/>
        <v>14928286</v>
      </c>
      <c r="BG4" s="333" t="str">
        <f t="shared" si="25"/>
        <v>0.85%</v>
      </c>
      <c r="BH4" s="459">
        <f>'[2]PBF Run'!O11</f>
        <v>126890</v>
      </c>
      <c r="BI4" s="459">
        <f t="shared" si="12"/>
        <v>15055176</v>
      </c>
      <c r="BJ4" s="458">
        <f>'[2]PBF Run'!AC11</f>
        <v>0</v>
      </c>
      <c r="BK4" s="458">
        <f>'[2]PBF Run'!$AD11</f>
        <v>0</v>
      </c>
      <c r="BL4" s="458">
        <f>'[2]PBF Run'!$T11</f>
        <v>0</v>
      </c>
      <c r="BM4" s="458">
        <f>'[2]PBF Run'!$S11</f>
        <v>0</v>
      </c>
      <c r="BN4" s="458">
        <f>'[2]13-14 $86M Workload Restore'!$P9</f>
        <v>0</v>
      </c>
      <c r="BO4" s="458">
        <f t="shared" si="13"/>
        <v>0</v>
      </c>
      <c r="BP4" s="478">
        <f>'[2]Restoration and Growth'!AA11</f>
        <v>0</v>
      </c>
      <c r="BQ4" s="478">
        <f>'[2]Restoration and Growth'!AB11</f>
        <v>0</v>
      </c>
      <c r="BR4" s="453">
        <f>'[2]Restoration and Growth'!BT11</f>
        <v>0</v>
      </c>
      <c r="BS4" s="453">
        <f>'[2]Growth Deficit'!$AO11</f>
        <v>0</v>
      </c>
      <c r="BT4" s="453">
        <f>'[2]Growth Deficit'!AO11</f>
        <v>0</v>
      </c>
      <c r="BU4" s="453">
        <f>'[2]Growth Deficit'!AL11</f>
        <v>0</v>
      </c>
      <c r="BV4" s="453">
        <f>'[2]Growth Deficit'!AM11</f>
        <v>0</v>
      </c>
      <c r="BW4" s="453">
        <f>'[2]Growth Deficit'!AN11</f>
        <v>0</v>
      </c>
      <c r="BX4" s="453">
        <f>'[2]Growth Deficit'!AO11</f>
        <v>0</v>
      </c>
      <c r="BY4" s="454">
        <f>'[2]PBF Run'!AA11</f>
        <v>0</v>
      </c>
      <c r="BZ4" s="454">
        <f>'[2]PBF Run'!AB11</f>
        <v>0</v>
      </c>
      <c r="CA4" s="454">
        <f>'[2]PBF Run'!AC11</f>
        <v>0</v>
      </c>
      <c r="CB4" s="454">
        <f t="shared" si="14"/>
        <v>0</v>
      </c>
      <c r="CC4" s="457">
        <f>'[2]PBF Run'!X11</f>
        <v>0</v>
      </c>
      <c r="CD4" s="456">
        <f>'[2]PBF Run'!AE11</f>
        <v>15055176</v>
      </c>
      <c r="CE4" s="337">
        <f t="shared" si="15"/>
        <v>0.98518542725770852</v>
      </c>
      <c r="CF4" s="455">
        <f>'[2]PBF Run'!AM11</f>
        <v>223036</v>
      </c>
      <c r="CG4" s="455">
        <f>'[2]PBF Run'!$AN11</f>
        <v>9034270</v>
      </c>
      <c r="CH4" s="455">
        <f>'[2]PBF Run'!$AO11</f>
        <v>0</v>
      </c>
      <c r="CI4" s="455">
        <f>'[2]PBF Run'!AJ11</f>
        <v>2935542</v>
      </c>
      <c r="CJ4" s="455">
        <f>'[2]PBF Run'!AI11</f>
        <v>473881</v>
      </c>
      <c r="CK4" s="455">
        <f>'[2]PBF Run'!$AN11</f>
        <v>9034270</v>
      </c>
      <c r="CL4" s="455">
        <f>'[2]PBF Run'!AK11</f>
        <v>2388447</v>
      </c>
      <c r="CM4" s="455">
        <f t="shared" si="16"/>
        <v>14832140</v>
      </c>
      <c r="CN4" s="454">
        <f>'[2]PBF Run'!$AN11</f>
        <v>9034270</v>
      </c>
      <c r="CO4" s="454">
        <f>'[2]PBF Run'!BI11</f>
        <v>0</v>
      </c>
      <c r="CP4" s="339">
        <f>'[2]PBF Run'!BH11</f>
        <v>0</v>
      </c>
      <c r="CQ4" s="454">
        <f t="shared" si="26"/>
        <v>69532</v>
      </c>
      <c r="CR4" s="454">
        <f t="shared" si="17"/>
        <v>9034270</v>
      </c>
      <c r="CS4" s="453">
        <f>'[2]As of 13-14 R1'!BX11</f>
        <v>0</v>
      </c>
      <c r="CT4" s="453">
        <f>'[2]As of 13-14 R1'!BY11</f>
        <v>0</v>
      </c>
      <c r="CU4" s="453">
        <f>'[2]As of 13-14 R1'!BZ11</f>
        <v>0</v>
      </c>
      <c r="CV4" s="453">
        <f t="shared" si="18"/>
        <v>0</v>
      </c>
      <c r="CW4" s="342">
        <f>'[2]Growth Deficit'!$D$2</f>
        <v>0</v>
      </c>
      <c r="CX4" s="343">
        <f>IF($DL4="S",'[2]Foundation Grant'!C11,0)</f>
        <v>0</v>
      </c>
      <c r="CY4" s="343">
        <f>IF($DL4="S",'[2]Foundation Grant'!D11,0)</f>
        <v>0</v>
      </c>
      <c r="CZ4" s="343">
        <f>IF($DL4="S",'[2]Foundation Grant'!E11,0)</f>
        <v>1</v>
      </c>
      <c r="DA4" s="343">
        <f>IF($DL4="S",'[2]Foundation Grant'!F11,0)</f>
        <v>1</v>
      </c>
      <c r="DB4" s="343">
        <f>IF($DL4="M",'[2]Foundation Grant'!C11,0)</f>
        <v>0</v>
      </c>
      <c r="DC4" s="343">
        <f>IF($DL4="M",'[2]Foundation Grant'!D11,0)</f>
        <v>0</v>
      </c>
      <c r="DD4" s="343">
        <f>IF($DL4="M",'[2]Foundation Grant'!E11,0)</f>
        <v>0</v>
      </c>
      <c r="DE4" s="343">
        <f>IF($DL4="M",'[2]Foundation Grant'!F11,0)</f>
        <v>0</v>
      </c>
      <c r="DF4" s="343">
        <f>'[2]Foundation Grant'!G11</f>
        <v>0</v>
      </c>
      <c r="DG4" s="343">
        <f>'[2]Foundation Grant'!H11</f>
        <v>0</v>
      </c>
      <c r="DH4" s="343">
        <f>'[2]Foundation Grant'!I11</f>
        <v>0</v>
      </c>
      <c r="DI4" s="343">
        <f>'[2]Foundation Grant'!J11</f>
        <v>0</v>
      </c>
      <c r="DJ4" s="343">
        <f>'[2]Foundation Grant'!K11</f>
        <v>0</v>
      </c>
      <c r="DK4" s="452">
        <f>'[2]Foundation Grant'!L11</f>
        <v>0</v>
      </c>
      <c r="DL4" s="343" t="str">
        <f>'[2]Foundation Grant'!M11</f>
        <v>S</v>
      </c>
      <c r="DM4" s="343">
        <f>'[2]Foundation Grant'!N11</f>
        <v>3935976</v>
      </c>
      <c r="DN4" s="452">
        <f>'[2]Foundation Grant'!O11</f>
        <v>1</v>
      </c>
      <c r="DO4" s="452">
        <f>'[2]Foundation Grant'!P11</f>
        <v>0</v>
      </c>
      <c r="DP4" s="344">
        <f>'[2]Foundation Grant'!$C$1</f>
        <v>5622823</v>
      </c>
      <c r="DQ4" s="344">
        <f>'[2]Foundation Grant'!$D$1</f>
        <v>4498258</v>
      </c>
      <c r="DR4" s="344">
        <f>'[2]Foundation Grant'!$E$1</f>
        <v>3373694</v>
      </c>
      <c r="DS4" s="344">
        <f>'[2]Foundation Grant'!$C$2</f>
        <v>4498258</v>
      </c>
      <c r="DT4" s="344">
        <f>'[2]Foundation Grant'!$D$2</f>
        <v>3935976</v>
      </c>
      <c r="DU4" s="344">
        <f>'[2]Foundation Grant'!$E$2</f>
        <v>3373694</v>
      </c>
      <c r="DV4" s="344">
        <f>'[2]Foundation Grant'!$G$1</f>
        <v>1124565</v>
      </c>
      <c r="DW4" s="344">
        <f>'[2]Foundation Grant'!$H$1</f>
        <v>843423</v>
      </c>
      <c r="DX4" s="344">
        <f>'[2]Foundation Grant'!$I$1</f>
        <v>562282</v>
      </c>
      <c r="DY4" s="344">
        <f>'[2]Foundation Grant'!$J$1</f>
        <v>281141</v>
      </c>
      <c r="DZ4" s="344">
        <f>'[2]Foundation Grant'!$K$1</f>
        <v>140571</v>
      </c>
      <c r="EA4" s="344">
        <f>'[2]Foundation Grant'!$O$1</f>
        <v>562282</v>
      </c>
      <c r="EB4" s="344">
        <f>'[2]Foundation Grant'!$P$1</f>
        <v>1124565</v>
      </c>
      <c r="EC4" s="345">
        <f>'[2]basic allocation'!$C$10</f>
        <v>18749</v>
      </c>
      <c r="ED4" s="345">
        <f>'[2]basic allocation'!$D$10</f>
        <v>9375</v>
      </c>
      <c r="EE4" s="345">
        <f>'[2]basic allocation'!$E$10</f>
        <v>9375</v>
      </c>
      <c r="EF4" s="345">
        <f>'[2]basic allocation'!$I$10</f>
        <v>938</v>
      </c>
      <c r="EG4" s="345">
        <f>'[2]basic allocation'!$J$10</f>
        <v>703</v>
      </c>
      <c r="EH4" s="345">
        <f>'[2]basic allocation'!$K$10</f>
        <v>469</v>
      </c>
      <c r="EI4" s="345">
        <f>'[2]basic allocation'!$L$10</f>
        <v>234</v>
      </c>
      <c r="EJ4" s="345">
        <f>'[2]basic allocation'!$M$10</f>
        <v>100</v>
      </c>
      <c r="EK4" s="345">
        <f>'[2]PBF Run'!$AT11</f>
        <v>0</v>
      </c>
      <c r="EM4" s="477"/>
    </row>
    <row r="5" spans="1:143">
      <c r="A5" s="476" t="s">
        <v>605</v>
      </c>
      <c r="B5" s="475" t="str">
        <f t="shared" si="19"/>
        <v>P1</v>
      </c>
      <c r="C5" s="346" t="s">
        <v>395</v>
      </c>
      <c r="D5" s="450" t="s">
        <v>394</v>
      </c>
      <c r="E5" s="449">
        <f>ROUND('[2]PBF Run'!N12,6)</f>
        <v>4636.4928659999996</v>
      </c>
      <c r="F5" s="340">
        <f t="shared" si="20"/>
        <v>4636.49</v>
      </c>
      <c r="G5" s="474">
        <f t="shared" si="21"/>
        <v>2788.0536374600001</v>
      </c>
      <c r="H5" s="473">
        <f t="shared" si="22"/>
        <v>2811.7520933800001</v>
      </c>
      <c r="I5" s="473">
        <f t="shared" si="23"/>
        <v>3282.8110613200001</v>
      </c>
      <c r="J5" s="473">
        <f t="shared" si="24"/>
        <v>3310.71495534</v>
      </c>
      <c r="K5" s="472">
        <f>ROUND([2]FTES!C12,3)</f>
        <v>10107.219999999999</v>
      </c>
      <c r="L5" s="472">
        <f>ROUND([2]FTES!L12,3)</f>
        <v>1012.38</v>
      </c>
      <c r="M5" s="472">
        <f>ROUND([2]FTES!U12,3)</f>
        <v>23.35</v>
      </c>
      <c r="N5" s="465">
        <f>ROUND([2]FTES!$D12,3)</f>
        <v>10107.219999999999</v>
      </c>
      <c r="O5" s="465">
        <f>ROUND([2]FTES!$M12,3)</f>
        <v>1012.38</v>
      </c>
      <c r="P5" s="465">
        <f>ROUND([2]FTES!$V12,3)</f>
        <v>23.35</v>
      </c>
      <c r="Q5" s="471">
        <f>'[2]FTES Adjustment'!BU12</f>
        <v>0</v>
      </c>
      <c r="R5" s="471">
        <f>'[2]FTES Adjustment'!BV12</f>
        <v>0</v>
      </c>
      <c r="S5" s="471">
        <f>'[2]FTES Adjustment'!BW12</f>
        <v>0</v>
      </c>
      <c r="T5" s="469">
        <f>ROUND('[2]Growth Deficit'!$AG12,3)</f>
        <v>0</v>
      </c>
      <c r="U5" s="469">
        <f>ROUND('[2]Growth Deficit'!$AH12,3)</f>
        <v>0</v>
      </c>
      <c r="V5" s="469">
        <f>ROUND('[2]Growth Deficit'!$AI12,3)</f>
        <v>0</v>
      </c>
      <c r="W5" s="470">
        <f>ROUND([2]FTES!I12,3)</f>
        <v>-474.9</v>
      </c>
      <c r="X5" s="470">
        <f>ROUND([2]FTES!R12,3)</f>
        <v>174.43</v>
      </c>
      <c r="Y5" s="470">
        <f>ROUND([2]FTES!AA12,3)</f>
        <v>-7.2</v>
      </c>
      <c r="Z5" s="469">
        <f>ROUND([2]FTES!E12,3)</f>
        <v>9632.32</v>
      </c>
      <c r="AA5" s="469">
        <f>ROUND([2]FTES!N12,3)</f>
        <v>1186.81</v>
      </c>
      <c r="AB5" s="469">
        <f>ROUND([2]FTES!W12,3)</f>
        <v>16.149999999999999</v>
      </c>
      <c r="AC5" s="468">
        <f>'[2]FTES Adjustment'!CW12</f>
        <v>9632.3200000000015</v>
      </c>
      <c r="AD5" s="468">
        <f>'[2]FTES Adjustment'!CX12</f>
        <v>1186.81</v>
      </c>
      <c r="AE5" s="468">
        <f>'[2]FTES Adjustment'!CY12</f>
        <v>16.150000000000002</v>
      </c>
      <c r="AF5" s="467">
        <f>'[2]FTES Adjustment'!DQ12</f>
        <v>0</v>
      </c>
      <c r="AG5" s="467">
        <f>'[2]FTES Adjustment'!DR12</f>
        <v>0</v>
      </c>
      <c r="AH5" s="467">
        <f>'[2]FTES Adjustment'!DS12</f>
        <v>0</v>
      </c>
      <c r="AI5" s="340">
        <f>'[2]FTES Adjustment'!$DX12</f>
        <v>0</v>
      </c>
      <c r="AJ5" s="340">
        <v>0</v>
      </c>
      <c r="AK5" s="340">
        <v>0</v>
      </c>
      <c r="AL5" s="465">
        <f>'[2]FTES Adjustment'!CG12</f>
        <v>0</v>
      </c>
      <c r="AM5" s="465">
        <f>'[2]FTES Adjustment'!CH12</f>
        <v>0</v>
      </c>
      <c r="AN5" s="465">
        <f>'[2]FTES Adjustment'!CI12</f>
        <v>0</v>
      </c>
      <c r="AO5" s="463">
        <f t="shared" si="0"/>
        <v>11142.95</v>
      </c>
      <c r="AP5" s="463">
        <f t="shared" si="1"/>
        <v>11142.95</v>
      </c>
      <c r="AQ5" s="463">
        <f t="shared" si="2"/>
        <v>0</v>
      </c>
      <c r="AR5" s="463">
        <f t="shared" si="3"/>
        <v>0</v>
      </c>
      <c r="AS5" s="463">
        <f t="shared" si="4"/>
        <v>-307.67</v>
      </c>
      <c r="AT5" s="463">
        <f t="shared" si="5"/>
        <v>10835.28</v>
      </c>
      <c r="AU5" s="463">
        <f t="shared" si="6"/>
        <v>10835.28</v>
      </c>
      <c r="AV5" s="464">
        <f t="shared" si="7"/>
        <v>0</v>
      </c>
      <c r="AW5" s="464">
        <f t="shared" si="8"/>
        <v>0</v>
      </c>
      <c r="AX5" s="464">
        <f t="shared" si="9"/>
        <v>0</v>
      </c>
      <c r="AY5" s="460">
        <f>'[2]PBF Run'!F12</f>
        <v>5622823</v>
      </c>
      <c r="AZ5" s="460">
        <f t="shared" si="10"/>
        <v>49761277</v>
      </c>
      <c r="BA5" s="460">
        <f>'[2]PBF Run'!J12 + '[2]PBF Run'!$L12</f>
        <v>46862053</v>
      </c>
      <c r="BB5" s="460">
        <f>'[2]PBF Run'!H12</f>
        <v>2822570</v>
      </c>
      <c r="BC5" s="460">
        <f>'[2]PBF Run'!I12</f>
        <v>76654</v>
      </c>
      <c r="BD5" s="462">
        <v>0</v>
      </c>
      <c r="BE5" s="461">
        <f>'[2]Restoration and Growth'!BM12</f>
        <v>-1739185.9196826972</v>
      </c>
      <c r="BF5" s="460">
        <f t="shared" si="11"/>
        <v>53644914.080317304</v>
      </c>
      <c r="BG5" s="333" t="str">
        <f t="shared" si="25"/>
        <v>0.85%</v>
      </c>
      <c r="BH5" s="459">
        <f>'[2]PBF Run'!O12</f>
        <v>455982</v>
      </c>
      <c r="BI5" s="459">
        <f t="shared" si="12"/>
        <v>54100896.080317304</v>
      </c>
      <c r="BJ5" s="458">
        <f>'[2]PBF Run'!AC12</f>
        <v>0</v>
      </c>
      <c r="BK5" s="458">
        <f>'[2]PBF Run'!$AD12</f>
        <v>0</v>
      </c>
      <c r="BL5" s="458">
        <f>'[2]PBF Run'!$T12</f>
        <v>0</v>
      </c>
      <c r="BM5" s="458">
        <f>'[2]PBF Run'!$S12</f>
        <v>0</v>
      </c>
      <c r="BN5" s="458">
        <f>'[2]13-14 $86M Workload Restore'!$P10</f>
        <v>0</v>
      </c>
      <c r="BO5" s="458">
        <f t="shared" si="13"/>
        <v>0</v>
      </c>
      <c r="BP5" s="478">
        <f>'[2]Restoration and Growth'!AA12</f>
        <v>0</v>
      </c>
      <c r="BQ5" s="478">
        <f>'[2]Restoration and Growth'!AB12</f>
        <v>0</v>
      </c>
      <c r="BR5" s="453">
        <f>'[2]Restoration and Growth'!BT12</f>
        <v>0</v>
      </c>
      <c r="BS5" s="453">
        <f>'[2]Growth Deficit'!$AO12</f>
        <v>0</v>
      </c>
      <c r="BT5" s="453">
        <f>'[2]Growth Deficit'!AO12</f>
        <v>0</v>
      </c>
      <c r="BU5" s="453">
        <f>'[2]Growth Deficit'!AL12</f>
        <v>0</v>
      </c>
      <c r="BV5" s="453">
        <f>'[2]Growth Deficit'!AM12</f>
        <v>0</v>
      </c>
      <c r="BW5" s="453">
        <f>'[2]Growth Deficit'!AN12</f>
        <v>0</v>
      </c>
      <c r="BX5" s="453">
        <f>'[2]Growth Deficit'!AO12</f>
        <v>0</v>
      </c>
      <c r="BY5" s="454">
        <f>'[2]PBF Run'!AA12</f>
        <v>0</v>
      </c>
      <c r="BZ5" s="454">
        <f>'[2]PBF Run'!AB12</f>
        <v>0</v>
      </c>
      <c r="CA5" s="454">
        <f>'[2]PBF Run'!AC12</f>
        <v>0</v>
      </c>
      <c r="CB5" s="454">
        <f t="shared" si="14"/>
        <v>0</v>
      </c>
      <c r="CC5" s="457">
        <f>'[2]PBF Run'!X12</f>
        <v>1753969</v>
      </c>
      <c r="CD5" s="456">
        <f>'[2]PBF Run'!AE12</f>
        <v>55854865</v>
      </c>
      <c r="CE5" s="337">
        <f t="shared" si="15"/>
        <v>0.98518542655147412</v>
      </c>
      <c r="CF5" s="455">
        <f>'[2]PBF Run'!AM12</f>
        <v>827466</v>
      </c>
      <c r="CG5" s="455">
        <f>'[2]PBF Run'!$AN12</f>
        <v>31260791</v>
      </c>
      <c r="CH5" s="455">
        <f>'[2]PBF Run'!$AO12</f>
        <v>0</v>
      </c>
      <c r="CI5" s="455">
        <f>'[2]PBF Run'!AJ12</f>
        <v>12147799</v>
      </c>
      <c r="CJ5" s="455">
        <f>'[2]PBF Run'!AI12</f>
        <v>2953442</v>
      </c>
      <c r="CK5" s="455">
        <f>'[2]PBF Run'!$AN12</f>
        <v>31260791</v>
      </c>
      <c r="CL5" s="455">
        <f>'[2]PBF Run'!AK12</f>
        <v>8665367</v>
      </c>
      <c r="CM5" s="455">
        <f t="shared" si="16"/>
        <v>55027399</v>
      </c>
      <c r="CN5" s="454">
        <f>'[2]PBF Run'!$AN12</f>
        <v>31260791</v>
      </c>
      <c r="CO5" s="454">
        <f>'[2]PBF Run'!BI12</f>
        <v>0</v>
      </c>
      <c r="CP5" s="339">
        <f>'[2]PBF Run'!BH12</f>
        <v>0</v>
      </c>
      <c r="CQ5" s="454">
        <f t="shared" si="26"/>
        <v>69532</v>
      </c>
      <c r="CR5" s="454">
        <f t="shared" si="17"/>
        <v>31260791</v>
      </c>
      <c r="CS5" s="453">
        <f>'[2]As of 13-14 R1'!BX12</f>
        <v>0</v>
      </c>
      <c r="CT5" s="453">
        <f>'[2]As of 13-14 R1'!BY12</f>
        <v>0</v>
      </c>
      <c r="CU5" s="453">
        <f>'[2]As of 13-14 R1'!BZ12</f>
        <v>0</v>
      </c>
      <c r="CV5" s="453">
        <f t="shared" si="18"/>
        <v>0</v>
      </c>
      <c r="CW5" s="342">
        <f>'[2]Growth Deficit'!$D$2</f>
        <v>0</v>
      </c>
      <c r="CX5" s="343">
        <f>IF($DL5="S",'[2]Foundation Grant'!C12,0)</f>
        <v>0</v>
      </c>
      <c r="CY5" s="343">
        <f>IF($DL5="S",'[2]Foundation Grant'!D12,0)</f>
        <v>1</v>
      </c>
      <c r="CZ5" s="343">
        <f>IF($DL5="S",'[2]Foundation Grant'!E12,0)</f>
        <v>0</v>
      </c>
      <c r="DA5" s="343">
        <f>IF($DL5="S",'[2]Foundation Grant'!F12,0)</f>
        <v>1</v>
      </c>
      <c r="DB5" s="343">
        <f>IF($DL5="M",'[2]Foundation Grant'!C12,0)</f>
        <v>0</v>
      </c>
      <c r="DC5" s="343">
        <f>IF($DL5="M",'[2]Foundation Grant'!D12,0)</f>
        <v>0</v>
      </c>
      <c r="DD5" s="343">
        <f>IF($DL5="M",'[2]Foundation Grant'!E12,0)</f>
        <v>0</v>
      </c>
      <c r="DE5" s="343">
        <f>IF($DL5="M",'[2]Foundation Grant'!F12,0)</f>
        <v>0</v>
      </c>
      <c r="DF5" s="343">
        <f>'[2]Foundation Grant'!G12</f>
        <v>0</v>
      </c>
      <c r="DG5" s="343">
        <f>'[2]Foundation Grant'!H12</f>
        <v>0</v>
      </c>
      <c r="DH5" s="343">
        <f>'[2]Foundation Grant'!I12</f>
        <v>0</v>
      </c>
      <c r="DI5" s="343">
        <f>'[2]Foundation Grant'!J12</f>
        <v>0</v>
      </c>
      <c r="DJ5" s="343">
        <f>'[2]Foundation Grant'!K12</f>
        <v>0</v>
      </c>
      <c r="DK5" s="452">
        <f>'[2]Foundation Grant'!L12</f>
        <v>0</v>
      </c>
      <c r="DL5" s="343" t="str">
        <f>'[2]Foundation Grant'!M12</f>
        <v>S</v>
      </c>
      <c r="DM5" s="343">
        <f>'[2]Foundation Grant'!N12</f>
        <v>5622823</v>
      </c>
      <c r="DN5" s="452">
        <f>'[2]Foundation Grant'!O12</f>
        <v>0</v>
      </c>
      <c r="DO5" s="452">
        <f>'[2]Foundation Grant'!P12</f>
        <v>1</v>
      </c>
      <c r="DP5" s="344">
        <f>'[2]Foundation Grant'!$C$1</f>
        <v>5622823</v>
      </c>
      <c r="DQ5" s="344">
        <f>'[2]Foundation Grant'!$D$1</f>
        <v>4498258</v>
      </c>
      <c r="DR5" s="344">
        <f>'[2]Foundation Grant'!$E$1</f>
        <v>3373694</v>
      </c>
      <c r="DS5" s="344">
        <f>'[2]Foundation Grant'!$C$2</f>
        <v>4498258</v>
      </c>
      <c r="DT5" s="344">
        <f>'[2]Foundation Grant'!$D$2</f>
        <v>3935976</v>
      </c>
      <c r="DU5" s="344">
        <f>'[2]Foundation Grant'!$E$2</f>
        <v>3373694</v>
      </c>
      <c r="DV5" s="344">
        <f>'[2]Foundation Grant'!$G$1</f>
        <v>1124565</v>
      </c>
      <c r="DW5" s="344">
        <f>'[2]Foundation Grant'!$H$1</f>
        <v>843423</v>
      </c>
      <c r="DX5" s="344">
        <f>'[2]Foundation Grant'!$I$1</f>
        <v>562282</v>
      </c>
      <c r="DY5" s="344">
        <f>'[2]Foundation Grant'!$J$1</f>
        <v>281141</v>
      </c>
      <c r="DZ5" s="344">
        <f>'[2]Foundation Grant'!$K$1</f>
        <v>140571</v>
      </c>
      <c r="EA5" s="344">
        <f>'[2]Foundation Grant'!$O$1</f>
        <v>562282</v>
      </c>
      <c r="EB5" s="344">
        <f>'[2]Foundation Grant'!$P$1</f>
        <v>1124565</v>
      </c>
      <c r="EC5" s="345">
        <f>'[2]basic allocation'!$C$10</f>
        <v>18749</v>
      </c>
      <c r="ED5" s="345">
        <f>'[2]basic allocation'!$D$10</f>
        <v>9375</v>
      </c>
      <c r="EE5" s="345">
        <f>'[2]basic allocation'!$E$10</f>
        <v>9375</v>
      </c>
      <c r="EF5" s="345">
        <f>'[2]basic allocation'!$I$10</f>
        <v>938</v>
      </c>
      <c r="EG5" s="345">
        <f>'[2]basic allocation'!$J$10</f>
        <v>703</v>
      </c>
      <c r="EH5" s="345">
        <f>'[2]basic allocation'!$K$10</f>
        <v>469</v>
      </c>
      <c r="EI5" s="345">
        <f>'[2]basic allocation'!$L$10</f>
        <v>234</v>
      </c>
      <c r="EJ5" s="345">
        <f>'[2]basic allocation'!$M$10</f>
        <v>100</v>
      </c>
      <c r="EK5" s="345">
        <f>'[2]PBF Run'!$AT12</f>
        <v>0</v>
      </c>
      <c r="EM5" s="477"/>
    </row>
    <row r="6" spans="1:143">
      <c r="A6" s="476" t="s">
        <v>605</v>
      </c>
      <c r="B6" s="475" t="str">
        <f t="shared" si="19"/>
        <v>P1</v>
      </c>
      <c r="C6" s="346" t="s">
        <v>393</v>
      </c>
      <c r="D6" s="450" t="s">
        <v>392</v>
      </c>
      <c r="E6" s="449">
        <f>ROUND('[2]PBF Run'!N13,6)</f>
        <v>4636.4928239999999</v>
      </c>
      <c r="F6" s="340">
        <f t="shared" si="20"/>
        <v>4636.49</v>
      </c>
      <c r="G6" s="474">
        <f t="shared" si="21"/>
        <v>2788.0536374600001</v>
      </c>
      <c r="H6" s="473">
        <f t="shared" si="22"/>
        <v>2811.7520933800001</v>
      </c>
      <c r="I6" s="473">
        <f t="shared" si="23"/>
        <v>3282.8110613200001</v>
      </c>
      <c r="J6" s="473">
        <f t="shared" si="24"/>
        <v>3310.71495534</v>
      </c>
      <c r="K6" s="472">
        <f>ROUND([2]FTES!C13,3)</f>
        <v>9955.19</v>
      </c>
      <c r="L6" s="472">
        <f>ROUND([2]FTES!L13,3)</f>
        <v>137.06</v>
      </c>
      <c r="M6" s="472">
        <f>ROUND([2]FTES!U13,3)</f>
        <v>0</v>
      </c>
      <c r="N6" s="465">
        <f>ROUND([2]FTES!$D13,3)</f>
        <v>9955.19</v>
      </c>
      <c r="O6" s="465">
        <f>ROUND([2]FTES!$M13,3)</f>
        <v>137.06</v>
      </c>
      <c r="P6" s="465">
        <f>ROUND([2]FTES!$V13,3)</f>
        <v>0</v>
      </c>
      <c r="Q6" s="471">
        <f>'[2]FTES Adjustment'!BU13</f>
        <v>755.591587</v>
      </c>
      <c r="R6" s="471">
        <f>'[2]FTES Adjustment'!BV13</f>
        <v>0</v>
      </c>
      <c r="S6" s="471">
        <f>'[2]FTES Adjustment'!BW13</f>
        <v>0</v>
      </c>
      <c r="T6" s="469">
        <f>ROUND('[2]Growth Deficit'!$AG13,3)</f>
        <v>0</v>
      </c>
      <c r="U6" s="469">
        <f>ROUND('[2]Growth Deficit'!$AH13,3)</f>
        <v>0</v>
      </c>
      <c r="V6" s="469">
        <f>ROUND('[2]Growth Deficit'!$AI13,3)</f>
        <v>0</v>
      </c>
      <c r="W6" s="470">
        <f>ROUND([2]FTES!I13,3)</f>
        <v>0</v>
      </c>
      <c r="X6" s="470">
        <f>ROUND([2]FTES!R13,3)</f>
        <v>0</v>
      </c>
      <c r="Y6" s="470">
        <f>ROUND([2]FTES!AA13,3)</f>
        <v>0</v>
      </c>
      <c r="Z6" s="469">
        <f>ROUND([2]FTES!E13,3)</f>
        <v>10733.14</v>
      </c>
      <c r="AA6" s="469">
        <f>ROUND([2]FTES!N13,3)</f>
        <v>154.24</v>
      </c>
      <c r="AB6" s="469">
        <f>ROUND([2]FTES!W13,3)</f>
        <v>0</v>
      </c>
      <c r="AC6" s="468">
        <f>'[2]FTES Adjustment'!CW13</f>
        <v>10733.140049</v>
      </c>
      <c r="AD6" s="468">
        <f>'[2]FTES Adjustment'!CX13</f>
        <v>154.24</v>
      </c>
      <c r="AE6" s="468">
        <f>'[2]FTES Adjustment'!CY13</f>
        <v>0</v>
      </c>
      <c r="AF6" s="467">
        <f>'[2]FTES Adjustment'!DQ13</f>
        <v>-4.9000000217347406E-5</v>
      </c>
      <c r="AG6" s="467">
        <f>'[2]FTES Adjustment'!DR13</f>
        <v>0</v>
      </c>
      <c r="AH6" s="467">
        <f>'[2]FTES Adjustment'!DS13</f>
        <v>0</v>
      </c>
      <c r="AI6" s="340">
        <f>'[2]FTES Adjustment'!$DX13</f>
        <v>0</v>
      </c>
      <c r="AJ6" s="340">
        <v>0</v>
      </c>
      <c r="AK6" s="340">
        <v>0</v>
      </c>
      <c r="AL6" s="465">
        <f>'[2]FTES Adjustment'!CG13</f>
        <v>22.358461999999999</v>
      </c>
      <c r="AM6" s="465">
        <f>'[2]FTES Adjustment'!CH13</f>
        <v>17.18</v>
      </c>
      <c r="AN6" s="465">
        <f>'[2]FTES Adjustment'!CI13</f>
        <v>0</v>
      </c>
      <c r="AO6" s="463">
        <f t="shared" si="0"/>
        <v>10092.25</v>
      </c>
      <c r="AP6" s="463">
        <f t="shared" si="1"/>
        <v>10092.25</v>
      </c>
      <c r="AQ6" s="463">
        <f t="shared" si="2"/>
        <v>755.59199999999998</v>
      </c>
      <c r="AR6" s="463">
        <f t="shared" si="3"/>
        <v>0</v>
      </c>
      <c r="AS6" s="463">
        <f t="shared" si="4"/>
        <v>0</v>
      </c>
      <c r="AT6" s="463">
        <f t="shared" si="5"/>
        <v>10887.38</v>
      </c>
      <c r="AU6" s="463">
        <f t="shared" si="6"/>
        <v>10887.38</v>
      </c>
      <c r="AV6" s="464">
        <f t="shared" si="7"/>
        <v>0</v>
      </c>
      <c r="AW6" s="464">
        <f t="shared" si="8"/>
        <v>0</v>
      </c>
      <c r="AX6" s="464">
        <f t="shared" si="9"/>
        <v>39.537999999999997</v>
      </c>
      <c r="AY6" s="460">
        <f>'[2]PBF Run'!F13</f>
        <v>5622823</v>
      </c>
      <c r="AZ6" s="460">
        <f t="shared" si="10"/>
        <v>46539298</v>
      </c>
      <c r="BA6" s="460">
        <f>'[2]PBF Run'!J13 + '[2]PBF Run'!$L13</f>
        <v>46157167</v>
      </c>
      <c r="BB6" s="460">
        <f>'[2]PBF Run'!H13</f>
        <v>382131</v>
      </c>
      <c r="BC6" s="460">
        <f>'[2]PBF Run'!I13</f>
        <v>0</v>
      </c>
      <c r="BD6" s="462">
        <v>0</v>
      </c>
      <c r="BE6" s="461">
        <f>'[2]Restoration and Growth'!BM13</f>
        <v>0</v>
      </c>
      <c r="BF6" s="460">
        <f t="shared" si="11"/>
        <v>52162121</v>
      </c>
      <c r="BG6" s="333" t="str">
        <f t="shared" si="25"/>
        <v>0.85%</v>
      </c>
      <c r="BH6" s="459">
        <f>'[2]PBF Run'!O13</f>
        <v>443378</v>
      </c>
      <c r="BI6" s="459">
        <f t="shared" si="12"/>
        <v>52605499</v>
      </c>
      <c r="BJ6" s="458">
        <f>'[2]PBF Run'!AC13</f>
        <v>0</v>
      </c>
      <c r="BK6" s="458">
        <f>'[2]PBF Run'!$AD13</f>
        <v>0</v>
      </c>
      <c r="BL6" s="458">
        <f>'[2]PBF Run'!$T13</f>
        <v>3533073</v>
      </c>
      <c r="BM6" s="458">
        <f>'[2]PBF Run'!$S13</f>
        <v>152852</v>
      </c>
      <c r="BN6" s="458">
        <f>'[2]13-14 $86M Workload Restore'!$P11</f>
        <v>0</v>
      </c>
      <c r="BO6" s="458">
        <f t="shared" si="13"/>
        <v>3685925</v>
      </c>
      <c r="BP6" s="478">
        <f>'[2]Restoration and Growth'!AA13</f>
        <v>0</v>
      </c>
      <c r="BQ6" s="478">
        <f>'[2]Restoration and Growth'!AB13</f>
        <v>0</v>
      </c>
      <c r="BR6" s="453">
        <f>'[2]Restoration and Growth'!BT13</f>
        <v>0</v>
      </c>
      <c r="BS6" s="453">
        <f>'[2]Growth Deficit'!$AO13</f>
        <v>0</v>
      </c>
      <c r="BT6" s="453">
        <f>'[2]Growth Deficit'!AO13</f>
        <v>0</v>
      </c>
      <c r="BU6" s="453">
        <f>'[2]Growth Deficit'!AL13</f>
        <v>0</v>
      </c>
      <c r="BV6" s="453">
        <f>'[2]Growth Deficit'!AM13</f>
        <v>0</v>
      </c>
      <c r="BW6" s="453">
        <f>'[2]Growth Deficit'!AN13</f>
        <v>0</v>
      </c>
      <c r="BX6" s="453">
        <f>'[2]Growth Deficit'!AO13</f>
        <v>0</v>
      </c>
      <c r="BY6" s="454">
        <f>'[2]PBF Run'!AA13</f>
        <v>0</v>
      </c>
      <c r="BZ6" s="454">
        <f>'[2]PBF Run'!AB13</f>
        <v>0</v>
      </c>
      <c r="CA6" s="454">
        <f>'[2]PBF Run'!AC13</f>
        <v>0</v>
      </c>
      <c r="CB6" s="454">
        <f t="shared" si="14"/>
        <v>0</v>
      </c>
      <c r="CC6" s="457">
        <f>'[2]PBF Run'!X13</f>
        <v>0</v>
      </c>
      <c r="CD6" s="456">
        <f>'[2]PBF Run'!AE13</f>
        <v>56291424</v>
      </c>
      <c r="CE6" s="337">
        <f t="shared" si="15"/>
        <v>0.98518541652099612</v>
      </c>
      <c r="CF6" s="455">
        <f>'[2]PBF Run'!AM13</f>
        <v>833934</v>
      </c>
      <c r="CG6" s="455">
        <f>'[2]PBF Run'!$AN13</f>
        <v>20735998</v>
      </c>
      <c r="CH6" s="455">
        <f>'[2]PBF Run'!$AO13</f>
        <v>0</v>
      </c>
      <c r="CI6" s="455">
        <f>'[2]PBF Run'!AJ13</f>
        <v>21938037</v>
      </c>
      <c r="CJ6" s="455">
        <f>'[2]PBF Run'!AI13</f>
        <v>4260712</v>
      </c>
      <c r="CK6" s="455">
        <f>'[2]PBF Run'!$AN13</f>
        <v>20735998</v>
      </c>
      <c r="CL6" s="455">
        <f>'[2]PBF Run'!AK13</f>
        <v>8522743</v>
      </c>
      <c r="CM6" s="455">
        <f t="shared" si="16"/>
        <v>55457490</v>
      </c>
      <c r="CN6" s="454">
        <f>'[2]PBF Run'!$AN13</f>
        <v>20735998</v>
      </c>
      <c r="CO6" s="454">
        <f>'[2]PBF Run'!BI13</f>
        <v>0</v>
      </c>
      <c r="CP6" s="339">
        <f>'[2]PBF Run'!BH13</f>
        <v>0</v>
      </c>
      <c r="CQ6" s="454">
        <f t="shared" si="26"/>
        <v>69532</v>
      </c>
      <c r="CR6" s="454">
        <f t="shared" si="17"/>
        <v>20735998</v>
      </c>
      <c r="CS6" s="453">
        <f>'[2]As of 13-14 R1'!BX13</f>
        <v>0</v>
      </c>
      <c r="CT6" s="453">
        <f>'[2]As of 13-14 R1'!BY13</f>
        <v>0</v>
      </c>
      <c r="CU6" s="453">
        <f>'[2]As of 13-14 R1'!BZ13</f>
        <v>3503295</v>
      </c>
      <c r="CV6" s="453">
        <f t="shared" si="18"/>
        <v>3503295</v>
      </c>
      <c r="CW6" s="342">
        <f>'[2]Growth Deficit'!$D$2</f>
        <v>0</v>
      </c>
      <c r="CX6" s="343">
        <f>IF($DL6="S",'[2]Foundation Grant'!C13,0)</f>
        <v>0</v>
      </c>
      <c r="CY6" s="343">
        <f>IF($DL6="S",'[2]Foundation Grant'!D13,0)</f>
        <v>1</v>
      </c>
      <c r="CZ6" s="343">
        <f>IF($DL6="S",'[2]Foundation Grant'!E13,0)</f>
        <v>0</v>
      </c>
      <c r="DA6" s="343">
        <f>IF($DL6="S",'[2]Foundation Grant'!F13,0)</f>
        <v>1</v>
      </c>
      <c r="DB6" s="343">
        <f>IF($DL6="M",'[2]Foundation Grant'!C13,0)</f>
        <v>0</v>
      </c>
      <c r="DC6" s="343">
        <f>IF($DL6="M",'[2]Foundation Grant'!D13,0)</f>
        <v>0</v>
      </c>
      <c r="DD6" s="343">
        <f>IF($DL6="M",'[2]Foundation Grant'!E13,0)</f>
        <v>0</v>
      </c>
      <c r="DE6" s="343">
        <f>IF($DL6="M",'[2]Foundation Grant'!F13,0)</f>
        <v>0</v>
      </c>
      <c r="DF6" s="343">
        <f>'[2]Foundation Grant'!G13</f>
        <v>0</v>
      </c>
      <c r="DG6" s="343">
        <f>'[2]Foundation Grant'!H13</f>
        <v>0</v>
      </c>
      <c r="DH6" s="343">
        <f>'[2]Foundation Grant'!I13</f>
        <v>0</v>
      </c>
      <c r="DI6" s="343">
        <f>'[2]Foundation Grant'!J13</f>
        <v>0</v>
      </c>
      <c r="DJ6" s="343">
        <f>'[2]Foundation Grant'!K13</f>
        <v>0</v>
      </c>
      <c r="DK6" s="452">
        <f>'[2]Foundation Grant'!L13</f>
        <v>0</v>
      </c>
      <c r="DL6" s="343" t="str">
        <f>'[2]Foundation Grant'!M13</f>
        <v>S</v>
      </c>
      <c r="DM6" s="343">
        <f>'[2]Foundation Grant'!N13</f>
        <v>5622823</v>
      </c>
      <c r="DN6" s="452">
        <f>'[2]Foundation Grant'!O13</f>
        <v>0</v>
      </c>
      <c r="DO6" s="452">
        <f>'[2]Foundation Grant'!P13</f>
        <v>1</v>
      </c>
      <c r="DP6" s="344">
        <f>'[2]Foundation Grant'!$C$1</f>
        <v>5622823</v>
      </c>
      <c r="DQ6" s="344">
        <f>'[2]Foundation Grant'!$D$1</f>
        <v>4498258</v>
      </c>
      <c r="DR6" s="344">
        <f>'[2]Foundation Grant'!$E$1</f>
        <v>3373694</v>
      </c>
      <c r="DS6" s="344">
        <f>'[2]Foundation Grant'!$C$2</f>
        <v>4498258</v>
      </c>
      <c r="DT6" s="344">
        <f>'[2]Foundation Grant'!$D$2</f>
        <v>3935976</v>
      </c>
      <c r="DU6" s="344">
        <f>'[2]Foundation Grant'!$E$2</f>
        <v>3373694</v>
      </c>
      <c r="DV6" s="344">
        <f>'[2]Foundation Grant'!$G$1</f>
        <v>1124565</v>
      </c>
      <c r="DW6" s="344">
        <f>'[2]Foundation Grant'!$H$1</f>
        <v>843423</v>
      </c>
      <c r="DX6" s="344">
        <f>'[2]Foundation Grant'!$I$1</f>
        <v>562282</v>
      </c>
      <c r="DY6" s="344">
        <f>'[2]Foundation Grant'!$J$1</f>
        <v>281141</v>
      </c>
      <c r="DZ6" s="344">
        <f>'[2]Foundation Grant'!$K$1</f>
        <v>140571</v>
      </c>
      <c r="EA6" s="344">
        <f>'[2]Foundation Grant'!$O$1</f>
        <v>562282</v>
      </c>
      <c r="EB6" s="344">
        <f>'[2]Foundation Grant'!$P$1</f>
        <v>1124565</v>
      </c>
      <c r="EC6" s="345">
        <f>'[2]basic allocation'!$C$10</f>
        <v>18749</v>
      </c>
      <c r="ED6" s="345">
        <f>'[2]basic allocation'!$D$10</f>
        <v>9375</v>
      </c>
      <c r="EE6" s="345">
        <f>'[2]basic allocation'!$E$10</f>
        <v>9375</v>
      </c>
      <c r="EF6" s="345">
        <f>'[2]basic allocation'!$I$10</f>
        <v>938</v>
      </c>
      <c r="EG6" s="345">
        <f>'[2]basic allocation'!$J$10</f>
        <v>703</v>
      </c>
      <c r="EH6" s="345">
        <f>'[2]basic allocation'!$K$10</f>
        <v>469</v>
      </c>
      <c r="EI6" s="345">
        <f>'[2]basic allocation'!$L$10</f>
        <v>234</v>
      </c>
      <c r="EJ6" s="345">
        <f>'[2]basic allocation'!$M$10</f>
        <v>100</v>
      </c>
      <c r="EK6" s="345">
        <f>'[2]PBF Run'!$AT13</f>
        <v>0</v>
      </c>
      <c r="EM6" s="477"/>
    </row>
    <row r="7" spans="1:143">
      <c r="A7" s="476" t="s">
        <v>605</v>
      </c>
      <c r="B7" s="475" t="str">
        <f t="shared" si="19"/>
        <v>P1</v>
      </c>
      <c r="C7" s="346" t="s">
        <v>391</v>
      </c>
      <c r="D7" s="450" t="s">
        <v>390</v>
      </c>
      <c r="E7" s="449">
        <f>ROUND('[2]PBF Run'!N14,6)</f>
        <v>4636.4928540000001</v>
      </c>
      <c r="F7" s="340">
        <f t="shared" si="20"/>
        <v>4636.49</v>
      </c>
      <c r="G7" s="474">
        <f t="shared" si="21"/>
        <v>2788.0536374600001</v>
      </c>
      <c r="H7" s="473">
        <f t="shared" si="22"/>
        <v>2811.7520933800001</v>
      </c>
      <c r="I7" s="473">
        <f t="shared" si="23"/>
        <v>3282.8110613200001</v>
      </c>
      <c r="J7" s="473">
        <f t="shared" si="24"/>
        <v>3310.71495534</v>
      </c>
      <c r="K7" s="472">
        <f>ROUND([2]FTES!C14,3)</f>
        <v>16014.784</v>
      </c>
      <c r="L7" s="472">
        <f>ROUND([2]FTES!L14,3)</f>
        <v>219.3</v>
      </c>
      <c r="M7" s="472">
        <f>ROUND([2]FTES!U14,3)</f>
        <v>198.1</v>
      </c>
      <c r="N7" s="465">
        <f>ROUND([2]FTES!$D14,3)</f>
        <v>16014.784</v>
      </c>
      <c r="O7" s="465">
        <f>ROUND([2]FTES!$M14,3)</f>
        <v>219.3</v>
      </c>
      <c r="P7" s="465">
        <f>ROUND([2]FTES!$V14,3)</f>
        <v>198.1</v>
      </c>
      <c r="Q7" s="471">
        <f>'[2]FTES Adjustment'!BU14</f>
        <v>0</v>
      </c>
      <c r="R7" s="471">
        <f>'[2]FTES Adjustment'!BV14</f>
        <v>0</v>
      </c>
      <c r="S7" s="471">
        <f>'[2]FTES Adjustment'!BW14</f>
        <v>0</v>
      </c>
      <c r="T7" s="469">
        <f>ROUND('[2]Growth Deficit'!$AG14,3)</f>
        <v>0</v>
      </c>
      <c r="U7" s="469">
        <f>ROUND('[2]Growth Deficit'!$AH14,3)</f>
        <v>0</v>
      </c>
      <c r="V7" s="469">
        <f>ROUND('[2]Growth Deficit'!$AI14,3)</f>
        <v>0</v>
      </c>
      <c r="W7" s="470">
        <f>ROUND([2]FTES!I14,3)</f>
        <v>0</v>
      </c>
      <c r="X7" s="470">
        <f>ROUND([2]FTES!R14,3)</f>
        <v>0</v>
      </c>
      <c r="Y7" s="470">
        <f>ROUND([2]FTES!AA14,3)</f>
        <v>0</v>
      </c>
      <c r="Z7" s="469">
        <f>ROUND([2]FTES!E14,3)</f>
        <v>17021.16</v>
      </c>
      <c r="AA7" s="469">
        <f>ROUND([2]FTES!N14,3)</f>
        <v>334.47</v>
      </c>
      <c r="AB7" s="469">
        <f>ROUND([2]FTES!W14,3)</f>
        <v>125.51</v>
      </c>
      <c r="AC7" s="468">
        <f>'[2]FTES Adjustment'!CW14</f>
        <v>16817.204492000001</v>
      </c>
      <c r="AD7" s="468">
        <f>'[2]FTES Adjustment'!CX14</f>
        <v>334.47</v>
      </c>
      <c r="AE7" s="468">
        <f>'[2]FTES Adjustment'!CY14</f>
        <v>125.51</v>
      </c>
      <c r="AF7" s="467">
        <f>'[2]FTES Adjustment'!DQ14</f>
        <v>203.9555079999991</v>
      </c>
      <c r="AG7" s="467">
        <f>'[2]FTES Adjustment'!DR14</f>
        <v>0</v>
      </c>
      <c r="AH7" s="467">
        <f>'[2]FTES Adjustment'!DS14</f>
        <v>0</v>
      </c>
      <c r="AI7" s="340">
        <f>'[2]FTES Adjustment'!$DX14</f>
        <v>0</v>
      </c>
      <c r="AJ7" s="340">
        <v>0</v>
      </c>
      <c r="AK7" s="340">
        <v>0</v>
      </c>
      <c r="AL7" s="465">
        <f>'[2]FTES Adjustment'!CG14</f>
        <v>802.420616</v>
      </c>
      <c r="AM7" s="465">
        <f>'[2]FTES Adjustment'!CH14</f>
        <v>115.17</v>
      </c>
      <c r="AN7" s="465">
        <f>'[2]FTES Adjustment'!CI14</f>
        <v>-72.589999999999989</v>
      </c>
      <c r="AO7" s="463">
        <f t="shared" si="0"/>
        <v>16432.184000000001</v>
      </c>
      <c r="AP7" s="463">
        <f t="shared" si="1"/>
        <v>16432.184000000001</v>
      </c>
      <c r="AQ7" s="463">
        <f t="shared" si="2"/>
        <v>0</v>
      </c>
      <c r="AR7" s="463">
        <f t="shared" si="3"/>
        <v>0</v>
      </c>
      <c r="AS7" s="463">
        <f t="shared" si="4"/>
        <v>0</v>
      </c>
      <c r="AT7" s="463">
        <f t="shared" si="5"/>
        <v>17481.14</v>
      </c>
      <c r="AU7" s="463">
        <f t="shared" si="6"/>
        <v>17277.184000000001</v>
      </c>
      <c r="AV7" s="464">
        <f t="shared" si="7"/>
        <v>203.95599999999999</v>
      </c>
      <c r="AW7" s="464">
        <f t="shared" si="8"/>
        <v>0</v>
      </c>
      <c r="AX7" s="464">
        <f t="shared" si="9"/>
        <v>845.00099999999998</v>
      </c>
      <c r="AY7" s="460">
        <f>'[2]PBF Run'!F14</f>
        <v>4498258</v>
      </c>
      <c r="AZ7" s="460">
        <f t="shared" si="10"/>
        <v>75514176</v>
      </c>
      <c r="BA7" s="460">
        <f>'[2]PBF Run'!J14 + '[2]PBF Run'!$L14</f>
        <v>74252431</v>
      </c>
      <c r="BB7" s="460">
        <f>'[2]PBF Run'!H14</f>
        <v>611420</v>
      </c>
      <c r="BC7" s="460">
        <f>'[2]PBF Run'!I14</f>
        <v>650325</v>
      </c>
      <c r="BD7" s="462">
        <v>0</v>
      </c>
      <c r="BE7" s="461">
        <f>'[2]Restoration and Growth'!BM14</f>
        <v>0</v>
      </c>
      <c r="BF7" s="460">
        <f t="shared" si="11"/>
        <v>80012434</v>
      </c>
      <c r="BG7" s="333" t="str">
        <f t="shared" si="25"/>
        <v>0.85%</v>
      </c>
      <c r="BH7" s="459">
        <f>'[2]PBF Run'!O14</f>
        <v>680106</v>
      </c>
      <c r="BI7" s="459">
        <f t="shared" si="12"/>
        <v>80692540</v>
      </c>
      <c r="BJ7" s="458">
        <f>'[2]PBF Run'!AC14</f>
        <v>0</v>
      </c>
      <c r="BK7" s="458">
        <f>'[2]PBF Run'!$AD14</f>
        <v>0</v>
      </c>
      <c r="BL7" s="458">
        <f>'[2]PBF Run'!$T14</f>
        <v>0</v>
      </c>
      <c r="BM7" s="458">
        <f>'[2]PBF Run'!$S14</f>
        <v>3835545</v>
      </c>
      <c r="BN7" s="458">
        <f>'[2]13-14 $86M Workload Restore'!$P12</f>
        <v>0</v>
      </c>
      <c r="BO7" s="458">
        <f t="shared" si="13"/>
        <v>3835545</v>
      </c>
      <c r="BP7" s="478">
        <f>'[2]Restoration and Growth'!AA14</f>
        <v>0</v>
      </c>
      <c r="BQ7" s="478">
        <f>'[2]Restoration and Growth'!AB14</f>
        <v>0</v>
      </c>
      <c r="BR7" s="453">
        <f>'[2]Restoration and Growth'!BT14</f>
        <v>0</v>
      </c>
      <c r="BS7" s="453">
        <f>'[2]Growth Deficit'!$AO14</f>
        <v>0</v>
      </c>
      <c r="BT7" s="453">
        <f>'[2]Growth Deficit'!AO14</f>
        <v>0</v>
      </c>
      <c r="BU7" s="453">
        <f>'[2]Growth Deficit'!AL14</f>
        <v>0</v>
      </c>
      <c r="BV7" s="453">
        <f>'[2]Growth Deficit'!AM14</f>
        <v>0</v>
      </c>
      <c r="BW7" s="453">
        <f>'[2]Growth Deficit'!AN14</f>
        <v>0</v>
      </c>
      <c r="BX7" s="453">
        <f>'[2]Growth Deficit'!AO14</f>
        <v>0</v>
      </c>
      <c r="BY7" s="454">
        <f>'[2]PBF Run'!AA14</f>
        <v>0</v>
      </c>
      <c r="BZ7" s="454">
        <f>'[2]PBF Run'!AB14</f>
        <v>0</v>
      </c>
      <c r="CA7" s="454">
        <f>'[2]PBF Run'!AC14</f>
        <v>0</v>
      </c>
      <c r="CB7" s="454">
        <f t="shared" si="14"/>
        <v>0</v>
      </c>
      <c r="CC7" s="457">
        <f>'[2]PBF Run'!X14</f>
        <v>0</v>
      </c>
      <c r="CD7" s="456">
        <f>'[2]PBF Run'!AE14</f>
        <v>84528085</v>
      </c>
      <c r="CE7" s="337">
        <f t="shared" si="15"/>
        <v>0.9851854209166101</v>
      </c>
      <c r="CF7" s="455">
        <f>'[2]PBF Run'!AM14</f>
        <v>1252248</v>
      </c>
      <c r="CG7" s="455">
        <f>'[2]PBF Run'!$AN14</f>
        <v>57031909</v>
      </c>
      <c r="CH7" s="455">
        <f>'[2]PBF Run'!$AO14</f>
        <v>0</v>
      </c>
      <c r="CI7" s="455">
        <f>'[2]PBF Run'!AJ14</f>
        <v>8917146</v>
      </c>
      <c r="CJ7" s="455">
        <f>'[2]PBF Run'!AI14</f>
        <v>4162770</v>
      </c>
      <c r="CK7" s="455">
        <f>'[2]PBF Run'!$AN14</f>
        <v>57031909</v>
      </c>
      <c r="CL7" s="455">
        <f>'[2]PBF Run'!AK14</f>
        <v>13164012</v>
      </c>
      <c r="CM7" s="455">
        <f t="shared" si="16"/>
        <v>83275837</v>
      </c>
      <c r="CN7" s="454">
        <f>'[2]PBF Run'!$AN14</f>
        <v>57031909</v>
      </c>
      <c r="CO7" s="454">
        <f>'[2]PBF Run'!BI14</f>
        <v>0</v>
      </c>
      <c r="CP7" s="339">
        <f>'[2]PBF Run'!BH14</f>
        <v>0</v>
      </c>
      <c r="CQ7" s="454">
        <f t="shared" si="26"/>
        <v>69532</v>
      </c>
      <c r="CR7" s="454">
        <f t="shared" si="17"/>
        <v>57031909</v>
      </c>
      <c r="CS7" s="453">
        <f>'[2]As of 13-14 R1'!BX14</f>
        <v>0</v>
      </c>
      <c r="CT7" s="453">
        <f>'[2]As of 13-14 R1'!BY14</f>
        <v>0</v>
      </c>
      <c r="CU7" s="453">
        <f>'[2]As of 13-14 R1'!BZ14</f>
        <v>0</v>
      </c>
      <c r="CV7" s="453">
        <f t="shared" si="18"/>
        <v>0</v>
      </c>
      <c r="CW7" s="342">
        <f>'[2]Growth Deficit'!$D$2</f>
        <v>0</v>
      </c>
      <c r="CX7" s="343">
        <f>IF($DL7="S",'[2]Foundation Grant'!C14,0)</f>
        <v>0</v>
      </c>
      <c r="CY7" s="343">
        <f>IF($DL7="S",'[2]Foundation Grant'!D14,0)</f>
        <v>1</v>
      </c>
      <c r="CZ7" s="343">
        <f>IF($DL7="S",'[2]Foundation Grant'!E14,0)</f>
        <v>0</v>
      </c>
      <c r="DA7" s="343">
        <f>IF($DL7="S",'[2]Foundation Grant'!F14,0)</f>
        <v>1</v>
      </c>
      <c r="DB7" s="343">
        <f>IF($DL7="M",'[2]Foundation Grant'!C14,0)</f>
        <v>0</v>
      </c>
      <c r="DC7" s="343">
        <f>IF($DL7="M",'[2]Foundation Grant'!D14,0)</f>
        <v>0</v>
      </c>
      <c r="DD7" s="343">
        <f>IF($DL7="M",'[2]Foundation Grant'!E14,0)</f>
        <v>0</v>
      </c>
      <c r="DE7" s="343">
        <f>IF($DL7="M",'[2]Foundation Grant'!F14,0)</f>
        <v>0</v>
      </c>
      <c r="DF7" s="343">
        <f>'[2]Foundation Grant'!G14</f>
        <v>0</v>
      </c>
      <c r="DG7" s="343">
        <f>'[2]Foundation Grant'!H14</f>
        <v>0</v>
      </c>
      <c r="DH7" s="343">
        <f>'[2]Foundation Grant'!I14</f>
        <v>0</v>
      </c>
      <c r="DI7" s="343">
        <f>'[2]Foundation Grant'!J14</f>
        <v>0</v>
      </c>
      <c r="DJ7" s="343">
        <f>'[2]Foundation Grant'!K14</f>
        <v>0</v>
      </c>
      <c r="DK7" s="452">
        <f>'[2]Foundation Grant'!L14</f>
        <v>0</v>
      </c>
      <c r="DL7" s="343" t="str">
        <f>'[2]Foundation Grant'!M14</f>
        <v>S</v>
      </c>
      <c r="DM7" s="343">
        <f>'[2]Foundation Grant'!N14</f>
        <v>4498258</v>
      </c>
      <c r="DN7" s="452">
        <f>'[2]Foundation Grant'!O14</f>
        <v>0</v>
      </c>
      <c r="DO7" s="452">
        <f>'[2]Foundation Grant'!P14</f>
        <v>0</v>
      </c>
      <c r="DP7" s="344">
        <f>'[2]Foundation Grant'!$C$1</f>
        <v>5622823</v>
      </c>
      <c r="DQ7" s="344">
        <f>'[2]Foundation Grant'!$D$1</f>
        <v>4498258</v>
      </c>
      <c r="DR7" s="344">
        <f>'[2]Foundation Grant'!$E$1</f>
        <v>3373694</v>
      </c>
      <c r="DS7" s="344">
        <f>'[2]Foundation Grant'!$C$2</f>
        <v>4498258</v>
      </c>
      <c r="DT7" s="344">
        <f>'[2]Foundation Grant'!$D$2</f>
        <v>3935976</v>
      </c>
      <c r="DU7" s="344">
        <f>'[2]Foundation Grant'!$E$2</f>
        <v>3373694</v>
      </c>
      <c r="DV7" s="344">
        <f>'[2]Foundation Grant'!$G$1</f>
        <v>1124565</v>
      </c>
      <c r="DW7" s="344">
        <f>'[2]Foundation Grant'!$H$1</f>
        <v>843423</v>
      </c>
      <c r="DX7" s="344">
        <f>'[2]Foundation Grant'!$I$1</f>
        <v>562282</v>
      </c>
      <c r="DY7" s="344">
        <f>'[2]Foundation Grant'!$J$1</f>
        <v>281141</v>
      </c>
      <c r="DZ7" s="344">
        <f>'[2]Foundation Grant'!$K$1</f>
        <v>140571</v>
      </c>
      <c r="EA7" s="344">
        <f>'[2]Foundation Grant'!$O$1</f>
        <v>562282</v>
      </c>
      <c r="EB7" s="344">
        <f>'[2]Foundation Grant'!$P$1</f>
        <v>1124565</v>
      </c>
      <c r="EC7" s="345">
        <f>'[2]basic allocation'!$C$10</f>
        <v>18749</v>
      </c>
      <c r="ED7" s="345">
        <f>'[2]basic allocation'!$D$10</f>
        <v>9375</v>
      </c>
      <c r="EE7" s="345">
        <f>'[2]basic allocation'!$E$10</f>
        <v>9375</v>
      </c>
      <c r="EF7" s="345">
        <f>'[2]basic allocation'!$I$10</f>
        <v>938</v>
      </c>
      <c r="EG7" s="345">
        <f>'[2]basic allocation'!$J$10</f>
        <v>703</v>
      </c>
      <c r="EH7" s="345">
        <f>'[2]basic allocation'!$K$10</f>
        <v>469</v>
      </c>
      <c r="EI7" s="345">
        <f>'[2]basic allocation'!$L$10</f>
        <v>234</v>
      </c>
      <c r="EJ7" s="345">
        <f>'[2]basic allocation'!$M$10</f>
        <v>100</v>
      </c>
      <c r="EK7" s="345">
        <f>'[2]PBF Run'!$AT14</f>
        <v>0</v>
      </c>
      <c r="EM7" s="477"/>
    </row>
    <row r="8" spans="1:143">
      <c r="A8" s="476" t="s">
        <v>605</v>
      </c>
      <c r="B8" s="475" t="str">
        <f t="shared" si="19"/>
        <v>P1</v>
      </c>
      <c r="C8" s="346" t="s">
        <v>389</v>
      </c>
      <c r="D8" s="450" t="s">
        <v>388</v>
      </c>
      <c r="E8" s="449">
        <f>ROUND('[2]PBF Run'!N15,6)</f>
        <v>4636.4928559999998</v>
      </c>
      <c r="F8" s="340">
        <f t="shared" si="20"/>
        <v>4636.49</v>
      </c>
      <c r="G8" s="474">
        <f t="shared" si="21"/>
        <v>2788.0536374600001</v>
      </c>
      <c r="H8" s="473">
        <f t="shared" si="22"/>
        <v>2811.7520933800001</v>
      </c>
      <c r="I8" s="473">
        <f t="shared" si="23"/>
        <v>3282.8110613200001</v>
      </c>
      <c r="J8" s="473">
        <f t="shared" si="24"/>
        <v>3310.71495534</v>
      </c>
      <c r="K8" s="472">
        <f>ROUND([2]FTES!C15,3)</f>
        <v>16355.73</v>
      </c>
      <c r="L8" s="472">
        <f>ROUND([2]FTES!L15,3)</f>
        <v>100.65</v>
      </c>
      <c r="M8" s="472">
        <f>ROUND([2]FTES!U15,3)</f>
        <v>0</v>
      </c>
      <c r="N8" s="465">
        <f>ROUND([2]FTES!$D15,3)</f>
        <v>16355.73</v>
      </c>
      <c r="O8" s="465">
        <f>ROUND([2]FTES!$M15,3)</f>
        <v>100.65</v>
      </c>
      <c r="P8" s="465">
        <f>ROUND([2]FTES!$V15,3)</f>
        <v>0</v>
      </c>
      <c r="Q8" s="471">
        <f>'[2]FTES Adjustment'!BU15</f>
        <v>0</v>
      </c>
      <c r="R8" s="471">
        <f>'[2]FTES Adjustment'!BV15</f>
        <v>0</v>
      </c>
      <c r="S8" s="471">
        <f>'[2]FTES Adjustment'!BW15</f>
        <v>0</v>
      </c>
      <c r="T8" s="469">
        <f>ROUND('[2]Growth Deficit'!$AG15,3)</f>
        <v>0</v>
      </c>
      <c r="U8" s="469">
        <f>ROUND('[2]Growth Deficit'!$AH15,3)</f>
        <v>0</v>
      </c>
      <c r="V8" s="469">
        <f>ROUND('[2]Growth Deficit'!$AI15,3)</f>
        <v>0</v>
      </c>
      <c r="W8" s="470">
        <f>ROUND([2]FTES!I15,3)</f>
        <v>0</v>
      </c>
      <c r="X8" s="470">
        <f>ROUND([2]FTES!R15,3)</f>
        <v>0</v>
      </c>
      <c r="Y8" s="470">
        <f>ROUND([2]FTES!AA15,3)</f>
        <v>0</v>
      </c>
      <c r="Z8" s="469">
        <f>ROUND([2]FTES!E15,3)</f>
        <v>16761.36</v>
      </c>
      <c r="AA8" s="469">
        <f>ROUND([2]FTES!N15,3)</f>
        <v>99.9</v>
      </c>
      <c r="AB8" s="469">
        <f>ROUND([2]FTES!W15,3)</f>
        <v>0</v>
      </c>
      <c r="AC8" s="468">
        <f>'[2]FTES Adjustment'!CW15</f>
        <v>16761.360032000001</v>
      </c>
      <c r="AD8" s="468">
        <f>'[2]FTES Adjustment'!CX15</f>
        <v>99.9</v>
      </c>
      <c r="AE8" s="468">
        <f>'[2]FTES Adjustment'!CY15</f>
        <v>0</v>
      </c>
      <c r="AF8" s="467">
        <f>'[2]FTES Adjustment'!DQ15</f>
        <v>-3.1999999919207767E-5</v>
      </c>
      <c r="AG8" s="467">
        <f>'[2]FTES Adjustment'!DR15</f>
        <v>0</v>
      </c>
      <c r="AH8" s="467">
        <f>'[2]FTES Adjustment'!DS15</f>
        <v>0</v>
      </c>
      <c r="AI8" s="340">
        <f>'[2]FTES Adjustment'!$DX15</f>
        <v>0</v>
      </c>
      <c r="AJ8" s="340">
        <v>0</v>
      </c>
      <c r="AK8" s="340">
        <v>0</v>
      </c>
      <c r="AL8" s="465">
        <f>'[2]FTES Adjustment'!CG15</f>
        <v>405.63009599999998</v>
      </c>
      <c r="AM8" s="465">
        <f>'[2]FTES Adjustment'!CH15</f>
        <v>-0.75</v>
      </c>
      <c r="AN8" s="465">
        <f>'[2]FTES Adjustment'!CI15</f>
        <v>0</v>
      </c>
      <c r="AO8" s="463">
        <f t="shared" si="0"/>
        <v>16456.38</v>
      </c>
      <c r="AP8" s="463">
        <f t="shared" si="1"/>
        <v>16456.38</v>
      </c>
      <c r="AQ8" s="463">
        <f t="shared" si="2"/>
        <v>0</v>
      </c>
      <c r="AR8" s="463">
        <f t="shared" si="3"/>
        <v>0</v>
      </c>
      <c r="AS8" s="463">
        <f t="shared" si="4"/>
        <v>0</v>
      </c>
      <c r="AT8" s="463">
        <f t="shared" si="5"/>
        <v>16861.259999999998</v>
      </c>
      <c r="AU8" s="463">
        <f t="shared" si="6"/>
        <v>16861.259999999998</v>
      </c>
      <c r="AV8" s="464">
        <f t="shared" si="7"/>
        <v>0</v>
      </c>
      <c r="AW8" s="464">
        <f t="shared" si="8"/>
        <v>0</v>
      </c>
      <c r="AX8" s="464">
        <f t="shared" si="9"/>
        <v>404.88</v>
      </c>
      <c r="AY8" s="460">
        <f>'[2]PBF Run'!F15</f>
        <v>7309670</v>
      </c>
      <c r="AZ8" s="460">
        <f t="shared" si="10"/>
        <v>76113843</v>
      </c>
      <c r="BA8" s="460">
        <f>'[2]PBF Run'!J15 + '[2]PBF Run'!$L15</f>
        <v>75833225</v>
      </c>
      <c r="BB8" s="460">
        <f>'[2]PBF Run'!H15</f>
        <v>280618</v>
      </c>
      <c r="BC8" s="460">
        <f>'[2]PBF Run'!I15</f>
        <v>0</v>
      </c>
      <c r="BD8" s="462">
        <v>0</v>
      </c>
      <c r="BE8" s="461">
        <f>'[2]Restoration and Growth'!BM15</f>
        <v>0</v>
      </c>
      <c r="BF8" s="460">
        <f t="shared" si="11"/>
        <v>83423513</v>
      </c>
      <c r="BG8" s="333" t="str">
        <f t="shared" si="25"/>
        <v>0.85%</v>
      </c>
      <c r="BH8" s="459">
        <f>'[2]PBF Run'!O15</f>
        <v>709100</v>
      </c>
      <c r="BI8" s="459">
        <f t="shared" si="12"/>
        <v>84132613</v>
      </c>
      <c r="BJ8" s="458">
        <f>'[2]PBF Run'!AC15</f>
        <v>0</v>
      </c>
      <c r="BK8" s="458">
        <f>'[2]PBF Run'!$AD15</f>
        <v>0</v>
      </c>
      <c r="BL8" s="458">
        <f>'[2]PBF Run'!$T15</f>
        <v>0</v>
      </c>
      <c r="BM8" s="458">
        <f>'[2]PBF Run'!$S15</f>
        <v>1894578</v>
      </c>
      <c r="BN8" s="458">
        <f>'[2]13-14 $86M Workload Restore'!$P13</f>
        <v>0</v>
      </c>
      <c r="BO8" s="458">
        <f t="shared" si="13"/>
        <v>1894578</v>
      </c>
      <c r="BP8" s="478">
        <f>'[2]Restoration and Growth'!AA15</f>
        <v>0</v>
      </c>
      <c r="BQ8" s="478">
        <f>'[2]Restoration and Growth'!AB15</f>
        <v>0</v>
      </c>
      <c r="BR8" s="453">
        <f>'[2]Restoration and Growth'!BT15</f>
        <v>0</v>
      </c>
      <c r="BS8" s="453">
        <f>'[2]Growth Deficit'!$AO15</f>
        <v>0</v>
      </c>
      <c r="BT8" s="453">
        <f>'[2]Growth Deficit'!AO15</f>
        <v>0</v>
      </c>
      <c r="BU8" s="453">
        <f>'[2]Growth Deficit'!AL15</f>
        <v>0</v>
      </c>
      <c r="BV8" s="453">
        <f>'[2]Growth Deficit'!AM15</f>
        <v>0</v>
      </c>
      <c r="BW8" s="453">
        <f>'[2]Growth Deficit'!AN15</f>
        <v>0</v>
      </c>
      <c r="BX8" s="453">
        <f>'[2]Growth Deficit'!AO15</f>
        <v>0</v>
      </c>
      <c r="BY8" s="454">
        <f>'[2]PBF Run'!AA15</f>
        <v>0</v>
      </c>
      <c r="BZ8" s="454">
        <f>'[2]PBF Run'!AB15</f>
        <v>0</v>
      </c>
      <c r="CA8" s="454">
        <f>'[2]PBF Run'!AC15</f>
        <v>0</v>
      </c>
      <c r="CB8" s="454">
        <f t="shared" si="14"/>
        <v>0</v>
      </c>
      <c r="CC8" s="457">
        <f>'[2]PBF Run'!X15</f>
        <v>0</v>
      </c>
      <c r="CD8" s="456">
        <f>'[2]PBF Run'!AE15</f>
        <v>86027191</v>
      </c>
      <c r="CE8" s="337">
        <f t="shared" si="15"/>
        <v>0.98518541655044856</v>
      </c>
      <c r="CF8" s="455">
        <f>'[2]PBF Run'!AM15</f>
        <v>1274457</v>
      </c>
      <c r="CG8" s="455">
        <f>'[2]PBF Run'!$AN15</f>
        <v>32589817</v>
      </c>
      <c r="CH8" s="455">
        <f>'[2]PBF Run'!$AO15</f>
        <v>0</v>
      </c>
      <c r="CI8" s="455">
        <f>'[2]PBF Run'!AJ15</f>
        <v>31386003</v>
      </c>
      <c r="CJ8" s="455">
        <f>'[2]PBF Run'!AI15</f>
        <v>7995087</v>
      </c>
      <c r="CK8" s="455">
        <f>'[2]PBF Run'!$AN15</f>
        <v>32589817</v>
      </c>
      <c r="CL8" s="455">
        <f>'[2]PBF Run'!AK15</f>
        <v>12781827</v>
      </c>
      <c r="CM8" s="455">
        <f t="shared" si="16"/>
        <v>84752734</v>
      </c>
      <c r="CN8" s="454">
        <f>'[2]PBF Run'!$AN15</f>
        <v>32589817</v>
      </c>
      <c r="CO8" s="454">
        <f>'[2]PBF Run'!BI15</f>
        <v>0</v>
      </c>
      <c r="CP8" s="339">
        <f>'[2]PBF Run'!BH15</f>
        <v>0</v>
      </c>
      <c r="CQ8" s="454">
        <f t="shared" si="26"/>
        <v>69532</v>
      </c>
      <c r="CR8" s="454">
        <f t="shared" si="17"/>
        <v>32589817</v>
      </c>
      <c r="CS8" s="453">
        <f>'[2]As of 13-14 R1'!BX15</f>
        <v>0</v>
      </c>
      <c r="CT8" s="453">
        <f>'[2]As of 13-14 R1'!BY15</f>
        <v>0</v>
      </c>
      <c r="CU8" s="453">
        <f>'[2]As of 13-14 R1'!BZ15</f>
        <v>0</v>
      </c>
      <c r="CV8" s="453">
        <f t="shared" si="18"/>
        <v>0</v>
      </c>
      <c r="CW8" s="342">
        <f>'[2]Growth Deficit'!$D$2</f>
        <v>0</v>
      </c>
      <c r="CX8" s="343">
        <f>IF($DL8="S",'[2]Foundation Grant'!C15,0)</f>
        <v>0</v>
      </c>
      <c r="CY8" s="343">
        <f>IF($DL8="S",'[2]Foundation Grant'!D15,0)</f>
        <v>0</v>
      </c>
      <c r="CZ8" s="343">
        <f>IF($DL8="S",'[2]Foundation Grant'!E15,0)</f>
        <v>0</v>
      </c>
      <c r="DA8" s="343">
        <f>IF($DL8="S",'[2]Foundation Grant'!F15,0)</f>
        <v>0</v>
      </c>
      <c r="DB8" s="343">
        <f>IF($DL8="M",'[2]Foundation Grant'!C15,0)</f>
        <v>0</v>
      </c>
      <c r="DC8" s="343">
        <f>IF($DL8="M",'[2]Foundation Grant'!D15,0)</f>
        <v>1</v>
      </c>
      <c r="DD8" s="343">
        <f>IF($DL8="M",'[2]Foundation Grant'!E15,0)</f>
        <v>1</v>
      </c>
      <c r="DE8" s="343">
        <f>IF($DL8="M",'[2]Foundation Grant'!F15,0)</f>
        <v>2</v>
      </c>
      <c r="DF8" s="343">
        <f>'[2]Foundation Grant'!G15</f>
        <v>0</v>
      </c>
      <c r="DG8" s="343">
        <f>'[2]Foundation Grant'!H15</f>
        <v>0</v>
      </c>
      <c r="DH8" s="343">
        <f>'[2]Foundation Grant'!I15</f>
        <v>0</v>
      </c>
      <c r="DI8" s="343">
        <f>'[2]Foundation Grant'!J15</f>
        <v>0</v>
      </c>
      <c r="DJ8" s="343">
        <f>'[2]Foundation Grant'!K15</f>
        <v>0</v>
      </c>
      <c r="DK8" s="452">
        <f>'[2]Foundation Grant'!L15</f>
        <v>0</v>
      </c>
      <c r="DL8" s="343" t="str">
        <f>'[2]Foundation Grant'!M15</f>
        <v>M</v>
      </c>
      <c r="DM8" s="343">
        <f>'[2]Foundation Grant'!N15</f>
        <v>7309670</v>
      </c>
      <c r="DN8" s="452">
        <f>'[2]Foundation Grant'!O15</f>
        <v>0</v>
      </c>
      <c r="DO8" s="452">
        <f>'[2]Foundation Grant'!P15</f>
        <v>0</v>
      </c>
      <c r="DP8" s="344">
        <f>'[2]Foundation Grant'!$C$1</f>
        <v>5622823</v>
      </c>
      <c r="DQ8" s="344">
        <f>'[2]Foundation Grant'!$D$1</f>
        <v>4498258</v>
      </c>
      <c r="DR8" s="344">
        <f>'[2]Foundation Grant'!$E$1</f>
        <v>3373694</v>
      </c>
      <c r="DS8" s="344">
        <f>'[2]Foundation Grant'!$C$2</f>
        <v>4498258</v>
      </c>
      <c r="DT8" s="344">
        <f>'[2]Foundation Grant'!$D$2</f>
        <v>3935976</v>
      </c>
      <c r="DU8" s="344">
        <f>'[2]Foundation Grant'!$E$2</f>
        <v>3373694</v>
      </c>
      <c r="DV8" s="344">
        <f>'[2]Foundation Grant'!$G$1</f>
        <v>1124565</v>
      </c>
      <c r="DW8" s="344">
        <f>'[2]Foundation Grant'!$H$1</f>
        <v>843423</v>
      </c>
      <c r="DX8" s="344">
        <f>'[2]Foundation Grant'!$I$1</f>
        <v>562282</v>
      </c>
      <c r="DY8" s="344">
        <f>'[2]Foundation Grant'!$J$1</f>
        <v>281141</v>
      </c>
      <c r="DZ8" s="344">
        <f>'[2]Foundation Grant'!$K$1</f>
        <v>140571</v>
      </c>
      <c r="EA8" s="344">
        <f>'[2]Foundation Grant'!$O$1</f>
        <v>562282</v>
      </c>
      <c r="EB8" s="344">
        <f>'[2]Foundation Grant'!$P$1</f>
        <v>1124565</v>
      </c>
      <c r="EC8" s="345">
        <f>'[2]basic allocation'!$C$10</f>
        <v>18749</v>
      </c>
      <c r="ED8" s="345">
        <f>'[2]basic allocation'!$D$10</f>
        <v>9375</v>
      </c>
      <c r="EE8" s="345">
        <f>'[2]basic allocation'!$E$10</f>
        <v>9375</v>
      </c>
      <c r="EF8" s="345">
        <f>'[2]basic allocation'!$I$10</f>
        <v>938</v>
      </c>
      <c r="EG8" s="345">
        <f>'[2]basic allocation'!$J$10</f>
        <v>703</v>
      </c>
      <c r="EH8" s="345">
        <f>'[2]basic allocation'!$K$10</f>
        <v>469</v>
      </c>
      <c r="EI8" s="345">
        <f>'[2]basic allocation'!$L$10</f>
        <v>234</v>
      </c>
      <c r="EJ8" s="345">
        <f>'[2]basic allocation'!$M$10</f>
        <v>100</v>
      </c>
      <c r="EK8" s="345">
        <f>'[2]PBF Run'!$AT15</f>
        <v>0</v>
      </c>
      <c r="EM8" s="477"/>
    </row>
    <row r="9" spans="1:143">
      <c r="A9" s="476" t="s">
        <v>605</v>
      </c>
      <c r="B9" s="475" t="str">
        <f t="shared" si="19"/>
        <v>P1</v>
      </c>
      <c r="C9" s="346" t="s">
        <v>387</v>
      </c>
      <c r="D9" s="450" t="s">
        <v>386</v>
      </c>
      <c r="E9" s="449">
        <f>ROUND('[2]PBF Run'!N16,6)</f>
        <v>4636.4928339999997</v>
      </c>
      <c r="F9" s="340">
        <f t="shared" si="20"/>
        <v>4636.49</v>
      </c>
      <c r="G9" s="474">
        <f t="shared" si="21"/>
        <v>2788.0536374600001</v>
      </c>
      <c r="H9" s="473">
        <f t="shared" si="22"/>
        <v>2811.7520933800001</v>
      </c>
      <c r="I9" s="473">
        <f t="shared" si="23"/>
        <v>3282.8110613200001</v>
      </c>
      <c r="J9" s="473">
        <f t="shared" si="24"/>
        <v>3310.71495534</v>
      </c>
      <c r="K9" s="472">
        <f>ROUND([2]FTES!C16,3)</f>
        <v>13680.449000000001</v>
      </c>
      <c r="L9" s="472">
        <f>ROUND([2]FTES!L16,3)</f>
        <v>336.87</v>
      </c>
      <c r="M9" s="472">
        <f>ROUND([2]FTES!U16,3)</f>
        <v>0</v>
      </c>
      <c r="N9" s="465">
        <f>ROUND([2]FTES!$D16,3)</f>
        <v>13680.449000000001</v>
      </c>
      <c r="O9" s="465">
        <f>ROUND([2]FTES!$M16,3)</f>
        <v>336.87</v>
      </c>
      <c r="P9" s="465">
        <f>ROUND([2]FTES!$V16,3)</f>
        <v>0</v>
      </c>
      <c r="Q9" s="471">
        <f>'[2]FTES Adjustment'!BU16</f>
        <v>0</v>
      </c>
      <c r="R9" s="471">
        <f>'[2]FTES Adjustment'!BV16</f>
        <v>0</v>
      </c>
      <c r="S9" s="471">
        <f>'[2]FTES Adjustment'!BW16</f>
        <v>0</v>
      </c>
      <c r="T9" s="469">
        <f>ROUND('[2]Growth Deficit'!$AG16,3)</f>
        <v>0</v>
      </c>
      <c r="U9" s="469">
        <f>ROUND('[2]Growth Deficit'!$AH16,3)</f>
        <v>0</v>
      </c>
      <c r="V9" s="469">
        <f>ROUND('[2]Growth Deficit'!$AI16,3)</f>
        <v>0</v>
      </c>
      <c r="W9" s="470">
        <f>ROUND([2]FTES!I16,3)</f>
        <v>0</v>
      </c>
      <c r="X9" s="470">
        <f>ROUND([2]FTES!R16,3)</f>
        <v>0</v>
      </c>
      <c r="Y9" s="470">
        <f>ROUND([2]FTES!AA16,3)</f>
        <v>0</v>
      </c>
      <c r="Z9" s="469">
        <f>ROUND([2]FTES!E16,3)</f>
        <v>14251.65</v>
      </c>
      <c r="AA9" s="469">
        <f>ROUND([2]FTES!N16,3)</f>
        <v>314.25</v>
      </c>
      <c r="AB9" s="469">
        <f>ROUND([2]FTES!W16,3)</f>
        <v>0</v>
      </c>
      <c r="AC9" s="468">
        <f>'[2]FTES Adjustment'!CW16</f>
        <v>14251.649949999999</v>
      </c>
      <c r="AD9" s="468">
        <f>'[2]FTES Adjustment'!CX16</f>
        <v>314.25</v>
      </c>
      <c r="AE9" s="468">
        <f>'[2]FTES Adjustment'!CY16</f>
        <v>0</v>
      </c>
      <c r="AF9" s="467">
        <f>'[2]FTES Adjustment'!DQ16</f>
        <v>5.0000000555883162E-5</v>
      </c>
      <c r="AG9" s="467">
        <f>'[2]FTES Adjustment'!DR16</f>
        <v>0</v>
      </c>
      <c r="AH9" s="467">
        <f>'[2]FTES Adjustment'!DS16</f>
        <v>0</v>
      </c>
      <c r="AI9" s="340">
        <f>'[2]FTES Adjustment'!$DX16</f>
        <v>0</v>
      </c>
      <c r="AJ9" s="340">
        <v>0</v>
      </c>
      <c r="AK9" s="340">
        <v>0</v>
      </c>
      <c r="AL9" s="465">
        <f>'[2]FTES Adjustment'!CG16</f>
        <v>571.20068000000003</v>
      </c>
      <c r="AM9" s="465">
        <f>'[2]FTES Adjustment'!CH16</f>
        <v>-22.620000000000005</v>
      </c>
      <c r="AN9" s="465">
        <f>'[2]FTES Adjustment'!CI16</f>
        <v>0</v>
      </c>
      <c r="AO9" s="463">
        <f t="shared" si="0"/>
        <v>14017.319</v>
      </c>
      <c r="AP9" s="463">
        <f t="shared" si="1"/>
        <v>14017.319</v>
      </c>
      <c r="AQ9" s="463">
        <f t="shared" si="2"/>
        <v>0</v>
      </c>
      <c r="AR9" s="463">
        <f t="shared" si="3"/>
        <v>0</v>
      </c>
      <c r="AS9" s="463">
        <f t="shared" si="4"/>
        <v>0</v>
      </c>
      <c r="AT9" s="463">
        <f t="shared" si="5"/>
        <v>14565.9</v>
      </c>
      <c r="AU9" s="463">
        <f t="shared" si="6"/>
        <v>14565.9</v>
      </c>
      <c r="AV9" s="464">
        <f t="shared" si="7"/>
        <v>0</v>
      </c>
      <c r="AW9" s="464">
        <f t="shared" si="8"/>
        <v>0</v>
      </c>
      <c r="AX9" s="464">
        <f t="shared" si="9"/>
        <v>548.58100000000002</v>
      </c>
      <c r="AY9" s="460">
        <f>'[2]PBF Run'!F16</f>
        <v>6747388</v>
      </c>
      <c r="AZ9" s="460">
        <f t="shared" si="10"/>
        <v>64368517</v>
      </c>
      <c r="BA9" s="460">
        <f>'[2]PBF Run'!J16 + '[2]PBF Run'!$L16</f>
        <v>63429305</v>
      </c>
      <c r="BB9" s="460">
        <f>'[2]PBF Run'!H16</f>
        <v>939212</v>
      </c>
      <c r="BC9" s="460">
        <f>'[2]PBF Run'!I16</f>
        <v>0</v>
      </c>
      <c r="BD9" s="462">
        <v>0</v>
      </c>
      <c r="BE9" s="461">
        <f>'[2]Restoration and Growth'!BM16</f>
        <v>0</v>
      </c>
      <c r="BF9" s="460">
        <f t="shared" si="11"/>
        <v>71115905</v>
      </c>
      <c r="BG9" s="333" t="str">
        <f t="shared" si="25"/>
        <v>0.85%</v>
      </c>
      <c r="BH9" s="459">
        <f>'[2]PBF Run'!O16</f>
        <v>604485</v>
      </c>
      <c r="BI9" s="459">
        <f t="shared" si="12"/>
        <v>71720390</v>
      </c>
      <c r="BJ9" s="458">
        <f>'[2]PBF Run'!AC16</f>
        <v>0</v>
      </c>
      <c r="BK9" s="458">
        <f>'[2]PBF Run'!$AD16</f>
        <v>0</v>
      </c>
      <c r="BL9" s="458">
        <f>'[2]PBF Run'!$T16</f>
        <v>0</v>
      </c>
      <c r="BM9" s="458">
        <f>'[2]PBF Run'!$S16</f>
        <v>2607277</v>
      </c>
      <c r="BN9" s="458">
        <f>'[2]13-14 $86M Workload Restore'!$P14</f>
        <v>0</v>
      </c>
      <c r="BO9" s="458">
        <f t="shared" si="13"/>
        <v>2607277</v>
      </c>
      <c r="BP9" s="478">
        <f>'[2]Restoration and Growth'!AA16</f>
        <v>0</v>
      </c>
      <c r="BQ9" s="478">
        <f>'[2]Restoration and Growth'!AB16</f>
        <v>0</v>
      </c>
      <c r="BR9" s="453">
        <f>'[2]Restoration and Growth'!BT16</f>
        <v>0</v>
      </c>
      <c r="BS9" s="453">
        <f>'[2]Growth Deficit'!$AO16</f>
        <v>0</v>
      </c>
      <c r="BT9" s="453">
        <f>'[2]Growth Deficit'!AO16</f>
        <v>0</v>
      </c>
      <c r="BU9" s="453">
        <f>'[2]Growth Deficit'!AL16</f>
        <v>0</v>
      </c>
      <c r="BV9" s="453">
        <f>'[2]Growth Deficit'!AM16</f>
        <v>0</v>
      </c>
      <c r="BW9" s="453">
        <f>'[2]Growth Deficit'!AN16</f>
        <v>0</v>
      </c>
      <c r="BX9" s="453">
        <f>'[2]Growth Deficit'!AO16</f>
        <v>0</v>
      </c>
      <c r="BY9" s="454">
        <f>'[2]PBF Run'!AA16</f>
        <v>0</v>
      </c>
      <c r="BZ9" s="454">
        <f>'[2]PBF Run'!AB16</f>
        <v>0</v>
      </c>
      <c r="CA9" s="454">
        <f>'[2]PBF Run'!AC16</f>
        <v>0</v>
      </c>
      <c r="CB9" s="454">
        <f t="shared" si="14"/>
        <v>0</v>
      </c>
      <c r="CC9" s="457">
        <f>'[2]PBF Run'!X16</f>
        <v>0</v>
      </c>
      <c r="CD9" s="456">
        <f>'[2]PBF Run'!AE16</f>
        <v>74327667</v>
      </c>
      <c r="CE9" s="337">
        <f t="shared" si="15"/>
        <v>0.98518542227351225</v>
      </c>
      <c r="CF9" s="455">
        <f>'[2]PBF Run'!AM16</f>
        <v>1101133</v>
      </c>
      <c r="CG9" s="455">
        <f>'[2]PBF Run'!$AN16</f>
        <v>39970457</v>
      </c>
      <c r="CH9" s="455">
        <f>'[2]PBF Run'!$AO16</f>
        <v>0</v>
      </c>
      <c r="CI9" s="455">
        <f>'[2]PBF Run'!AJ16</f>
        <v>17278686</v>
      </c>
      <c r="CJ9" s="455">
        <f>'[2]PBF Run'!AI16</f>
        <v>4547200</v>
      </c>
      <c r="CK9" s="455">
        <f>'[2]PBF Run'!$AN16</f>
        <v>39970457</v>
      </c>
      <c r="CL9" s="455">
        <f>'[2]PBF Run'!AK16</f>
        <v>11430191</v>
      </c>
      <c r="CM9" s="455">
        <f t="shared" si="16"/>
        <v>73226534</v>
      </c>
      <c r="CN9" s="454">
        <f>'[2]PBF Run'!$AN16</f>
        <v>39970457</v>
      </c>
      <c r="CO9" s="454">
        <f>'[2]PBF Run'!BI16</f>
        <v>0</v>
      </c>
      <c r="CP9" s="339">
        <f>'[2]PBF Run'!BH16</f>
        <v>0</v>
      </c>
      <c r="CQ9" s="454">
        <f t="shared" si="26"/>
        <v>69532</v>
      </c>
      <c r="CR9" s="454">
        <f t="shared" si="17"/>
        <v>39970457</v>
      </c>
      <c r="CS9" s="453">
        <f>'[2]As of 13-14 R1'!BX16</f>
        <v>0</v>
      </c>
      <c r="CT9" s="453">
        <f>'[2]As of 13-14 R1'!BY16</f>
        <v>0</v>
      </c>
      <c r="CU9" s="453">
        <f>'[2]As of 13-14 R1'!BZ16</f>
        <v>0</v>
      </c>
      <c r="CV9" s="453">
        <f t="shared" si="18"/>
        <v>0</v>
      </c>
      <c r="CW9" s="342">
        <f>'[2]Growth Deficit'!$D$2</f>
        <v>0</v>
      </c>
      <c r="CX9" s="343">
        <f>IF($DL9="S",'[2]Foundation Grant'!C16,0)</f>
        <v>0</v>
      </c>
      <c r="CY9" s="343">
        <f>IF($DL9="S",'[2]Foundation Grant'!D16,0)</f>
        <v>1</v>
      </c>
      <c r="CZ9" s="343">
        <f>IF($DL9="S",'[2]Foundation Grant'!E16,0)</f>
        <v>0</v>
      </c>
      <c r="DA9" s="343">
        <f>IF($DL9="S",'[2]Foundation Grant'!F16,0)</f>
        <v>1</v>
      </c>
      <c r="DB9" s="343">
        <f>IF($DL9="M",'[2]Foundation Grant'!C16,0)</f>
        <v>0</v>
      </c>
      <c r="DC9" s="343">
        <f>IF($DL9="M",'[2]Foundation Grant'!D16,0)</f>
        <v>0</v>
      </c>
      <c r="DD9" s="343">
        <f>IF($DL9="M",'[2]Foundation Grant'!E16,0)</f>
        <v>0</v>
      </c>
      <c r="DE9" s="343">
        <f>IF($DL9="M",'[2]Foundation Grant'!F16,0)</f>
        <v>0</v>
      </c>
      <c r="DF9" s="343">
        <f>'[2]Foundation Grant'!G16</f>
        <v>0</v>
      </c>
      <c r="DG9" s="343">
        <f>'[2]Foundation Grant'!H16</f>
        <v>0</v>
      </c>
      <c r="DH9" s="343">
        <f>'[2]Foundation Grant'!I16</f>
        <v>0</v>
      </c>
      <c r="DI9" s="343">
        <f>'[2]Foundation Grant'!J16</f>
        <v>0</v>
      </c>
      <c r="DJ9" s="343">
        <f>'[2]Foundation Grant'!K16</f>
        <v>0</v>
      </c>
      <c r="DK9" s="452">
        <f>'[2]Foundation Grant'!L16</f>
        <v>0</v>
      </c>
      <c r="DL9" s="343" t="str">
        <f>'[2]Foundation Grant'!M16</f>
        <v>S</v>
      </c>
      <c r="DM9" s="343">
        <f>'[2]Foundation Grant'!N16</f>
        <v>6747388</v>
      </c>
      <c r="DN9" s="452">
        <f>'[2]Foundation Grant'!O16</f>
        <v>0</v>
      </c>
      <c r="DO9" s="452">
        <f>'[2]Foundation Grant'!P16</f>
        <v>2</v>
      </c>
      <c r="DP9" s="344">
        <f>'[2]Foundation Grant'!$C$1</f>
        <v>5622823</v>
      </c>
      <c r="DQ9" s="344">
        <f>'[2]Foundation Grant'!$D$1</f>
        <v>4498258</v>
      </c>
      <c r="DR9" s="344">
        <f>'[2]Foundation Grant'!$E$1</f>
        <v>3373694</v>
      </c>
      <c r="DS9" s="344">
        <f>'[2]Foundation Grant'!$C$2</f>
        <v>4498258</v>
      </c>
      <c r="DT9" s="344">
        <f>'[2]Foundation Grant'!$D$2</f>
        <v>3935976</v>
      </c>
      <c r="DU9" s="344">
        <f>'[2]Foundation Grant'!$E$2</f>
        <v>3373694</v>
      </c>
      <c r="DV9" s="344">
        <f>'[2]Foundation Grant'!$G$1</f>
        <v>1124565</v>
      </c>
      <c r="DW9" s="344">
        <f>'[2]Foundation Grant'!$H$1</f>
        <v>843423</v>
      </c>
      <c r="DX9" s="344">
        <f>'[2]Foundation Grant'!$I$1</f>
        <v>562282</v>
      </c>
      <c r="DY9" s="344">
        <f>'[2]Foundation Grant'!$J$1</f>
        <v>281141</v>
      </c>
      <c r="DZ9" s="344">
        <f>'[2]Foundation Grant'!$K$1</f>
        <v>140571</v>
      </c>
      <c r="EA9" s="344">
        <f>'[2]Foundation Grant'!$O$1</f>
        <v>562282</v>
      </c>
      <c r="EB9" s="344">
        <f>'[2]Foundation Grant'!$P$1</f>
        <v>1124565</v>
      </c>
      <c r="EC9" s="345">
        <f>'[2]basic allocation'!$C$10</f>
        <v>18749</v>
      </c>
      <c r="ED9" s="345">
        <f>'[2]basic allocation'!$D$10</f>
        <v>9375</v>
      </c>
      <c r="EE9" s="345">
        <f>'[2]basic allocation'!$E$10</f>
        <v>9375</v>
      </c>
      <c r="EF9" s="345">
        <f>'[2]basic allocation'!$I$10</f>
        <v>938</v>
      </c>
      <c r="EG9" s="345">
        <f>'[2]basic allocation'!$J$10</f>
        <v>703</v>
      </c>
      <c r="EH9" s="345">
        <f>'[2]basic allocation'!$K$10</f>
        <v>469</v>
      </c>
      <c r="EI9" s="345">
        <f>'[2]basic allocation'!$L$10</f>
        <v>234</v>
      </c>
      <c r="EJ9" s="345">
        <f>'[2]basic allocation'!$M$10</f>
        <v>100</v>
      </c>
      <c r="EK9" s="345">
        <f>'[2]PBF Run'!$AT16</f>
        <v>0</v>
      </c>
      <c r="EM9" s="477"/>
    </row>
    <row r="10" spans="1:143">
      <c r="A10" s="476" t="s">
        <v>605</v>
      </c>
      <c r="B10" s="475" t="str">
        <f t="shared" si="19"/>
        <v>P1</v>
      </c>
      <c r="C10" s="346" t="s">
        <v>385</v>
      </c>
      <c r="D10" s="450" t="s">
        <v>384</v>
      </c>
      <c r="E10" s="449">
        <f>ROUND('[2]PBF Run'!N17,6)</f>
        <v>4636.4928870000003</v>
      </c>
      <c r="F10" s="340">
        <f t="shared" si="20"/>
        <v>4636.49</v>
      </c>
      <c r="G10" s="474">
        <f t="shared" si="21"/>
        <v>2788.0536374600001</v>
      </c>
      <c r="H10" s="473">
        <f t="shared" si="22"/>
        <v>2811.7520933800001</v>
      </c>
      <c r="I10" s="473">
        <f t="shared" si="23"/>
        <v>3282.8110613200001</v>
      </c>
      <c r="J10" s="473">
        <f t="shared" si="24"/>
        <v>3310.71495534</v>
      </c>
      <c r="K10" s="472">
        <f>ROUND([2]FTES!C17,3)</f>
        <v>10659.058000000001</v>
      </c>
      <c r="L10" s="472">
        <f>ROUND([2]FTES!L17,3)</f>
        <v>260.43</v>
      </c>
      <c r="M10" s="472">
        <f>ROUND([2]FTES!U17,3)</f>
        <v>0</v>
      </c>
      <c r="N10" s="465">
        <f>ROUND([2]FTES!$D17,3)</f>
        <v>10659.058000000001</v>
      </c>
      <c r="O10" s="465">
        <f>ROUND([2]FTES!$M17,3)</f>
        <v>260.43</v>
      </c>
      <c r="P10" s="465">
        <f>ROUND([2]FTES!$V17,3)</f>
        <v>0</v>
      </c>
      <c r="Q10" s="471">
        <f>'[2]FTES Adjustment'!BU17</f>
        <v>0</v>
      </c>
      <c r="R10" s="471">
        <f>'[2]FTES Adjustment'!BV17</f>
        <v>0</v>
      </c>
      <c r="S10" s="471">
        <f>'[2]FTES Adjustment'!BW17</f>
        <v>0</v>
      </c>
      <c r="T10" s="469">
        <f>ROUND('[2]Growth Deficit'!$AG17,3)</f>
        <v>0</v>
      </c>
      <c r="U10" s="469">
        <f>ROUND('[2]Growth Deficit'!$AH17,3)</f>
        <v>0</v>
      </c>
      <c r="V10" s="469">
        <f>ROUND('[2]Growth Deficit'!$AI17,3)</f>
        <v>0</v>
      </c>
      <c r="W10" s="470">
        <f>ROUND([2]FTES!I17,3)</f>
        <v>0</v>
      </c>
      <c r="X10" s="470">
        <f>ROUND([2]FTES!R17,3)</f>
        <v>0</v>
      </c>
      <c r="Y10" s="470">
        <f>ROUND([2]FTES!AA17,3)</f>
        <v>0</v>
      </c>
      <c r="Z10" s="469">
        <f>ROUND([2]FTES!E17,3)</f>
        <v>11323.51</v>
      </c>
      <c r="AA10" s="469">
        <f>ROUND([2]FTES!N17,3)</f>
        <v>308.69</v>
      </c>
      <c r="AB10" s="469">
        <f>ROUND([2]FTES!W17,3)</f>
        <v>26.94</v>
      </c>
      <c r="AC10" s="468">
        <f>'[2]FTES Adjustment'!CW17</f>
        <v>11155.51705</v>
      </c>
      <c r="AD10" s="468">
        <f>'[2]FTES Adjustment'!CX17</f>
        <v>308.69</v>
      </c>
      <c r="AE10" s="468">
        <f>'[2]FTES Adjustment'!CY17</f>
        <v>26.94</v>
      </c>
      <c r="AF10" s="467">
        <f>'[2]FTES Adjustment'!DQ17</f>
        <v>167.99294999999984</v>
      </c>
      <c r="AG10" s="467">
        <f>'[2]FTES Adjustment'!DR17</f>
        <v>0</v>
      </c>
      <c r="AH10" s="467">
        <f>'[2]FTES Adjustment'!DS17</f>
        <v>0</v>
      </c>
      <c r="AI10" s="340">
        <f>'[2]FTES Adjustment'!$DX17</f>
        <v>0</v>
      </c>
      <c r="AJ10" s="340">
        <v>0</v>
      </c>
      <c r="AK10" s="340">
        <v>0</v>
      </c>
      <c r="AL10" s="465">
        <f>'[2]FTES Adjustment'!CG17</f>
        <v>496.45939600000003</v>
      </c>
      <c r="AM10" s="465">
        <f>'[2]FTES Adjustment'!CH17</f>
        <v>48.26</v>
      </c>
      <c r="AN10" s="465">
        <f>'[2]FTES Adjustment'!CI17</f>
        <v>26.94</v>
      </c>
      <c r="AO10" s="463">
        <f t="shared" si="0"/>
        <v>10919.487999999999</v>
      </c>
      <c r="AP10" s="463">
        <f t="shared" si="1"/>
        <v>10919.487999999999</v>
      </c>
      <c r="AQ10" s="463">
        <f t="shared" si="2"/>
        <v>0</v>
      </c>
      <c r="AR10" s="463">
        <f t="shared" si="3"/>
        <v>0</v>
      </c>
      <c r="AS10" s="463">
        <f t="shared" si="4"/>
        <v>0</v>
      </c>
      <c r="AT10" s="463">
        <f t="shared" si="5"/>
        <v>11659.14</v>
      </c>
      <c r="AU10" s="463">
        <f t="shared" si="6"/>
        <v>11491.147000000001</v>
      </c>
      <c r="AV10" s="464">
        <f t="shared" si="7"/>
        <v>167.99299999999999</v>
      </c>
      <c r="AW10" s="464">
        <f t="shared" si="8"/>
        <v>0</v>
      </c>
      <c r="AX10" s="464">
        <f t="shared" si="9"/>
        <v>571.65899999999999</v>
      </c>
      <c r="AY10" s="460">
        <f>'[2]PBF Run'!F17</f>
        <v>4498258</v>
      </c>
      <c r="AZ10" s="460">
        <f t="shared" si="10"/>
        <v>50146738</v>
      </c>
      <c r="BA10" s="460">
        <f>'[2]PBF Run'!J17 + '[2]PBF Run'!$L17</f>
        <v>49420645</v>
      </c>
      <c r="BB10" s="460">
        <f>'[2]PBF Run'!H17</f>
        <v>726093</v>
      </c>
      <c r="BC10" s="460">
        <f>'[2]PBF Run'!I17</f>
        <v>0</v>
      </c>
      <c r="BD10" s="462">
        <v>0</v>
      </c>
      <c r="BE10" s="461">
        <f>'[2]Restoration and Growth'!BM17</f>
        <v>0</v>
      </c>
      <c r="BF10" s="460">
        <f t="shared" si="11"/>
        <v>54644996</v>
      </c>
      <c r="BG10" s="333" t="str">
        <f t="shared" si="25"/>
        <v>0.85%</v>
      </c>
      <c r="BH10" s="459">
        <f>'[2]PBF Run'!O17</f>
        <v>464482</v>
      </c>
      <c r="BI10" s="459">
        <f t="shared" si="12"/>
        <v>55109478</v>
      </c>
      <c r="BJ10" s="458">
        <f>'[2]PBF Run'!AC17</f>
        <v>0</v>
      </c>
      <c r="BK10" s="458">
        <f>'[2]PBF Run'!$AD17</f>
        <v>0</v>
      </c>
      <c r="BL10" s="458">
        <f>'[2]PBF Run'!$T17</f>
        <v>0</v>
      </c>
      <c r="BM10" s="458">
        <f>'[2]PBF Run'!$S17</f>
        <v>2546282</v>
      </c>
      <c r="BN10" s="458">
        <f>'[2]13-14 $86M Workload Restore'!$P15</f>
        <v>0</v>
      </c>
      <c r="BO10" s="458">
        <f t="shared" si="13"/>
        <v>2546282</v>
      </c>
      <c r="BP10" s="478">
        <f>'[2]Restoration and Growth'!AA17</f>
        <v>0</v>
      </c>
      <c r="BQ10" s="478">
        <f>'[2]Restoration and Growth'!AB17</f>
        <v>0</v>
      </c>
      <c r="BR10" s="453">
        <f>'[2]Restoration and Growth'!BT17</f>
        <v>0</v>
      </c>
      <c r="BS10" s="453">
        <f>'[2]Growth Deficit'!$AO17</f>
        <v>0</v>
      </c>
      <c r="BT10" s="453">
        <f>'[2]Growth Deficit'!AO17</f>
        <v>0</v>
      </c>
      <c r="BU10" s="453">
        <f>'[2]Growth Deficit'!AL17</f>
        <v>0</v>
      </c>
      <c r="BV10" s="453">
        <f>'[2]Growth Deficit'!AM17</f>
        <v>0</v>
      </c>
      <c r="BW10" s="453">
        <f>'[2]Growth Deficit'!AN17</f>
        <v>0</v>
      </c>
      <c r="BX10" s="453">
        <f>'[2]Growth Deficit'!AO17</f>
        <v>0</v>
      </c>
      <c r="BY10" s="454">
        <f>'[2]PBF Run'!AA17</f>
        <v>0</v>
      </c>
      <c r="BZ10" s="454">
        <f>'[2]PBF Run'!AB17</f>
        <v>0</v>
      </c>
      <c r="CA10" s="454">
        <f>'[2]PBF Run'!AC17</f>
        <v>0</v>
      </c>
      <c r="CB10" s="454">
        <f t="shared" si="14"/>
        <v>0</v>
      </c>
      <c r="CC10" s="457">
        <f>'[2]PBF Run'!X17</f>
        <v>0</v>
      </c>
      <c r="CD10" s="456">
        <f>'[2]PBF Run'!AE17</f>
        <v>57655760</v>
      </c>
      <c r="CE10" s="337">
        <f t="shared" si="15"/>
        <v>0.98518541772756096</v>
      </c>
      <c r="CF10" s="455">
        <f>'[2]PBF Run'!AM17</f>
        <v>854146</v>
      </c>
      <c r="CG10" s="455">
        <f>'[2]PBF Run'!$AN17</f>
        <v>39114864</v>
      </c>
      <c r="CH10" s="455">
        <f>'[2]PBF Run'!$AO17</f>
        <v>0</v>
      </c>
      <c r="CI10" s="455">
        <f>'[2]PBF Run'!AJ17</f>
        <v>4875887</v>
      </c>
      <c r="CJ10" s="455">
        <f>'[2]PBF Run'!AI17</f>
        <v>4026230</v>
      </c>
      <c r="CK10" s="455">
        <f>'[2]PBF Run'!$AN17</f>
        <v>39114864</v>
      </c>
      <c r="CL10" s="455">
        <f>'[2]PBF Run'!AK17</f>
        <v>8784633</v>
      </c>
      <c r="CM10" s="455">
        <f t="shared" si="16"/>
        <v>56801614</v>
      </c>
      <c r="CN10" s="454">
        <f>'[2]PBF Run'!$AN17</f>
        <v>39114864</v>
      </c>
      <c r="CO10" s="454">
        <f>'[2]PBF Run'!BI17</f>
        <v>0</v>
      </c>
      <c r="CP10" s="339">
        <f>'[2]PBF Run'!BH17</f>
        <v>0</v>
      </c>
      <c r="CQ10" s="454">
        <f t="shared" si="26"/>
        <v>69532</v>
      </c>
      <c r="CR10" s="454">
        <f t="shared" si="17"/>
        <v>39114864</v>
      </c>
      <c r="CS10" s="453">
        <f>'[2]As of 13-14 R1'!BX17</f>
        <v>0</v>
      </c>
      <c r="CT10" s="453">
        <f>'[2]As of 13-14 R1'!BY17</f>
        <v>0</v>
      </c>
      <c r="CU10" s="453">
        <f>'[2]As of 13-14 R1'!BZ17</f>
        <v>0</v>
      </c>
      <c r="CV10" s="453">
        <f t="shared" si="18"/>
        <v>0</v>
      </c>
      <c r="CW10" s="342">
        <f>'[2]Growth Deficit'!$D$2</f>
        <v>0</v>
      </c>
      <c r="CX10" s="343">
        <f>IF($DL10="S",'[2]Foundation Grant'!C17,0)</f>
        <v>0</v>
      </c>
      <c r="CY10" s="343">
        <f>IF($DL10="S",'[2]Foundation Grant'!D17,0)</f>
        <v>1</v>
      </c>
      <c r="CZ10" s="343">
        <f>IF($DL10="S",'[2]Foundation Grant'!E17,0)</f>
        <v>0</v>
      </c>
      <c r="DA10" s="343">
        <f>IF($DL10="S",'[2]Foundation Grant'!F17,0)</f>
        <v>1</v>
      </c>
      <c r="DB10" s="343">
        <f>IF($DL10="M",'[2]Foundation Grant'!C17,0)</f>
        <v>0</v>
      </c>
      <c r="DC10" s="343">
        <f>IF($DL10="M",'[2]Foundation Grant'!D17,0)</f>
        <v>0</v>
      </c>
      <c r="DD10" s="343">
        <f>IF($DL10="M",'[2]Foundation Grant'!E17,0)</f>
        <v>0</v>
      </c>
      <c r="DE10" s="343">
        <f>IF($DL10="M",'[2]Foundation Grant'!F17,0)</f>
        <v>0</v>
      </c>
      <c r="DF10" s="343">
        <f>'[2]Foundation Grant'!G17</f>
        <v>0</v>
      </c>
      <c r="DG10" s="343">
        <f>'[2]Foundation Grant'!H17</f>
        <v>0</v>
      </c>
      <c r="DH10" s="343">
        <f>'[2]Foundation Grant'!I17</f>
        <v>0</v>
      </c>
      <c r="DI10" s="343">
        <f>'[2]Foundation Grant'!J17</f>
        <v>0</v>
      </c>
      <c r="DJ10" s="343">
        <f>'[2]Foundation Grant'!K17</f>
        <v>0</v>
      </c>
      <c r="DK10" s="452">
        <f>'[2]Foundation Grant'!L17</f>
        <v>0</v>
      </c>
      <c r="DL10" s="343" t="str">
        <f>'[2]Foundation Grant'!M17</f>
        <v>S</v>
      </c>
      <c r="DM10" s="343">
        <f>'[2]Foundation Grant'!N17</f>
        <v>4498258</v>
      </c>
      <c r="DN10" s="452">
        <f>'[2]Foundation Grant'!O17</f>
        <v>0</v>
      </c>
      <c r="DO10" s="452">
        <f>'[2]Foundation Grant'!P17</f>
        <v>0</v>
      </c>
      <c r="DP10" s="344">
        <f>'[2]Foundation Grant'!$C$1</f>
        <v>5622823</v>
      </c>
      <c r="DQ10" s="344">
        <f>'[2]Foundation Grant'!$D$1</f>
        <v>4498258</v>
      </c>
      <c r="DR10" s="344">
        <f>'[2]Foundation Grant'!$E$1</f>
        <v>3373694</v>
      </c>
      <c r="DS10" s="344">
        <f>'[2]Foundation Grant'!$C$2</f>
        <v>4498258</v>
      </c>
      <c r="DT10" s="344">
        <f>'[2]Foundation Grant'!$D$2</f>
        <v>3935976</v>
      </c>
      <c r="DU10" s="344">
        <f>'[2]Foundation Grant'!$E$2</f>
        <v>3373694</v>
      </c>
      <c r="DV10" s="344">
        <f>'[2]Foundation Grant'!$G$1</f>
        <v>1124565</v>
      </c>
      <c r="DW10" s="344">
        <f>'[2]Foundation Grant'!$H$1</f>
        <v>843423</v>
      </c>
      <c r="DX10" s="344">
        <f>'[2]Foundation Grant'!$I$1</f>
        <v>562282</v>
      </c>
      <c r="DY10" s="344">
        <f>'[2]Foundation Grant'!$J$1</f>
        <v>281141</v>
      </c>
      <c r="DZ10" s="344">
        <f>'[2]Foundation Grant'!$K$1</f>
        <v>140571</v>
      </c>
      <c r="EA10" s="344">
        <f>'[2]Foundation Grant'!$O$1</f>
        <v>562282</v>
      </c>
      <c r="EB10" s="344">
        <f>'[2]Foundation Grant'!$P$1</f>
        <v>1124565</v>
      </c>
      <c r="EC10" s="345">
        <f>'[2]basic allocation'!$C$10</f>
        <v>18749</v>
      </c>
      <c r="ED10" s="345">
        <f>'[2]basic allocation'!$D$10</f>
        <v>9375</v>
      </c>
      <c r="EE10" s="345">
        <f>'[2]basic allocation'!$E$10</f>
        <v>9375</v>
      </c>
      <c r="EF10" s="345">
        <f>'[2]basic allocation'!$I$10</f>
        <v>938</v>
      </c>
      <c r="EG10" s="345">
        <f>'[2]basic allocation'!$J$10</f>
        <v>703</v>
      </c>
      <c r="EH10" s="345">
        <f>'[2]basic allocation'!$K$10</f>
        <v>469</v>
      </c>
      <c r="EI10" s="345">
        <f>'[2]basic allocation'!$L$10</f>
        <v>234</v>
      </c>
      <c r="EJ10" s="345">
        <f>'[2]basic allocation'!$M$10</f>
        <v>100</v>
      </c>
      <c r="EK10" s="345">
        <f>'[2]PBF Run'!$AT17</f>
        <v>0</v>
      </c>
      <c r="EM10" s="477"/>
    </row>
    <row r="11" spans="1:143">
      <c r="A11" s="476" t="s">
        <v>605</v>
      </c>
      <c r="B11" s="475" t="str">
        <f t="shared" si="19"/>
        <v>P1</v>
      </c>
      <c r="C11" s="346" t="s">
        <v>383</v>
      </c>
      <c r="D11" s="450" t="s">
        <v>382</v>
      </c>
      <c r="E11" s="449">
        <f>ROUND('[2]PBF Run'!N18,6)</f>
        <v>4636.4928520000003</v>
      </c>
      <c r="F11" s="340">
        <f t="shared" si="20"/>
        <v>4636.49</v>
      </c>
      <c r="G11" s="474">
        <f t="shared" si="21"/>
        <v>2788.0536374600001</v>
      </c>
      <c r="H11" s="473">
        <f t="shared" si="22"/>
        <v>2811.7520933800001</v>
      </c>
      <c r="I11" s="473">
        <f t="shared" si="23"/>
        <v>3282.8110613200001</v>
      </c>
      <c r="J11" s="473">
        <f t="shared" si="24"/>
        <v>3310.71495534</v>
      </c>
      <c r="K11" s="472">
        <f>ROUND([2]FTES!C18,3)</f>
        <v>32372.95</v>
      </c>
      <c r="L11" s="472">
        <f>ROUND([2]FTES!L18,3)</f>
        <v>249.49</v>
      </c>
      <c r="M11" s="472">
        <f>ROUND([2]FTES!U18,3)</f>
        <v>0</v>
      </c>
      <c r="N11" s="465">
        <f>ROUND([2]FTES!$D18,3)</f>
        <v>32372.95</v>
      </c>
      <c r="O11" s="465">
        <f>ROUND([2]FTES!$M18,3)</f>
        <v>249.49</v>
      </c>
      <c r="P11" s="465">
        <f>ROUND([2]FTES!$V18,3)</f>
        <v>0</v>
      </c>
      <c r="Q11" s="471">
        <f>'[2]FTES Adjustment'!BU18</f>
        <v>0</v>
      </c>
      <c r="R11" s="471">
        <f>'[2]FTES Adjustment'!BV18</f>
        <v>0</v>
      </c>
      <c r="S11" s="471">
        <f>'[2]FTES Adjustment'!BW18</f>
        <v>0</v>
      </c>
      <c r="T11" s="469">
        <f>ROUND('[2]Growth Deficit'!$AG18,3)</f>
        <v>0</v>
      </c>
      <c r="U11" s="469">
        <f>ROUND('[2]Growth Deficit'!$AH18,3)</f>
        <v>0</v>
      </c>
      <c r="V11" s="469">
        <f>ROUND('[2]Growth Deficit'!$AI18,3)</f>
        <v>0</v>
      </c>
      <c r="W11" s="470">
        <f>ROUND([2]FTES!I18,3)</f>
        <v>0</v>
      </c>
      <c r="X11" s="470">
        <f>ROUND([2]FTES!R18,3)</f>
        <v>0</v>
      </c>
      <c r="Y11" s="470">
        <f>ROUND([2]FTES!AA18,3)</f>
        <v>0</v>
      </c>
      <c r="Z11" s="469">
        <f>ROUND([2]FTES!E18,3)</f>
        <v>32431.1</v>
      </c>
      <c r="AA11" s="469">
        <f>ROUND([2]FTES!N18,3)</f>
        <v>209.29</v>
      </c>
      <c r="AB11" s="469">
        <f>ROUND([2]FTES!W18,3)</f>
        <v>0</v>
      </c>
      <c r="AC11" s="468">
        <f>'[2]FTES Adjustment'!CW18</f>
        <v>32431.099994999997</v>
      </c>
      <c r="AD11" s="468">
        <f>'[2]FTES Adjustment'!CX18</f>
        <v>209.29</v>
      </c>
      <c r="AE11" s="468">
        <f>'[2]FTES Adjustment'!CY18</f>
        <v>0</v>
      </c>
      <c r="AF11" s="467">
        <f>'[2]FTES Adjustment'!DQ18</f>
        <v>5.0000016926787794E-6</v>
      </c>
      <c r="AG11" s="467">
        <f>'[2]FTES Adjustment'!DR18</f>
        <v>0</v>
      </c>
      <c r="AH11" s="467">
        <f>'[2]FTES Adjustment'!DS18</f>
        <v>0</v>
      </c>
      <c r="AI11" s="340">
        <f>'[2]FTES Adjustment'!$DX18</f>
        <v>0</v>
      </c>
      <c r="AJ11" s="340">
        <v>0</v>
      </c>
      <c r="AK11" s="340">
        <v>0</v>
      </c>
      <c r="AL11" s="465">
        <f>'[2]FTES Adjustment'!CG18</f>
        <v>58.150050999999998</v>
      </c>
      <c r="AM11" s="465">
        <f>'[2]FTES Adjustment'!CH18</f>
        <v>-40.200000000000017</v>
      </c>
      <c r="AN11" s="465">
        <f>'[2]FTES Adjustment'!CI18</f>
        <v>0</v>
      </c>
      <c r="AO11" s="463">
        <f t="shared" si="0"/>
        <v>32622.44</v>
      </c>
      <c r="AP11" s="463">
        <f t="shared" si="1"/>
        <v>32622.44</v>
      </c>
      <c r="AQ11" s="463">
        <f t="shared" si="2"/>
        <v>0</v>
      </c>
      <c r="AR11" s="463">
        <f t="shared" si="3"/>
        <v>0</v>
      </c>
      <c r="AS11" s="463">
        <f t="shared" si="4"/>
        <v>0</v>
      </c>
      <c r="AT11" s="463">
        <f t="shared" si="5"/>
        <v>32640.39</v>
      </c>
      <c r="AU11" s="463">
        <f t="shared" si="6"/>
        <v>32640.39</v>
      </c>
      <c r="AV11" s="464">
        <f t="shared" si="7"/>
        <v>0</v>
      </c>
      <c r="AW11" s="464">
        <f t="shared" si="8"/>
        <v>0</v>
      </c>
      <c r="AX11" s="464">
        <f t="shared" si="9"/>
        <v>17.95</v>
      </c>
      <c r="AY11" s="460">
        <f>'[2]PBF Run'!F18</f>
        <v>11245646</v>
      </c>
      <c r="AZ11" s="460">
        <f t="shared" si="10"/>
        <v>150792543</v>
      </c>
      <c r="BA11" s="460">
        <f>'[2]PBF Run'!J18 + '[2]PBF Run'!$L18</f>
        <v>150096951</v>
      </c>
      <c r="BB11" s="460">
        <f>'[2]PBF Run'!H18</f>
        <v>695592</v>
      </c>
      <c r="BC11" s="460">
        <f>'[2]PBF Run'!I18</f>
        <v>0</v>
      </c>
      <c r="BD11" s="462">
        <v>0</v>
      </c>
      <c r="BE11" s="461">
        <f>'[2]Restoration and Growth'!BM18</f>
        <v>0</v>
      </c>
      <c r="BF11" s="460">
        <f t="shared" si="11"/>
        <v>162038189</v>
      </c>
      <c r="BG11" s="333" t="str">
        <f t="shared" si="25"/>
        <v>0.85%</v>
      </c>
      <c r="BH11" s="459">
        <f>'[2]PBF Run'!O18</f>
        <v>1377325</v>
      </c>
      <c r="BI11" s="459">
        <f t="shared" si="12"/>
        <v>163415514</v>
      </c>
      <c r="BJ11" s="458">
        <f>'[2]PBF Run'!AC18</f>
        <v>0</v>
      </c>
      <c r="BK11" s="458">
        <f>'[2]PBF Run'!$AD18</f>
        <v>0</v>
      </c>
      <c r="BL11" s="458">
        <f>'[2]PBF Run'!$T18</f>
        <v>0</v>
      </c>
      <c r="BM11" s="458">
        <f>'[2]PBF Run'!$S18</f>
        <v>158872</v>
      </c>
      <c r="BN11" s="458">
        <f>'[2]13-14 $86M Workload Restore'!$P16</f>
        <v>0</v>
      </c>
      <c r="BO11" s="458">
        <f t="shared" si="13"/>
        <v>158872</v>
      </c>
      <c r="BP11" s="478">
        <f>'[2]Restoration and Growth'!AA18</f>
        <v>0</v>
      </c>
      <c r="BQ11" s="478">
        <f>'[2]Restoration and Growth'!AB18</f>
        <v>0</v>
      </c>
      <c r="BR11" s="453">
        <f>'[2]Restoration and Growth'!BT18</f>
        <v>0</v>
      </c>
      <c r="BS11" s="453">
        <f>'[2]Growth Deficit'!$AO18</f>
        <v>0</v>
      </c>
      <c r="BT11" s="453">
        <f>'[2]Growth Deficit'!AO18</f>
        <v>0</v>
      </c>
      <c r="BU11" s="453">
        <f>'[2]Growth Deficit'!AL18</f>
        <v>0</v>
      </c>
      <c r="BV11" s="453">
        <f>'[2]Growth Deficit'!AM18</f>
        <v>0</v>
      </c>
      <c r="BW11" s="453">
        <f>'[2]Growth Deficit'!AN18</f>
        <v>0</v>
      </c>
      <c r="BX11" s="453">
        <f>'[2]Growth Deficit'!AO18</f>
        <v>0</v>
      </c>
      <c r="BY11" s="454">
        <f>'[2]PBF Run'!AA18</f>
        <v>0</v>
      </c>
      <c r="BZ11" s="454">
        <f>'[2]PBF Run'!AB18</f>
        <v>0</v>
      </c>
      <c r="CA11" s="454">
        <f>'[2]PBF Run'!AC18</f>
        <v>0</v>
      </c>
      <c r="CB11" s="454">
        <f t="shared" si="14"/>
        <v>0</v>
      </c>
      <c r="CC11" s="457">
        <f>'[2]PBF Run'!X18</f>
        <v>0</v>
      </c>
      <c r="CD11" s="456">
        <f>'[2]PBF Run'!AE18</f>
        <v>163574386</v>
      </c>
      <c r="CE11" s="337">
        <f t="shared" si="15"/>
        <v>0.98518541894450395</v>
      </c>
      <c r="CF11" s="455">
        <f>'[2]PBF Run'!AM18</f>
        <v>2423286</v>
      </c>
      <c r="CG11" s="455">
        <f>'[2]PBF Run'!$AN18</f>
        <v>14364804</v>
      </c>
      <c r="CH11" s="455">
        <f>'[2]PBF Run'!$AO18</f>
        <v>0</v>
      </c>
      <c r="CI11" s="455">
        <f>'[2]PBF Run'!AJ18</f>
        <v>107845734</v>
      </c>
      <c r="CJ11" s="455">
        <f>'[2]PBF Run'!AI18</f>
        <v>14526137</v>
      </c>
      <c r="CK11" s="455">
        <f>'[2]PBF Run'!$AN18</f>
        <v>14364804</v>
      </c>
      <c r="CL11" s="455">
        <f>'[2]PBF Run'!AK18</f>
        <v>24414425</v>
      </c>
      <c r="CM11" s="455">
        <f t="shared" si="16"/>
        <v>161151100</v>
      </c>
      <c r="CN11" s="454">
        <f>'[2]PBF Run'!$AN18</f>
        <v>14364804</v>
      </c>
      <c r="CO11" s="454">
        <f>'[2]PBF Run'!BI18</f>
        <v>0</v>
      </c>
      <c r="CP11" s="339">
        <f>'[2]PBF Run'!BH18</f>
        <v>0</v>
      </c>
      <c r="CQ11" s="454">
        <f t="shared" si="26"/>
        <v>69532</v>
      </c>
      <c r="CR11" s="454">
        <f t="shared" si="17"/>
        <v>14364804</v>
      </c>
      <c r="CS11" s="453">
        <f>'[2]As of 13-14 R1'!BX18</f>
        <v>0</v>
      </c>
      <c r="CT11" s="453">
        <f>'[2]As of 13-14 R1'!BY18</f>
        <v>0</v>
      </c>
      <c r="CU11" s="453">
        <f>'[2]As of 13-14 R1'!BZ18</f>
        <v>0</v>
      </c>
      <c r="CV11" s="453">
        <f t="shared" si="18"/>
        <v>0</v>
      </c>
      <c r="CW11" s="342">
        <f>'[2]Growth Deficit'!$D$2</f>
        <v>0</v>
      </c>
      <c r="CX11" s="343">
        <f>IF($DL11="S",'[2]Foundation Grant'!C18,0)</f>
        <v>0</v>
      </c>
      <c r="CY11" s="343">
        <f>IF($DL11="S",'[2]Foundation Grant'!D18,0)</f>
        <v>0</v>
      </c>
      <c r="CZ11" s="343">
        <f>IF($DL11="S",'[2]Foundation Grant'!E18,0)</f>
        <v>0</v>
      </c>
      <c r="DA11" s="343">
        <f>IF($DL11="S",'[2]Foundation Grant'!F18,0)</f>
        <v>0</v>
      </c>
      <c r="DB11" s="343">
        <f>IF($DL11="M",'[2]Foundation Grant'!C18,0)</f>
        <v>0</v>
      </c>
      <c r="DC11" s="343">
        <f>IF($DL11="M",'[2]Foundation Grant'!D18,0)</f>
        <v>2</v>
      </c>
      <c r="DD11" s="343">
        <f>IF($DL11="M",'[2]Foundation Grant'!E18,0)</f>
        <v>1</v>
      </c>
      <c r="DE11" s="343">
        <f>IF($DL11="M",'[2]Foundation Grant'!F18,0)</f>
        <v>3</v>
      </c>
      <c r="DF11" s="343">
        <f>'[2]Foundation Grant'!G18</f>
        <v>0</v>
      </c>
      <c r="DG11" s="343">
        <f>'[2]Foundation Grant'!H18</f>
        <v>0</v>
      </c>
      <c r="DH11" s="343">
        <f>'[2]Foundation Grant'!I18</f>
        <v>0</v>
      </c>
      <c r="DI11" s="343">
        <f>'[2]Foundation Grant'!J18</f>
        <v>0</v>
      </c>
      <c r="DJ11" s="343">
        <f>'[2]Foundation Grant'!K18</f>
        <v>0</v>
      </c>
      <c r="DK11" s="452">
        <f>'[2]Foundation Grant'!L18</f>
        <v>0</v>
      </c>
      <c r="DL11" s="343" t="str">
        <f>'[2]Foundation Grant'!M18</f>
        <v>M</v>
      </c>
      <c r="DM11" s="343">
        <f>'[2]Foundation Grant'!N18</f>
        <v>11245646</v>
      </c>
      <c r="DN11" s="452">
        <f>'[2]Foundation Grant'!O18</f>
        <v>0</v>
      </c>
      <c r="DO11" s="452">
        <f>'[2]Foundation Grant'!P18</f>
        <v>0</v>
      </c>
      <c r="DP11" s="344">
        <f>'[2]Foundation Grant'!$C$1</f>
        <v>5622823</v>
      </c>
      <c r="DQ11" s="344">
        <f>'[2]Foundation Grant'!$D$1</f>
        <v>4498258</v>
      </c>
      <c r="DR11" s="344">
        <f>'[2]Foundation Grant'!$E$1</f>
        <v>3373694</v>
      </c>
      <c r="DS11" s="344">
        <f>'[2]Foundation Grant'!$C$2</f>
        <v>4498258</v>
      </c>
      <c r="DT11" s="344">
        <f>'[2]Foundation Grant'!$D$2</f>
        <v>3935976</v>
      </c>
      <c r="DU11" s="344">
        <f>'[2]Foundation Grant'!$E$2</f>
        <v>3373694</v>
      </c>
      <c r="DV11" s="344">
        <f>'[2]Foundation Grant'!$G$1</f>
        <v>1124565</v>
      </c>
      <c r="DW11" s="344">
        <f>'[2]Foundation Grant'!$H$1</f>
        <v>843423</v>
      </c>
      <c r="DX11" s="344">
        <f>'[2]Foundation Grant'!$I$1</f>
        <v>562282</v>
      </c>
      <c r="DY11" s="344">
        <f>'[2]Foundation Grant'!$J$1</f>
        <v>281141</v>
      </c>
      <c r="DZ11" s="344">
        <f>'[2]Foundation Grant'!$K$1</f>
        <v>140571</v>
      </c>
      <c r="EA11" s="344">
        <f>'[2]Foundation Grant'!$O$1</f>
        <v>562282</v>
      </c>
      <c r="EB11" s="344">
        <f>'[2]Foundation Grant'!$P$1</f>
        <v>1124565</v>
      </c>
      <c r="EC11" s="345">
        <f>'[2]basic allocation'!$C$10</f>
        <v>18749</v>
      </c>
      <c r="ED11" s="345">
        <f>'[2]basic allocation'!$D$10</f>
        <v>9375</v>
      </c>
      <c r="EE11" s="345">
        <f>'[2]basic allocation'!$E$10</f>
        <v>9375</v>
      </c>
      <c r="EF11" s="345">
        <f>'[2]basic allocation'!$I$10</f>
        <v>938</v>
      </c>
      <c r="EG11" s="345">
        <f>'[2]basic allocation'!$J$10</f>
        <v>703</v>
      </c>
      <c r="EH11" s="345">
        <f>'[2]basic allocation'!$K$10</f>
        <v>469</v>
      </c>
      <c r="EI11" s="345">
        <f>'[2]basic allocation'!$L$10</f>
        <v>234</v>
      </c>
      <c r="EJ11" s="345">
        <f>'[2]basic allocation'!$M$10</f>
        <v>100</v>
      </c>
      <c r="EK11" s="345">
        <f>'[2]PBF Run'!$AT18</f>
        <v>0</v>
      </c>
      <c r="EM11" s="477"/>
    </row>
    <row r="12" spans="1:143">
      <c r="A12" s="476" t="s">
        <v>605</v>
      </c>
      <c r="B12" s="475" t="str">
        <f t="shared" si="19"/>
        <v>P1</v>
      </c>
      <c r="C12" s="346" t="s">
        <v>381</v>
      </c>
      <c r="D12" s="450" t="s">
        <v>380</v>
      </c>
      <c r="E12" s="449">
        <f>ROUND('[2]PBF Run'!N19,6)</f>
        <v>4636.4929279999997</v>
      </c>
      <c r="F12" s="340">
        <f t="shared" si="20"/>
        <v>4636.49</v>
      </c>
      <c r="G12" s="474">
        <f t="shared" si="21"/>
        <v>2788.0536374600001</v>
      </c>
      <c r="H12" s="473">
        <f t="shared" si="22"/>
        <v>2811.7520933800001</v>
      </c>
      <c r="I12" s="473">
        <f t="shared" si="23"/>
        <v>3282.8110613200001</v>
      </c>
      <c r="J12" s="473">
        <f t="shared" si="24"/>
        <v>3310.71495534</v>
      </c>
      <c r="K12" s="472">
        <f>ROUND([2]FTES!C19,3)</f>
        <v>6037.2</v>
      </c>
      <c r="L12" s="472">
        <f>ROUND([2]FTES!L19,3)</f>
        <v>22.8</v>
      </c>
      <c r="M12" s="472">
        <f>ROUND([2]FTES!U19,3)</f>
        <v>0</v>
      </c>
      <c r="N12" s="465">
        <f>ROUND([2]FTES!$D19,3)</f>
        <v>6037.2</v>
      </c>
      <c r="O12" s="465">
        <f>ROUND([2]FTES!$M19,3)</f>
        <v>22.8</v>
      </c>
      <c r="P12" s="465">
        <f>ROUND([2]FTES!$V19,3)</f>
        <v>0</v>
      </c>
      <c r="Q12" s="471">
        <f>'[2]FTES Adjustment'!BU19</f>
        <v>0</v>
      </c>
      <c r="R12" s="471">
        <f>'[2]FTES Adjustment'!BV19</f>
        <v>0</v>
      </c>
      <c r="S12" s="471">
        <f>'[2]FTES Adjustment'!BW19</f>
        <v>0</v>
      </c>
      <c r="T12" s="469">
        <f>ROUND('[2]Growth Deficit'!$AG19,3)</f>
        <v>0</v>
      </c>
      <c r="U12" s="469">
        <f>ROUND('[2]Growth Deficit'!$AH19,3)</f>
        <v>0</v>
      </c>
      <c r="V12" s="469">
        <f>ROUND('[2]Growth Deficit'!$AI19,3)</f>
        <v>0</v>
      </c>
      <c r="W12" s="470">
        <f>ROUND([2]FTES!I19,3)</f>
        <v>-209.5</v>
      </c>
      <c r="X12" s="470">
        <f>ROUND([2]FTES!R19,3)</f>
        <v>9.5</v>
      </c>
      <c r="Y12" s="470">
        <f>ROUND([2]FTES!AA19,3)</f>
        <v>0</v>
      </c>
      <c r="Z12" s="469">
        <f>ROUND([2]FTES!E19,3)</f>
        <v>5827.7</v>
      </c>
      <c r="AA12" s="469">
        <f>ROUND([2]FTES!N19,3)</f>
        <v>32.299999999999997</v>
      </c>
      <c r="AB12" s="469">
        <f>ROUND([2]FTES!W19,3)</f>
        <v>0</v>
      </c>
      <c r="AC12" s="468">
        <f>'[2]FTES Adjustment'!CW19</f>
        <v>5827.7000000000007</v>
      </c>
      <c r="AD12" s="468">
        <f>'[2]FTES Adjustment'!CX19</f>
        <v>32.299999999999997</v>
      </c>
      <c r="AE12" s="468">
        <f>'[2]FTES Adjustment'!CY19</f>
        <v>0</v>
      </c>
      <c r="AF12" s="467">
        <f>'[2]FTES Adjustment'!DQ19</f>
        <v>0</v>
      </c>
      <c r="AG12" s="467">
        <f>'[2]FTES Adjustment'!DR19</f>
        <v>0</v>
      </c>
      <c r="AH12" s="467">
        <f>'[2]FTES Adjustment'!DS19</f>
        <v>0</v>
      </c>
      <c r="AI12" s="340">
        <f>'[2]FTES Adjustment'!$DX19</f>
        <v>0</v>
      </c>
      <c r="AJ12" s="340">
        <v>0</v>
      </c>
      <c r="AK12" s="340">
        <v>0</v>
      </c>
      <c r="AL12" s="465">
        <f>'[2]FTES Adjustment'!CG19</f>
        <v>0</v>
      </c>
      <c r="AM12" s="465">
        <f>'[2]FTES Adjustment'!CH19</f>
        <v>0</v>
      </c>
      <c r="AN12" s="465">
        <f>'[2]FTES Adjustment'!CI19</f>
        <v>0</v>
      </c>
      <c r="AO12" s="463">
        <f t="shared" si="0"/>
        <v>6060</v>
      </c>
      <c r="AP12" s="463">
        <f t="shared" si="1"/>
        <v>6060</v>
      </c>
      <c r="AQ12" s="463">
        <f t="shared" si="2"/>
        <v>0</v>
      </c>
      <c r="AR12" s="463">
        <f t="shared" si="3"/>
        <v>0</v>
      </c>
      <c r="AS12" s="463">
        <f t="shared" si="4"/>
        <v>-200</v>
      </c>
      <c r="AT12" s="463">
        <f t="shared" si="5"/>
        <v>5860</v>
      </c>
      <c r="AU12" s="463">
        <f t="shared" si="6"/>
        <v>5860</v>
      </c>
      <c r="AV12" s="464">
        <f t="shared" si="7"/>
        <v>0</v>
      </c>
      <c r="AW12" s="464">
        <f t="shared" si="8"/>
        <v>0</v>
      </c>
      <c r="AX12" s="464">
        <f t="shared" si="9"/>
        <v>0</v>
      </c>
      <c r="AY12" s="460">
        <f>'[2]PBF Run'!F19</f>
        <v>3373694</v>
      </c>
      <c r="AZ12" s="460">
        <f t="shared" si="10"/>
        <v>28055003</v>
      </c>
      <c r="BA12" s="460">
        <f>'[2]PBF Run'!J19 + '[2]PBF Run'!$L19</f>
        <v>27991435</v>
      </c>
      <c r="BB12" s="460">
        <f>'[2]PBF Run'!H19</f>
        <v>63568</v>
      </c>
      <c r="BC12" s="460">
        <f>'[2]PBF Run'!I19</f>
        <v>0</v>
      </c>
      <c r="BD12" s="462">
        <v>0</v>
      </c>
      <c r="BE12" s="461">
        <f>'[2]Restoration and Growth'!BM19</f>
        <v>-944858.70104115026</v>
      </c>
      <c r="BF12" s="460">
        <f t="shared" si="11"/>
        <v>30483838.298958849</v>
      </c>
      <c r="BG12" s="333" t="str">
        <f t="shared" si="25"/>
        <v>0.85%</v>
      </c>
      <c r="BH12" s="459">
        <f>'[2]PBF Run'!O19</f>
        <v>259113</v>
      </c>
      <c r="BI12" s="459">
        <f t="shared" si="12"/>
        <v>30742951.298958849</v>
      </c>
      <c r="BJ12" s="458">
        <f>'[2]PBF Run'!AC19</f>
        <v>0</v>
      </c>
      <c r="BK12" s="458">
        <f>'[2]PBF Run'!$AD19</f>
        <v>0</v>
      </c>
      <c r="BL12" s="458">
        <f>'[2]PBF Run'!$T19</f>
        <v>0</v>
      </c>
      <c r="BM12" s="458">
        <f>'[2]PBF Run'!$S19</f>
        <v>0</v>
      </c>
      <c r="BN12" s="458">
        <f>'[2]13-14 $86M Workload Restore'!$P17</f>
        <v>0</v>
      </c>
      <c r="BO12" s="458">
        <f t="shared" si="13"/>
        <v>0</v>
      </c>
      <c r="BP12" s="478">
        <f>'[2]Restoration and Growth'!AA19</f>
        <v>0</v>
      </c>
      <c r="BQ12" s="478">
        <f>'[2]Restoration and Growth'!AB19</f>
        <v>0</v>
      </c>
      <c r="BR12" s="453">
        <f>'[2]Restoration and Growth'!BT19</f>
        <v>0</v>
      </c>
      <c r="BS12" s="453">
        <f>'[2]Growth Deficit'!$AO19</f>
        <v>0</v>
      </c>
      <c r="BT12" s="453">
        <f>'[2]Growth Deficit'!AO19</f>
        <v>0</v>
      </c>
      <c r="BU12" s="453">
        <f>'[2]Growth Deficit'!AL19</f>
        <v>0</v>
      </c>
      <c r="BV12" s="453">
        <f>'[2]Growth Deficit'!AM19</f>
        <v>0</v>
      </c>
      <c r="BW12" s="453">
        <f>'[2]Growth Deficit'!AN19</f>
        <v>0</v>
      </c>
      <c r="BX12" s="453">
        <f>'[2]Growth Deficit'!AO19</f>
        <v>0</v>
      </c>
      <c r="BY12" s="454">
        <f>'[2]PBF Run'!AA19</f>
        <v>0</v>
      </c>
      <c r="BZ12" s="454">
        <f>'[2]PBF Run'!AB19</f>
        <v>0</v>
      </c>
      <c r="CA12" s="454">
        <f>'[2]PBF Run'!AC19</f>
        <v>0</v>
      </c>
      <c r="CB12" s="454">
        <f t="shared" si="14"/>
        <v>0</v>
      </c>
      <c r="CC12" s="457">
        <f>'[2]PBF Run'!X19</f>
        <v>952890</v>
      </c>
      <c r="CD12" s="456">
        <f>'[2]PBF Run'!AE19</f>
        <v>31695841</v>
      </c>
      <c r="CE12" s="337">
        <f t="shared" si="15"/>
        <v>0.98518540650175523</v>
      </c>
      <c r="CF12" s="455">
        <f>'[2]PBF Run'!AM19</f>
        <v>469561</v>
      </c>
      <c r="CG12" s="455">
        <f>'[2]PBF Run'!$AN19</f>
        <v>20904143</v>
      </c>
      <c r="CH12" s="455">
        <f>'[2]PBF Run'!$AO19</f>
        <v>0</v>
      </c>
      <c r="CI12" s="455">
        <f>'[2]PBF Run'!AJ19</f>
        <v>4386416</v>
      </c>
      <c r="CJ12" s="455">
        <f>'[2]PBF Run'!AI19</f>
        <v>889590</v>
      </c>
      <c r="CK12" s="455">
        <f>'[2]PBF Run'!$AN19</f>
        <v>20904143</v>
      </c>
      <c r="CL12" s="455">
        <f>'[2]PBF Run'!AK19</f>
        <v>5046131</v>
      </c>
      <c r="CM12" s="455">
        <f t="shared" si="16"/>
        <v>31226280</v>
      </c>
      <c r="CN12" s="454">
        <f>'[2]PBF Run'!$AN19</f>
        <v>20904143</v>
      </c>
      <c r="CO12" s="454">
        <f>'[2]PBF Run'!BI19</f>
        <v>0</v>
      </c>
      <c r="CP12" s="339">
        <f>'[2]PBF Run'!BH19</f>
        <v>0</v>
      </c>
      <c r="CQ12" s="454">
        <f t="shared" si="26"/>
        <v>69532</v>
      </c>
      <c r="CR12" s="454">
        <f t="shared" si="17"/>
        <v>20904143</v>
      </c>
      <c r="CS12" s="453">
        <f>'[2]As of 13-14 R1'!BX19</f>
        <v>0</v>
      </c>
      <c r="CT12" s="453">
        <f>'[2]As of 13-14 R1'!BY19</f>
        <v>0</v>
      </c>
      <c r="CU12" s="453">
        <f>'[2]As of 13-14 R1'!BZ19</f>
        <v>0</v>
      </c>
      <c r="CV12" s="453">
        <f t="shared" si="18"/>
        <v>0</v>
      </c>
      <c r="CW12" s="342">
        <f>'[2]Growth Deficit'!$D$2</f>
        <v>0</v>
      </c>
      <c r="CX12" s="343">
        <f>IF($DL12="S",'[2]Foundation Grant'!C19,0)</f>
        <v>0</v>
      </c>
      <c r="CY12" s="343">
        <f>IF($DL12="S",'[2]Foundation Grant'!D19,0)</f>
        <v>0</v>
      </c>
      <c r="CZ12" s="343">
        <f>IF($DL12="S",'[2]Foundation Grant'!E19,0)</f>
        <v>1</v>
      </c>
      <c r="DA12" s="343">
        <f>IF($DL12="S",'[2]Foundation Grant'!F19,0)</f>
        <v>1</v>
      </c>
      <c r="DB12" s="343">
        <f>IF($DL12="M",'[2]Foundation Grant'!C19,0)</f>
        <v>0</v>
      </c>
      <c r="DC12" s="343">
        <f>IF($DL12="M",'[2]Foundation Grant'!D19,0)</f>
        <v>0</v>
      </c>
      <c r="DD12" s="343">
        <f>IF($DL12="M",'[2]Foundation Grant'!E19,0)</f>
        <v>0</v>
      </c>
      <c r="DE12" s="343">
        <f>IF($DL12="M",'[2]Foundation Grant'!F19,0)</f>
        <v>0</v>
      </c>
      <c r="DF12" s="343">
        <f>'[2]Foundation Grant'!G19</f>
        <v>0</v>
      </c>
      <c r="DG12" s="343">
        <f>'[2]Foundation Grant'!H19</f>
        <v>0</v>
      </c>
      <c r="DH12" s="343">
        <f>'[2]Foundation Grant'!I19</f>
        <v>0</v>
      </c>
      <c r="DI12" s="343">
        <f>'[2]Foundation Grant'!J19</f>
        <v>0</v>
      </c>
      <c r="DJ12" s="343">
        <f>'[2]Foundation Grant'!K19</f>
        <v>0</v>
      </c>
      <c r="DK12" s="452">
        <f>'[2]Foundation Grant'!L19</f>
        <v>0</v>
      </c>
      <c r="DL12" s="343" t="str">
        <f>'[2]Foundation Grant'!M19</f>
        <v>S</v>
      </c>
      <c r="DM12" s="343">
        <f>'[2]Foundation Grant'!N19</f>
        <v>3373694</v>
      </c>
      <c r="DN12" s="452">
        <f>'[2]Foundation Grant'!O19</f>
        <v>0</v>
      </c>
      <c r="DO12" s="452">
        <f>'[2]Foundation Grant'!P19</f>
        <v>0</v>
      </c>
      <c r="DP12" s="344">
        <f>'[2]Foundation Grant'!$C$1</f>
        <v>5622823</v>
      </c>
      <c r="DQ12" s="344">
        <f>'[2]Foundation Grant'!$D$1</f>
        <v>4498258</v>
      </c>
      <c r="DR12" s="344">
        <f>'[2]Foundation Grant'!$E$1</f>
        <v>3373694</v>
      </c>
      <c r="DS12" s="344">
        <f>'[2]Foundation Grant'!$C$2</f>
        <v>4498258</v>
      </c>
      <c r="DT12" s="344">
        <f>'[2]Foundation Grant'!$D$2</f>
        <v>3935976</v>
      </c>
      <c r="DU12" s="344">
        <f>'[2]Foundation Grant'!$E$2</f>
        <v>3373694</v>
      </c>
      <c r="DV12" s="344">
        <f>'[2]Foundation Grant'!$G$1</f>
        <v>1124565</v>
      </c>
      <c r="DW12" s="344">
        <f>'[2]Foundation Grant'!$H$1</f>
        <v>843423</v>
      </c>
      <c r="DX12" s="344">
        <f>'[2]Foundation Grant'!$I$1</f>
        <v>562282</v>
      </c>
      <c r="DY12" s="344">
        <f>'[2]Foundation Grant'!$J$1</f>
        <v>281141</v>
      </c>
      <c r="DZ12" s="344">
        <f>'[2]Foundation Grant'!$K$1</f>
        <v>140571</v>
      </c>
      <c r="EA12" s="344">
        <f>'[2]Foundation Grant'!$O$1</f>
        <v>562282</v>
      </c>
      <c r="EB12" s="344">
        <f>'[2]Foundation Grant'!$P$1</f>
        <v>1124565</v>
      </c>
      <c r="EC12" s="345">
        <f>'[2]basic allocation'!$C$10</f>
        <v>18749</v>
      </c>
      <c r="ED12" s="345">
        <f>'[2]basic allocation'!$D$10</f>
        <v>9375</v>
      </c>
      <c r="EE12" s="345">
        <f>'[2]basic allocation'!$E$10</f>
        <v>9375</v>
      </c>
      <c r="EF12" s="345">
        <f>'[2]basic allocation'!$I$10</f>
        <v>938</v>
      </c>
      <c r="EG12" s="345">
        <f>'[2]basic allocation'!$J$10</f>
        <v>703</v>
      </c>
      <c r="EH12" s="345">
        <f>'[2]basic allocation'!$K$10</f>
        <v>469</v>
      </c>
      <c r="EI12" s="345">
        <f>'[2]basic allocation'!$L$10</f>
        <v>234</v>
      </c>
      <c r="EJ12" s="345">
        <f>'[2]basic allocation'!$M$10</f>
        <v>100</v>
      </c>
      <c r="EK12" s="345">
        <f>'[2]PBF Run'!$AT19</f>
        <v>325000</v>
      </c>
      <c r="EM12" s="477"/>
    </row>
    <row r="13" spans="1:143">
      <c r="A13" s="476" t="s">
        <v>605</v>
      </c>
      <c r="B13" s="475" t="str">
        <f t="shared" si="19"/>
        <v>P1</v>
      </c>
      <c r="C13" s="346" t="s">
        <v>379</v>
      </c>
      <c r="D13" s="450" t="s">
        <v>378</v>
      </c>
      <c r="E13" s="449">
        <f>ROUND('[2]PBF Run'!N20,6)</f>
        <v>4636.4928369999998</v>
      </c>
      <c r="F13" s="340">
        <f t="shared" si="20"/>
        <v>4636.49</v>
      </c>
      <c r="G13" s="474">
        <f t="shared" si="21"/>
        <v>2788.0536374600001</v>
      </c>
      <c r="H13" s="473">
        <f t="shared" si="22"/>
        <v>2811.7520933800001</v>
      </c>
      <c r="I13" s="473">
        <f t="shared" si="23"/>
        <v>3282.8110613200001</v>
      </c>
      <c r="J13" s="473">
        <f t="shared" si="24"/>
        <v>3310.71495534</v>
      </c>
      <c r="K13" s="472">
        <f>ROUND([2]FTES!C20,3)</f>
        <v>28702.123</v>
      </c>
      <c r="L13" s="472">
        <f>ROUND([2]FTES!L20,3)</f>
        <v>71.05</v>
      </c>
      <c r="M13" s="472">
        <f>ROUND([2]FTES!U20,3)</f>
        <v>0</v>
      </c>
      <c r="N13" s="465">
        <f>ROUND([2]FTES!$D20,3)</f>
        <v>28702.123</v>
      </c>
      <c r="O13" s="465">
        <f>ROUND([2]FTES!$M20,3)</f>
        <v>71.05</v>
      </c>
      <c r="P13" s="465">
        <f>ROUND([2]FTES!$V20,3)</f>
        <v>0</v>
      </c>
      <c r="Q13" s="471">
        <f>'[2]FTES Adjustment'!BU20</f>
        <v>0</v>
      </c>
      <c r="R13" s="471">
        <f>'[2]FTES Adjustment'!BV20</f>
        <v>0</v>
      </c>
      <c r="S13" s="471">
        <f>'[2]FTES Adjustment'!BW20</f>
        <v>0</v>
      </c>
      <c r="T13" s="469">
        <f>ROUND('[2]Growth Deficit'!$AG20,3)</f>
        <v>0</v>
      </c>
      <c r="U13" s="469">
        <f>ROUND('[2]Growth Deficit'!$AH20,3)</f>
        <v>0</v>
      </c>
      <c r="V13" s="469">
        <f>ROUND('[2]Growth Deficit'!$AI20,3)</f>
        <v>0</v>
      </c>
      <c r="W13" s="470">
        <f>ROUND([2]FTES!I20,3)</f>
        <v>-442.46300000000002</v>
      </c>
      <c r="X13" s="470">
        <f>ROUND([2]FTES!R20,3)</f>
        <v>37.08</v>
      </c>
      <c r="Y13" s="470">
        <f>ROUND([2]FTES!AA20,3)</f>
        <v>0</v>
      </c>
      <c r="Z13" s="469">
        <f>ROUND([2]FTES!E20,3)</f>
        <v>28259.66</v>
      </c>
      <c r="AA13" s="469">
        <f>ROUND([2]FTES!N20,3)</f>
        <v>108.13</v>
      </c>
      <c r="AB13" s="469">
        <f>ROUND([2]FTES!W20,3)</f>
        <v>0</v>
      </c>
      <c r="AC13" s="468">
        <f>'[2]FTES Adjustment'!CW20</f>
        <v>28259.660000000003</v>
      </c>
      <c r="AD13" s="468">
        <f>'[2]FTES Adjustment'!CX20</f>
        <v>108.13</v>
      </c>
      <c r="AE13" s="468">
        <f>'[2]FTES Adjustment'!CY20</f>
        <v>0</v>
      </c>
      <c r="AF13" s="467">
        <f>'[2]FTES Adjustment'!DQ20</f>
        <v>0</v>
      </c>
      <c r="AG13" s="467">
        <f>'[2]FTES Adjustment'!DR20</f>
        <v>0</v>
      </c>
      <c r="AH13" s="467">
        <f>'[2]FTES Adjustment'!DS20</f>
        <v>0</v>
      </c>
      <c r="AI13" s="340">
        <f>'[2]FTES Adjustment'!$DX20</f>
        <v>0</v>
      </c>
      <c r="AJ13" s="340">
        <v>0</v>
      </c>
      <c r="AK13" s="340">
        <v>0</v>
      </c>
      <c r="AL13" s="465">
        <f>'[2]FTES Adjustment'!CG20</f>
        <v>0</v>
      </c>
      <c r="AM13" s="465">
        <f>'[2]FTES Adjustment'!CH20</f>
        <v>0</v>
      </c>
      <c r="AN13" s="465">
        <f>'[2]FTES Adjustment'!CI20</f>
        <v>0</v>
      </c>
      <c r="AO13" s="463">
        <f t="shared" si="0"/>
        <v>28773.172999999999</v>
      </c>
      <c r="AP13" s="463">
        <f t="shared" si="1"/>
        <v>28773.172999999999</v>
      </c>
      <c r="AQ13" s="463">
        <f t="shared" si="2"/>
        <v>0</v>
      </c>
      <c r="AR13" s="463">
        <f t="shared" si="3"/>
        <v>0</v>
      </c>
      <c r="AS13" s="463">
        <f t="shared" si="4"/>
        <v>-405.38299999999998</v>
      </c>
      <c r="AT13" s="463">
        <f t="shared" si="5"/>
        <v>28367.79</v>
      </c>
      <c r="AU13" s="463">
        <f t="shared" si="6"/>
        <v>28367.79</v>
      </c>
      <c r="AV13" s="464">
        <f t="shared" si="7"/>
        <v>0</v>
      </c>
      <c r="AW13" s="464">
        <f t="shared" si="8"/>
        <v>0</v>
      </c>
      <c r="AX13" s="464">
        <f t="shared" si="9"/>
        <v>0</v>
      </c>
      <c r="AY13" s="460">
        <f>'[2]PBF Run'!F20</f>
        <v>12932494</v>
      </c>
      <c r="AZ13" s="460">
        <f t="shared" si="10"/>
        <v>133275277</v>
      </c>
      <c r="BA13" s="460">
        <f>'[2]PBF Run'!J20 + '[2]PBF Run'!$L20</f>
        <v>133077186</v>
      </c>
      <c r="BB13" s="460">
        <f>'[2]PBF Run'!H20</f>
        <v>198091</v>
      </c>
      <c r="BC13" s="460">
        <f>'[2]PBF Run'!I20</f>
        <v>0</v>
      </c>
      <c r="BD13" s="462">
        <v>0</v>
      </c>
      <c r="BE13" s="461">
        <f>'[2]Restoration and Growth'!BM20</f>
        <v>-1948093.2077342588</v>
      </c>
      <c r="BF13" s="460">
        <f t="shared" si="11"/>
        <v>144259677.79226574</v>
      </c>
      <c r="BG13" s="333" t="str">
        <f t="shared" si="25"/>
        <v>0.85%</v>
      </c>
      <c r="BH13" s="459">
        <f>'[2]PBF Run'!O20</f>
        <v>1226207</v>
      </c>
      <c r="BI13" s="459">
        <f t="shared" si="12"/>
        <v>145485884.79226574</v>
      </c>
      <c r="BJ13" s="458">
        <f>'[2]PBF Run'!AC20</f>
        <v>0</v>
      </c>
      <c r="BK13" s="458">
        <f>'[2]PBF Run'!$AD20</f>
        <v>0</v>
      </c>
      <c r="BL13" s="458">
        <f>'[2]PBF Run'!$T20</f>
        <v>0</v>
      </c>
      <c r="BM13" s="458">
        <f>'[2]PBF Run'!$S20</f>
        <v>0</v>
      </c>
      <c r="BN13" s="458">
        <f>'[2]13-14 $86M Workload Restore'!$P18</f>
        <v>0</v>
      </c>
      <c r="BO13" s="458">
        <f t="shared" si="13"/>
        <v>0</v>
      </c>
      <c r="BP13" s="478">
        <f>'[2]Restoration and Growth'!AA20</f>
        <v>0</v>
      </c>
      <c r="BQ13" s="478">
        <f>'[2]Restoration and Growth'!AB20</f>
        <v>0</v>
      </c>
      <c r="BR13" s="453">
        <f>'[2]Restoration and Growth'!BT20</f>
        <v>0</v>
      </c>
      <c r="BS13" s="453">
        <f>'[2]Growth Deficit'!$AO20</f>
        <v>0</v>
      </c>
      <c r="BT13" s="453">
        <f>'[2]Growth Deficit'!AO20</f>
        <v>0</v>
      </c>
      <c r="BU13" s="453">
        <f>'[2]Growth Deficit'!AL20</f>
        <v>0</v>
      </c>
      <c r="BV13" s="453">
        <f>'[2]Growth Deficit'!AM20</f>
        <v>0</v>
      </c>
      <c r="BW13" s="453">
        <f>'[2]Growth Deficit'!AN20</f>
        <v>0</v>
      </c>
      <c r="BX13" s="453">
        <f>'[2]Growth Deficit'!AO20</f>
        <v>0</v>
      </c>
      <c r="BY13" s="454">
        <f>'[2]PBF Run'!AA20</f>
        <v>0</v>
      </c>
      <c r="BZ13" s="454">
        <f>'[2]PBF Run'!AB20</f>
        <v>0</v>
      </c>
      <c r="CA13" s="454">
        <f>'[2]PBF Run'!AC20</f>
        <v>0</v>
      </c>
      <c r="CB13" s="454">
        <f t="shared" si="14"/>
        <v>0</v>
      </c>
      <c r="CC13" s="457">
        <f>'[2]PBF Run'!X20</f>
        <v>1964652</v>
      </c>
      <c r="CD13" s="456">
        <f>'[2]PBF Run'!AE20</f>
        <v>147450537</v>
      </c>
      <c r="CE13" s="337">
        <f t="shared" si="15"/>
        <v>0.98518541848375907</v>
      </c>
      <c r="CF13" s="455">
        <f>'[2]PBF Run'!AM20</f>
        <v>2184418</v>
      </c>
      <c r="CG13" s="455">
        <f>'[2]PBF Run'!$AN20</f>
        <v>31924183</v>
      </c>
      <c r="CH13" s="455">
        <f>'[2]PBF Run'!$AO20</f>
        <v>0</v>
      </c>
      <c r="CI13" s="455">
        <f>'[2]PBF Run'!AJ20</f>
        <v>75572015</v>
      </c>
      <c r="CJ13" s="455">
        <f>'[2]PBF Run'!AI20</f>
        <v>16284669</v>
      </c>
      <c r="CK13" s="455">
        <f>'[2]PBF Run'!$AN20</f>
        <v>31924183</v>
      </c>
      <c r="CL13" s="455">
        <f>'[2]PBF Run'!AK20</f>
        <v>21485252</v>
      </c>
      <c r="CM13" s="455">
        <f t="shared" si="16"/>
        <v>145266119</v>
      </c>
      <c r="CN13" s="454">
        <f>'[2]PBF Run'!$AN20</f>
        <v>31924183</v>
      </c>
      <c r="CO13" s="454">
        <f>'[2]PBF Run'!BI20</f>
        <v>0</v>
      </c>
      <c r="CP13" s="339">
        <f>'[2]PBF Run'!BH20</f>
        <v>0</v>
      </c>
      <c r="CQ13" s="454">
        <f t="shared" si="26"/>
        <v>69532</v>
      </c>
      <c r="CR13" s="454">
        <f t="shared" si="17"/>
        <v>31924183</v>
      </c>
      <c r="CS13" s="453">
        <f>'[2]As of 13-14 R1'!BX20</f>
        <v>0</v>
      </c>
      <c r="CT13" s="453">
        <f>'[2]As of 13-14 R1'!BY20</f>
        <v>0</v>
      </c>
      <c r="CU13" s="453">
        <f>'[2]As of 13-14 R1'!BZ20</f>
        <v>0</v>
      </c>
      <c r="CV13" s="453">
        <f t="shared" si="18"/>
        <v>0</v>
      </c>
      <c r="CW13" s="342">
        <f>'[2]Growth Deficit'!$D$2</f>
        <v>0</v>
      </c>
      <c r="CX13" s="343">
        <f>IF($DL13="S",'[2]Foundation Grant'!C20,0)</f>
        <v>0</v>
      </c>
      <c r="CY13" s="343">
        <f>IF($DL13="S",'[2]Foundation Grant'!D20,0)</f>
        <v>0</v>
      </c>
      <c r="CZ13" s="343">
        <f>IF($DL13="S",'[2]Foundation Grant'!E20,0)</f>
        <v>0</v>
      </c>
      <c r="DA13" s="343">
        <f>IF($DL13="S",'[2]Foundation Grant'!F20,0)</f>
        <v>0</v>
      </c>
      <c r="DB13" s="343">
        <f>IF($DL13="M",'[2]Foundation Grant'!C20,0)</f>
        <v>0</v>
      </c>
      <c r="DC13" s="343">
        <f>IF($DL13="M",'[2]Foundation Grant'!D20,0)</f>
        <v>1</v>
      </c>
      <c r="DD13" s="343">
        <f>IF($DL13="M",'[2]Foundation Grant'!E20,0)</f>
        <v>2</v>
      </c>
      <c r="DE13" s="343">
        <f>IF($DL13="M",'[2]Foundation Grant'!F20,0)</f>
        <v>3</v>
      </c>
      <c r="DF13" s="343">
        <f>'[2]Foundation Grant'!G20</f>
        <v>0</v>
      </c>
      <c r="DG13" s="343">
        <f>'[2]Foundation Grant'!H20</f>
        <v>0</v>
      </c>
      <c r="DH13" s="343">
        <f>'[2]Foundation Grant'!I20</f>
        <v>0</v>
      </c>
      <c r="DI13" s="343">
        <f>'[2]Foundation Grant'!J20</f>
        <v>0</v>
      </c>
      <c r="DJ13" s="343">
        <f>'[2]Foundation Grant'!K20</f>
        <v>0</v>
      </c>
      <c r="DK13" s="452">
        <f>'[2]Foundation Grant'!L20</f>
        <v>0</v>
      </c>
      <c r="DL13" s="343" t="str">
        <f>'[2]Foundation Grant'!M20</f>
        <v>M</v>
      </c>
      <c r="DM13" s="343">
        <f>'[2]Foundation Grant'!N20</f>
        <v>12932494</v>
      </c>
      <c r="DN13" s="452">
        <f>'[2]Foundation Grant'!O20</f>
        <v>0</v>
      </c>
      <c r="DO13" s="452">
        <f>'[2]Foundation Grant'!P20</f>
        <v>2</v>
      </c>
      <c r="DP13" s="344">
        <f>'[2]Foundation Grant'!$C$1</f>
        <v>5622823</v>
      </c>
      <c r="DQ13" s="344">
        <f>'[2]Foundation Grant'!$D$1</f>
        <v>4498258</v>
      </c>
      <c r="DR13" s="344">
        <f>'[2]Foundation Grant'!$E$1</f>
        <v>3373694</v>
      </c>
      <c r="DS13" s="344">
        <f>'[2]Foundation Grant'!$C$2</f>
        <v>4498258</v>
      </c>
      <c r="DT13" s="344">
        <f>'[2]Foundation Grant'!$D$2</f>
        <v>3935976</v>
      </c>
      <c r="DU13" s="344">
        <f>'[2]Foundation Grant'!$E$2</f>
        <v>3373694</v>
      </c>
      <c r="DV13" s="344">
        <f>'[2]Foundation Grant'!$G$1</f>
        <v>1124565</v>
      </c>
      <c r="DW13" s="344">
        <f>'[2]Foundation Grant'!$H$1</f>
        <v>843423</v>
      </c>
      <c r="DX13" s="344">
        <f>'[2]Foundation Grant'!$I$1</f>
        <v>562282</v>
      </c>
      <c r="DY13" s="344">
        <f>'[2]Foundation Grant'!$J$1</f>
        <v>281141</v>
      </c>
      <c r="DZ13" s="344">
        <f>'[2]Foundation Grant'!$K$1</f>
        <v>140571</v>
      </c>
      <c r="EA13" s="344">
        <f>'[2]Foundation Grant'!$O$1</f>
        <v>562282</v>
      </c>
      <c r="EB13" s="344">
        <f>'[2]Foundation Grant'!$P$1</f>
        <v>1124565</v>
      </c>
      <c r="EC13" s="345">
        <f>'[2]basic allocation'!$C$10</f>
        <v>18749</v>
      </c>
      <c r="ED13" s="345">
        <f>'[2]basic allocation'!$D$10</f>
        <v>9375</v>
      </c>
      <c r="EE13" s="345">
        <f>'[2]basic allocation'!$E$10</f>
        <v>9375</v>
      </c>
      <c r="EF13" s="345">
        <f>'[2]basic allocation'!$I$10</f>
        <v>938</v>
      </c>
      <c r="EG13" s="345">
        <f>'[2]basic allocation'!$J$10</f>
        <v>703</v>
      </c>
      <c r="EH13" s="345">
        <f>'[2]basic allocation'!$K$10</f>
        <v>469</v>
      </c>
      <c r="EI13" s="345">
        <f>'[2]basic allocation'!$L$10</f>
        <v>234</v>
      </c>
      <c r="EJ13" s="345">
        <f>'[2]basic allocation'!$M$10</f>
        <v>100</v>
      </c>
      <c r="EK13" s="345">
        <f>'[2]PBF Run'!$AT20</f>
        <v>0</v>
      </c>
      <c r="EM13" s="477"/>
    </row>
    <row r="14" spans="1:143">
      <c r="A14" s="476" t="s">
        <v>605</v>
      </c>
      <c r="B14" s="475" t="str">
        <f t="shared" si="19"/>
        <v>P1</v>
      </c>
      <c r="C14" s="346" t="s">
        <v>377</v>
      </c>
      <c r="D14" s="450" t="s">
        <v>376</v>
      </c>
      <c r="E14" s="449">
        <f>ROUND('[2]PBF Run'!N21,6)</f>
        <v>4636.4925789999998</v>
      </c>
      <c r="F14" s="340">
        <f t="shared" si="20"/>
        <v>4636.49</v>
      </c>
      <c r="G14" s="474">
        <f t="shared" si="21"/>
        <v>2788.0536374600001</v>
      </c>
      <c r="H14" s="473">
        <f t="shared" si="22"/>
        <v>2811.7520933800001</v>
      </c>
      <c r="I14" s="473">
        <f t="shared" si="23"/>
        <v>3282.8110613200001</v>
      </c>
      <c r="J14" s="473">
        <f t="shared" si="24"/>
        <v>3310.71495534</v>
      </c>
      <c r="K14" s="472">
        <f>ROUND([2]FTES!C21,3)</f>
        <v>1410.78</v>
      </c>
      <c r="L14" s="472">
        <f>ROUND([2]FTES!L21,3)</f>
        <v>60.62</v>
      </c>
      <c r="M14" s="472">
        <f>ROUND([2]FTES!U21,3)</f>
        <v>3.81</v>
      </c>
      <c r="N14" s="465">
        <f>ROUND([2]FTES!$D21,3)</f>
        <v>1410.78</v>
      </c>
      <c r="O14" s="465">
        <f>ROUND([2]FTES!$M21,3)</f>
        <v>60.62</v>
      </c>
      <c r="P14" s="465">
        <f>ROUND([2]FTES!$V21,3)</f>
        <v>3.81</v>
      </c>
      <c r="Q14" s="471">
        <f>'[2]FTES Adjustment'!BU21</f>
        <v>0</v>
      </c>
      <c r="R14" s="471">
        <f>'[2]FTES Adjustment'!BV21</f>
        <v>0</v>
      </c>
      <c r="S14" s="471">
        <f>'[2]FTES Adjustment'!BW21</f>
        <v>0</v>
      </c>
      <c r="T14" s="469">
        <f>ROUND('[2]Growth Deficit'!$AG21,3)</f>
        <v>0</v>
      </c>
      <c r="U14" s="469">
        <f>ROUND('[2]Growth Deficit'!$AH21,3)</f>
        <v>0</v>
      </c>
      <c r="V14" s="469">
        <f>ROUND('[2]Growth Deficit'!$AI21,3)</f>
        <v>0</v>
      </c>
      <c r="W14" s="470">
        <f>ROUND([2]FTES!I21,3)</f>
        <v>-10.11</v>
      </c>
      <c r="X14" s="470">
        <f>ROUND([2]FTES!R21,3)</f>
        <v>10.67</v>
      </c>
      <c r="Y14" s="470">
        <f>ROUND([2]FTES!AA21,3)</f>
        <v>-3.81</v>
      </c>
      <c r="Z14" s="469">
        <f>ROUND([2]FTES!E21,3)</f>
        <v>1400.67</v>
      </c>
      <c r="AA14" s="469">
        <f>ROUND([2]FTES!N21,3)</f>
        <v>71.290000000000006</v>
      </c>
      <c r="AB14" s="469">
        <f>ROUND([2]FTES!W21,3)</f>
        <v>0</v>
      </c>
      <c r="AC14" s="468">
        <f>'[2]FTES Adjustment'!CW21</f>
        <v>1400.6700000000003</v>
      </c>
      <c r="AD14" s="468">
        <f>'[2]FTES Adjustment'!CX21</f>
        <v>71.290000000000006</v>
      </c>
      <c r="AE14" s="468">
        <f>'[2]FTES Adjustment'!CY21</f>
        <v>4.4408920985006262E-16</v>
      </c>
      <c r="AF14" s="467">
        <f>'[2]FTES Adjustment'!DQ21</f>
        <v>0</v>
      </c>
      <c r="AG14" s="467">
        <f>'[2]FTES Adjustment'!DR21</f>
        <v>0</v>
      </c>
      <c r="AH14" s="467">
        <f>'[2]FTES Adjustment'!DS21</f>
        <v>-4.4408920985006262E-16</v>
      </c>
      <c r="AI14" s="340">
        <f>'[2]FTES Adjustment'!$DX21</f>
        <v>0</v>
      </c>
      <c r="AJ14" s="340">
        <v>0</v>
      </c>
      <c r="AK14" s="340">
        <v>0</v>
      </c>
      <c r="AL14" s="465">
        <f>'[2]FTES Adjustment'!CG21</f>
        <v>0</v>
      </c>
      <c r="AM14" s="465">
        <f>'[2]FTES Adjustment'!CH21</f>
        <v>0</v>
      </c>
      <c r="AN14" s="465">
        <f>'[2]FTES Adjustment'!CI21</f>
        <v>0</v>
      </c>
      <c r="AO14" s="463">
        <f t="shared" si="0"/>
        <v>1475.21</v>
      </c>
      <c r="AP14" s="463">
        <f t="shared" si="1"/>
        <v>1475.21</v>
      </c>
      <c r="AQ14" s="463">
        <f t="shared" si="2"/>
        <v>0</v>
      </c>
      <c r="AR14" s="463">
        <f t="shared" si="3"/>
        <v>0</v>
      </c>
      <c r="AS14" s="463">
        <f t="shared" si="4"/>
        <v>-3.25</v>
      </c>
      <c r="AT14" s="463">
        <f t="shared" si="5"/>
        <v>1471.96</v>
      </c>
      <c r="AU14" s="463">
        <f t="shared" si="6"/>
        <v>1471.96</v>
      </c>
      <c r="AV14" s="464">
        <f t="shared" si="7"/>
        <v>0</v>
      </c>
      <c r="AW14" s="464">
        <f t="shared" si="8"/>
        <v>0</v>
      </c>
      <c r="AX14" s="464">
        <f t="shared" si="9"/>
        <v>0</v>
      </c>
      <c r="AY14" s="460">
        <f>'[2]PBF Run'!F21</f>
        <v>3935976</v>
      </c>
      <c r="AZ14" s="460">
        <f t="shared" si="10"/>
        <v>6722591</v>
      </c>
      <c r="BA14" s="460">
        <f>'[2]PBF Run'!J21 + '[2]PBF Run'!$L21</f>
        <v>6541071</v>
      </c>
      <c r="BB14" s="460">
        <f>'[2]PBF Run'!H21</f>
        <v>169012</v>
      </c>
      <c r="BC14" s="460">
        <f>'[2]PBF Run'!I21</f>
        <v>12508</v>
      </c>
      <c r="BD14" s="462">
        <v>0</v>
      </c>
      <c r="BE14" s="461">
        <f>'[2]Restoration and Growth'!BM21</f>
        <v>-29634.110064452158</v>
      </c>
      <c r="BF14" s="460">
        <f t="shared" si="11"/>
        <v>10628932.889935547</v>
      </c>
      <c r="BG14" s="333" t="str">
        <f t="shared" si="25"/>
        <v>0.85%</v>
      </c>
      <c r="BH14" s="459">
        <f>'[2]PBF Run'!O21</f>
        <v>90346</v>
      </c>
      <c r="BI14" s="459">
        <f t="shared" si="12"/>
        <v>10719278.889935547</v>
      </c>
      <c r="BJ14" s="458">
        <f>'[2]PBF Run'!AC21</f>
        <v>0</v>
      </c>
      <c r="BK14" s="458">
        <f>'[2]PBF Run'!$AD21</f>
        <v>0</v>
      </c>
      <c r="BL14" s="458">
        <f>'[2]PBF Run'!$T21</f>
        <v>0</v>
      </c>
      <c r="BM14" s="458">
        <f>'[2]PBF Run'!$S21</f>
        <v>0</v>
      </c>
      <c r="BN14" s="458">
        <f>'[2]13-14 $86M Workload Restore'!$P19</f>
        <v>0</v>
      </c>
      <c r="BO14" s="458">
        <f t="shared" si="13"/>
        <v>0</v>
      </c>
      <c r="BP14" s="478">
        <f>'[2]Restoration and Growth'!AA21</f>
        <v>0</v>
      </c>
      <c r="BQ14" s="478">
        <f>'[2]Restoration and Growth'!AB21</f>
        <v>0</v>
      </c>
      <c r="BR14" s="453">
        <f>'[2]Restoration and Growth'!BT21</f>
        <v>0</v>
      </c>
      <c r="BS14" s="453">
        <f>'[2]Growth Deficit'!$AO21</f>
        <v>0</v>
      </c>
      <c r="BT14" s="453">
        <f>'[2]Growth Deficit'!AO21</f>
        <v>0</v>
      </c>
      <c r="BU14" s="453">
        <f>'[2]Growth Deficit'!AL21</f>
        <v>0</v>
      </c>
      <c r="BV14" s="453">
        <f>'[2]Growth Deficit'!AM21</f>
        <v>0</v>
      </c>
      <c r="BW14" s="453">
        <f>'[2]Growth Deficit'!AN21</f>
        <v>0</v>
      </c>
      <c r="BX14" s="453">
        <f>'[2]Growth Deficit'!AO21</f>
        <v>0</v>
      </c>
      <c r="BY14" s="454">
        <f>'[2]PBF Run'!AA21</f>
        <v>0</v>
      </c>
      <c r="BZ14" s="454">
        <f>'[2]PBF Run'!AB21</f>
        <v>0</v>
      </c>
      <c r="CA14" s="454">
        <f>'[2]PBF Run'!AC21</f>
        <v>0</v>
      </c>
      <c r="CB14" s="454">
        <f t="shared" si="14"/>
        <v>0</v>
      </c>
      <c r="CC14" s="457">
        <f>'[2]PBF Run'!X21</f>
        <v>29886</v>
      </c>
      <c r="CD14" s="456">
        <f>'[2]PBF Run'!AE21</f>
        <v>10749165</v>
      </c>
      <c r="CE14" s="337">
        <f t="shared" si="15"/>
        <v>0.98518545393991064</v>
      </c>
      <c r="CF14" s="455">
        <f>'[2]PBF Run'!AM21</f>
        <v>159244</v>
      </c>
      <c r="CG14" s="455">
        <f>'[2]PBF Run'!$AN21</f>
        <v>7558265</v>
      </c>
      <c r="CH14" s="455">
        <f>'[2]PBF Run'!$AO21</f>
        <v>0</v>
      </c>
      <c r="CI14" s="455">
        <f>'[2]PBF Run'!AJ21</f>
        <v>1092070</v>
      </c>
      <c r="CJ14" s="455">
        <f>'[2]PBF Run'!AI21</f>
        <v>213885</v>
      </c>
      <c r="CK14" s="455">
        <f>'[2]PBF Run'!$AN21</f>
        <v>7558265</v>
      </c>
      <c r="CL14" s="455">
        <f>'[2]PBF Run'!AK21</f>
        <v>1725701</v>
      </c>
      <c r="CM14" s="455">
        <f t="shared" si="16"/>
        <v>10589921</v>
      </c>
      <c r="CN14" s="454">
        <f>'[2]PBF Run'!$AN21</f>
        <v>7558265</v>
      </c>
      <c r="CO14" s="454">
        <f>'[2]PBF Run'!BI21</f>
        <v>0</v>
      </c>
      <c r="CP14" s="339">
        <f>'[2]PBF Run'!BH21</f>
        <v>0</v>
      </c>
      <c r="CQ14" s="454">
        <f t="shared" si="26"/>
        <v>69532</v>
      </c>
      <c r="CR14" s="454">
        <f t="shared" si="17"/>
        <v>7558265</v>
      </c>
      <c r="CS14" s="453">
        <f>'[2]As of 13-14 R1'!BX21</f>
        <v>0</v>
      </c>
      <c r="CT14" s="453">
        <f>'[2]As of 13-14 R1'!BY21</f>
        <v>0</v>
      </c>
      <c r="CU14" s="453">
        <f>'[2]As of 13-14 R1'!BZ21</f>
        <v>466754</v>
      </c>
      <c r="CV14" s="453">
        <f t="shared" si="18"/>
        <v>466754</v>
      </c>
      <c r="CW14" s="342">
        <f>'[2]Growth Deficit'!$D$2</f>
        <v>0</v>
      </c>
      <c r="CX14" s="343">
        <f>IF($DL14="S",'[2]Foundation Grant'!C21,0)</f>
        <v>0</v>
      </c>
      <c r="CY14" s="343">
        <f>IF($DL14="S",'[2]Foundation Grant'!D21,0)</f>
        <v>0</v>
      </c>
      <c r="CZ14" s="343">
        <f>IF($DL14="S",'[2]Foundation Grant'!E21,0)</f>
        <v>1</v>
      </c>
      <c r="DA14" s="343">
        <f>IF($DL14="S",'[2]Foundation Grant'!F21,0)</f>
        <v>1</v>
      </c>
      <c r="DB14" s="343">
        <f>IF($DL14="M",'[2]Foundation Grant'!C21,0)</f>
        <v>0</v>
      </c>
      <c r="DC14" s="343">
        <f>IF($DL14="M",'[2]Foundation Grant'!D21,0)</f>
        <v>0</v>
      </c>
      <c r="DD14" s="343">
        <f>IF($DL14="M",'[2]Foundation Grant'!E21,0)</f>
        <v>0</v>
      </c>
      <c r="DE14" s="343">
        <f>IF($DL14="M",'[2]Foundation Grant'!F21,0)</f>
        <v>0</v>
      </c>
      <c r="DF14" s="343">
        <f>'[2]Foundation Grant'!G21</f>
        <v>0</v>
      </c>
      <c r="DG14" s="343">
        <f>'[2]Foundation Grant'!H21</f>
        <v>0</v>
      </c>
      <c r="DH14" s="343">
        <f>'[2]Foundation Grant'!I21</f>
        <v>0</v>
      </c>
      <c r="DI14" s="343">
        <f>'[2]Foundation Grant'!J21</f>
        <v>0</v>
      </c>
      <c r="DJ14" s="343">
        <f>'[2]Foundation Grant'!K21</f>
        <v>0</v>
      </c>
      <c r="DK14" s="452">
        <f>'[2]Foundation Grant'!L21</f>
        <v>0</v>
      </c>
      <c r="DL14" s="343" t="str">
        <f>'[2]Foundation Grant'!M21</f>
        <v>S</v>
      </c>
      <c r="DM14" s="343">
        <f>'[2]Foundation Grant'!N21</f>
        <v>3935976</v>
      </c>
      <c r="DN14" s="452">
        <f>'[2]Foundation Grant'!O21</f>
        <v>1</v>
      </c>
      <c r="DO14" s="452">
        <f>'[2]Foundation Grant'!P21</f>
        <v>0</v>
      </c>
      <c r="DP14" s="344">
        <f>'[2]Foundation Grant'!$C$1</f>
        <v>5622823</v>
      </c>
      <c r="DQ14" s="344">
        <f>'[2]Foundation Grant'!$D$1</f>
        <v>4498258</v>
      </c>
      <c r="DR14" s="344">
        <f>'[2]Foundation Grant'!$E$1</f>
        <v>3373694</v>
      </c>
      <c r="DS14" s="344">
        <f>'[2]Foundation Grant'!$C$2</f>
        <v>4498258</v>
      </c>
      <c r="DT14" s="344">
        <f>'[2]Foundation Grant'!$D$2</f>
        <v>3935976</v>
      </c>
      <c r="DU14" s="344">
        <f>'[2]Foundation Grant'!$E$2</f>
        <v>3373694</v>
      </c>
      <c r="DV14" s="344">
        <f>'[2]Foundation Grant'!$G$1</f>
        <v>1124565</v>
      </c>
      <c r="DW14" s="344">
        <f>'[2]Foundation Grant'!$H$1</f>
        <v>843423</v>
      </c>
      <c r="DX14" s="344">
        <f>'[2]Foundation Grant'!$I$1</f>
        <v>562282</v>
      </c>
      <c r="DY14" s="344">
        <f>'[2]Foundation Grant'!$J$1</f>
        <v>281141</v>
      </c>
      <c r="DZ14" s="344">
        <f>'[2]Foundation Grant'!$K$1</f>
        <v>140571</v>
      </c>
      <c r="EA14" s="344">
        <f>'[2]Foundation Grant'!$O$1</f>
        <v>562282</v>
      </c>
      <c r="EB14" s="344">
        <f>'[2]Foundation Grant'!$P$1</f>
        <v>1124565</v>
      </c>
      <c r="EC14" s="345">
        <f>'[2]basic allocation'!$C$10</f>
        <v>18749</v>
      </c>
      <c r="ED14" s="345">
        <f>'[2]basic allocation'!$D$10</f>
        <v>9375</v>
      </c>
      <c r="EE14" s="345">
        <f>'[2]basic allocation'!$E$10</f>
        <v>9375</v>
      </c>
      <c r="EF14" s="345">
        <f>'[2]basic allocation'!$I$10</f>
        <v>938</v>
      </c>
      <c r="EG14" s="345">
        <f>'[2]basic allocation'!$J$10</f>
        <v>703</v>
      </c>
      <c r="EH14" s="345">
        <f>'[2]basic allocation'!$K$10</f>
        <v>469</v>
      </c>
      <c r="EI14" s="345">
        <f>'[2]basic allocation'!$L$10</f>
        <v>234</v>
      </c>
      <c r="EJ14" s="345">
        <f>'[2]basic allocation'!$M$10</f>
        <v>100</v>
      </c>
      <c r="EK14" s="345">
        <f>'[2]PBF Run'!$AT21</f>
        <v>0</v>
      </c>
      <c r="EM14" s="477"/>
    </row>
    <row r="15" spans="1:143">
      <c r="A15" s="476" t="s">
        <v>605</v>
      </c>
      <c r="B15" s="475" t="str">
        <f t="shared" si="19"/>
        <v>P1</v>
      </c>
      <c r="C15" s="346" t="s">
        <v>375</v>
      </c>
      <c r="D15" s="450" t="s">
        <v>374</v>
      </c>
      <c r="E15" s="449">
        <f>ROUND('[2]PBF Run'!N22,6)</f>
        <v>4636.4928529999997</v>
      </c>
      <c r="F15" s="340">
        <f t="shared" si="20"/>
        <v>4636.49</v>
      </c>
      <c r="G15" s="474">
        <f t="shared" si="21"/>
        <v>2788.0536374600001</v>
      </c>
      <c r="H15" s="473">
        <f t="shared" si="22"/>
        <v>2811.7520933800001</v>
      </c>
      <c r="I15" s="473">
        <f t="shared" si="23"/>
        <v>3282.8110613200001</v>
      </c>
      <c r="J15" s="473">
        <f t="shared" si="24"/>
        <v>3310.71495534</v>
      </c>
      <c r="K15" s="472">
        <f>ROUND([2]FTES!C22,3)</f>
        <v>6750.0020000000004</v>
      </c>
      <c r="L15" s="472">
        <f>ROUND([2]FTES!L22,3)</f>
        <v>25.62</v>
      </c>
      <c r="M15" s="472">
        <f>ROUND([2]FTES!U22,3)</f>
        <v>577.73</v>
      </c>
      <c r="N15" s="465">
        <f>ROUND([2]FTES!$D22,3)</f>
        <v>6750.0020000000004</v>
      </c>
      <c r="O15" s="465">
        <f>ROUND([2]FTES!$M22,3)</f>
        <v>25.62</v>
      </c>
      <c r="P15" s="465">
        <f>ROUND([2]FTES!$V22,3)</f>
        <v>577.73</v>
      </c>
      <c r="Q15" s="471">
        <f>'[2]FTES Adjustment'!BU22</f>
        <v>0</v>
      </c>
      <c r="R15" s="471">
        <f>'[2]FTES Adjustment'!BV22</f>
        <v>0</v>
      </c>
      <c r="S15" s="471">
        <f>'[2]FTES Adjustment'!BW22</f>
        <v>0</v>
      </c>
      <c r="T15" s="469">
        <f>ROUND('[2]Growth Deficit'!$AG22,3)</f>
        <v>0</v>
      </c>
      <c r="U15" s="469">
        <f>ROUND('[2]Growth Deficit'!$AH22,3)</f>
        <v>0</v>
      </c>
      <c r="V15" s="469">
        <f>ROUND('[2]Growth Deficit'!$AI22,3)</f>
        <v>0</v>
      </c>
      <c r="W15" s="470">
        <f>ROUND([2]FTES!I22,3)</f>
        <v>-20.352</v>
      </c>
      <c r="X15" s="470">
        <f>ROUND([2]FTES!R22,3)</f>
        <v>208.87</v>
      </c>
      <c r="Y15" s="470">
        <f>ROUND([2]FTES!AA22,3)</f>
        <v>-306.02999999999997</v>
      </c>
      <c r="Z15" s="469">
        <f>ROUND([2]FTES!E22,3)</f>
        <v>6729.65</v>
      </c>
      <c r="AA15" s="469">
        <f>ROUND([2]FTES!N22,3)</f>
        <v>234.49</v>
      </c>
      <c r="AB15" s="469">
        <f>ROUND([2]FTES!W22,3)</f>
        <v>271.7</v>
      </c>
      <c r="AC15" s="468">
        <f>'[2]FTES Adjustment'!CW22</f>
        <v>6729.6500000000005</v>
      </c>
      <c r="AD15" s="468">
        <f>'[2]FTES Adjustment'!CX22</f>
        <v>234.49</v>
      </c>
      <c r="AE15" s="468">
        <f>'[2]FTES Adjustment'!CY22</f>
        <v>271.70000000000005</v>
      </c>
      <c r="AF15" s="467">
        <f>'[2]FTES Adjustment'!DQ22</f>
        <v>0</v>
      </c>
      <c r="AG15" s="467">
        <f>'[2]FTES Adjustment'!DR22</f>
        <v>0</v>
      </c>
      <c r="AH15" s="467">
        <f>'[2]FTES Adjustment'!DS22</f>
        <v>0</v>
      </c>
      <c r="AI15" s="340">
        <f>'[2]FTES Adjustment'!$DX22</f>
        <v>0</v>
      </c>
      <c r="AJ15" s="340">
        <v>0</v>
      </c>
      <c r="AK15" s="340">
        <v>0</v>
      </c>
      <c r="AL15" s="465">
        <f>'[2]FTES Adjustment'!CG22</f>
        <v>0</v>
      </c>
      <c r="AM15" s="465">
        <f>'[2]FTES Adjustment'!CH22</f>
        <v>0</v>
      </c>
      <c r="AN15" s="465">
        <f>'[2]FTES Adjustment'!CI22</f>
        <v>0</v>
      </c>
      <c r="AO15" s="463">
        <f t="shared" si="0"/>
        <v>7353.3519999999999</v>
      </c>
      <c r="AP15" s="463">
        <f t="shared" si="1"/>
        <v>7353.3519999999999</v>
      </c>
      <c r="AQ15" s="463">
        <f t="shared" si="2"/>
        <v>0</v>
      </c>
      <c r="AR15" s="463">
        <f t="shared" si="3"/>
        <v>0</v>
      </c>
      <c r="AS15" s="463">
        <f t="shared" si="4"/>
        <v>-117.512</v>
      </c>
      <c r="AT15" s="463">
        <f t="shared" si="5"/>
        <v>7235.84</v>
      </c>
      <c r="AU15" s="463">
        <f t="shared" si="6"/>
        <v>7235.84</v>
      </c>
      <c r="AV15" s="464">
        <f t="shared" si="7"/>
        <v>0</v>
      </c>
      <c r="AW15" s="464">
        <f t="shared" si="8"/>
        <v>0</v>
      </c>
      <c r="AX15" s="464">
        <f t="shared" si="9"/>
        <v>0</v>
      </c>
      <c r="AY15" s="460">
        <f>'[2]PBF Run'!F22</f>
        <v>3373694</v>
      </c>
      <c r="AZ15" s="460">
        <f t="shared" si="10"/>
        <v>33264345</v>
      </c>
      <c r="BA15" s="460">
        <f>'[2]PBF Run'!J22 + '[2]PBF Run'!$L22</f>
        <v>31296337</v>
      </c>
      <c r="BB15" s="460">
        <f>'[2]PBF Run'!H22</f>
        <v>71430</v>
      </c>
      <c r="BC15" s="460">
        <f>'[2]PBF Run'!I22</f>
        <v>1896578</v>
      </c>
      <c r="BD15" s="462">
        <v>0</v>
      </c>
      <c r="BE15" s="461">
        <f>'[2]Restoration and Growth'!BM22</f>
        <v>-516660.38671294006</v>
      </c>
      <c r="BF15" s="460">
        <f t="shared" si="11"/>
        <v>36121378.613287061</v>
      </c>
      <c r="BG15" s="333" t="str">
        <f t="shared" si="25"/>
        <v>0.85%</v>
      </c>
      <c r="BH15" s="459">
        <f>'[2]PBF Run'!O22</f>
        <v>307032</v>
      </c>
      <c r="BI15" s="459">
        <f t="shared" si="12"/>
        <v>36428410.613287061</v>
      </c>
      <c r="BJ15" s="458">
        <f>'[2]PBF Run'!AC22</f>
        <v>0</v>
      </c>
      <c r="BK15" s="458">
        <f>'[2]PBF Run'!$AD22</f>
        <v>0</v>
      </c>
      <c r="BL15" s="458">
        <f>'[2]PBF Run'!$T22</f>
        <v>0</v>
      </c>
      <c r="BM15" s="458">
        <f>'[2]PBF Run'!$S22</f>
        <v>0</v>
      </c>
      <c r="BN15" s="458">
        <f>'[2]13-14 $86M Workload Restore'!$P20</f>
        <v>0</v>
      </c>
      <c r="BO15" s="458">
        <f t="shared" si="13"/>
        <v>0</v>
      </c>
      <c r="BP15" s="478">
        <f>'[2]Restoration and Growth'!AA22</f>
        <v>0</v>
      </c>
      <c r="BQ15" s="478">
        <f>'[2]Restoration and Growth'!AB22</f>
        <v>0</v>
      </c>
      <c r="BR15" s="453">
        <f>'[2]Restoration and Growth'!BT22</f>
        <v>0</v>
      </c>
      <c r="BS15" s="453">
        <f>'[2]Growth Deficit'!$AO22</f>
        <v>0</v>
      </c>
      <c r="BT15" s="453">
        <f>'[2]Growth Deficit'!AO22</f>
        <v>0</v>
      </c>
      <c r="BU15" s="453">
        <f>'[2]Growth Deficit'!AL22</f>
        <v>0</v>
      </c>
      <c r="BV15" s="453">
        <f>'[2]Growth Deficit'!AM22</f>
        <v>0</v>
      </c>
      <c r="BW15" s="453">
        <f>'[2]Growth Deficit'!AN22</f>
        <v>0</v>
      </c>
      <c r="BX15" s="453">
        <f>'[2]Growth Deficit'!AO22</f>
        <v>0</v>
      </c>
      <c r="BY15" s="454">
        <f>'[2]PBF Run'!AA22</f>
        <v>-1093961</v>
      </c>
      <c r="BZ15" s="454">
        <f>'[2]PBF Run'!AB22</f>
        <v>0</v>
      </c>
      <c r="CA15" s="454">
        <f>'[2]PBF Run'!AC22</f>
        <v>0</v>
      </c>
      <c r="CB15" s="454">
        <f t="shared" si="14"/>
        <v>-1093961</v>
      </c>
      <c r="CC15" s="457">
        <f>'[2]PBF Run'!X22</f>
        <v>521052</v>
      </c>
      <c r="CD15" s="456">
        <f>'[2]PBF Run'!AE22</f>
        <v>35855502</v>
      </c>
      <c r="CE15" s="337">
        <f t="shared" si="15"/>
        <v>0.98518542565657008</v>
      </c>
      <c r="CF15" s="455">
        <f>'[2]PBF Run'!AM22</f>
        <v>531184</v>
      </c>
      <c r="CG15" s="455">
        <f>'[2]PBF Run'!$AN22</f>
        <v>7408463</v>
      </c>
      <c r="CH15" s="455">
        <f>'[2]PBF Run'!$AO22</f>
        <v>0</v>
      </c>
      <c r="CI15" s="455">
        <f>'[2]PBF Run'!AJ22</f>
        <v>20314208</v>
      </c>
      <c r="CJ15" s="455">
        <f>'[2]PBF Run'!AI22</f>
        <v>2067022</v>
      </c>
      <c r="CK15" s="455">
        <f>'[2]PBF Run'!$AN22</f>
        <v>7408463</v>
      </c>
      <c r="CL15" s="455">
        <f>'[2]PBF Run'!AK22</f>
        <v>5534625</v>
      </c>
      <c r="CM15" s="455">
        <f t="shared" si="16"/>
        <v>35324318</v>
      </c>
      <c r="CN15" s="454">
        <f>'[2]PBF Run'!$AN22</f>
        <v>7408463</v>
      </c>
      <c r="CO15" s="454">
        <f>'[2]PBF Run'!BI22</f>
        <v>0</v>
      </c>
      <c r="CP15" s="339">
        <f>'[2]PBF Run'!BH22</f>
        <v>0</v>
      </c>
      <c r="CQ15" s="454">
        <f t="shared" si="26"/>
        <v>69532</v>
      </c>
      <c r="CR15" s="454">
        <f t="shared" si="17"/>
        <v>7408463</v>
      </c>
      <c r="CS15" s="453">
        <f>'[2]As of 13-14 R1'!BX22</f>
        <v>0</v>
      </c>
      <c r="CT15" s="453">
        <f>'[2]As of 13-14 R1'!BY22</f>
        <v>0</v>
      </c>
      <c r="CU15" s="453">
        <f>'[2]As of 13-14 R1'!BZ22</f>
        <v>0</v>
      </c>
      <c r="CV15" s="453">
        <f t="shared" si="18"/>
        <v>0</v>
      </c>
      <c r="CW15" s="342">
        <f>'[2]Growth Deficit'!$D$2</f>
        <v>0</v>
      </c>
      <c r="CX15" s="343">
        <f>IF($DL15="S",'[2]Foundation Grant'!C22,0)</f>
        <v>0</v>
      </c>
      <c r="CY15" s="343">
        <f>IF($DL15="S",'[2]Foundation Grant'!D22,0)</f>
        <v>0</v>
      </c>
      <c r="CZ15" s="343">
        <f>IF($DL15="S",'[2]Foundation Grant'!E22,0)</f>
        <v>1</v>
      </c>
      <c r="DA15" s="343">
        <f>IF($DL15="S",'[2]Foundation Grant'!F22,0)</f>
        <v>1</v>
      </c>
      <c r="DB15" s="343">
        <f>IF($DL15="M",'[2]Foundation Grant'!C22,0)</f>
        <v>0</v>
      </c>
      <c r="DC15" s="343">
        <f>IF($DL15="M",'[2]Foundation Grant'!D22,0)</f>
        <v>0</v>
      </c>
      <c r="DD15" s="343">
        <f>IF($DL15="M",'[2]Foundation Grant'!E22,0)</f>
        <v>0</v>
      </c>
      <c r="DE15" s="343">
        <f>IF($DL15="M",'[2]Foundation Grant'!F22,0)</f>
        <v>0</v>
      </c>
      <c r="DF15" s="343">
        <f>'[2]Foundation Grant'!G22</f>
        <v>0</v>
      </c>
      <c r="DG15" s="343">
        <f>'[2]Foundation Grant'!H22</f>
        <v>0</v>
      </c>
      <c r="DH15" s="343">
        <f>'[2]Foundation Grant'!I22</f>
        <v>0</v>
      </c>
      <c r="DI15" s="343">
        <f>'[2]Foundation Grant'!J22</f>
        <v>0</v>
      </c>
      <c r="DJ15" s="343">
        <f>'[2]Foundation Grant'!K22</f>
        <v>0</v>
      </c>
      <c r="DK15" s="452">
        <f>'[2]Foundation Grant'!L22</f>
        <v>0</v>
      </c>
      <c r="DL15" s="343" t="str">
        <f>'[2]Foundation Grant'!M22</f>
        <v>S</v>
      </c>
      <c r="DM15" s="343">
        <f>'[2]Foundation Grant'!N22</f>
        <v>3373694</v>
      </c>
      <c r="DN15" s="452">
        <f>'[2]Foundation Grant'!O22</f>
        <v>0</v>
      </c>
      <c r="DO15" s="452">
        <f>'[2]Foundation Grant'!P22</f>
        <v>0</v>
      </c>
      <c r="DP15" s="344">
        <f>'[2]Foundation Grant'!$C$1</f>
        <v>5622823</v>
      </c>
      <c r="DQ15" s="344">
        <f>'[2]Foundation Grant'!$D$1</f>
        <v>4498258</v>
      </c>
      <c r="DR15" s="344">
        <f>'[2]Foundation Grant'!$E$1</f>
        <v>3373694</v>
      </c>
      <c r="DS15" s="344">
        <f>'[2]Foundation Grant'!$C$2</f>
        <v>4498258</v>
      </c>
      <c r="DT15" s="344">
        <f>'[2]Foundation Grant'!$D$2</f>
        <v>3935976</v>
      </c>
      <c r="DU15" s="344">
        <f>'[2]Foundation Grant'!$E$2</f>
        <v>3373694</v>
      </c>
      <c r="DV15" s="344">
        <f>'[2]Foundation Grant'!$G$1</f>
        <v>1124565</v>
      </c>
      <c r="DW15" s="344">
        <f>'[2]Foundation Grant'!$H$1</f>
        <v>843423</v>
      </c>
      <c r="DX15" s="344">
        <f>'[2]Foundation Grant'!$I$1</f>
        <v>562282</v>
      </c>
      <c r="DY15" s="344">
        <f>'[2]Foundation Grant'!$J$1</f>
        <v>281141</v>
      </c>
      <c r="DZ15" s="344">
        <f>'[2]Foundation Grant'!$K$1</f>
        <v>140571</v>
      </c>
      <c r="EA15" s="344">
        <f>'[2]Foundation Grant'!$O$1</f>
        <v>562282</v>
      </c>
      <c r="EB15" s="344">
        <f>'[2]Foundation Grant'!$P$1</f>
        <v>1124565</v>
      </c>
      <c r="EC15" s="345">
        <f>'[2]basic allocation'!$C$10</f>
        <v>18749</v>
      </c>
      <c r="ED15" s="345">
        <f>'[2]basic allocation'!$D$10</f>
        <v>9375</v>
      </c>
      <c r="EE15" s="345">
        <f>'[2]basic allocation'!$E$10</f>
        <v>9375</v>
      </c>
      <c r="EF15" s="345">
        <f>'[2]basic allocation'!$I$10</f>
        <v>938</v>
      </c>
      <c r="EG15" s="345">
        <f>'[2]basic allocation'!$J$10</f>
        <v>703</v>
      </c>
      <c r="EH15" s="345">
        <f>'[2]basic allocation'!$K$10</f>
        <v>469</v>
      </c>
      <c r="EI15" s="345">
        <f>'[2]basic allocation'!$L$10</f>
        <v>234</v>
      </c>
      <c r="EJ15" s="345">
        <f>'[2]basic allocation'!$M$10</f>
        <v>100</v>
      </c>
      <c r="EK15" s="345">
        <f>'[2]PBF Run'!$AT22</f>
        <v>0</v>
      </c>
      <c r="EM15" s="477"/>
    </row>
    <row r="16" spans="1:143">
      <c r="A16" s="476" t="s">
        <v>605</v>
      </c>
      <c r="B16" s="475" t="str">
        <f t="shared" si="19"/>
        <v>P1</v>
      </c>
      <c r="C16" s="346" t="s">
        <v>373</v>
      </c>
      <c r="D16" s="450" t="s">
        <v>372</v>
      </c>
      <c r="E16" s="449">
        <f>ROUND('[2]PBF Run'!N23,6)</f>
        <v>4636.4928520000003</v>
      </c>
      <c r="F16" s="340">
        <f t="shared" si="20"/>
        <v>4636.49</v>
      </c>
      <c r="G16" s="474">
        <f t="shared" si="21"/>
        <v>2788.0536374600001</v>
      </c>
      <c r="H16" s="473">
        <f t="shared" si="22"/>
        <v>2811.7520933800001</v>
      </c>
      <c r="I16" s="473">
        <f t="shared" si="23"/>
        <v>3282.8110613200001</v>
      </c>
      <c r="J16" s="473">
        <f t="shared" si="24"/>
        <v>3310.71495534</v>
      </c>
      <c r="K16" s="472">
        <f>ROUND([2]FTES!C23,3)</f>
        <v>18461.86</v>
      </c>
      <c r="L16" s="472">
        <f>ROUND([2]FTES!L23,3)</f>
        <v>8.14</v>
      </c>
      <c r="M16" s="472">
        <f>ROUND([2]FTES!U23,3)</f>
        <v>0</v>
      </c>
      <c r="N16" s="465">
        <f>ROUND([2]FTES!$D23,3)</f>
        <v>18461.86</v>
      </c>
      <c r="O16" s="465">
        <f>ROUND([2]FTES!$M23,3)</f>
        <v>8.14</v>
      </c>
      <c r="P16" s="465">
        <f>ROUND([2]FTES!$V23,3)</f>
        <v>0</v>
      </c>
      <c r="Q16" s="471">
        <f>'[2]FTES Adjustment'!BU23</f>
        <v>0</v>
      </c>
      <c r="R16" s="471">
        <f>'[2]FTES Adjustment'!BV23</f>
        <v>0</v>
      </c>
      <c r="S16" s="471">
        <f>'[2]FTES Adjustment'!BW23</f>
        <v>0</v>
      </c>
      <c r="T16" s="469">
        <f>ROUND('[2]Growth Deficit'!$AG23,3)</f>
        <v>0</v>
      </c>
      <c r="U16" s="469">
        <f>ROUND('[2]Growth Deficit'!$AH23,3)</f>
        <v>0</v>
      </c>
      <c r="V16" s="469">
        <f>ROUND('[2]Growth Deficit'!$AI23,3)</f>
        <v>0</v>
      </c>
      <c r="W16" s="470">
        <f>ROUND([2]FTES!I23,3)</f>
        <v>0</v>
      </c>
      <c r="X16" s="470">
        <f>ROUND([2]FTES!R23,3)</f>
        <v>0</v>
      </c>
      <c r="Y16" s="470">
        <f>ROUND([2]FTES!AA23,3)</f>
        <v>0</v>
      </c>
      <c r="Z16" s="469">
        <f>ROUND([2]FTES!E23,3)</f>
        <v>19137.46</v>
      </c>
      <c r="AA16" s="469">
        <f>ROUND([2]FTES!N23,3)</f>
        <v>25.54</v>
      </c>
      <c r="AB16" s="469">
        <f>ROUND([2]FTES!W23,3)</f>
        <v>0</v>
      </c>
      <c r="AC16" s="468">
        <f>'[2]FTES Adjustment'!CW23</f>
        <v>19137.459996999998</v>
      </c>
      <c r="AD16" s="468">
        <f>'[2]FTES Adjustment'!CX23</f>
        <v>25.54</v>
      </c>
      <c r="AE16" s="468">
        <f>'[2]FTES Adjustment'!CY23</f>
        <v>0</v>
      </c>
      <c r="AF16" s="467">
        <f>'[2]FTES Adjustment'!DQ23</f>
        <v>3.0000010156072676E-6</v>
      </c>
      <c r="AG16" s="467">
        <f>'[2]FTES Adjustment'!DR23</f>
        <v>0</v>
      </c>
      <c r="AH16" s="467">
        <f>'[2]FTES Adjustment'!DS23</f>
        <v>0</v>
      </c>
      <c r="AI16" s="340">
        <f>'[2]FTES Adjustment'!$DX23</f>
        <v>0</v>
      </c>
      <c r="AJ16" s="340">
        <v>0</v>
      </c>
      <c r="AK16" s="340">
        <v>0</v>
      </c>
      <c r="AL16" s="465">
        <f>'[2]FTES Adjustment'!CG23</f>
        <v>675.59997899999996</v>
      </c>
      <c r="AM16" s="465">
        <f>'[2]FTES Adjustment'!CH23</f>
        <v>17.399999999999999</v>
      </c>
      <c r="AN16" s="465">
        <f>'[2]FTES Adjustment'!CI23</f>
        <v>0</v>
      </c>
      <c r="AO16" s="463">
        <f t="shared" si="0"/>
        <v>18470</v>
      </c>
      <c r="AP16" s="463">
        <f t="shared" si="1"/>
        <v>18470</v>
      </c>
      <c r="AQ16" s="463">
        <f t="shared" si="2"/>
        <v>0</v>
      </c>
      <c r="AR16" s="463">
        <f t="shared" si="3"/>
        <v>0</v>
      </c>
      <c r="AS16" s="463">
        <f t="shared" si="4"/>
        <v>0</v>
      </c>
      <c r="AT16" s="463">
        <f t="shared" si="5"/>
        <v>19163</v>
      </c>
      <c r="AU16" s="463">
        <f t="shared" si="6"/>
        <v>19163</v>
      </c>
      <c r="AV16" s="464">
        <f t="shared" si="7"/>
        <v>0</v>
      </c>
      <c r="AW16" s="464">
        <f t="shared" si="8"/>
        <v>0</v>
      </c>
      <c r="AX16" s="464">
        <f t="shared" si="9"/>
        <v>693</v>
      </c>
      <c r="AY16" s="460">
        <f>'[2]PBF Run'!F23</f>
        <v>7871952</v>
      </c>
      <c r="AZ16" s="460">
        <f t="shared" si="10"/>
        <v>85620977</v>
      </c>
      <c r="BA16" s="460">
        <f>'[2]PBF Run'!J23 + '[2]PBF Run'!$L23</f>
        <v>85598282</v>
      </c>
      <c r="BB16" s="460">
        <f>'[2]PBF Run'!H23</f>
        <v>22695</v>
      </c>
      <c r="BC16" s="460">
        <f>'[2]PBF Run'!I23</f>
        <v>0</v>
      </c>
      <c r="BD16" s="462">
        <v>0</v>
      </c>
      <c r="BE16" s="461">
        <f>'[2]Restoration and Growth'!BM23</f>
        <v>0</v>
      </c>
      <c r="BF16" s="460">
        <f t="shared" si="11"/>
        <v>93492929</v>
      </c>
      <c r="BG16" s="333" t="str">
        <f t="shared" si="25"/>
        <v>0.85%</v>
      </c>
      <c r="BH16" s="459">
        <f>'[2]PBF Run'!O23</f>
        <v>794690</v>
      </c>
      <c r="BI16" s="459">
        <f t="shared" si="12"/>
        <v>94287619</v>
      </c>
      <c r="BJ16" s="458">
        <f>'[2]PBF Run'!AC23</f>
        <v>0</v>
      </c>
      <c r="BK16" s="458">
        <f>'[2]PBF Run'!$AD23</f>
        <v>0</v>
      </c>
      <c r="BL16" s="458">
        <f>'[2]PBF Run'!$T23</f>
        <v>0</v>
      </c>
      <c r="BM16" s="458">
        <f>'[2]PBF Run'!$S23</f>
        <v>3207964</v>
      </c>
      <c r="BN16" s="458">
        <f>'[2]13-14 $86M Workload Restore'!$P21</f>
        <v>0</v>
      </c>
      <c r="BO16" s="458">
        <f t="shared" si="13"/>
        <v>3207964</v>
      </c>
      <c r="BP16" s="478">
        <f>'[2]Restoration and Growth'!AA23</f>
        <v>0</v>
      </c>
      <c r="BQ16" s="478">
        <f>'[2]Restoration and Growth'!AB23</f>
        <v>0</v>
      </c>
      <c r="BR16" s="453">
        <f>'[2]Restoration and Growth'!BT23</f>
        <v>0</v>
      </c>
      <c r="BS16" s="453">
        <f>'[2]Growth Deficit'!$AO23</f>
        <v>0</v>
      </c>
      <c r="BT16" s="453">
        <f>'[2]Growth Deficit'!AO23</f>
        <v>0</v>
      </c>
      <c r="BU16" s="453">
        <f>'[2]Growth Deficit'!AL23</f>
        <v>0</v>
      </c>
      <c r="BV16" s="453">
        <f>'[2]Growth Deficit'!AM23</f>
        <v>0</v>
      </c>
      <c r="BW16" s="453">
        <f>'[2]Growth Deficit'!AN23</f>
        <v>0</v>
      </c>
      <c r="BX16" s="453">
        <f>'[2]Growth Deficit'!AO23</f>
        <v>0</v>
      </c>
      <c r="BY16" s="454">
        <f>'[2]PBF Run'!AA23</f>
        <v>1107182</v>
      </c>
      <c r="BZ16" s="454">
        <f>'[2]PBF Run'!AB23</f>
        <v>0</v>
      </c>
      <c r="CA16" s="454">
        <f>'[2]PBF Run'!AC23</f>
        <v>0</v>
      </c>
      <c r="CB16" s="454">
        <f t="shared" si="14"/>
        <v>1107182</v>
      </c>
      <c r="CC16" s="457">
        <f>'[2]PBF Run'!X23</f>
        <v>0</v>
      </c>
      <c r="CD16" s="456">
        <f>'[2]PBF Run'!AE23</f>
        <v>98602765</v>
      </c>
      <c r="CE16" s="337">
        <f t="shared" si="15"/>
        <v>0.98518541543941496</v>
      </c>
      <c r="CF16" s="455">
        <f>'[2]PBF Run'!AM23</f>
        <v>1460759</v>
      </c>
      <c r="CG16" s="455">
        <f>'[2]PBF Run'!$AN23</f>
        <v>46425248</v>
      </c>
      <c r="CH16" s="455">
        <f>'[2]PBF Run'!$AO23</f>
        <v>0</v>
      </c>
      <c r="CI16" s="455">
        <f>'[2]PBF Run'!AJ23</f>
        <v>28652830</v>
      </c>
      <c r="CJ16" s="455">
        <f>'[2]PBF Run'!AI23</f>
        <v>7070793</v>
      </c>
      <c r="CK16" s="455">
        <f>'[2]PBF Run'!$AN23</f>
        <v>46425248</v>
      </c>
      <c r="CL16" s="455">
        <f>'[2]PBF Run'!AK23</f>
        <v>14993135</v>
      </c>
      <c r="CM16" s="455">
        <f t="shared" si="16"/>
        <v>97142006</v>
      </c>
      <c r="CN16" s="454">
        <f>'[2]PBF Run'!$AN23</f>
        <v>46425248</v>
      </c>
      <c r="CO16" s="454">
        <f>'[2]PBF Run'!BI23</f>
        <v>0</v>
      </c>
      <c r="CP16" s="339">
        <f>'[2]PBF Run'!BH23</f>
        <v>0</v>
      </c>
      <c r="CQ16" s="454">
        <f t="shared" si="26"/>
        <v>69532</v>
      </c>
      <c r="CR16" s="454">
        <f t="shared" si="17"/>
        <v>46425248</v>
      </c>
      <c r="CS16" s="453">
        <f>'[2]As of 13-14 R1'!BX23</f>
        <v>0</v>
      </c>
      <c r="CT16" s="453">
        <f>'[2]As of 13-14 R1'!BY23</f>
        <v>0</v>
      </c>
      <c r="CU16" s="453">
        <f>'[2]As of 13-14 R1'!BZ23</f>
        <v>0</v>
      </c>
      <c r="CV16" s="453">
        <f t="shared" si="18"/>
        <v>0</v>
      </c>
      <c r="CW16" s="342">
        <f>'[2]Growth Deficit'!$D$2</f>
        <v>0</v>
      </c>
      <c r="CX16" s="343">
        <f>IF($DL16="S",'[2]Foundation Grant'!C23,0)</f>
        <v>0</v>
      </c>
      <c r="CY16" s="343">
        <f>IF($DL16="S",'[2]Foundation Grant'!D23,0)</f>
        <v>1</v>
      </c>
      <c r="CZ16" s="343">
        <f>IF($DL16="S",'[2]Foundation Grant'!E23,0)</f>
        <v>1</v>
      </c>
      <c r="DA16" s="343">
        <f>IF($DL16="S",'[2]Foundation Grant'!F23,0)</f>
        <v>2</v>
      </c>
      <c r="DB16" s="343">
        <f>IF($DL16="M",'[2]Foundation Grant'!C23,0)</f>
        <v>0</v>
      </c>
      <c r="DC16" s="343">
        <f>IF($DL16="M",'[2]Foundation Grant'!D23,0)</f>
        <v>0</v>
      </c>
      <c r="DD16" s="343">
        <f>IF($DL16="M",'[2]Foundation Grant'!E23,0)</f>
        <v>0</v>
      </c>
      <c r="DE16" s="343">
        <f>IF($DL16="M",'[2]Foundation Grant'!F23,0)</f>
        <v>0</v>
      </c>
      <c r="DF16" s="343">
        <f>'[2]Foundation Grant'!G23</f>
        <v>0</v>
      </c>
      <c r="DG16" s="343">
        <f>'[2]Foundation Grant'!H23</f>
        <v>0</v>
      </c>
      <c r="DH16" s="343">
        <f>'[2]Foundation Grant'!I23</f>
        <v>0</v>
      </c>
      <c r="DI16" s="343">
        <f>'[2]Foundation Grant'!J23</f>
        <v>0</v>
      </c>
      <c r="DJ16" s="343">
        <f>'[2]Foundation Grant'!K23</f>
        <v>0</v>
      </c>
      <c r="DK16" s="452">
        <f>'[2]Foundation Grant'!L23</f>
        <v>0</v>
      </c>
      <c r="DL16" s="343" t="str">
        <f>'[2]Foundation Grant'!M23</f>
        <v>S</v>
      </c>
      <c r="DM16" s="343">
        <f>'[2]Foundation Grant'!N23</f>
        <v>7871952</v>
      </c>
      <c r="DN16" s="452">
        <f>'[2]Foundation Grant'!O23</f>
        <v>0</v>
      </c>
      <c r="DO16" s="452">
        <f>'[2]Foundation Grant'!P23</f>
        <v>0</v>
      </c>
      <c r="DP16" s="344">
        <f>'[2]Foundation Grant'!$C$1</f>
        <v>5622823</v>
      </c>
      <c r="DQ16" s="344">
        <f>'[2]Foundation Grant'!$D$1</f>
        <v>4498258</v>
      </c>
      <c r="DR16" s="344">
        <f>'[2]Foundation Grant'!$E$1</f>
        <v>3373694</v>
      </c>
      <c r="DS16" s="344">
        <f>'[2]Foundation Grant'!$C$2</f>
        <v>4498258</v>
      </c>
      <c r="DT16" s="344">
        <f>'[2]Foundation Grant'!$D$2</f>
        <v>3935976</v>
      </c>
      <c r="DU16" s="344">
        <f>'[2]Foundation Grant'!$E$2</f>
        <v>3373694</v>
      </c>
      <c r="DV16" s="344">
        <f>'[2]Foundation Grant'!$G$1</f>
        <v>1124565</v>
      </c>
      <c r="DW16" s="344">
        <f>'[2]Foundation Grant'!$H$1</f>
        <v>843423</v>
      </c>
      <c r="DX16" s="344">
        <f>'[2]Foundation Grant'!$I$1</f>
        <v>562282</v>
      </c>
      <c r="DY16" s="344">
        <f>'[2]Foundation Grant'!$J$1</f>
        <v>281141</v>
      </c>
      <c r="DZ16" s="344">
        <f>'[2]Foundation Grant'!$K$1</f>
        <v>140571</v>
      </c>
      <c r="EA16" s="344">
        <f>'[2]Foundation Grant'!$O$1</f>
        <v>562282</v>
      </c>
      <c r="EB16" s="344">
        <f>'[2]Foundation Grant'!$P$1</f>
        <v>1124565</v>
      </c>
      <c r="EC16" s="345">
        <f>'[2]basic allocation'!$C$10</f>
        <v>18749</v>
      </c>
      <c r="ED16" s="345">
        <f>'[2]basic allocation'!$D$10</f>
        <v>9375</v>
      </c>
      <c r="EE16" s="345">
        <f>'[2]basic allocation'!$E$10</f>
        <v>9375</v>
      </c>
      <c r="EF16" s="345">
        <f>'[2]basic allocation'!$I$10</f>
        <v>938</v>
      </c>
      <c r="EG16" s="345">
        <f>'[2]basic allocation'!$J$10</f>
        <v>703</v>
      </c>
      <c r="EH16" s="345">
        <f>'[2]basic allocation'!$K$10</f>
        <v>469</v>
      </c>
      <c r="EI16" s="345">
        <f>'[2]basic allocation'!$L$10</f>
        <v>234</v>
      </c>
      <c r="EJ16" s="345">
        <f>'[2]basic allocation'!$M$10</f>
        <v>100</v>
      </c>
      <c r="EK16" s="345">
        <f>'[2]PBF Run'!$AT23</f>
        <v>0</v>
      </c>
      <c r="EM16" s="477"/>
    </row>
    <row r="17" spans="1:143">
      <c r="A17" s="476" t="s">
        <v>605</v>
      </c>
      <c r="B17" s="475" t="str">
        <f t="shared" si="19"/>
        <v>P1</v>
      </c>
      <c r="C17" s="346" t="s">
        <v>371</v>
      </c>
      <c r="D17" s="450" t="s">
        <v>370</v>
      </c>
      <c r="E17" s="449">
        <f>ROUND('[2]PBF Run'!N24,6)</f>
        <v>4636.492792</v>
      </c>
      <c r="F17" s="340">
        <f t="shared" si="20"/>
        <v>4636.49</v>
      </c>
      <c r="G17" s="474">
        <f t="shared" si="21"/>
        <v>2788.0536374600001</v>
      </c>
      <c r="H17" s="473">
        <f t="shared" si="22"/>
        <v>2811.7520933800001</v>
      </c>
      <c r="I17" s="473">
        <f t="shared" si="23"/>
        <v>3282.8110613200001</v>
      </c>
      <c r="J17" s="473">
        <f t="shared" si="24"/>
        <v>3310.71495534</v>
      </c>
      <c r="K17" s="472">
        <f>ROUND([2]FTES!C24,3)</f>
        <v>1449.39</v>
      </c>
      <c r="L17" s="472">
        <f>ROUND([2]FTES!L24,3)</f>
        <v>107.77</v>
      </c>
      <c r="M17" s="472">
        <f>ROUND([2]FTES!U24,3)</f>
        <v>0</v>
      </c>
      <c r="N17" s="465">
        <f>ROUND([2]FTES!$D24,3)</f>
        <v>1449.39</v>
      </c>
      <c r="O17" s="465">
        <f>ROUND([2]FTES!$M24,3)</f>
        <v>107.77</v>
      </c>
      <c r="P17" s="465">
        <f>ROUND([2]FTES!$V24,3)</f>
        <v>0</v>
      </c>
      <c r="Q17" s="471">
        <f>'[2]FTES Adjustment'!BU24</f>
        <v>24.820018000000001</v>
      </c>
      <c r="R17" s="471">
        <f>'[2]FTES Adjustment'!BV24</f>
        <v>0</v>
      </c>
      <c r="S17" s="471">
        <f>'[2]FTES Adjustment'!BW24</f>
        <v>45.506787000000003</v>
      </c>
      <c r="T17" s="469">
        <f>ROUND('[2]Growth Deficit'!$AG24,3)</f>
        <v>0</v>
      </c>
      <c r="U17" s="469">
        <f>ROUND('[2]Growth Deficit'!$AH24,3)</f>
        <v>0</v>
      </c>
      <c r="V17" s="469">
        <f>ROUND('[2]Growth Deficit'!$AI24,3)</f>
        <v>0</v>
      </c>
      <c r="W17" s="470">
        <f>ROUND([2]FTES!I24,3)</f>
        <v>0</v>
      </c>
      <c r="X17" s="470">
        <f>ROUND([2]FTES!R24,3)</f>
        <v>0</v>
      </c>
      <c r="Y17" s="470">
        <f>ROUND([2]FTES!AA24,3)</f>
        <v>0</v>
      </c>
      <c r="Z17" s="469">
        <f>ROUND([2]FTES!E24,3)</f>
        <v>1474.21</v>
      </c>
      <c r="AA17" s="469">
        <f>ROUND([2]FTES!N24,3)</f>
        <v>79.06</v>
      </c>
      <c r="AB17" s="469">
        <f>ROUND([2]FTES!W24,3)</f>
        <v>69.89</v>
      </c>
      <c r="AC17" s="468">
        <f>'[2]FTES Adjustment'!CW24</f>
        <v>1474.2099559999999</v>
      </c>
      <c r="AD17" s="468">
        <f>'[2]FTES Adjustment'!CX24</f>
        <v>79.059999999999988</v>
      </c>
      <c r="AE17" s="468">
        <f>'[2]FTES Adjustment'!CY24</f>
        <v>69.89</v>
      </c>
      <c r="AF17" s="467">
        <f>'[2]FTES Adjustment'!DQ24</f>
        <v>4.4000000116284355E-5</v>
      </c>
      <c r="AG17" s="467">
        <f>'[2]FTES Adjustment'!DR24</f>
        <v>0</v>
      </c>
      <c r="AH17" s="467">
        <f>'[2]FTES Adjustment'!DS24</f>
        <v>0</v>
      </c>
      <c r="AI17" s="340">
        <f>'[2]FTES Adjustment'!$DX24</f>
        <v>0</v>
      </c>
      <c r="AJ17" s="340">
        <v>0</v>
      </c>
      <c r="AK17" s="340">
        <v>0</v>
      </c>
      <c r="AL17" s="465">
        <f>'[2]FTES Adjustment'!CG24</f>
        <v>0</v>
      </c>
      <c r="AM17" s="465">
        <f>'[2]FTES Adjustment'!CH24</f>
        <v>-28.710179000000011</v>
      </c>
      <c r="AN17" s="465">
        <f>'[2]FTES Adjustment'!CI24</f>
        <v>24.383213000000001</v>
      </c>
      <c r="AO17" s="463">
        <f t="shared" si="0"/>
        <v>1557.16</v>
      </c>
      <c r="AP17" s="463">
        <f t="shared" si="1"/>
        <v>1557.16</v>
      </c>
      <c r="AQ17" s="463">
        <f t="shared" si="2"/>
        <v>70.326999999999998</v>
      </c>
      <c r="AR17" s="463">
        <f t="shared" si="3"/>
        <v>0</v>
      </c>
      <c r="AS17" s="463">
        <f t="shared" si="4"/>
        <v>0</v>
      </c>
      <c r="AT17" s="463">
        <f t="shared" si="5"/>
        <v>1623.16</v>
      </c>
      <c r="AU17" s="463">
        <f t="shared" si="6"/>
        <v>1623.16</v>
      </c>
      <c r="AV17" s="464">
        <f t="shared" si="7"/>
        <v>0</v>
      </c>
      <c r="AW17" s="464">
        <f t="shared" si="8"/>
        <v>0</v>
      </c>
      <c r="AX17" s="464">
        <f t="shared" si="9"/>
        <v>-4.327</v>
      </c>
      <c r="AY17" s="460">
        <f>'[2]PBF Run'!F24</f>
        <v>3935976</v>
      </c>
      <c r="AZ17" s="460">
        <f t="shared" si="10"/>
        <v>7020555</v>
      </c>
      <c r="BA17" s="460">
        <f>'[2]PBF Run'!J24 + '[2]PBF Run'!$L24</f>
        <v>6720086</v>
      </c>
      <c r="BB17" s="460">
        <f>'[2]PBF Run'!H24</f>
        <v>300469</v>
      </c>
      <c r="BC17" s="460">
        <f>'[2]PBF Run'!I24</f>
        <v>0</v>
      </c>
      <c r="BD17" s="462">
        <v>0</v>
      </c>
      <c r="BE17" s="461">
        <f>'[2]Restoration and Growth'!BM24</f>
        <v>0</v>
      </c>
      <c r="BF17" s="460">
        <f t="shared" si="11"/>
        <v>10956531</v>
      </c>
      <c r="BG17" s="333" t="str">
        <f t="shared" si="25"/>
        <v>0.85%</v>
      </c>
      <c r="BH17" s="459">
        <f>'[2]PBF Run'!O24</f>
        <v>93131</v>
      </c>
      <c r="BI17" s="459">
        <f t="shared" si="12"/>
        <v>11049662</v>
      </c>
      <c r="BJ17" s="458">
        <f>'[2]PBF Run'!AC24</f>
        <v>0</v>
      </c>
      <c r="BK17" s="458">
        <f>'[2]PBF Run'!$AD24</f>
        <v>0</v>
      </c>
      <c r="BL17" s="458">
        <f>'[2]PBF Run'!$T24</f>
        <v>266716</v>
      </c>
      <c r="BM17" s="458">
        <f>'[2]PBF Run'!$S24</f>
        <v>0</v>
      </c>
      <c r="BN17" s="458">
        <f>'[2]13-14 $86M Workload Restore'!$P22</f>
        <v>0</v>
      </c>
      <c r="BO17" s="458">
        <f t="shared" si="13"/>
        <v>266716</v>
      </c>
      <c r="BP17" s="478">
        <f>'[2]Restoration and Growth'!AA24</f>
        <v>0</v>
      </c>
      <c r="BQ17" s="478">
        <f>'[2]Restoration and Growth'!AB24</f>
        <v>0</v>
      </c>
      <c r="BR17" s="453">
        <f>'[2]Restoration and Growth'!BT24</f>
        <v>0</v>
      </c>
      <c r="BS17" s="453">
        <f>'[2]Growth Deficit'!$AO24</f>
        <v>0</v>
      </c>
      <c r="BT17" s="453">
        <f>'[2]Growth Deficit'!AO24</f>
        <v>0</v>
      </c>
      <c r="BU17" s="453">
        <f>'[2]Growth Deficit'!AL24</f>
        <v>0</v>
      </c>
      <c r="BV17" s="453">
        <f>'[2]Growth Deficit'!AM24</f>
        <v>0</v>
      </c>
      <c r="BW17" s="453">
        <f>'[2]Growth Deficit'!AN24</f>
        <v>0</v>
      </c>
      <c r="BX17" s="453">
        <f>'[2]Growth Deficit'!AO24</f>
        <v>0</v>
      </c>
      <c r="BY17" s="454">
        <f>'[2]PBF Run'!AA24</f>
        <v>0</v>
      </c>
      <c r="BZ17" s="454">
        <f>'[2]PBF Run'!AB24</f>
        <v>0</v>
      </c>
      <c r="CA17" s="454">
        <f>'[2]PBF Run'!AC24</f>
        <v>0</v>
      </c>
      <c r="CB17" s="454">
        <f t="shared" si="14"/>
        <v>0</v>
      </c>
      <c r="CC17" s="457">
        <f>'[2]PBF Run'!X24</f>
        <v>0</v>
      </c>
      <c r="CD17" s="456">
        <f>'[2]PBF Run'!AE24</f>
        <v>11316378</v>
      </c>
      <c r="CE17" s="337">
        <f t="shared" si="15"/>
        <v>0.98518545421512083</v>
      </c>
      <c r="CF17" s="455">
        <f>'[2]PBF Run'!AM24</f>
        <v>167647</v>
      </c>
      <c r="CG17" s="455">
        <f>'[2]PBF Run'!$AN24</f>
        <v>3574894</v>
      </c>
      <c r="CH17" s="455">
        <f>'[2]PBF Run'!$AO24</f>
        <v>0</v>
      </c>
      <c r="CI17" s="455">
        <f>'[2]PBF Run'!AJ24</f>
        <v>5149199</v>
      </c>
      <c r="CJ17" s="455">
        <f>'[2]PBF Run'!AI24</f>
        <v>682843</v>
      </c>
      <c r="CK17" s="455">
        <f>'[2]PBF Run'!$AN24</f>
        <v>3574894</v>
      </c>
      <c r="CL17" s="455">
        <f>'[2]PBF Run'!AK24</f>
        <v>1741795</v>
      </c>
      <c r="CM17" s="455">
        <f t="shared" si="16"/>
        <v>11148731</v>
      </c>
      <c r="CN17" s="454">
        <f>'[2]PBF Run'!$AN24</f>
        <v>3574894</v>
      </c>
      <c r="CO17" s="454">
        <f>'[2]PBF Run'!BI24</f>
        <v>0</v>
      </c>
      <c r="CP17" s="339">
        <f>'[2]PBF Run'!BH24</f>
        <v>0</v>
      </c>
      <c r="CQ17" s="454">
        <f t="shared" si="26"/>
        <v>69532</v>
      </c>
      <c r="CR17" s="454">
        <f t="shared" si="17"/>
        <v>3574894</v>
      </c>
      <c r="CS17" s="453">
        <f>'[2]As of 13-14 R1'!BX24</f>
        <v>0</v>
      </c>
      <c r="CT17" s="453">
        <f>'[2]As of 13-14 R1'!BY24</f>
        <v>424963</v>
      </c>
      <c r="CU17" s="453">
        <f>'[2]As of 13-14 R1'!BZ24</f>
        <v>0</v>
      </c>
      <c r="CV17" s="453">
        <f t="shared" si="18"/>
        <v>424963</v>
      </c>
      <c r="CW17" s="342">
        <f>'[2]Growth Deficit'!$D$2</f>
        <v>0</v>
      </c>
      <c r="CX17" s="343">
        <f>IF($DL17="S",'[2]Foundation Grant'!C24,0)</f>
        <v>0</v>
      </c>
      <c r="CY17" s="343">
        <f>IF($DL17="S",'[2]Foundation Grant'!D24,0)</f>
        <v>0</v>
      </c>
      <c r="CZ17" s="343">
        <f>IF($DL17="S",'[2]Foundation Grant'!E24,0)</f>
        <v>1</v>
      </c>
      <c r="DA17" s="343">
        <f>IF($DL17="S",'[2]Foundation Grant'!F24,0)</f>
        <v>1</v>
      </c>
      <c r="DB17" s="343">
        <f>IF($DL17="M",'[2]Foundation Grant'!C24,0)</f>
        <v>0</v>
      </c>
      <c r="DC17" s="343">
        <f>IF($DL17="M",'[2]Foundation Grant'!D24,0)</f>
        <v>0</v>
      </c>
      <c r="DD17" s="343">
        <f>IF($DL17="M",'[2]Foundation Grant'!E24,0)</f>
        <v>0</v>
      </c>
      <c r="DE17" s="343">
        <f>IF($DL17="M",'[2]Foundation Grant'!F24,0)</f>
        <v>0</v>
      </c>
      <c r="DF17" s="343">
        <f>'[2]Foundation Grant'!G24</f>
        <v>0</v>
      </c>
      <c r="DG17" s="343">
        <f>'[2]Foundation Grant'!H24</f>
        <v>0</v>
      </c>
      <c r="DH17" s="343">
        <f>'[2]Foundation Grant'!I24</f>
        <v>0</v>
      </c>
      <c r="DI17" s="343">
        <f>'[2]Foundation Grant'!J24</f>
        <v>0</v>
      </c>
      <c r="DJ17" s="343">
        <f>'[2]Foundation Grant'!K24</f>
        <v>0</v>
      </c>
      <c r="DK17" s="452">
        <f>'[2]Foundation Grant'!L24</f>
        <v>0</v>
      </c>
      <c r="DL17" s="343" t="str">
        <f>'[2]Foundation Grant'!M24</f>
        <v>S</v>
      </c>
      <c r="DM17" s="343">
        <f>'[2]Foundation Grant'!N24</f>
        <v>3935976</v>
      </c>
      <c r="DN17" s="452">
        <f>'[2]Foundation Grant'!O24</f>
        <v>1</v>
      </c>
      <c r="DO17" s="452">
        <f>'[2]Foundation Grant'!P24</f>
        <v>0</v>
      </c>
      <c r="DP17" s="344">
        <f>'[2]Foundation Grant'!$C$1</f>
        <v>5622823</v>
      </c>
      <c r="DQ17" s="344">
        <f>'[2]Foundation Grant'!$D$1</f>
        <v>4498258</v>
      </c>
      <c r="DR17" s="344">
        <f>'[2]Foundation Grant'!$E$1</f>
        <v>3373694</v>
      </c>
      <c r="DS17" s="344">
        <f>'[2]Foundation Grant'!$C$2</f>
        <v>4498258</v>
      </c>
      <c r="DT17" s="344">
        <f>'[2]Foundation Grant'!$D$2</f>
        <v>3935976</v>
      </c>
      <c r="DU17" s="344">
        <f>'[2]Foundation Grant'!$E$2</f>
        <v>3373694</v>
      </c>
      <c r="DV17" s="344">
        <f>'[2]Foundation Grant'!$G$1</f>
        <v>1124565</v>
      </c>
      <c r="DW17" s="344">
        <f>'[2]Foundation Grant'!$H$1</f>
        <v>843423</v>
      </c>
      <c r="DX17" s="344">
        <f>'[2]Foundation Grant'!$I$1</f>
        <v>562282</v>
      </c>
      <c r="DY17" s="344">
        <f>'[2]Foundation Grant'!$J$1</f>
        <v>281141</v>
      </c>
      <c r="DZ17" s="344">
        <f>'[2]Foundation Grant'!$K$1</f>
        <v>140571</v>
      </c>
      <c r="EA17" s="344">
        <f>'[2]Foundation Grant'!$O$1</f>
        <v>562282</v>
      </c>
      <c r="EB17" s="344">
        <f>'[2]Foundation Grant'!$P$1</f>
        <v>1124565</v>
      </c>
      <c r="EC17" s="345">
        <f>'[2]basic allocation'!$C$10</f>
        <v>18749</v>
      </c>
      <c r="ED17" s="345">
        <f>'[2]basic allocation'!$D$10</f>
        <v>9375</v>
      </c>
      <c r="EE17" s="345">
        <f>'[2]basic allocation'!$E$10</f>
        <v>9375</v>
      </c>
      <c r="EF17" s="345">
        <f>'[2]basic allocation'!$I$10</f>
        <v>938</v>
      </c>
      <c r="EG17" s="345">
        <f>'[2]basic allocation'!$J$10</f>
        <v>703</v>
      </c>
      <c r="EH17" s="345">
        <f>'[2]basic allocation'!$K$10</f>
        <v>469</v>
      </c>
      <c r="EI17" s="345">
        <f>'[2]basic allocation'!$L$10</f>
        <v>234</v>
      </c>
      <c r="EJ17" s="345">
        <f>'[2]basic allocation'!$M$10</f>
        <v>100</v>
      </c>
      <c r="EK17" s="345">
        <f>'[2]PBF Run'!$AT24</f>
        <v>0</v>
      </c>
      <c r="EM17" s="477"/>
    </row>
    <row r="18" spans="1:143">
      <c r="A18" s="476" t="s">
        <v>605</v>
      </c>
      <c r="B18" s="475" t="str">
        <f t="shared" si="19"/>
        <v>P1</v>
      </c>
      <c r="C18" s="346" t="s">
        <v>369</v>
      </c>
      <c r="D18" s="450" t="s">
        <v>368</v>
      </c>
      <c r="E18" s="449">
        <f>ROUND('[2]PBF Run'!N25,6)</f>
        <v>4659.7205469999999</v>
      </c>
      <c r="F18" s="340">
        <f t="shared" si="20"/>
        <v>4636.49</v>
      </c>
      <c r="G18" s="474">
        <f t="shared" si="21"/>
        <v>2788.0536374600001</v>
      </c>
      <c r="H18" s="473">
        <f t="shared" si="22"/>
        <v>2811.7520933800001</v>
      </c>
      <c r="I18" s="473">
        <f t="shared" si="23"/>
        <v>3282.8110613200001</v>
      </c>
      <c r="J18" s="473">
        <f t="shared" si="24"/>
        <v>3310.71495534</v>
      </c>
      <c r="K18" s="472">
        <f>ROUND([2]FTES!C25,3)</f>
        <v>27115.14</v>
      </c>
      <c r="L18" s="472">
        <f>ROUND([2]FTES!L25,3)</f>
        <v>200.11</v>
      </c>
      <c r="M18" s="472">
        <f>ROUND([2]FTES!U25,3)</f>
        <v>126.03</v>
      </c>
      <c r="N18" s="465">
        <f>ROUND([2]FTES!$D25,3)</f>
        <v>27115.14</v>
      </c>
      <c r="O18" s="465">
        <f>ROUND([2]FTES!$M25,3)</f>
        <v>200.11</v>
      </c>
      <c r="P18" s="465">
        <f>ROUND([2]FTES!$V25,3)</f>
        <v>126.03</v>
      </c>
      <c r="Q18" s="471">
        <f>'[2]FTES Adjustment'!BU25</f>
        <v>0</v>
      </c>
      <c r="R18" s="471">
        <f>'[2]FTES Adjustment'!BV25</f>
        <v>0</v>
      </c>
      <c r="S18" s="471">
        <f>'[2]FTES Adjustment'!BW25</f>
        <v>0</v>
      </c>
      <c r="T18" s="469">
        <f>ROUND('[2]Growth Deficit'!$AG25,3)</f>
        <v>0</v>
      </c>
      <c r="U18" s="469">
        <f>ROUND('[2]Growth Deficit'!$AH25,3)</f>
        <v>0</v>
      </c>
      <c r="V18" s="469">
        <f>ROUND('[2]Growth Deficit'!$AI25,3)</f>
        <v>0</v>
      </c>
      <c r="W18" s="470">
        <f>ROUND([2]FTES!I25,3)</f>
        <v>-521.84</v>
      </c>
      <c r="X18" s="470">
        <f>ROUND([2]FTES!R25,3)</f>
        <v>118.2</v>
      </c>
      <c r="Y18" s="470">
        <f>ROUND([2]FTES!AA25,3)</f>
        <v>-112.37</v>
      </c>
      <c r="Z18" s="469">
        <f>ROUND([2]FTES!E25,3)</f>
        <v>26593.3</v>
      </c>
      <c r="AA18" s="469">
        <f>ROUND([2]FTES!N25,3)</f>
        <v>318.31</v>
      </c>
      <c r="AB18" s="469">
        <f>ROUND([2]FTES!W25,3)</f>
        <v>13.66</v>
      </c>
      <c r="AC18" s="468">
        <f>'[2]FTES Adjustment'!CW25</f>
        <v>26593.3</v>
      </c>
      <c r="AD18" s="468">
        <f>'[2]FTES Adjustment'!CX25</f>
        <v>318.31</v>
      </c>
      <c r="AE18" s="468">
        <f>'[2]FTES Adjustment'!CY25</f>
        <v>13.659999999999997</v>
      </c>
      <c r="AF18" s="467">
        <f>'[2]FTES Adjustment'!DQ25</f>
        <v>0</v>
      </c>
      <c r="AG18" s="467">
        <f>'[2]FTES Adjustment'!DR25</f>
        <v>0</v>
      </c>
      <c r="AH18" s="467">
        <f>'[2]FTES Adjustment'!DS25</f>
        <v>0</v>
      </c>
      <c r="AI18" s="340">
        <f>'[2]FTES Adjustment'!$DX25</f>
        <v>0</v>
      </c>
      <c r="AJ18" s="340">
        <v>0</v>
      </c>
      <c r="AK18" s="340">
        <v>0</v>
      </c>
      <c r="AL18" s="465">
        <f>'[2]FTES Adjustment'!CG25</f>
        <v>0</v>
      </c>
      <c r="AM18" s="465">
        <f>'[2]FTES Adjustment'!CH25</f>
        <v>0</v>
      </c>
      <c r="AN18" s="465">
        <f>'[2]FTES Adjustment'!CI25</f>
        <v>0</v>
      </c>
      <c r="AO18" s="463">
        <f t="shared" si="0"/>
        <v>27441.279999999999</v>
      </c>
      <c r="AP18" s="463">
        <f t="shared" si="1"/>
        <v>27441.279999999999</v>
      </c>
      <c r="AQ18" s="463">
        <f t="shared" si="2"/>
        <v>0</v>
      </c>
      <c r="AR18" s="463">
        <f t="shared" si="3"/>
        <v>0</v>
      </c>
      <c r="AS18" s="463">
        <f t="shared" si="4"/>
        <v>-516.01</v>
      </c>
      <c r="AT18" s="463">
        <f t="shared" si="5"/>
        <v>26925.27</v>
      </c>
      <c r="AU18" s="463">
        <f t="shared" si="6"/>
        <v>26925.27</v>
      </c>
      <c r="AV18" s="464">
        <f t="shared" si="7"/>
        <v>0</v>
      </c>
      <c r="AW18" s="464">
        <f t="shared" si="8"/>
        <v>0</v>
      </c>
      <c r="AX18" s="464">
        <f t="shared" si="9"/>
        <v>0</v>
      </c>
      <c r="AY18" s="460">
        <f>'[2]PBF Run'!F25</f>
        <v>8996517</v>
      </c>
      <c r="AZ18" s="460">
        <f t="shared" si="10"/>
        <v>127320625</v>
      </c>
      <c r="BA18" s="460">
        <f>'[2]PBF Run'!J25 + '[2]PBF Run'!$L25</f>
        <v>126348975</v>
      </c>
      <c r="BB18" s="460">
        <f>'[2]PBF Run'!H25</f>
        <v>557917</v>
      </c>
      <c r="BC18" s="460">
        <f>'[2]PBF Run'!I25</f>
        <v>413733</v>
      </c>
      <c r="BD18" s="462">
        <v>0</v>
      </c>
      <c r="BE18" s="461">
        <f>'[2]Restoration and Growth'!BM25</f>
        <v>-2458848.7853247398</v>
      </c>
      <c r="BF18" s="460">
        <f t="shared" si="11"/>
        <v>133858293.21467526</v>
      </c>
      <c r="BG18" s="333" t="str">
        <f t="shared" si="25"/>
        <v>0.85%</v>
      </c>
      <c r="BH18" s="459">
        <f>'[2]PBF Run'!O25</f>
        <v>1137795</v>
      </c>
      <c r="BI18" s="459">
        <f t="shared" si="12"/>
        <v>134996088.21467525</v>
      </c>
      <c r="BJ18" s="458">
        <f>'[2]PBF Run'!AC25</f>
        <v>0</v>
      </c>
      <c r="BK18" s="458">
        <f>'[2]PBF Run'!$AD25</f>
        <v>0</v>
      </c>
      <c r="BL18" s="458">
        <f>'[2]PBF Run'!$T25</f>
        <v>0</v>
      </c>
      <c r="BM18" s="458">
        <f>'[2]PBF Run'!$S25</f>
        <v>0</v>
      </c>
      <c r="BN18" s="458">
        <f>'[2]13-14 $86M Workload Restore'!$P23</f>
        <v>0</v>
      </c>
      <c r="BO18" s="458">
        <f t="shared" si="13"/>
        <v>0</v>
      </c>
      <c r="BP18" s="478">
        <f>'[2]Restoration and Growth'!AA25</f>
        <v>0</v>
      </c>
      <c r="BQ18" s="478">
        <f>'[2]Restoration and Growth'!AB25</f>
        <v>0</v>
      </c>
      <c r="BR18" s="453">
        <f>'[2]Restoration and Growth'!BT25</f>
        <v>0</v>
      </c>
      <c r="BS18" s="453">
        <f>'[2]Growth Deficit'!$AO25</f>
        <v>0</v>
      </c>
      <c r="BT18" s="453">
        <f>'[2]Growth Deficit'!AO25</f>
        <v>0</v>
      </c>
      <c r="BU18" s="453">
        <f>'[2]Growth Deficit'!AL25</f>
        <v>0</v>
      </c>
      <c r="BV18" s="453">
        <f>'[2]Growth Deficit'!AM25</f>
        <v>0</v>
      </c>
      <c r="BW18" s="453">
        <f>'[2]Growth Deficit'!AN25</f>
        <v>0</v>
      </c>
      <c r="BX18" s="453">
        <f>'[2]Growth Deficit'!AO25</f>
        <v>0</v>
      </c>
      <c r="BY18" s="454">
        <f>'[2]PBF Run'!AA25</f>
        <v>0</v>
      </c>
      <c r="BZ18" s="454">
        <f>'[2]PBF Run'!AB25</f>
        <v>0</v>
      </c>
      <c r="CA18" s="454">
        <f>'[2]PBF Run'!AC25</f>
        <v>0</v>
      </c>
      <c r="CB18" s="454">
        <f t="shared" si="14"/>
        <v>0</v>
      </c>
      <c r="CC18" s="457">
        <f>'[2]PBF Run'!X25</f>
        <v>2479749</v>
      </c>
      <c r="CD18" s="456">
        <f>'[2]PBF Run'!AE25</f>
        <v>137475837</v>
      </c>
      <c r="CE18" s="337">
        <f t="shared" si="15"/>
        <v>0.98518541843829621</v>
      </c>
      <c r="CF18" s="455">
        <f>'[2]PBF Run'!AM25</f>
        <v>2036647</v>
      </c>
      <c r="CG18" s="455">
        <f>'[2]PBF Run'!$AN25</f>
        <v>14567456</v>
      </c>
      <c r="CH18" s="455">
        <f>'[2]PBF Run'!$AO25</f>
        <v>0</v>
      </c>
      <c r="CI18" s="455">
        <f>'[2]PBF Run'!AJ25</f>
        <v>80570312</v>
      </c>
      <c r="CJ18" s="455">
        <f>'[2]PBF Run'!AI25</f>
        <v>21266000</v>
      </c>
      <c r="CK18" s="455">
        <f>'[2]PBF Run'!$AN25</f>
        <v>14567456</v>
      </c>
      <c r="CL18" s="455">
        <f>'[2]PBF Run'!AK25</f>
        <v>19035422</v>
      </c>
      <c r="CM18" s="455">
        <f t="shared" si="16"/>
        <v>135439190</v>
      </c>
      <c r="CN18" s="454">
        <f>'[2]PBF Run'!$AN25</f>
        <v>14567456</v>
      </c>
      <c r="CO18" s="454">
        <f>'[2]PBF Run'!BI25</f>
        <v>0</v>
      </c>
      <c r="CP18" s="339">
        <f>'[2]PBF Run'!BH25</f>
        <v>0</v>
      </c>
      <c r="CQ18" s="454">
        <f t="shared" si="26"/>
        <v>69532</v>
      </c>
      <c r="CR18" s="454">
        <f t="shared" si="17"/>
        <v>14567456</v>
      </c>
      <c r="CS18" s="453">
        <f>'[2]As of 13-14 R1'!BX25</f>
        <v>0</v>
      </c>
      <c r="CT18" s="453">
        <f>'[2]As of 13-14 R1'!BY25</f>
        <v>7740843</v>
      </c>
      <c r="CU18" s="453">
        <f>'[2]As of 13-14 R1'!BZ25</f>
        <v>1676463</v>
      </c>
      <c r="CV18" s="453">
        <f t="shared" si="18"/>
        <v>9417306</v>
      </c>
      <c r="CW18" s="342">
        <f>'[2]Growth Deficit'!$D$2</f>
        <v>0</v>
      </c>
      <c r="CX18" s="343">
        <f>IF($DL18="S",'[2]Foundation Grant'!C25,0)</f>
        <v>0</v>
      </c>
      <c r="CY18" s="343">
        <f>IF($DL18="S",'[2]Foundation Grant'!D25,0)</f>
        <v>0</v>
      </c>
      <c r="CZ18" s="343">
        <f>IF($DL18="S",'[2]Foundation Grant'!E25,0)</f>
        <v>0</v>
      </c>
      <c r="DA18" s="343">
        <f>IF($DL18="S",'[2]Foundation Grant'!F25,0)</f>
        <v>0</v>
      </c>
      <c r="DB18" s="343">
        <f>IF($DL18="M",'[2]Foundation Grant'!C25,0)</f>
        <v>0</v>
      </c>
      <c r="DC18" s="343">
        <f>IF($DL18="M",'[2]Foundation Grant'!D25,0)</f>
        <v>2</v>
      </c>
      <c r="DD18" s="343">
        <f>IF($DL18="M",'[2]Foundation Grant'!E25,0)</f>
        <v>0</v>
      </c>
      <c r="DE18" s="343">
        <f>IF($DL18="M",'[2]Foundation Grant'!F25,0)</f>
        <v>2</v>
      </c>
      <c r="DF18" s="343">
        <f>'[2]Foundation Grant'!G25</f>
        <v>1</v>
      </c>
      <c r="DG18" s="343">
        <f>'[2]Foundation Grant'!H25</f>
        <v>0</v>
      </c>
      <c r="DH18" s="343">
        <f>'[2]Foundation Grant'!I25</f>
        <v>0</v>
      </c>
      <c r="DI18" s="343">
        <f>'[2]Foundation Grant'!J25</f>
        <v>0</v>
      </c>
      <c r="DJ18" s="343">
        <f>'[2]Foundation Grant'!K25</f>
        <v>0</v>
      </c>
      <c r="DK18" s="452">
        <f>'[2]Foundation Grant'!L25</f>
        <v>1</v>
      </c>
      <c r="DL18" s="343" t="str">
        <f>'[2]Foundation Grant'!M25</f>
        <v>M</v>
      </c>
      <c r="DM18" s="343">
        <f>'[2]Foundation Grant'!N25</f>
        <v>8996517</v>
      </c>
      <c r="DN18" s="452">
        <f>'[2]Foundation Grant'!O25</f>
        <v>0</v>
      </c>
      <c r="DO18" s="452">
        <f>'[2]Foundation Grant'!P25</f>
        <v>0</v>
      </c>
      <c r="DP18" s="344">
        <f>'[2]Foundation Grant'!$C$1</f>
        <v>5622823</v>
      </c>
      <c r="DQ18" s="344">
        <f>'[2]Foundation Grant'!$D$1</f>
        <v>4498258</v>
      </c>
      <c r="DR18" s="344">
        <f>'[2]Foundation Grant'!$E$1</f>
        <v>3373694</v>
      </c>
      <c r="DS18" s="344">
        <f>'[2]Foundation Grant'!$C$2</f>
        <v>4498258</v>
      </c>
      <c r="DT18" s="344">
        <f>'[2]Foundation Grant'!$D$2</f>
        <v>3935976</v>
      </c>
      <c r="DU18" s="344">
        <f>'[2]Foundation Grant'!$E$2</f>
        <v>3373694</v>
      </c>
      <c r="DV18" s="344">
        <f>'[2]Foundation Grant'!$G$1</f>
        <v>1124565</v>
      </c>
      <c r="DW18" s="344">
        <f>'[2]Foundation Grant'!$H$1</f>
        <v>843423</v>
      </c>
      <c r="DX18" s="344">
        <f>'[2]Foundation Grant'!$I$1</f>
        <v>562282</v>
      </c>
      <c r="DY18" s="344">
        <f>'[2]Foundation Grant'!$J$1</f>
        <v>281141</v>
      </c>
      <c r="DZ18" s="344">
        <f>'[2]Foundation Grant'!$K$1</f>
        <v>140571</v>
      </c>
      <c r="EA18" s="344">
        <f>'[2]Foundation Grant'!$O$1</f>
        <v>562282</v>
      </c>
      <c r="EB18" s="344">
        <f>'[2]Foundation Grant'!$P$1</f>
        <v>1124565</v>
      </c>
      <c r="EC18" s="345">
        <f>'[2]basic allocation'!$C$10</f>
        <v>18749</v>
      </c>
      <c r="ED18" s="345">
        <f>'[2]basic allocation'!$D$10</f>
        <v>9375</v>
      </c>
      <c r="EE18" s="345">
        <f>'[2]basic allocation'!$E$10</f>
        <v>9375</v>
      </c>
      <c r="EF18" s="345">
        <f>'[2]basic allocation'!$I$10</f>
        <v>938</v>
      </c>
      <c r="EG18" s="345">
        <f>'[2]basic allocation'!$J$10</f>
        <v>703</v>
      </c>
      <c r="EH18" s="345">
        <f>'[2]basic allocation'!$K$10</f>
        <v>469</v>
      </c>
      <c r="EI18" s="345">
        <f>'[2]basic allocation'!$L$10</f>
        <v>234</v>
      </c>
      <c r="EJ18" s="345">
        <f>'[2]basic allocation'!$M$10</f>
        <v>100</v>
      </c>
      <c r="EK18" s="345">
        <f>'[2]PBF Run'!$AT25</f>
        <v>0</v>
      </c>
      <c r="EM18" s="477"/>
    </row>
    <row r="19" spans="1:143">
      <c r="A19" s="476" t="s">
        <v>605</v>
      </c>
      <c r="B19" s="475" t="str">
        <f t="shared" si="19"/>
        <v>P1</v>
      </c>
      <c r="C19" s="346" t="s">
        <v>367</v>
      </c>
      <c r="D19" s="450" t="s">
        <v>366</v>
      </c>
      <c r="E19" s="449">
        <f>ROUND('[2]PBF Run'!N26,6)</f>
        <v>4636.4927729999999</v>
      </c>
      <c r="F19" s="340">
        <f t="shared" si="20"/>
        <v>4636.49</v>
      </c>
      <c r="G19" s="474">
        <f t="shared" si="21"/>
        <v>2788.0536374600001</v>
      </c>
      <c r="H19" s="473">
        <f t="shared" si="22"/>
        <v>2811.7520933800001</v>
      </c>
      <c r="I19" s="473">
        <f t="shared" si="23"/>
        <v>3282.8110613200001</v>
      </c>
      <c r="J19" s="473">
        <f t="shared" si="24"/>
        <v>3310.71495534</v>
      </c>
      <c r="K19" s="472">
        <f>ROUND([2]FTES!C26,3)</f>
        <v>4598.7830000000004</v>
      </c>
      <c r="L19" s="472">
        <f>ROUND([2]FTES!L26,3)</f>
        <v>516.5</v>
      </c>
      <c r="M19" s="472">
        <f>ROUND([2]FTES!U26,3)</f>
        <v>59.71</v>
      </c>
      <c r="N19" s="465">
        <f>ROUND([2]FTES!$D26,3)</f>
        <v>4598.7830000000004</v>
      </c>
      <c r="O19" s="465">
        <f>ROUND([2]FTES!$M26,3)</f>
        <v>516.5</v>
      </c>
      <c r="P19" s="465">
        <f>ROUND([2]FTES!$V26,3)</f>
        <v>59.71</v>
      </c>
      <c r="Q19" s="471">
        <f>'[2]FTES Adjustment'!BU26</f>
        <v>0</v>
      </c>
      <c r="R19" s="471">
        <f>'[2]FTES Adjustment'!BV26</f>
        <v>0</v>
      </c>
      <c r="S19" s="471">
        <f>'[2]FTES Adjustment'!BW26</f>
        <v>0</v>
      </c>
      <c r="T19" s="469">
        <f>ROUND('[2]Growth Deficit'!$AG26,3)</f>
        <v>0</v>
      </c>
      <c r="U19" s="469">
        <f>ROUND('[2]Growth Deficit'!$AH26,3)</f>
        <v>0</v>
      </c>
      <c r="V19" s="469">
        <f>ROUND('[2]Growth Deficit'!$AI26,3)</f>
        <v>0</v>
      </c>
      <c r="W19" s="470">
        <f>ROUND([2]FTES!I26,3)</f>
        <v>0</v>
      </c>
      <c r="X19" s="470">
        <f>ROUND([2]FTES!R26,3)</f>
        <v>0</v>
      </c>
      <c r="Y19" s="470">
        <f>ROUND([2]FTES!AA26,3)</f>
        <v>0</v>
      </c>
      <c r="Z19" s="469">
        <f>ROUND([2]FTES!E26,3)</f>
        <v>4812.38</v>
      </c>
      <c r="AA19" s="469">
        <f>ROUND([2]FTES!N26,3)</f>
        <v>480.09</v>
      </c>
      <c r="AB19" s="469">
        <f>ROUND([2]FTES!W26,3)</f>
        <v>27.74</v>
      </c>
      <c r="AC19" s="468">
        <f>'[2]FTES Adjustment'!CW26</f>
        <v>4812.3799950000011</v>
      </c>
      <c r="AD19" s="468">
        <f>'[2]FTES Adjustment'!CX26</f>
        <v>480.09</v>
      </c>
      <c r="AE19" s="468">
        <f>'[2]FTES Adjustment'!CY26</f>
        <v>27.74</v>
      </c>
      <c r="AF19" s="467">
        <f>'[2]FTES Adjustment'!DQ26</f>
        <v>4.999998964194674E-6</v>
      </c>
      <c r="AG19" s="467">
        <f>'[2]FTES Adjustment'!DR26</f>
        <v>0</v>
      </c>
      <c r="AH19" s="467">
        <f>'[2]FTES Adjustment'!DS26</f>
        <v>0</v>
      </c>
      <c r="AI19" s="340">
        <f>'[2]FTES Adjustment'!$DX26</f>
        <v>0</v>
      </c>
      <c r="AJ19" s="340">
        <v>0</v>
      </c>
      <c r="AK19" s="340">
        <v>0</v>
      </c>
      <c r="AL19" s="465">
        <f>'[2]FTES Adjustment'!CG26</f>
        <v>213.59745699999999</v>
      </c>
      <c r="AM19" s="465">
        <f>'[2]FTES Adjustment'!CH26</f>
        <v>-36.409999999999911</v>
      </c>
      <c r="AN19" s="465">
        <f>'[2]FTES Adjustment'!CI26</f>
        <v>-31.970000000000002</v>
      </c>
      <c r="AO19" s="463">
        <f t="shared" si="0"/>
        <v>5174.9930000000004</v>
      </c>
      <c r="AP19" s="463">
        <f t="shared" si="1"/>
        <v>5174.9930000000004</v>
      </c>
      <c r="AQ19" s="463">
        <f t="shared" si="2"/>
        <v>0</v>
      </c>
      <c r="AR19" s="463">
        <f t="shared" si="3"/>
        <v>0</v>
      </c>
      <c r="AS19" s="463">
        <f t="shared" si="4"/>
        <v>0</v>
      </c>
      <c r="AT19" s="463">
        <f t="shared" si="5"/>
        <v>5320.21</v>
      </c>
      <c r="AU19" s="463">
        <f t="shared" si="6"/>
        <v>5320.21</v>
      </c>
      <c r="AV19" s="464">
        <f t="shared" si="7"/>
        <v>0</v>
      </c>
      <c r="AW19" s="464">
        <f t="shared" si="8"/>
        <v>0</v>
      </c>
      <c r="AX19" s="464">
        <f t="shared" si="9"/>
        <v>145.21700000000001</v>
      </c>
      <c r="AY19" s="460">
        <f>'[2]PBF Run'!F26</f>
        <v>3935976</v>
      </c>
      <c r="AZ19" s="460">
        <f t="shared" si="10"/>
        <v>22958269</v>
      </c>
      <c r="BA19" s="460">
        <f>'[2]PBF Run'!J26 + '[2]PBF Run'!$L26</f>
        <v>21322222</v>
      </c>
      <c r="BB19" s="460">
        <f>'[2]PBF Run'!H26</f>
        <v>1440030</v>
      </c>
      <c r="BC19" s="460">
        <f>'[2]PBF Run'!I26</f>
        <v>196017</v>
      </c>
      <c r="BD19" s="462">
        <v>0</v>
      </c>
      <c r="BE19" s="461">
        <f>'[2]Restoration and Growth'!BM26</f>
        <v>0</v>
      </c>
      <c r="BF19" s="460">
        <f t="shared" si="11"/>
        <v>26894245</v>
      </c>
      <c r="BG19" s="333" t="str">
        <f t="shared" si="25"/>
        <v>0.85%</v>
      </c>
      <c r="BH19" s="459">
        <f>'[2]PBF Run'!O26</f>
        <v>228601</v>
      </c>
      <c r="BI19" s="459">
        <f t="shared" si="12"/>
        <v>27122846</v>
      </c>
      <c r="BJ19" s="458">
        <f>'[2]PBF Run'!AC26</f>
        <v>0</v>
      </c>
      <c r="BK19" s="458">
        <f>'[2]PBF Run'!$AD26</f>
        <v>0</v>
      </c>
      <c r="BL19" s="458">
        <f>'[2]PBF Run'!$T26</f>
        <v>0</v>
      </c>
      <c r="BM19" s="458">
        <f>'[2]PBF Run'!$S26</f>
        <v>790541</v>
      </c>
      <c r="BN19" s="458">
        <f>'[2]13-14 $86M Workload Restore'!$P24</f>
        <v>0</v>
      </c>
      <c r="BO19" s="458">
        <f t="shared" si="13"/>
        <v>790541</v>
      </c>
      <c r="BP19" s="478">
        <f>'[2]Restoration and Growth'!AA26</f>
        <v>0</v>
      </c>
      <c r="BQ19" s="478">
        <f>'[2]Restoration and Growth'!AB26</f>
        <v>0</v>
      </c>
      <c r="BR19" s="453">
        <f>'[2]Restoration and Growth'!BT26</f>
        <v>0</v>
      </c>
      <c r="BS19" s="453">
        <f>'[2]Growth Deficit'!$AO26</f>
        <v>0</v>
      </c>
      <c r="BT19" s="453">
        <f>'[2]Growth Deficit'!AO26</f>
        <v>0</v>
      </c>
      <c r="BU19" s="453">
        <f>'[2]Growth Deficit'!AL26</f>
        <v>0</v>
      </c>
      <c r="BV19" s="453">
        <f>'[2]Growth Deficit'!AM26</f>
        <v>0</v>
      </c>
      <c r="BW19" s="453">
        <f>'[2]Growth Deficit'!AN26</f>
        <v>0</v>
      </c>
      <c r="BX19" s="453">
        <f>'[2]Growth Deficit'!AO26</f>
        <v>0</v>
      </c>
      <c r="BY19" s="454">
        <f>'[2]PBF Run'!AA26</f>
        <v>0</v>
      </c>
      <c r="BZ19" s="454">
        <f>'[2]PBF Run'!AB26</f>
        <v>0</v>
      </c>
      <c r="CA19" s="454">
        <f>'[2]PBF Run'!AC26</f>
        <v>0</v>
      </c>
      <c r="CB19" s="454">
        <f t="shared" si="14"/>
        <v>0</v>
      </c>
      <c r="CC19" s="457">
        <f>'[2]PBF Run'!X26</f>
        <v>0</v>
      </c>
      <c r="CD19" s="456">
        <f>'[2]PBF Run'!AE26</f>
        <v>27913387</v>
      </c>
      <c r="CE19" s="337">
        <f t="shared" si="15"/>
        <v>0.98518542375384255</v>
      </c>
      <c r="CF19" s="455">
        <f>'[2]PBF Run'!AM26</f>
        <v>413525</v>
      </c>
      <c r="CG19" s="455">
        <f>'[2]PBF Run'!$AN26</f>
        <v>6262762</v>
      </c>
      <c r="CH19" s="455">
        <f>'[2]PBF Run'!$AO26</f>
        <v>0</v>
      </c>
      <c r="CI19" s="455">
        <f>'[2]PBF Run'!AJ26</f>
        <v>15292757</v>
      </c>
      <c r="CJ19" s="455">
        <f>'[2]PBF Run'!AI26</f>
        <v>1640844</v>
      </c>
      <c r="CK19" s="455">
        <f>'[2]PBF Run'!$AN26</f>
        <v>6262762</v>
      </c>
      <c r="CL19" s="455">
        <f>'[2]PBF Run'!AK26</f>
        <v>4303499</v>
      </c>
      <c r="CM19" s="455">
        <f t="shared" si="16"/>
        <v>27499862</v>
      </c>
      <c r="CN19" s="454">
        <f>'[2]PBF Run'!$AN26</f>
        <v>6262762</v>
      </c>
      <c r="CO19" s="454">
        <f>'[2]PBF Run'!BI26</f>
        <v>0</v>
      </c>
      <c r="CP19" s="339">
        <f>'[2]PBF Run'!BH26</f>
        <v>0</v>
      </c>
      <c r="CQ19" s="454">
        <f t="shared" si="26"/>
        <v>69532</v>
      </c>
      <c r="CR19" s="454">
        <f t="shared" si="17"/>
        <v>6262762</v>
      </c>
      <c r="CS19" s="453">
        <f>'[2]As of 13-14 R1'!BX26</f>
        <v>0</v>
      </c>
      <c r="CT19" s="453">
        <f>'[2]As of 13-14 R1'!BY26</f>
        <v>0</v>
      </c>
      <c r="CU19" s="453">
        <f>'[2]As of 13-14 R1'!BZ26</f>
        <v>0</v>
      </c>
      <c r="CV19" s="453">
        <f t="shared" si="18"/>
        <v>0</v>
      </c>
      <c r="CW19" s="342">
        <f>'[2]Growth Deficit'!$D$2</f>
        <v>0</v>
      </c>
      <c r="CX19" s="343">
        <f>IF($DL19="S",'[2]Foundation Grant'!C26,0)</f>
        <v>0</v>
      </c>
      <c r="CY19" s="343">
        <f>IF($DL19="S",'[2]Foundation Grant'!D26,0)</f>
        <v>0</v>
      </c>
      <c r="CZ19" s="343">
        <f>IF($DL19="S",'[2]Foundation Grant'!E26,0)</f>
        <v>1</v>
      </c>
      <c r="DA19" s="343">
        <f>IF($DL19="S",'[2]Foundation Grant'!F26,0)</f>
        <v>1</v>
      </c>
      <c r="DB19" s="343">
        <f>IF($DL19="M",'[2]Foundation Grant'!C26,0)</f>
        <v>0</v>
      </c>
      <c r="DC19" s="343">
        <f>IF($DL19="M",'[2]Foundation Grant'!D26,0)</f>
        <v>0</v>
      </c>
      <c r="DD19" s="343">
        <f>IF($DL19="M",'[2]Foundation Grant'!E26,0)</f>
        <v>0</v>
      </c>
      <c r="DE19" s="343">
        <f>IF($DL19="M",'[2]Foundation Grant'!F26,0)</f>
        <v>0</v>
      </c>
      <c r="DF19" s="343">
        <f>'[2]Foundation Grant'!G26</f>
        <v>0</v>
      </c>
      <c r="DG19" s="343">
        <f>'[2]Foundation Grant'!H26</f>
        <v>0</v>
      </c>
      <c r="DH19" s="343">
        <f>'[2]Foundation Grant'!I26</f>
        <v>0</v>
      </c>
      <c r="DI19" s="343">
        <f>'[2]Foundation Grant'!J26</f>
        <v>0</v>
      </c>
      <c r="DJ19" s="343">
        <f>'[2]Foundation Grant'!K26</f>
        <v>0</v>
      </c>
      <c r="DK19" s="452">
        <f>'[2]Foundation Grant'!L26</f>
        <v>0</v>
      </c>
      <c r="DL19" s="343" t="str">
        <f>'[2]Foundation Grant'!M26</f>
        <v>S</v>
      </c>
      <c r="DM19" s="343">
        <f>'[2]Foundation Grant'!N26</f>
        <v>3935976</v>
      </c>
      <c r="DN19" s="452">
        <f>'[2]Foundation Grant'!O26</f>
        <v>1</v>
      </c>
      <c r="DO19" s="452">
        <f>'[2]Foundation Grant'!P26</f>
        <v>0</v>
      </c>
      <c r="DP19" s="344">
        <f>'[2]Foundation Grant'!$C$1</f>
        <v>5622823</v>
      </c>
      <c r="DQ19" s="344">
        <f>'[2]Foundation Grant'!$D$1</f>
        <v>4498258</v>
      </c>
      <c r="DR19" s="344">
        <f>'[2]Foundation Grant'!$E$1</f>
        <v>3373694</v>
      </c>
      <c r="DS19" s="344">
        <f>'[2]Foundation Grant'!$C$2</f>
        <v>4498258</v>
      </c>
      <c r="DT19" s="344">
        <f>'[2]Foundation Grant'!$D$2</f>
        <v>3935976</v>
      </c>
      <c r="DU19" s="344">
        <f>'[2]Foundation Grant'!$E$2</f>
        <v>3373694</v>
      </c>
      <c r="DV19" s="344">
        <f>'[2]Foundation Grant'!$G$1</f>
        <v>1124565</v>
      </c>
      <c r="DW19" s="344">
        <f>'[2]Foundation Grant'!$H$1</f>
        <v>843423</v>
      </c>
      <c r="DX19" s="344">
        <f>'[2]Foundation Grant'!$I$1</f>
        <v>562282</v>
      </c>
      <c r="DY19" s="344">
        <f>'[2]Foundation Grant'!$J$1</f>
        <v>281141</v>
      </c>
      <c r="DZ19" s="344">
        <f>'[2]Foundation Grant'!$K$1</f>
        <v>140571</v>
      </c>
      <c r="EA19" s="344">
        <f>'[2]Foundation Grant'!$O$1</f>
        <v>562282</v>
      </c>
      <c r="EB19" s="344">
        <f>'[2]Foundation Grant'!$P$1</f>
        <v>1124565</v>
      </c>
      <c r="EC19" s="345">
        <f>'[2]basic allocation'!$C$10</f>
        <v>18749</v>
      </c>
      <c r="ED19" s="345">
        <f>'[2]basic allocation'!$D$10</f>
        <v>9375</v>
      </c>
      <c r="EE19" s="345">
        <f>'[2]basic allocation'!$E$10</f>
        <v>9375</v>
      </c>
      <c r="EF19" s="345">
        <f>'[2]basic allocation'!$I$10</f>
        <v>938</v>
      </c>
      <c r="EG19" s="345">
        <f>'[2]basic allocation'!$J$10</f>
        <v>703</v>
      </c>
      <c r="EH19" s="345">
        <f>'[2]basic allocation'!$K$10</f>
        <v>469</v>
      </c>
      <c r="EI19" s="345">
        <f>'[2]basic allocation'!$L$10</f>
        <v>234</v>
      </c>
      <c r="EJ19" s="345">
        <f>'[2]basic allocation'!$M$10</f>
        <v>100</v>
      </c>
      <c r="EK19" s="345">
        <f>'[2]PBF Run'!$AT26</f>
        <v>0</v>
      </c>
      <c r="EM19" s="477"/>
    </row>
    <row r="20" spans="1:143">
      <c r="A20" s="476" t="s">
        <v>605</v>
      </c>
      <c r="B20" s="475" t="str">
        <f t="shared" si="19"/>
        <v>P1</v>
      </c>
      <c r="C20" s="346" t="s">
        <v>365</v>
      </c>
      <c r="D20" s="450" t="s">
        <v>364</v>
      </c>
      <c r="E20" s="449">
        <f>ROUND('[2]PBF Run'!N27,6)</f>
        <v>4636.4928300000001</v>
      </c>
      <c r="F20" s="340">
        <f t="shared" si="20"/>
        <v>4636.49</v>
      </c>
      <c r="G20" s="474">
        <f t="shared" si="21"/>
        <v>2788.0536374600001</v>
      </c>
      <c r="H20" s="473">
        <f t="shared" si="22"/>
        <v>2811.7520933800001</v>
      </c>
      <c r="I20" s="473">
        <f t="shared" si="23"/>
        <v>3282.8110613200001</v>
      </c>
      <c r="J20" s="473">
        <f t="shared" si="24"/>
        <v>3310.71495534</v>
      </c>
      <c r="K20" s="472">
        <f>ROUND([2]FTES!C27,3)</f>
        <v>12507.87</v>
      </c>
      <c r="L20" s="472">
        <f>ROUND([2]FTES!L27,3)</f>
        <v>361.36</v>
      </c>
      <c r="M20" s="472">
        <f>ROUND([2]FTES!U27,3)</f>
        <v>2422.29</v>
      </c>
      <c r="N20" s="465">
        <f>ROUND([2]FTES!$D27,3)</f>
        <v>12507.87</v>
      </c>
      <c r="O20" s="465">
        <f>ROUND([2]FTES!$M27,3)</f>
        <v>361.36</v>
      </c>
      <c r="P20" s="465">
        <f>ROUND([2]FTES!$V27,3)</f>
        <v>2422.29</v>
      </c>
      <c r="Q20" s="471">
        <f>'[2]FTES Adjustment'!BU27</f>
        <v>0</v>
      </c>
      <c r="R20" s="471">
        <f>'[2]FTES Adjustment'!BV27</f>
        <v>0</v>
      </c>
      <c r="S20" s="471">
        <f>'[2]FTES Adjustment'!BW27</f>
        <v>0</v>
      </c>
      <c r="T20" s="469">
        <f>ROUND('[2]Growth Deficit'!$AG27,3)</f>
        <v>0</v>
      </c>
      <c r="U20" s="469">
        <f>ROUND('[2]Growth Deficit'!$AH27,3)</f>
        <v>0</v>
      </c>
      <c r="V20" s="469">
        <f>ROUND('[2]Growth Deficit'!$AI27,3)</f>
        <v>0</v>
      </c>
      <c r="W20" s="470">
        <f>ROUND([2]FTES!I27,3)</f>
        <v>-589.47</v>
      </c>
      <c r="X20" s="470">
        <f>ROUND([2]FTES!R27,3)</f>
        <v>-173.39</v>
      </c>
      <c r="Y20" s="470">
        <f>ROUND([2]FTES!AA27,3)</f>
        <v>259.3</v>
      </c>
      <c r="Z20" s="469">
        <f>ROUND([2]FTES!E27,3)</f>
        <v>11918.4</v>
      </c>
      <c r="AA20" s="469">
        <f>ROUND([2]FTES!N27,3)</f>
        <v>187.97</v>
      </c>
      <c r="AB20" s="469">
        <f>ROUND([2]FTES!W27,3)</f>
        <v>2681.59</v>
      </c>
      <c r="AC20" s="468">
        <f>'[2]FTES Adjustment'!CW27</f>
        <v>11918.4</v>
      </c>
      <c r="AD20" s="468">
        <f>'[2]FTES Adjustment'!CX27</f>
        <v>187.9700000000002</v>
      </c>
      <c r="AE20" s="468">
        <f>'[2]FTES Adjustment'!CY27</f>
        <v>2681.59</v>
      </c>
      <c r="AF20" s="467">
        <f>'[2]FTES Adjustment'!DQ27</f>
        <v>0</v>
      </c>
      <c r="AG20" s="467">
        <f>'[2]FTES Adjustment'!DR27</f>
        <v>-3.979039320256561E-13</v>
      </c>
      <c r="AH20" s="467">
        <f>'[2]FTES Adjustment'!DS27</f>
        <v>0</v>
      </c>
      <c r="AI20" s="340">
        <f>'[2]FTES Adjustment'!$DX27</f>
        <v>0</v>
      </c>
      <c r="AJ20" s="340">
        <v>0</v>
      </c>
      <c r="AK20" s="340">
        <v>0</v>
      </c>
      <c r="AL20" s="465">
        <f>'[2]FTES Adjustment'!CG27</f>
        <v>0</v>
      </c>
      <c r="AM20" s="465">
        <f>'[2]FTES Adjustment'!CH27</f>
        <v>0</v>
      </c>
      <c r="AN20" s="465">
        <f>'[2]FTES Adjustment'!CI27</f>
        <v>0</v>
      </c>
      <c r="AO20" s="463">
        <f t="shared" si="0"/>
        <v>15291.52</v>
      </c>
      <c r="AP20" s="463">
        <f t="shared" si="1"/>
        <v>15291.52</v>
      </c>
      <c r="AQ20" s="463">
        <f t="shared" si="2"/>
        <v>0</v>
      </c>
      <c r="AR20" s="463">
        <f t="shared" si="3"/>
        <v>0</v>
      </c>
      <c r="AS20" s="463">
        <f t="shared" si="4"/>
        <v>-503.56</v>
      </c>
      <c r="AT20" s="463">
        <f t="shared" si="5"/>
        <v>14787.96</v>
      </c>
      <c r="AU20" s="463">
        <f t="shared" si="6"/>
        <v>14787.96</v>
      </c>
      <c r="AV20" s="464">
        <f t="shared" si="7"/>
        <v>0</v>
      </c>
      <c r="AW20" s="464">
        <f t="shared" si="8"/>
        <v>0</v>
      </c>
      <c r="AX20" s="464">
        <f t="shared" si="9"/>
        <v>0</v>
      </c>
      <c r="AY20" s="460">
        <f>'[2]PBF Run'!F27</f>
        <v>5622823</v>
      </c>
      <c r="AZ20" s="460">
        <f t="shared" si="10"/>
        <v>66952061</v>
      </c>
      <c r="BA20" s="460">
        <f>'[2]PBF Run'!J27 + '[2]PBF Run'!$L27</f>
        <v>57992650</v>
      </c>
      <c r="BB20" s="460">
        <f>'[2]PBF Run'!H27</f>
        <v>1007491</v>
      </c>
      <c r="BC20" s="460">
        <f>'[2]PBF Run'!I27</f>
        <v>7951920</v>
      </c>
      <c r="BD20" s="462">
        <v>0</v>
      </c>
      <c r="BE20" s="461">
        <f>'[2]Restoration and Growth'!BM27</f>
        <v>-2365262.2706990582</v>
      </c>
      <c r="BF20" s="460">
        <f t="shared" si="11"/>
        <v>70209621.729300946</v>
      </c>
      <c r="BG20" s="333" t="str">
        <f t="shared" si="25"/>
        <v>0.85%</v>
      </c>
      <c r="BH20" s="459">
        <f>'[2]PBF Run'!O27</f>
        <v>596782</v>
      </c>
      <c r="BI20" s="459">
        <f t="shared" si="12"/>
        <v>70806403.729300946</v>
      </c>
      <c r="BJ20" s="458">
        <f>'[2]PBF Run'!AC27</f>
        <v>0</v>
      </c>
      <c r="BK20" s="458">
        <f>'[2]PBF Run'!$AD27</f>
        <v>0</v>
      </c>
      <c r="BL20" s="458">
        <f>'[2]PBF Run'!$T27</f>
        <v>0</v>
      </c>
      <c r="BM20" s="458">
        <f>'[2]PBF Run'!$S27</f>
        <v>0</v>
      </c>
      <c r="BN20" s="458">
        <f>'[2]13-14 $86M Workload Restore'!$P25</f>
        <v>0</v>
      </c>
      <c r="BO20" s="458">
        <f t="shared" si="13"/>
        <v>0</v>
      </c>
      <c r="BP20" s="478">
        <f>'[2]Restoration and Growth'!AA27</f>
        <v>0</v>
      </c>
      <c r="BQ20" s="478">
        <f>'[2]Restoration and Growth'!AB27</f>
        <v>0</v>
      </c>
      <c r="BR20" s="453">
        <f>'[2]Restoration and Growth'!BT27</f>
        <v>0</v>
      </c>
      <c r="BS20" s="453">
        <f>'[2]Growth Deficit'!$AO27</f>
        <v>0</v>
      </c>
      <c r="BT20" s="453">
        <f>'[2]Growth Deficit'!AO27</f>
        <v>0</v>
      </c>
      <c r="BU20" s="453">
        <f>'[2]Growth Deficit'!AL27</f>
        <v>0</v>
      </c>
      <c r="BV20" s="453">
        <f>'[2]Growth Deficit'!AM27</f>
        <v>0</v>
      </c>
      <c r="BW20" s="453">
        <f>'[2]Growth Deficit'!AN27</f>
        <v>0</v>
      </c>
      <c r="BX20" s="453">
        <f>'[2]Growth Deficit'!AO27</f>
        <v>0</v>
      </c>
      <c r="BY20" s="454">
        <f>'[2]PBF Run'!AA27</f>
        <v>0</v>
      </c>
      <c r="BZ20" s="454">
        <f>'[2]PBF Run'!AB27</f>
        <v>0</v>
      </c>
      <c r="CA20" s="454">
        <f>'[2]PBF Run'!AC27</f>
        <v>0</v>
      </c>
      <c r="CB20" s="454">
        <f t="shared" si="14"/>
        <v>0</v>
      </c>
      <c r="CC20" s="457">
        <f>'[2]PBF Run'!X27</f>
        <v>2385367</v>
      </c>
      <c r="CD20" s="456">
        <f>'[2]PBF Run'!AE27</f>
        <v>73191771</v>
      </c>
      <c r="CE20" s="337">
        <f t="shared" si="15"/>
        <v>0.98518542473852699</v>
      </c>
      <c r="CF20" s="455">
        <f>'[2]PBF Run'!AM27</f>
        <v>1084305</v>
      </c>
      <c r="CG20" s="455">
        <f>'[2]PBF Run'!$AN27</f>
        <v>46114049</v>
      </c>
      <c r="CH20" s="455">
        <f>'[2]PBF Run'!$AO27</f>
        <v>0</v>
      </c>
      <c r="CI20" s="455">
        <f>'[2]PBF Run'!AJ27</f>
        <v>10371640</v>
      </c>
      <c r="CJ20" s="455">
        <f>'[2]PBF Run'!AI27</f>
        <v>4344435</v>
      </c>
      <c r="CK20" s="455">
        <f>'[2]PBF Run'!$AN27</f>
        <v>46114049</v>
      </c>
      <c r="CL20" s="455">
        <f>'[2]PBF Run'!AK27</f>
        <v>11277342</v>
      </c>
      <c r="CM20" s="455">
        <f t="shared" si="16"/>
        <v>72107466</v>
      </c>
      <c r="CN20" s="454">
        <f>'[2]PBF Run'!$AN27</f>
        <v>46114049</v>
      </c>
      <c r="CO20" s="454">
        <f>'[2]PBF Run'!BI27</f>
        <v>0</v>
      </c>
      <c r="CP20" s="339">
        <f>'[2]PBF Run'!BH27</f>
        <v>0</v>
      </c>
      <c r="CQ20" s="454">
        <f t="shared" si="26"/>
        <v>69532</v>
      </c>
      <c r="CR20" s="454">
        <f t="shared" si="17"/>
        <v>46114049</v>
      </c>
      <c r="CS20" s="453">
        <f>'[2]As of 13-14 R1'!BX27</f>
        <v>0</v>
      </c>
      <c r="CT20" s="453">
        <f>'[2]As of 13-14 R1'!BY27</f>
        <v>0</v>
      </c>
      <c r="CU20" s="453">
        <f>'[2]As of 13-14 R1'!BZ27</f>
        <v>0</v>
      </c>
      <c r="CV20" s="453">
        <f t="shared" si="18"/>
        <v>0</v>
      </c>
      <c r="CW20" s="342">
        <f>'[2]Growth Deficit'!$D$2</f>
        <v>0</v>
      </c>
      <c r="CX20" s="343">
        <f>IF($DL20="S",'[2]Foundation Grant'!C27,0)</f>
        <v>0</v>
      </c>
      <c r="CY20" s="343">
        <f>IF($DL20="S",'[2]Foundation Grant'!D27,0)</f>
        <v>1</v>
      </c>
      <c r="CZ20" s="343">
        <f>IF($DL20="S",'[2]Foundation Grant'!E27,0)</f>
        <v>0</v>
      </c>
      <c r="DA20" s="343">
        <f>IF($DL20="S",'[2]Foundation Grant'!F27,0)</f>
        <v>1</v>
      </c>
      <c r="DB20" s="343">
        <f>IF($DL20="M",'[2]Foundation Grant'!C27,0)</f>
        <v>0</v>
      </c>
      <c r="DC20" s="343">
        <f>IF($DL20="M",'[2]Foundation Grant'!D27,0)</f>
        <v>0</v>
      </c>
      <c r="DD20" s="343">
        <f>IF($DL20="M",'[2]Foundation Grant'!E27,0)</f>
        <v>0</v>
      </c>
      <c r="DE20" s="343">
        <f>IF($DL20="M",'[2]Foundation Grant'!F27,0)</f>
        <v>0</v>
      </c>
      <c r="DF20" s="343">
        <f>'[2]Foundation Grant'!G27</f>
        <v>1</v>
      </c>
      <c r="DG20" s="343">
        <f>'[2]Foundation Grant'!H27</f>
        <v>0</v>
      </c>
      <c r="DH20" s="343">
        <f>'[2]Foundation Grant'!I27</f>
        <v>0</v>
      </c>
      <c r="DI20" s="343">
        <f>'[2]Foundation Grant'!J27</f>
        <v>0</v>
      </c>
      <c r="DJ20" s="343">
        <f>'[2]Foundation Grant'!K27</f>
        <v>0</v>
      </c>
      <c r="DK20" s="452">
        <f>'[2]Foundation Grant'!L27</f>
        <v>1</v>
      </c>
      <c r="DL20" s="343" t="str">
        <f>'[2]Foundation Grant'!M27</f>
        <v>S</v>
      </c>
      <c r="DM20" s="343">
        <f>'[2]Foundation Grant'!N27</f>
        <v>5622823</v>
      </c>
      <c r="DN20" s="452">
        <f>'[2]Foundation Grant'!O27</f>
        <v>0</v>
      </c>
      <c r="DO20" s="452">
        <f>'[2]Foundation Grant'!P27</f>
        <v>0</v>
      </c>
      <c r="DP20" s="344">
        <f>'[2]Foundation Grant'!$C$1</f>
        <v>5622823</v>
      </c>
      <c r="DQ20" s="344">
        <f>'[2]Foundation Grant'!$D$1</f>
        <v>4498258</v>
      </c>
      <c r="DR20" s="344">
        <f>'[2]Foundation Grant'!$E$1</f>
        <v>3373694</v>
      </c>
      <c r="DS20" s="344">
        <f>'[2]Foundation Grant'!$C$2</f>
        <v>4498258</v>
      </c>
      <c r="DT20" s="344">
        <f>'[2]Foundation Grant'!$D$2</f>
        <v>3935976</v>
      </c>
      <c r="DU20" s="344">
        <f>'[2]Foundation Grant'!$E$2</f>
        <v>3373694</v>
      </c>
      <c r="DV20" s="344">
        <f>'[2]Foundation Grant'!$G$1</f>
        <v>1124565</v>
      </c>
      <c r="DW20" s="344">
        <f>'[2]Foundation Grant'!$H$1</f>
        <v>843423</v>
      </c>
      <c r="DX20" s="344">
        <f>'[2]Foundation Grant'!$I$1</f>
        <v>562282</v>
      </c>
      <c r="DY20" s="344">
        <f>'[2]Foundation Grant'!$J$1</f>
        <v>281141</v>
      </c>
      <c r="DZ20" s="344">
        <f>'[2]Foundation Grant'!$K$1</f>
        <v>140571</v>
      </c>
      <c r="EA20" s="344">
        <f>'[2]Foundation Grant'!$O$1</f>
        <v>562282</v>
      </c>
      <c r="EB20" s="344">
        <f>'[2]Foundation Grant'!$P$1</f>
        <v>1124565</v>
      </c>
      <c r="EC20" s="345">
        <f>'[2]basic allocation'!$C$10</f>
        <v>18749</v>
      </c>
      <c r="ED20" s="345">
        <f>'[2]basic allocation'!$D$10</f>
        <v>9375</v>
      </c>
      <c r="EE20" s="345">
        <f>'[2]basic allocation'!$E$10</f>
        <v>9375</v>
      </c>
      <c r="EF20" s="345">
        <f>'[2]basic allocation'!$I$10</f>
        <v>938</v>
      </c>
      <c r="EG20" s="345">
        <f>'[2]basic allocation'!$J$10</f>
        <v>703</v>
      </c>
      <c r="EH20" s="345">
        <f>'[2]basic allocation'!$K$10</f>
        <v>469</v>
      </c>
      <c r="EI20" s="345">
        <f>'[2]basic allocation'!$L$10</f>
        <v>234</v>
      </c>
      <c r="EJ20" s="345">
        <f>'[2]basic allocation'!$M$10</f>
        <v>100</v>
      </c>
      <c r="EK20" s="345">
        <f>'[2]PBF Run'!$AT27</f>
        <v>0</v>
      </c>
      <c r="EM20" s="477"/>
    </row>
    <row r="21" spans="1:143">
      <c r="A21" s="476" t="s">
        <v>605</v>
      </c>
      <c r="B21" s="475" t="str">
        <f t="shared" si="19"/>
        <v>P1</v>
      </c>
      <c r="C21" s="346" t="s">
        <v>363</v>
      </c>
      <c r="D21" s="450" t="s">
        <v>362</v>
      </c>
      <c r="E21" s="449">
        <f>ROUND('[2]PBF Run'!N28,6)</f>
        <v>4636.492835</v>
      </c>
      <c r="F21" s="340">
        <f t="shared" si="20"/>
        <v>4636.49</v>
      </c>
      <c r="G21" s="474">
        <f t="shared" si="21"/>
        <v>2788.0536374600001</v>
      </c>
      <c r="H21" s="473">
        <f t="shared" si="22"/>
        <v>2811.7520933800001</v>
      </c>
      <c r="I21" s="473">
        <f t="shared" si="23"/>
        <v>3282.8110613200001</v>
      </c>
      <c r="J21" s="473">
        <f t="shared" si="24"/>
        <v>3310.71495534</v>
      </c>
      <c r="K21" s="472">
        <f>ROUND([2]FTES!C28,3)</f>
        <v>17364.116999999998</v>
      </c>
      <c r="L21" s="472">
        <f>ROUND([2]FTES!L28,3)</f>
        <v>109.51</v>
      </c>
      <c r="M21" s="472">
        <f>ROUND([2]FTES!U28,3)</f>
        <v>0</v>
      </c>
      <c r="N21" s="465">
        <f>ROUND([2]FTES!$D28,3)</f>
        <v>17364.116999999998</v>
      </c>
      <c r="O21" s="465">
        <f>ROUND([2]FTES!$M28,3)</f>
        <v>109.51</v>
      </c>
      <c r="P21" s="465">
        <f>ROUND([2]FTES!$V28,3)</f>
        <v>0</v>
      </c>
      <c r="Q21" s="471">
        <f>'[2]FTES Adjustment'!BU28</f>
        <v>0</v>
      </c>
      <c r="R21" s="471">
        <f>'[2]FTES Adjustment'!BV28</f>
        <v>0</v>
      </c>
      <c r="S21" s="471">
        <f>'[2]FTES Adjustment'!BW28</f>
        <v>0</v>
      </c>
      <c r="T21" s="469">
        <f>ROUND('[2]Growth Deficit'!$AG28,3)</f>
        <v>0</v>
      </c>
      <c r="U21" s="469">
        <f>ROUND('[2]Growth Deficit'!$AH28,3)</f>
        <v>0</v>
      </c>
      <c r="V21" s="469">
        <f>ROUND('[2]Growth Deficit'!$AI28,3)</f>
        <v>0</v>
      </c>
      <c r="W21" s="470">
        <f>ROUND([2]FTES!I28,3)</f>
        <v>0</v>
      </c>
      <c r="X21" s="470">
        <f>ROUND([2]FTES!R28,3)</f>
        <v>0</v>
      </c>
      <c r="Y21" s="470">
        <f>ROUND([2]FTES!AA28,3)</f>
        <v>0</v>
      </c>
      <c r="Z21" s="469">
        <f>ROUND([2]FTES!E28,3)</f>
        <v>18109.52</v>
      </c>
      <c r="AA21" s="469">
        <f>ROUND([2]FTES!N28,3)</f>
        <v>83.02</v>
      </c>
      <c r="AB21" s="469">
        <f>ROUND([2]FTES!W28,3)</f>
        <v>0</v>
      </c>
      <c r="AC21" s="468">
        <f>'[2]FTES Adjustment'!CW28</f>
        <v>18109.519956000004</v>
      </c>
      <c r="AD21" s="468">
        <f>'[2]FTES Adjustment'!CX28</f>
        <v>83.02</v>
      </c>
      <c r="AE21" s="468">
        <f>'[2]FTES Adjustment'!CY28</f>
        <v>0</v>
      </c>
      <c r="AF21" s="467">
        <f>'[2]FTES Adjustment'!DQ28</f>
        <v>4.3999996705679223E-5</v>
      </c>
      <c r="AG21" s="467">
        <f>'[2]FTES Adjustment'!DR28</f>
        <v>0</v>
      </c>
      <c r="AH21" s="467">
        <f>'[2]FTES Adjustment'!DS28</f>
        <v>0</v>
      </c>
      <c r="AI21" s="340">
        <f>'[2]FTES Adjustment'!$DX28</f>
        <v>0</v>
      </c>
      <c r="AJ21" s="340">
        <v>0</v>
      </c>
      <c r="AK21" s="340">
        <v>0</v>
      </c>
      <c r="AL21" s="465">
        <f>'[2]FTES Adjustment'!CG28</f>
        <v>745.40296699999999</v>
      </c>
      <c r="AM21" s="465">
        <f>'[2]FTES Adjustment'!CH28</f>
        <v>-26.490000000000009</v>
      </c>
      <c r="AN21" s="465">
        <f>'[2]FTES Adjustment'!CI28</f>
        <v>0</v>
      </c>
      <c r="AO21" s="463">
        <f t="shared" si="0"/>
        <v>17473.627</v>
      </c>
      <c r="AP21" s="463">
        <f t="shared" si="1"/>
        <v>17473.627</v>
      </c>
      <c r="AQ21" s="463">
        <f t="shared" si="2"/>
        <v>0</v>
      </c>
      <c r="AR21" s="463">
        <f t="shared" si="3"/>
        <v>0</v>
      </c>
      <c r="AS21" s="463">
        <f t="shared" si="4"/>
        <v>0</v>
      </c>
      <c r="AT21" s="463">
        <f t="shared" si="5"/>
        <v>18192.54</v>
      </c>
      <c r="AU21" s="463">
        <f t="shared" si="6"/>
        <v>18192.54</v>
      </c>
      <c r="AV21" s="464">
        <f t="shared" si="7"/>
        <v>0</v>
      </c>
      <c r="AW21" s="464">
        <f t="shared" si="8"/>
        <v>0</v>
      </c>
      <c r="AX21" s="464">
        <f t="shared" si="9"/>
        <v>718.91300000000001</v>
      </c>
      <c r="AY21" s="460">
        <f>'[2]PBF Run'!F28</f>
        <v>7309670</v>
      </c>
      <c r="AZ21" s="460">
        <f t="shared" si="10"/>
        <v>80813924</v>
      </c>
      <c r="BA21" s="460">
        <f>'[2]PBF Run'!J28 + '[2]PBF Run'!$L28</f>
        <v>80508604</v>
      </c>
      <c r="BB21" s="460">
        <f>'[2]PBF Run'!H28</f>
        <v>305320</v>
      </c>
      <c r="BC21" s="460">
        <f>'[2]PBF Run'!I28</f>
        <v>0</v>
      </c>
      <c r="BD21" s="462">
        <v>0</v>
      </c>
      <c r="BE21" s="461">
        <f>'[2]Restoration and Growth'!BM28</f>
        <v>0</v>
      </c>
      <c r="BF21" s="460">
        <f t="shared" si="11"/>
        <v>88123594</v>
      </c>
      <c r="BG21" s="333" t="str">
        <f t="shared" si="25"/>
        <v>0.85%</v>
      </c>
      <c r="BH21" s="459">
        <f>'[2]PBF Run'!O28</f>
        <v>749051</v>
      </c>
      <c r="BI21" s="459">
        <f t="shared" si="12"/>
        <v>88872645</v>
      </c>
      <c r="BJ21" s="458">
        <f>'[2]PBF Run'!AC28</f>
        <v>0</v>
      </c>
      <c r="BK21" s="458">
        <f>'[2]PBF Run'!$AD28</f>
        <v>0</v>
      </c>
      <c r="BL21" s="458">
        <f>'[2]PBF Run'!$T28</f>
        <v>0</v>
      </c>
      <c r="BM21" s="458">
        <f>'[2]PBF Run'!$S28</f>
        <v>3410949</v>
      </c>
      <c r="BN21" s="458">
        <f>'[2]13-14 $86M Workload Restore'!$P26</f>
        <v>0</v>
      </c>
      <c r="BO21" s="458">
        <f t="shared" si="13"/>
        <v>3410949</v>
      </c>
      <c r="BP21" s="478">
        <f>'[2]Restoration and Growth'!AA28</f>
        <v>0</v>
      </c>
      <c r="BQ21" s="478">
        <f>'[2]Restoration and Growth'!AB28</f>
        <v>0</v>
      </c>
      <c r="BR21" s="453">
        <f>'[2]Restoration and Growth'!BT28</f>
        <v>0</v>
      </c>
      <c r="BS21" s="453">
        <f>'[2]Growth Deficit'!$AO28</f>
        <v>0</v>
      </c>
      <c r="BT21" s="453">
        <f>'[2]Growth Deficit'!AO28</f>
        <v>0</v>
      </c>
      <c r="BU21" s="453">
        <f>'[2]Growth Deficit'!AL28</f>
        <v>0</v>
      </c>
      <c r="BV21" s="453">
        <f>'[2]Growth Deficit'!AM28</f>
        <v>0</v>
      </c>
      <c r="BW21" s="453">
        <f>'[2]Growth Deficit'!AN28</f>
        <v>0</v>
      </c>
      <c r="BX21" s="453">
        <f>'[2]Growth Deficit'!AO28</f>
        <v>0</v>
      </c>
      <c r="BY21" s="454">
        <f>'[2]PBF Run'!AA28</f>
        <v>0</v>
      </c>
      <c r="BZ21" s="454">
        <f>'[2]PBF Run'!AB28</f>
        <v>0</v>
      </c>
      <c r="CA21" s="454">
        <f>'[2]PBF Run'!AC28</f>
        <v>0</v>
      </c>
      <c r="CB21" s="454">
        <f t="shared" si="14"/>
        <v>0</v>
      </c>
      <c r="CC21" s="457">
        <f>'[2]PBF Run'!X28</f>
        <v>0</v>
      </c>
      <c r="CD21" s="456">
        <f>'[2]PBF Run'!AE28</f>
        <v>92283594</v>
      </c>
      <c r="CE21" s="337">
        <f t="shared" si="15"/>
        <v>0.98518541659745074</v>
      </c>
      <c r="CF21" s="455">
        <f>'[2]PBF Run'!AM28</f>
        <v>1367143</v>
      </c>
      <c r="CG21" s="455">
        <f>'[2]PBF Run'!$AN28</f>
        <v>37837343</v>
      </c>
      <c r="CH21" s="455">
        <f>'[2]PBF Run'!$AO28</f>
        <v>0</v>
      </c>
      <c r="CI21" s="455">
        <f>'[2]PBF Run'!AJ28</f>
        <v>31683825</v>
      </c>
      <c r="CJ21" s="455">
        <f>'[2]PBF Run'!AI28</f>
        <v>7509026</v>
      </c>
      <c r="CK21" s="455">
        <f>'[2]PBF Run'!$AN28</f>
        <v>37837343</v>
      </c>
      <c r="CL21" s="455">
        <f>'[2]PBF Run'!AK28</f>
        <v>13886257</v>
      </c>
      <c r="CM21" s="455">
        <f t="shared" si="16"/>
        <v>90916451</v>
      </c>
      <c r="CN21" s="454">
        <f>'[2]PBF Run'!$AN28</f>
        <v>37837343</v>
      </c>
      <c r="CO21" s="454">
        <f>'[2]PBF Run'!BI28</f>
        <v>0</v>
      </c>
      <c r="CP21" s="339">
        <f>'[2]PBF Run'!BH28</f>
        <v>0</v>
      </c>
      <c r="CQ21" s="454">
        <f t="shared" si="26"/>
        <v>69532</v>
      </c>
      <c r="CR21" s="454">
        <f t="shared" si="17"/>
        <v>37837343</v>
      </c>
      <c r="CS21" s="453">
        <f>'[2]As of 13-14 R1'!BX28</f>
        <v>0</v>
      </c>
      <c r="CT21" s="453">
        <f>'[2]As of 13-14 R1'!BY28</f>
        <v>0</v>
      </c>
      <c r="CU21" s="453">
        <f>'[2]As of 13-14 R1'!BZ28</f>
        <v>0</v>
      </c>
      <c r="CV21" s="453">
        <f t="shared" si="18"/>
        <v>0</v>
      </c>
      <c r="CW21" s="342">
        <f>'[2]Growth Deficit'!$D$2</f>
        <v>0</v>
      </c>
      <c r="CX21" s="343">
        <f>IF($DL21="S",'[2]Foundation Grant'!C28,0)</f>
        <v>0</v>
      </c>
      <c r="CY21" s="343">
        <f>IF($DL21="S",'[2]Foundation Grant'!D28,0)</f>
        <v>0</v>
      </c>
      <c r="CZ21" s="343">
        <f>IF($DL21="S",'[2]Foundation Grant'!E28,0)</f>
        <v>0</v>
      </c>
      <c r="DA21" s="343">
        <f>IF($DL21="S",'[2]Foundation Grant'!F28,0)</f>
        <v>0</v>
      </c>
      <c r="DB21" s="343">
        <f>IF($DL21="M",'[2]Foundation Grant'!C28,0)</f>
        <v>0</v>
      </c>
      <c r="DC21" s="343">
        <f>IF($DL21="M",'[2]Foundation Grant'!D28,0)</f>
        <v>1</v>
      </c>
      <c r="DD21" s="343">
        <f>IF($DL21="M",'[2]Foundation Grant'!E28,0)</f>
        <v>1</v>
      </c>
      <c r="DE21" s="343">
        <f>IF($DL21="M",'[2]Foundation Grant'!F28,0)</f>
        <v>2</v>
      </c>
      <c r="DF21" s="343">
        <f>'[2]Foundation Grant'!G28</f>
        <v>0</v>
      </c>
      <c r="DG21" s="343">
        <f>'[2]Foundation Grant'!H28</f>
        <v>0</v>
      </c>
      <c r="DH21" s="343">
        <f>'[2]Foundation Grant'!I28</f>
        <v>0</v>
      </c>
      <c r="DI21" s="343">
        <f>'[2]Foundation Grant'!J28</f>
        <v>0</v>
      </c>
      <c r="DJ21" s="343">
        <f>'[2]Foundation Grant'!K28</f>
        <v>0</v>
      </c>
      <c r="DK21" s="452">
        <f>'[2]Foundation Grant'!L28</f>
        <v>0</v>
      </c>
      <c r="DL21" s="343" t="str">
        <f>'[2]Foundation Grant'!M28</f>
        <v>M</v>
      </c>
      <c r="DM21" s="343">
        <f>'[2]Foundation Grant'!N28</f>
        <v>7309670</v>
      </c>
      <c r="DN21" s="452">
        <f>'[2]Foundation Grant'!O28</f>
        <v>0</v>
      </c>
      <c r="DO21" s="452">
        <f>'[2]Foundation Grant'!P28</f>
        <v>0</v>
      </c>
      <c r="DP21" s="344">
        <f>'[2]Foundation Grant'!$C$1</f>
        <v>5622823</v>
      </c>
      <c r="DQ21" s="344">
        <f>'[2]Foundation Grant'!$D$1</f>
        <v>4498258</v>
      </c>
      <c r="DR21" s="344">
        <f>'[2]Foundation Grant'!$E$1</f>
        <v>3373694</v>
      </c>
      <c r="DS21" s="344">
        <f>'[2]Foundation Grant'!$C$2</f>
        <v>4498258</v>
      </c>
      <c r="DT21" s="344">
        <f>'[2]Foundation Grant'!$D$2</f>
        <v>3935976</v>
      </c>
      <c r="DU21" s="344">
        <f>'[2]Foundation Grant'!$E$2</f>
        <v>3373694</v>
      </c>
      <c r="DV21" s="344">
        <f>'[2]Foundation Grant'!$G$1</f>
        <v>1124565</v>
      </c>
      <c r="DW21" s="344">
        <f>'[2]Foundation Grant'!$H$1</f>
        <v>843423</v>
      </c>
      <c r="DX21" s="344">
        <f>'[2]Foundation Grant'!$I$1</f>
        <v>562282</v>
      </c>
      <c r="DY21" s="344">
        <f>'[2]Foundation Grant'!$J$1</f>
        <v>281141</v>
      </c>
      <c r="DZ21" s="344">
        <f>'[2]Foundation Grant'!$K$1</f>
        <v>140571</v>
      </c>
      <c r="EA21" s="344">
        <f>'[2]Foundation Grant'!$O$1</f>
        <v>562282</v>
      </c>
      <c r="EB21" s="344">
        <f>'[2]Foundation Grant'!$P$1</f>
        <v>1124565</v>
      </c>
      <c r="EC21" s="345">
        <f>'[2]basic allocation'!$C$10</f>
        <v>18749</v>
      </c>
      <c r="ED21" s="345">
        <f>'[2]basic allocation'!$D$10</f>
        <v>9375</v>
      </c>
      <c r="EE21" s="345">
        <f>'[2]basic allocation'!$E$10</f>
        <v>9375</v>
      </c>
      <c r="EF21" s="345">
        <f>'[2]basic allocation'!$I$10</f>
        <v>938</v>
      </c>
      <c r="EG21" s="345">
        <f>'[2]basic allocation'!$J$10</f>
        <v>703</v>
      </c>
      <c r="EH21" s="345">
        <f>'[2]basic allocation'!$K$10</f>
        <v>469</v>
      </c>
      <c r="EI21" s="345">
        <f>'[2]basic allocation'!$L$10</f>
        <v>234</v>
      </c>
      <c r="EJ21" s="345">
        <f>'[2]basic allocation'!$M$10</f>
        <v>100</v>
      </c>
      <c r="EK21" s="345">
        <f>'[2]PBF Run'!$AT28</f>
        <v>0</v>
      </c>
      <c r="EM21" s="477"/>
    </row>
    <row r="22" spans="1:143">
      <c r="A22" s="476" t="s">
        <v>605</v>
      </c>
      <c r="B22" s="475" t="str">
        <f t="shared" si="19"/>
        <v>P1</v>
      </c>
      <c r="C22" s="346" t="s">
        <v>361</v>
      </c>
      <c r="D22" s="450" t="s">
        <v>360</v>
      </c>
      <c r="E22" s="449">
        <f>ROUND('[2]PBF Run'!N29,6)</f>
        <v>4636.4928289999998</v>
      </c>
      <c r="F22" s="340">
        <f t="shared" si="20"/>
        <v>4636.49</v>
      </c>
      <c r="G22" s="474">
        <f t="shared" si="21"/>
        <v>2788.0536374600001</v>
      </c>
      <c r="H22" s="473">
        <f t="shared" si="22"/>
        <v>2811.7520933800001</v>
      </c>
      <c r="I22" s="473">
        <f t="shared" si="23"/>
        <v>3282.8110613200001</v>
      </c>
      <c r="J22" s="473">
        <f t="shared" si="24"/>
        <v>3310.71495534</v>
      </c>
      <c r="K22" s="472">
        <f>ROUND([2]FTES!C29,3)</f>
        <v>6711.4920000000002</v>
      </c>
      <c r="L22" s="472">
        <f>ROUND([2]FTES!L29,3)</f>
        <v>4.6500000000000004</v>
      </c>
      <c r="M22" s="472">
        <f>ROUND([2]FTES!U29,3)</f>
        <v>0</v>
      </c>
      <c r="N22" s="465">
        <f>ROUND([2]FTES!$D29,3)</f>
        <v>6711.4920000000002</v>
      </c>
      <c r="O22" s="465">
        <f>ROUND([2]FTES!$M29,3)</f>
        <v>4.6500000000000004</v>
      </c>
      <c r="P22" s="465">
        <f>ROUND([2]FTES!$V29,3)</f>
        <v>0</v>
      </c>
      <c r="Q22" s="471">
        <f>'[2]FTES Adjustment'!BU29</f>
        <v>0</v>
      </c>
      <c r="R22" s="471">
        <f>'[2]FTES Adjustment'!BV29</f>
        <v>0</v>
      </c>
      <c r="S22" s="471">
        <f>'[2]FTES Adjustment'!BW29</f>
        <v>0</v>
      </c>
      <c r="T22" s="469">
        <f>ROUND('[2]Growth Deficit'!$AG29,3)</f>
        <v>0</v>
      </c>
      <c r="U22" s="469">
        <f>ROUND('[2]Growth Deficit'!$AH29,3)</f>
        <v>0</v>
      </c>
      <c r="V22" s="469">
        <f>ROUND('[2]Growth Deficit'!$AI29,3)</f>
        <v>0</v>
      </c>
      <c r="W22" s="470">
        <f>ROUND([2]FTES!I29,3)</f>
        <v>0</v>
      </c>
      <c r="X22" s="470">
        <f>ROUND([2]FTES!R29,3)</f>
        <v>0</v>
      </c>
      <c r="Y22" s="470">
        <f>ROUND([2]FTES!AA29,3)</f>
        <v>0</v>
      </c>
      <c r="Z22" s="469">
        <f>ROUND([2]FTES!E29,3)</f>
        <v>7120.65</v>
      </c>
      <c r="AA22" s="469">
        <f>ROUND([2]FTES!N29,3)</f>
        <v>13.58</v>
      </c>
      <c r="AB22" s="469">
        <f>ROUND([2]FTES!W29,3)</f>
        <v>0</v>
      </c>
      <c r="AC22" s="468">
        <f>'[2]FTES Adjustment'!CW29</f>
        <v>7043.8067300000002</v>
      </c>
      <c r="AD22" s="468">
        <f>'[2]FTES Adjustment'!CX29</f>
        <v>13.58</v>
      </c>
      <c r="AE22" s="468">
        <f>'[2]FTES Adjustment'!CY29</f>
        <v>0</v>
      </c>
      <c r="AF22" s="467">
        <f>'[2]FTES Adjustment'!DQ29</f>
        <v>76.843269999999393</v>
      </c>
      <c r="AG22" s="467">
        <f>'[2]FTES Adjustment'!DR29</f>
        <v>0</v>
      </c>
      <c r="AH22" s="467">
        <f>'[2]FTES Adjustment'!DS29</f>
        <v>0</v>
      </c>
      <c r="AI22" s="340">
        <f>'[2]FTES Adjustment'!$DX29</f>
        <v>0</v>
      </c>
      <c r="AJ22" s="340">
        <v>0</v>
      </c>
      <c r="AK22" s="340">
        <v>0</v>
      </c>
      <c r="AL22" s="465">
        <f>'[2]FTES Adjustment'!CG29</f>
        <v>332.31506000000002</v>
      </c>
      <c r="AM22" s="465">
        <f>'[2]FTES Adjustment'!CH29</f>
        <v>8.93</v>
      </c>
      <c r="AN22" s="465">
        <f>'[2]FTES Adjustment'!CI29</f>
        <v>0</v>
      </c>
      <c r="AO22" s="463">
        <f t="shared" si="0"/>
        <v>6716.1419999999998</v>
      </c>
      <c r="AP22" s="463">
        <f t="shared" si="1"/>
        <v>6716.1419999999998</v>
      </c>
      <c r="AQ22" s="463">
        <f t="shared" si="2"/>
        <v>0</v>
      </c>
      <c r="AR22" s="463">
        <f t="shared" si="3"/>
        <v>0</v>
      </c>
      <c r="AS22" s="463">
        <f t="shared" si="4"/>
        <v>0</v>
      </c>
      <c r="AT22" s="463">
        <f t="shared" si="5"/>
        <v>7134.23</v>
      </c>
      <c r="AU22" s="463">
        <f t="shared" si="6"/>
        <v>7057.3869999999997</v>
      </c>
      <c r="AV22" s="464">
        <f t="shared" si="7"/>
        <v>76.843000000000004</v>
      </c>
      <c r="AW22" s="464">
        <f t="shared" si="8"/>
        <v>0</v>
      </c>
      <c r="AX22" s="464">
        <f t="shared" si="9"/>
        <v>341.245</v>
      </c>
      <c r="AY22" s="460">
        <f>'[2]PBF Run'!F29</f>
        <v>3654835</v>
      </c>
      <c r="AZ22" s="460">
        <f t="shared" si="10"/>
        <v>31130747</v>
      </c>
      <c r="BA22" s="460">
        <f>'[2]PBF Run'!J29 + '[2]PBF Run'!$L29</f>
        <v>31117783</v>
      </c>
      <c r="BB22" s="460">
        <f>'[2]PBF Run'!H29</f>
        <v>12964</v>
      </c>
      <c r="BC22" s="460">
        <f>'[2]PBF Run'!I29</f>
        <v>0</v>
      </c>
      <c r="BD22" s="462">
        <v>0</v>
      </c>
      <c r="BE22" s="461">
        <f>'[2]Restoration and Growth'!BM29</f>
        <v>0</v>
      </c>
      <c r="BF22" s="460">
        <f t="shared" si="11"/>
        <v>34785582</v>
      </c>
      <c r="BG22" s="333" t="str">
        <f t="shared" si="25"/>
        <v>0.85%</v>
      </c>
      <c r="BH22" s="459">
        <f>'[2]PBF Run'!O29</f>
        <v>295677</v>
      </c>
      <c r="BI22" s="459">
        <f t="shared" si="12"/>
        <v>35081259</v>
      </c>
      <c r="BJ22" s="458">
        <f>'[2]PBF Run'!AC29</f>
        <v>0</v>
      </c>
      <c r="BK22" s="458">
        <f>'[2]PBF Run'!$AD29</f>
        <v>0</v>
      </c>
      <c r="BL22" s="458">
        <f>'[2]PBF Run'!$T29</f>
        <v>0</v>
      </c>
      <c r="BM22" s="458">
        <f>'[2]PBF Run'!$S29</f>
        <v>1578982</v>
      </c>
      <c r="BN22" s="458">
        <f>'[2]13-14 $86M Workload Restore'!$P27</f>
        <v>0</v>
      </c>
      <c r="BO22" s="458">
        <f t="shared" si="13"/>
        <v>1578982</v>
      </c>
      <c r="BP22" s="478">
        <f>'[2]Restoration and Growth'!AA29</f>
        <v>0</v>
      </c>
      <c r="BQ22" s="478">
        <f>'[2]Restoration and Growth'!AB29</f>
        <v>0</v>
      </c>
      <c r="BR22" s="453">
        <f>'[2]Restoration and Growth'!BT29</f>
        <v>0</v>
      </c>
      <c r="BS22" s="453">
        <f>'[2]Growth Deficit'!$AO29</f>
        <v>0</v>
      </c>
      <c r="BT22" s="453">
        <f>'[2]Growth Deficit'!AO29</f>
        <v>0</v>
      </c>
      <c r="BU22" s="453">
        <f>'[2]Growth Deficit'!AL29</f>
        <v>0</v>
      </c>
      <c r="BV22" s="453">
        <f>'[2]Growth Deficit'!AM29</f>
        <v>0</v>
      </c>
      <c r="BW22" s="453">
        <f>'[2]Growth Deficit'!AN29</f>
        <v>0</v>
      </c>
      <c r="BX22" s="453">
        <f>'[2]Growth Deficit'!AO29</f>
        <v>0</v>
      </c>
      <c r="BY22" s="454">
        <f>'[2]PBF Run'!AA29</f>
        <v>0</v>
      </c>
      <c r="BZ22" s="454">
        <f>'[2]PBF Run'!AB29</f>
        <v>0</v>
      </c>
      <c r="CA22" s="454">
        <f>'[2]PBF Run'!AC29</f>
        <v>0</v>
      </c>
      <c r="CB22" s="454">
        <f t="shared" si="14"/>
        <v>0</v>
      </c>
      <c r="CC22" s="457">
        <f>'[2]PBF Run'!X29</f>
        <v>0</v>
      </c>
      <c r="CD22" s="456">
        <f>'[2]PBF Run'!AE29</f>
        <v>36660241</v>
      </c>
      <c r="CE22" s="337">
        <f t="shared" si="15"/>
        <v>0.98518542199436165</v>
      </c>
      <c r="CF22" s="455">
        <f>'[2]PBF Run'!AM29</f>
        <v>543106</v>
      </c>
      <c r="CG22" s="455">
        <f>'[2]PBF Run'!$AN29</f>
        <v>10024225</v>
      </c>
      <c r="CH22" s="455">
        <f>'[2]PBF Run'!$AO29</f>
        <v>0</v>
      </c>
      <c r="CI22" s="455">
        <f>'[2]PBF Run'!AJ29</f>
        <v>18759801</v>
      </c>
      <c r="CJ22" s="455">
        <f>'[2]PBF Run'!AI29</f>
        <v>1588239</v>
      </c>
      <c r="CK22" s="455">
        <f>'[2]PBF Run'!$AN29</f>
        <v>10024225</v>
      </c>
      <c r="CL22" s="455">
        <f>'[2]PBF Run'!AK29</f>
        <v>5744870</v>
      </c>
      <c r="CM22" s="455">
        <f t="shared" si="16"/>
        <v>36117135</v>
      </c>
      <c r="CN22" s="454">
        <f>'[2]PBF Run'!$AN29</f>
        <v>10024225</v>
      </c>
      <c r="CO22" s="454">
        <f>'[2]PBF Run'!BI29</f>
        <v>0</v>
      </c>
      <c r="CP22" s="339">
        <f>'[2]PBF Run'!BH29</f>
        <v>0</v>
      </c>
      <c r="CQ22" s="454">
        <f t="shared" si="26"/>
        <v>69532</v>
      </c>
      <c r="CR22" s="454">
        <f t="shared" si="17"/>
        <v>10024225</v>
      </c>
      <c r="CS22" s="453">
        <f>'[2]As of 13-14 R1'!BX29</f>
        <v>0</v>
      </c>
      <c r="CT22" s="453">
        <f>'[2]As of 13-14 R1'!BY29</f>
        <v>0</v>
      </c>
      <c r="CU22" s="453">
        <f>'[2]As of 13-14 R1'!BZ29</f>
        <v>0</v>
      </c>
      <c r="CV22" s="453">
        <f t="shared" si="18"/>
        <v>0</v>
      </c>
      <c r="CW22" s="342">
        <f>'[2]Growth Deficit'!$D$2</f>
        <v>0</v>
      </c>
      <c r="CX22" s="343">
        <f>IF($DL22="S",'[2]Foundation Grant'!C29,0)</f>
        <v>0</v>
      </c>
      <c r="CY22" s="343">
        <f>IF($DL22="S",'[2]Foundation Grant'!D29,0)</f>
        <v>0</v>
      </c>
      <c r="CZ22" s="343">
        <f>IF($DL22="S",'[2]Foundation Grant'!E29,0)</f>
        <v>1</v>
      </c>
      <c r="DA22" s="343">
        <f>IF($DL22="S",'[2]Foundation Grant'!F29,0)</f>
        <v>1</v>
      </c>
      <c r="DB22" s="343">
        <f>IF($DL22="M",'[2]Foundation Grant'!C29,0)</f>
        <v>0</v>
      </c>
      <c r="DC22" s="343">
        <f>IF($DL22="M",'[2]Foundation Grant'!D29,0)</f>
        <v>0</v>
      </c>
      <c r="DD22" s="343">
        <f>IF($DL22="M",'[2]Foundation Grant'!E29,0)</f>
        <v>0</v>
      </c>
      <c r="DE22" s="343">
        <f>IF($DL22="M",'[2]Foundation Grant'!F29,0)</f>
        <v>0</v>
      </c>
      <c r="DF22" s="343">
        <f>'[2]Foundation Grant'!G29</f>
        <v>0</v>
      </c>
      <c r="DG22" s="343">
        <f>'[2]Foundation Grant'!H29</f>
        <v>0</v>
      </c>
      <c r="DH22" s="343">
        <f>'[2]Foundation Grant'!I29</f>
        <v>0</v>
      </c>
      <c r="DI22" s="343">
        <f>'[2]Foundation Grant'!J29</f>
        <v>1</v>
      </c>
      <c r="DJ22" s="343">
        <f>'[2]Foundation Grant'!K29</f>
        <v>0</v>
      </c>
      <c r="DK22" s="452">
        <f>'[2]Foundation Grant'!L29</f>
        <v>1</v>
      </c>
      <c r="DL22" s="343" t="str">
        <f>'[2]Foundation Grant'!M29</f>
        <v>S</v>
      </c>
      <c r="DM22" s="343">
        <f>'[2]Foundation Grant'!N29</f>
        <v>3654835</v>
      </c>
      <c r="DN22" s="452">
        <f>'[2]Foundation Grant'!O29</f>
        <v>0</v>
      </c>
      <c r="DO22" s="452">
        <f>'[2]Foundation Grant'!P29</f>
        <v>0</v>
      </c>
      <c r="DP22" s="344">
        <f>'[2]Foundation Grant'!$C$1</f>
        <v>5622823</v>
      </c>
      <c r="DQ22" s="344">
        <f>'[2]Foundation Grant'!$D$1</f>
        <v>4498258</v>
      </c>
      <c r="DR22" s="344">
        <f>'[2]Foundation Grant'!$E$1</f>
        <v>3373694</v>
      </c>
      <c r="DS22" s="344">
        <f>'[2]Foundation Grant'!$C$2</f>
        <v>4498258</v>
      </c>
      <c r="DT22" s="344">
        <f>'[2]Foundation Grant'!$D$2</f>
        <v>3935976</v>
      </c>
      <c r="DU22" s="344">
        <f>'[2]Foundation Grant'!$E$2</f>
        <v>3373694</v>
      </c>
      <c r="DV22" s="344">
        <f>'[2]Foundation Grant'!$G$1</f>
        <v>1124565</v>
      </c>
      <c r="DW22" s="344">
        <f>'[2]Foundation Grant'!$H$1</f>
        <v>843423</v>
      </c>
      <c r="DX22" s="344">
        <f>'[2]Foundation Grant'!$I$1</f>
        <v>562282</v>
      </c>
      <c r="DY22" s="344">
        <f>'[2]Foundation Grant'!$J$1</f>
        <v>281141</v>
      </c>
      <c r="DZ22" s="344">
        <f>'[2]Foundation Grant'!$K$1</f>
        <v>140571</v>
      </c>
      <c r="EA22" s="344">
        <f>'[2]Foundation Grant'!$O$1</f>
        <v>562282</v>
      </c>
      <c r="EB22" s="344">
        <f>'[2]Foundation Grant'!$P$1</f>
        <v>1124565</v>
      </c>
      <c r="EC22" s="345">
        <f>'[2]basic allocation'!$C$10</f>
        <v>18749</v>
      </c>
      <c r="ED22" s="345">
        <f>'[2]basic allocation'!$D$10</f>
        <v>9375</v>
      </c>
      <c r="EE22" s="345">
        <f>'[2]basic allocation'!$E$10</f>
        <v>9375</v>
      </c>
      <c r="EF22" s="345">
        <f>'[2]basic allocation'!$I$10</f>
        <v>938</v>
      </c>
      <c r="EG22" s="345">
        <f>'[2]basic allocation'!$J$10</f>
        <v>703</v>
      </c>
      <c r="EH22" s="345">
        <f>'[2]basic allocation'!$K$10</f>
        <v>469</v>
      </c>
      <c r="EI22" s="345">
        <f>'[2]basic allocation'!$L$10</f>
        <v>234</v>
      </c>
      <c r="EJ22" s="345">
        <f>'[2]basic allocation'!$M$10</f>
        <v>100</v>
      </c>
      <c r="EK22" s="345">
        <f>'[2]PBF Run'!$AT29</f>
        <v>0</v>
      </c>
      <c r="EM22" s="477"/>
    </row>
    <row r="23" spans="1:143">
      <c r="A23" s="476" t="s">
        <v>605</v>
      </c>
      <c r="B23" s="475" t="str">
        <f t="shared" si="19"/>
        <v>P1</v>
      </c>
      <c r="C23" s="346" t="s">
        <v>359</v>
      </c>
      <c r="D23" s="450" t="s">
        <v>358</v>
      </c>
      <c r="E23" s="449">
        <f>ROUND('[2]PBF Run'!N30,6)</f>
        <v>4636.4927879999996</v>
      </c>
      <c r="F23" s="340">
        <f t="shared" si="20"/>
        <v>4636.49</v>
      </c>
      <c r="G23" s="474">
        <f t="shared" si="21"/>
        <v>2788.0536374600001</v>
      </c>
      <c r="H23" s="473">
        <f t="shared" si="22"/>
        <v>2811.7520933800001</v>
      </c>
      <c r="I23" s="473">
        <f t="shared" si="23"/>
        <v>3282.8110613200001</v>
      </c>
      <c r="J23" s="473">
        <f t="shared" si="24"/>
        <v>3310.71495534</v>
      </c>
      <c r="K23" s="472">
        <f>ROUND([2]FTES!C30,3)</f>
        <v>6579.49</v>
      </c>
      <c r="L23" s="472">
        <f>ROUND([2]FTES!L30,3)</f>
        <v>33.299999999999997</v>
      </c>
      <c r="M23" s="472">
        <f>ROUND([2]FTES!U30,3)</f>
        <v>12.21</v>
      </c>
      <c r="N23" s="465">
        <f>ROUND([2]FTES!$D30,3)</f>
        <v>6579.49</v>
      </c>
      <c r="O23" s="465">
        <f>ROUND([2]FTES!$M30,3)</f>
        <v>33.299999999999997</v>
      </c>
      <c r="P23" s="465">
        <f>ROUND([2]FTES!$V30,3)</f>
        <v>12.21</v>
      </c>
      <c r="Q23" s="471">
        <f>'[2]FTES Adjustment'!BU30</f>
        <v>0</v>
      </c>
      <c r="R23" s="471">
        <f>'[2]FTES Adjustment'!BV30</f>
        <v>0</v>
      </c>
      <c r="S23" s="471">
        <f>'[2]FTES Adjustment'!BW30</f>
        <v>0</v>
      </c>
      <c r="T23" s="469">
        <f>ROUND('[2]Growth Deficit'!$AG30,3)</f>
        <v>0</v>
      </c>
      <c r="U23" s="469">
        <f>ROUND('[2]Growth Deficit'!$AH30,3)</f>
        <v>0</v>
      </c>
      <c r="V23" s="469">
        <f>ROUND('[2]Growth Deficit'!$AI30,3)</f>
        <v>0</v>
      </c>
      <c r="W23" s="470">
        <f>ROUND([2]FTES!I30,3)</f>
        <v>0</v>
      </c>
      <c r="X23" s="470">
        <f>ROUND([2]FTES!R30,3)</f>
        <v>0</v>
      </c>
      <c r="Y23" s="470">
        <f>ROUND([2]FTES!AA30,3)</f>
        <v>0</v>
      </c>
      <c r="Z23" s="469">
        <f>ROUND([2]FTES!E30,3)</f>
        <v>6817.81</v>
      </c>
      <c r="AA23" s="469">
        <f>ROUND([2]FTES!N30,3)</f>
        <v>47.72</v>
      </c>
      <c r="AB23" s="469">
        <f>ROUND([2]FTES!W30,3)</f>
        <v>7.9</v>
      </c>
      <c r="AC23" s="468">
        <f>'[2]FTES Adjustment'!CW30</f>
        <v>6817.8099689999999</v>
      </c>
      <c r="AD23" s="468">
        <f>'[2]FTES Adjustment'!CX30</f>
        <v>47.72</v>
      </c>
      <c r="AE23" s="468">
        <f>'[2]FTES Adjustment'!CY30</f>
        <v>7.9</v>
      </c>
      <c r="AF23" s="467">
        <f>'[2]FTES Adjustment'!DQ30</f>
        <v>3.1000000490166713E-5</v>
      </c>
      <c r="AG23" s="467">
        <f>'[2]FTES Adjustment'!DR30</f>
        <v>0</v>
      </c>
      <c r="AH23" s="467">
        <f>'[2]FTES Adjustment'!DS30</f>
        <v>0</v>
      </c>
      <c r="AI23" s="340">
        <f>'[2]FTES Adjustment'!$DX30</f>
        <v>0</v>
      </c>
      <c r="AJ23" s="340">
        <v>0</v>
      </c>
      <c r="AK23" s="340">
        <v>0</v>
      </c>
      <c r="AL23" s="465">
        <f>'[2]FTES Adjustment'!CG30</f>
        <v>238.319954</v>
      </c>
      <c r="AM23" s="465">
        <f>'[2]FTES Adjustment'!CH30</f>
        <v>14.42</v>
      </c>
      <c r="AN23" s="465">
        <f>'[2]FTES Adjustment'!CI30</f>
        <v>-4.3100000000000005</v>
      </c>
      <c r="AO23" s="463">
        <f t="shared" si="0"/>
        <v>6625</v>
      </c>
      <c r="AP23" s="463">
        <f t="shared" si="1"/>
        <v>6625</v>
      </c>
      <c r="AQ23" s="463">
        <f t="shared" si="2"/>
        <v>0</v>
      </c>
      <c r="AR23" s="463">
        <f t="shared" si="3"/>
        <v>0</v>
      </c>
      <c r="AS23" s="463">
        <f t="shared" si="4"/>
        <v>0</v>
      </c>
      <c r="AT23" s="463">
        <f t="shared" si="5"/>
        <v>6873.43</v>
      </c>
      <c r="AU23" s="463">
        <f t="shared" si="6"/>
        <v>6873.43</v>
      </c>
      <c r="AV23" s="464">
        <f t="shared" si="7"/>
        <v>0</v>
      </c>
      <c r="AW23" s="464">
        <f t="shared" si="8"/>
        <v>0</v>
      </c>
      <c r="AX23" s="464">
        <f t="shared" si="9"/>
        <v>248.43</v>
      </c>
      <c r="AY23" s="460">
        <f>'[2]PBF Run'!F30</f>
        <v>3373694</v>
      </c>
      <c r="AZ23" s="460">
        <f t="shared" si="10"/>
        <v>30638683</v>
      </c>
      <c r="BA23" s="460">
        <f>'[2]PBF Run'!J30 + '[2]PBF Run'!$L30</f>
        <v>30505758</v>
      </c>
      <c r="BB23" s="460">
        <f>'[2]PBF Run'!H30</f>
        <v>92842</v>
      </c>
      <c r="BC23" s="460">
        <f>'[2]PBF Run'!I30</f>
        <v>40083</v>
      </c>
      <c r="BD23" s="462">
        <v>0</v>
      </c>
      <c r="BE23" s="461">
        <f>'[2]Restoration and Growth'!BM30</f>
        <v>0</v>
      </c>
      <c r="BF23" s="460">
        <f t="shared" si="11"/>
        <v>34012377</v>
      </c>
      <c r="BG23" s="333" t="str">
        <f t="shared" si="25"/>
        <v>0.85%</v>
      </c>
      <c r="BH23" s="459">
        <f>'[2]PBF Run'!O30</f>
        <v>289105</v>
      </c>
      <c r="BI23" s="459">
        <f t="shared" si="12"/>
        <v>34301482</v>
      </c>
      <c r="BJ23" s="458">
        <f>'[2]PBF Run'!AC30</f>
        <v>0</v>
      </c>
      <c r="BK23" s="458">
        <f>'[2]PBF Run'!$AD30</f>
        <v>0</v>
      </c>
      <c r="BL23" s="458">
        <f>'[2]PBF Run'!$T30</f>
        <v>0</v>
      </c>
      <c r="BM23" s="458">
        <f>'[2]PBF Run'!$S30</f>
        <v>1140637</v>
      </c>
      <c r="BN23" s="458">
        <f>'[2]13-14 $86M Workload Restore'!$P28</f>
        <v>0</v>
      </c>
      <c r="BO23" s="458">
        <f t="shared" si="13"/>
        <v>1140637</v>
      </c>
      <c r="BP23" s="478">
        <f>'[2]Restoration and Growth'!AA30</f>
        <v>0</v>
      </c>
      <c r="BQ23" s="478">
        <f>'[2]Restoration and Growth'!AB30</f>
        <v>0</v>
      </c>
      <c r="BR23" s="453">
        <f>'[2]Restoration and Growth'!BT30</f>
        <v>0</v>
      </c>
      <c r="BS23" s="453">
        <f>'[2]Growth Deficit'!$AO30</f>
        <v>0</v>
      </c>
      <c r="BT23" s="453">
        <f>'[2]Growth Deficit'!AO30</f>
        <v>0</v>
      </c>
      <c r="BU23" s="453">
        <f>'[2]Growth Deficit'!AL30</f>
        <v>0</v>
      </c>
      <c r="BV23" s="453">
        <f>'[2]Growth Deficit'!AM30</f>
        <v>0</v>
      </c>
      <c r="BW23" s="453">
        <f>'[2]Growth Deficit'!AN30</f>
        <v>0</v>
      </c>
      <c r="BX23" s="453">
        <f>'[2]Growth Deficit'!AO30</f>
        <v>0</v>
      </c>
      <c r="BY23" s="454">
        <f>'[2]PBF Run'!AA30</f>
        <v>0</v>
      </c>
      <c r="BZ23" s="454">
        <f>'[2]PBF Run'!AB30</f>
        <v>0</v>
      </c>
      <c r="CA23" s="454">
        <f>'[2]PBF Run'!AC30</f>
        <v>0</v>
      </c>
      <c r="CB23" s="454">
        <f t="shared" si="14"/>
        <v>0</v>
      </c>
      <c r="CC23" s="457">
        <f>'[2]PBF Run'!X30</f>
        <v>0</v>
      </c>
      <c r="CD23" s="456">
        <f>'[2]PBF Run'!AE30</f>
        <v>35442119</v>
      </c>
      <c r="CE23" s="337">
        <f t="shared" si="15"/>
        <v>0.98518542302733081</v>
      </c>
      <c r="CF23" s="455">
        <f>'[2]PBF Run'!AM30</f>
        <v>525060</v>
      </c>
      <c r="CG23" s="455">
        <f>'[2]PBF Run'!$AN30</f>
        <v>23394130</v>
      </c>
      <c r="CH23" s="455">
        <f>'[2]PBF Run'!$AO30</f>
        <v>0</v>
      </c>
      <c r="CI23" s="455">
        <f>'[2]PBF Run'!AJ30</f>
        <v>4717818</v>
      </c>
      <c r="CJ23" s="455">
        <f>'[2]PBF Run'!AI30</f>
        <v>1195429</v>
      </c>
      <c r="CK23" s="455">
        <f>'[2]PBF Run'!$AN30</f>
        <v>23394130</v>
      </c>
      <c r="CL23" s="455">
        <f>'[2]PBF Run'!AK30</f>
        <v>5609682</v>
      </c>
      <c r="CM23" s="455">
        <f t="shared" si="16"/>
        <v>34917059</v>
      </c>
      <c r="CN23" s="454">
        <f>'[2]PBF Run'!$AN30</f>
        <v>23394130</v>
      </c>
      <c r="CO23" s="454">
        <f>'[2]PBF Run'!BI30</f>
        <v>0</v>
      </c>
      <c r="CP23" s="339">
        <f>'[2]PBF Run'!BH30</f>
        <v>0</v>
      </c>
      <c r="CQ23" s="454">
        <f t="shared" si="26"/>
        <v>69532</v>
      </c>
      <c r="CR23" s="454">
        <f t="shared" si="17"/>
        <v>23394130</v>
      </c>
      <c r="CS23" s="453">
        <f>'[2]As of 13-14 R1'!BX30</f>
        <v>0</v>
      </c>
      <c r="CT23" s="453">
        <f>'[2]As of 13-14 R1'!BY30</f>
        <v>0</v>
      </c>
      <c r="CU23" s="453">
        <f>'[2]As of 13-14 R1'!BZ30</f>
        <v>0</v>
      </c>
      <c r="CV23" s="453">
        <f t="shared" si="18"/>
        <v>0</v>
      </c>
      <c r="CW23" s="342">
        <f>'[2]Growth Deficit'!$D$2</f>
        <v>0</v>
      </c>
      <c r="CX23" s="343">
        <f>IF($DL23="S",'[2]Foundation Grant'!C30,0)</f>
        <v>0</v>
      </c>
      <c r="CY23" s="343">
        <f>IF($DL23="S",'[2]Foundation Grant'!D30,0)</f>
        <v>0</v>
      </c>
      <c r="CZ23" s="343">
        <f>IF($DL23="S",'[2]Foundation Grant'!E30,0)</f>
        <v>1</v>
      </c>
      <c r="DA23" s="343">
        <f>IF($DL23="S",'[2]Foundation Grant'!F30,0)</f>
        <v>1</v>
      </c>
      <c r="DB23" s="343">
        <f>IF($DL23="M",'[2]Foundation Grant'!C30,0)</f>
        <v>0</v>
      </c>
      <c r="DC23" s="343">
        <f>IF($DL23="M",'[2]Foundation Grant'!D30,0)</f>
        <v>0</v>
      </c>
      <c r="DD23" s="343">
        <f>IF($DL23="M",'[2]Foundation Grant'!E30,0)</f>
        <v>0</v>
      </c>
      <c r="DE23" s="343">
        <f>IF($DL23="M",'[2]Foundation Grant'!F30,0)</f>
        <v>0</v>
      </c>
      <c r="DF23" s="343">
        <f>'[2]Foundation Grant'!G30</f>
        <v>0</v>
      </c>
      <c r="DG23" s="343">
        <f>'[2]Foundation Grant'!H30</f>
        <v>0</v>
      </c>
      <c r="DH23" s="343">
        <f>'[2]Foundation Grant'!I30</f>
        <v>0</v>
      </c>
      <c r="DI23" s="343">
        <f>'[2]Foundation Grant'!J30</f>
        <v>0</v>
      </c>
      <c r="DJ23" s="343">
        <f>'[2]Foundation Grant'!K30</f>
        <v>0</v>
      </c>
      <c r="DK23" s="452">
        <f>'[2]Foundation Grant'!L30</f>
        <v>0</v>
      </c>
      <c r="DL23" s="343" t="str">
        <f>'[2]Foundation Grant'!M30</f>
        <v>S</v>
      </c>
      <c r="DM23" s="343">
        <f>'[2]Foundation Grant'!N30</f>
        <v>3373694</v>
      </c>
      <c r="DN23" s="452">
        <f>'[2]Foundation Grant'!O30</f>
        <v>0</v>
      </c>
      <c r="DO23" s="452">
        <f>'[2]Foundation Grant'!P30</f>
        <v>0</v>
      </c>
      <c r="DP23" s="344">
        <f>'[2]Foundation Grant'!$C$1</f>
        <v>5622823</v>
      </c>
      <c r="DQ23" s="344">
        <f>'[2]Foundation Grant'!$D$1</f>
        <v>4498258</v>
      </c>
      <c r="DR23" s="344">
        <f>'[2]Foundation Grant'!$E$1</f>
        <v>3373694</v>
      </c>
      <c r="DS23" s="344">
        <f>'[2]Foundation Grant'!$C$2</f>
        <v>4498258</v>
      </c>
      <c r="DT23" s="344">
        <f>'[2]Foundation Grant'!$D$2</f>
        <v>3935976</v>
      </c>
      <c r="DU23" s="344">
        <f>'[2]Foundation Grant'!$E$2</f>
        <v>3373694</v>
      </c>
      <c r="DV23" s="344">
        <f>'[2]Foundation Grant'!$G$1</f>
        <v>1124565</v>
      </c>
      <c r="DW23" s="344">
        <f>'[2]Foundation Grant'!$H$1</f>
        <v>843423</v>
      </c>
      <c r="DX23" s="344">
        <f>'[2]Foundation Grant'!$I$1</f>
        <v>562282</v>
      </c>
      <c r="DY23" s="344">
        <f>'[2]Foundation Grant'!$J$1</f>
        <v>281141</v>
      </c>
      <c r="DZ23" s="344">
        <f>'[2]Foundation Grant'!$K$1</f>
        <v>140571</v>
      </c>
      <c r="EA23" s="344">
        <f>'[2]Foundation Grant'!$O$1</f>
        <v>562282</v>
      </c>
      <c r="EB23" s="344">
        <f>'[2]Foundation Grant'!$P$1</f>
        <v>1124565</v>
      </c>
      <c r="EC23" s="345">
        <f>'[2]basic allocation'!$C$10</f>
        <v>18749</v>
      </c>
      <c r="ED23" s="345">
        <f>'[2]basic allocation'!$D$10</f>
        <v>9375</v>
      </c>
      <c r="EE23" s="345">
        <f>'[2]basic allocation'!$E$10</f>
        <v>9375</v>
      </c>
      <c r="EF23" s="345">
        <f>'[2]basic allocation'!$I$10</f>
        <v>938</v>
      </c>
      <c r="EG23" s="345">
        <f>'[2]basic allocation'!$J$10</f>
        <v>703</v>
      </c>
      <c r="EH23" s="345">
        <f>'[2]basic allocation'!$K$10</f>
        <v>469</v>
      </c>
      <c r="EI23" s="345">
        <f>'[2]basic allocation'!$L$10</f>
        <v>234</v>
      </c>
      <c r="EJ23" s="345">
        <f>'[2]basic allocation'!$M$10</f>
        <v>100</v>
      </c>
      <c r="EK23" s="345">
        <f>'[2]PBF Run'!$AT30</f>
        <v>0</v>
      </c>
      <c r="EM23" s="477"/>
    </row>
    <row r="24" spans="1:143">
      <c r="A24" s="476" t="s">
        <v>605</v>
      </c>
      <c r="B24" s="475" t="str">
        <f t="shared" si="19"/>
        <v>P1</v>
      </c>
      <c r="C24" s="346" t="s">
        <v>357</v>
      </c>
      <c r="D24" s="450" t="s">
        <v>356</v>
      </c>
      <c r="E24" s="449">
        <f>ROUND('[2]PBF Run'!N31,6)</f>
        <v>4636.4928529999997</v>
      </c>
      <c r="F24" s="340">
        <f t="shared" si="20"/>
        <v>4636.49</v>
      </c>
      <c r="G24" s="474">
        <f t="shared" si="21"/>
        <v>2788.0536374600001</v>
      </c>
      <c r="H24" s="473">
        <f t="shared" si="22"/>
        <v>2811.7520933800001</v>
      </c>
      <c r="I24" s="473">
        <f t="shared" si="23"/>
        <v>3282.8110613200001</v>
      </c>
      <c r="J24" s="473">
        <f t="shared" si="24"/>
        <v>3310.71495534</v>
      </c>
      <c r="K24" s="472">
        <f>ROUND([2]FTES!C31,3)</f>
        <v>18897.632000000001</v>
      </c>
      <c r="L24" s="472">
        <f>ROUND([2]FTES!L31,3)</f>
        <v>41.48</v>
      </c>
      <c r="M24" s="472">
        <f>ROUND([2]FTES!U31,3)</f>
        <v>0</v>
      </c>
      <c r="N24" s="465">
        <f>ROUND([2]FTES!$D31,3)</f>
        <v>18897.632000000001</v>
      </c>
      <c r="O24" s="465">
        <f>ROUND([2]FTES!$M31,3)</f>
        <v>41.48</v>
      </c>
      <c r="P24" s="465">
        <f>ROUND([2]FTES!$V31,3)</f>
        <v>0</v>
      </c>
      <c r="Q24" s="471">
        <f>'[2]FTES Adjustment'!BU31</f>
        <v>0</v>
      </c>
      <c r="R24" s="471">
        <f>'[2]FTES Adjustment'!BV31</f>
        <v>0</v>
      </c>
      <c r="S24" s="471">
        <f>'[2]FTES Adjustment'!BW31</f>
        <v>0</v>
      </c>
      <c r="T24" s="469">
        <f>ROUND('[2]Growth Deficit'!$AG31,3)</f>
        <v>0</v>
      </c>
      <c r="U24" s="469">
        <f>ROUND('[2]Growth Deficit'!$AH31,3)</f>
        <v>0</v>
      </c>
      <c r="V24" s="469">
        <f>ROUND('[2]Growth Deficit'!$AI31,3)</f>
        <v>0</v>
      </c>
      <c r="W24" s="470">
        <f>ROUND([2]FTES!I31,3)</f>
        <v>0</v>
      </c>
      <c r="X24" s="470">
        <f>ROUND([2]FTES!R31,3)</f>
        <v>0</v>
      </c>
      <c r="Y24" s="470">
        <f>ROUND([2]FTES!AA31,3)</f>
        <v>0</v>
      </c>
      <c r="Z24" s="469">
        <f>ROUND([2]FTES!E31,3)</f>
        <v>19123.07</v>
      </c>
      <c r="AA24" s="469">
        <f>ROUND([2]FTES!N31,3)</f>
        <v>51.88</v>
      </c>
      <c r="AB24" s="469">
        <f>ROUND([2]FTES!W31,3)</f>
        <v>0</v>
      </c>
      <c r="AC24" s="468">
        <f>'[2]FTES Adjustment'!CW31</f>
        <v>19123.070015000001</v>
      </c>
      <c r="AD24" s="468">
        <f>'[2]FTES Adjustment'!CX31</f>
        <v>51.879999999999995</v>
      </c>
      <c r="AE24" s="468">
        <f>'[2]FTES Adjustment'!CY31</f>
        <v>0</v>
      </c>
      <c r="AF24" s="467">
        <f>'[2]FTES Adjustment'!DQ31</f>
        <v>-1.5000001440057531E-5</v>
      </c>
      <c r="AG24" s="467">
        <f>'[2]FTES Adjustment'!DR31</f>
        <v>0</v>
      </c>
      <c r="AH24" s="467">
        <f>'[2]FTES Adjustment'!DS31</f>
        <v>0</v>
      </c>
      <c r="AI24" s="340">
        <f>'[2]FTES Adjustment'!$DX31</f>
        <v>0</v>
      </c>
      <c r="AJ24" s="340">
        <v>0</v>
      </c>
      <c r="AK24" s="340">
        <v>0</v>
      </c>
      <c r="AL24" s="465">
        <f>'[2]FTES Adjustment'!CG31</f>
        <v>225.437737</v>
      </c>
      <c r="AM24" s="465">
        <f>'[2]FTES Adjustment'!CH31</f>
        <v>10.4</v>
      </c>
      <c r="AN24" s="465">
        <f>'[2]FTES Adjustment'!CI31</f>
        <v>0</v>
      </c>
      <c r="AO24" s="463">
        <f t="shared" si="0"/>
        <v>18939.112000000001</v>
      </c>
      <c r="AP24" s="463">
        <f t="shared" si="1"/>
        <v>18939.112000000001</v>
      </c>
      <c r="AQ24" s="463">
        <f t="shared" si="2"/>
        <v>0</v>
      </c>
      <c r="AR24" s="463">
        <f t="shared" si="3"/>
        <v>0</v>
      </c>
      <c r="AS24" s="463">
        <f t="shared" si="4"/>
        <v>0</v>
      </c>
      <c r="AT24" s="463">
        <f t="shared" si="5"/>
        <v>19174.95</v>
      </c>
      <c r="AU24" s="463">
        <f t="shared" si="6"/>
        <v>19174.95</v>
      </c>
      <c r="AV24" s="464">
        <f t="shared" si="7"/>
        <v>0</v>
      </c>
      <c r="AW24" s="464">
        <f t="shared" si="8"/>
        <v>0</v>
      </c>
      <c r="AX24" s="464">
        <f t="shared" si="9"/>
        <v>235.83799999999999</v>
      </c>
      <c r="AY24" s="460">
        <f>'[2]PBF Run'!F31</f>
        <v>14338200</v>
      </c>
      <c r="AZ24" s="460">
        <f t="shared" si="10"/>
        <v>87734385</v>
      </c>
      <c r="BA24" s="460">
        <f>'[2]PBF Run'!J31 + '[2]PBF Run'!$L31</f>
        <v>87618737</v>
      </c>
      <c r="BB24" s="460">
        <f>'[2]PBF Run'!H31</f>
        <v>115648</v>
      </c>
      <c r="BC24" s="460">
        <f>'[2]PBF Run'!I31</f>
        <v>0</v>
      </c>
      <c r="BD24" s="462">
        <v>0</v>
      </c>
      <c r="BE24" s="461">
        <f>'[2]Restoration and Growth'!BM31</f>
        <v>0</v>
      </c>
      <c r="BF24" s="460">
        <f t="shared" si="11"/>
        <v>102072585</v>
      </c>
      <c r="BG24" s="333" t="str">
        <f t="shared" si="25"/>
        <v>0.85%</v>
      </c>
      <c r="BH24" s="459">
        <f>'[2]PBF Run'!O31</f>
        <v>867617</v>
      </c>
      <c r="BI24" s="459">
        <f t="shared" si="12"/>
        <v>102940202</v>
      </c>
      <c r="BJ24" s="458">
        <f>'[2]PBF Run'!AC31</f>
        <v>0</v>
      </c>
      <c r="BK24" s="458">
        <f>'[2]PBF Run'!$AD31</f>
        <v>0</v>
      </c>
      <c r="BL24" s="458">
        <f>'[2]PBF Run'!$T31</f>
        <v>0</v>
      </c>
      <c r="BM24" s="458">
        <f>'[2]PBF Run'!$S31</f>
        <v>1083367</v>
      </c>
      <c r="BN24" s="458">
        <f>'[2]13-14 $86M Workload Restore'!$P29</f>
        <v>0</v>
      </c>
      <c r="BO24" s="458">
        <f t="shared" si="13"/>
        <v>1083367</v>
      </c>
      <c r="BP24" s="478">
        <f>'[2]Restoration and Growth'!AA31</f>
        <v>0</v>
      </c>
      <c r="BQ24" s="478">
        <f>'[2]Restoration and Growth'!AB31</f>
        <v>0</v>
      </c>
      <c r="BR24" s="453">
        <f>'[2]Restoration and Growth'!BT31</f>
        <v>0</v>
      </c>
      <c r="BS24" s="453">
        <f>'[2]Growth Deficit'!$AO31</f>
        <v>0</v>
      </c>
      <c r="BT24" s="453">
        <f>'[2]Growth Deficit'!AO31</f>
        <v>0</v>
      </c>
      <c r="BU24" s="453">
        <f>'[2]Growth Deficit'!AL31</f>
        <v>0</v>
      </c>
      <c r="BV24" s="453">
        <f>'[2]Growth Deficit'!AM31</f>
        <v>0</v>
      </c>
      <c r="BW24" s="453">
        <f>'[2]Growth Deficit'!AN31</f>
        <v>0</v>
      </c>
      <c r="BX24" s="453">
        <f>'[2]Growth Deficit'!AO31</f>
        <v>0</v>
      </c>
      <c r="BY24" s="454">
        <f>'[2]PBF Run'!AA31</f>
        <v>0</v>
      </c>
      <c r="BZ24" s="454">
        <f>'[2]PBF Run'!AB31</f>
        <v>0</v>
      </c>
      <c r="CA24" s="454">
        <f>'[2]PBF Run'!AC31</f>
        <v>0</v>
      </c>
      <c r="CB24" s="454">
        <f t="shared" si="14"/>
        <v>0</v>
      </c>
      <c r="CC24" s="457">
        <f>'[2]PBF Run'!X31</f>
        <v>0</v>
      </c>
      <c r="CD24" s="456">
        <f>'[2]PBF Run'!AE31</f>
        <v>104023569</v>
      </c>
      <c r="CE24" s="337">
        <f t="shared" si="15"/>
        <v>0.98518541504762247</v>
      </c>
      <c r="CF24" s="455">
        <f>'[2]PBF Run'!AM31</f>
        <v>1541066</v>
      </c>
      <c r="CG24" s="455">
        <f>'[2]PBF Run'!$AN31</f>
        <v>34013834</v>
      </c>
      <c r="CH24" s="455">
        <f>'[2]PBF Run'!$AO31</f>
        <v>0</v>
      </c>
      <c r="CI24" s="455">
        <f>'[2]PBF Run'!AJ31</f>
        <v>46948284</v>
      </c>
      <c r="CJ24" s="455">
        <f>'[2]PBF Run'!AI31</f>
        <v>5358899</v>
      </c>
      <c r="CK24" s="455">
        <f>'[2]PBF Run'!$AN31</f>
        <v>34013834</v>
      </c>
      <c r="CL24" s="455">
        <f>'[2]PBF Run'!AK31</f>
        <v>16161486</v>
      </c>
      <c r="CM24" s="455">
        <f t="shared" si="16"/>
        <v>102482503</v>
      </c>
      <c r="CN24" s="454">
        <f>'[2]PBF Run'!$AN31</f>
        <v>34013834</v>
      </c>
      <c r="CO24" s="454">
        <f>'[2]PBF Run'!BI31</f>
        <v>0</v>
      </c>
      <c r="CP24" s="339">
        <f>'[2]PBF Run'!BH31</f>
        <v>0</v>
      </c>
      <c r="CQ24" s="454">
        <f t="shared" si="26"/>
        <v>69532</v>
      </c>
      <c r="CR24" s="454">
        <f t="shared" si="17"/>
        <v>34013834</v>
      </c>
      <c r="CS24" s="453">
        <f>'[2]As of 13-14 R1'!BX31</f>
        <v>0</v>
      </c>
      <c r="CT24" s="453">
        <f>'[2]As of 13-14 R1'!BY31</f>
        <v>0</v>
      </c>
      <c r="CU24" s="453">
        <f>'[2]As of 13-14 R1'!BZ31</f>
        <v>0</v>
      </c>
      <c r="CV24" s="453">
        <f t="shared" si="18"/>
        <v>0</v>
      </c>
      <c r="CW24" s="342">
        <f>'[2]Growth Deficit'!$D$2</f>
        <v>0</v>
      </c>
      <c r="CX24" s="343">
        <f>IF($DL24="S",'[2]Foundation Grant'!C31,0)</f>
        <v>0</v>
      </c>
      <c r="CY24" s="343">
        <f>IF($DL24="S",'[2]Foundation Grant'!D31,0)</f>
        <v>0</v>
      </c>
      <c r="CZ24" s="343">
        <f>IF($DL24="S",'[2]Foundation Grant'!E31,0)</f>
        <v>0</v>
      </c>
      <c r="DA24" s="343">
        <f>IF($DL24="S",'[2]Foundation Grant'!F31,0)</f>
        <v>0</v>
      </c>
      <c r="DB24" s="343">
        <f>IF($DL24="M",'[2]Foundation Grant'!C31,0)</f>
        <v>0</v>
      </c>
      <c r="DC24" s="343">
        <f>IF($DL24="M",'[2]Foundation Grant'!D31,0)</f>
        <v>1</v>
      </c>
      <c r="DD24" s="343">
        <f>IF($DL24="M",'[2]Foundation Grant'!E31,0)</f>
        <v>2</v>
      </c>
      <c r="DE24" s="343">
        <f>IF($DL24="M",'[2]Foundation Grant'!F31,0)</f>
        <v>3</v>
      </c>
      <c r="DF24" s="343">
        <f>'[2]Foundation Grant'!G31</f>
        <v>1</v>
      </c>
      <c r="DG24" s="343">
        <f>'[2]Foundation Grant'!H31</f>
        <v>0</v>
      </c>
      <c r="DH24" s="343">
        <f>'[2]Foundation Grant'!I31</f>
        <v>0</v>
      </c>
      <c r="DI24" s="343">
        <f>'[2]Foundation Grant'!J31</f>
        <v>1</v>
      </c>
      <c r="DJ24" s="343">
        <f>'[2]Foundation Grant'!K31</f>
        <v>0</v>
      </c>
      <c r="DK24" s="452">
        <f>'[2]Foundation Grant'!L31</f>
        <v>2</v>
      </c>
      <c r="DL24" s="343" t="str">
        <f>'[2]Foundation Grant'!M31</f>
        <v>M</v>
      </c>
      <c r="DM24" s="343">
        <f>'[2]Foundation Grant'!N31</f>
        <v>14338200</v>
      </c>
      <c r="DN24" s="452">
        <f>'[2]Foundation Grant'!O31</f>
        <v>0</v>
      </c>
      <c r="DO24" s="452">
        <f>'[2]Foundation Grant'!P31</f>
        <v>2</v>
      </c>
      <c r="DP24" s="344">
        <f>'[2]Foundation Grant'!$C$1</f>
        <v>5622823</v>
      </c>
      <c r="DQ24" s="344">
        <f>'[2]Foundation Grant'!$D$1</f>
        <v>4498258</v>
      </c>
      <c r="DR24" s="344">
        <f>'[2]Foundation Grant'!$E$1</f>
        <v>3373694</v>
      </c>
      <c r="DS24" s="344">
        <f>'[2]Foundation Grant'!$C$2</f>
        <v>4498258</v>
      </c>
      <c r="DT24" s="344">
        <f>'[2]Foundation Grant'!$D$2</f>
        <v>3935976</v>
      </c>
      <c r="DU24" s="344">
        <f>'[2]Foundation Grant'!$E$2</f>
        <v>3373694</v>
      </c>
      <c r="DV24" s="344">
        <f>'[2]Foundation Grant'!$G$1</f>
        <v>1124565</v>
      </c>
      <c r="DW24" s="344">
        <f>'[2]Foundation Grant'!$H$1</f>
        <v>843423</v>
      </c>
      <c r="DX24" s="344">
        <f>'[2]Foundation Grant'!$I$1</f>
        <v>562282</v>
      </c>
      <c r="DY24" s="344">
        <f>'[2]Foundation Grant'!$J$1</f>
        <v>281141</v>
      </c>
      <c r="DZ24" s="344">
        <f>'[2]Foundation Grant'!$K$1</f>
        <v>140571</v>
      </c>
      <c r="EA24" s="344">
        <f>'[2]Foundation Grant'!$O$1</f>
        <v>562282</v>
      </c>
      <c r="EB24" s="344">
        <f>'[2]Foundation Grant'!$P$1</f>
        <v>1124565</v>
      </c>
      <c r="EC24" s="345">
        <f>'[2]basic allocation'!$C$10</f>
        <v>18749</v>
      </c>
      <c r="ED24" s="345">
        <f>'[2]basic allocation'!$D$10</f>
        <v>9375</v>
      </c>
      <c r="EE24" s="345">
        <f>'[2]basic allocation'!$E$10</f>
        <v>9375</v>
      </c>
      <c r="EF24" s="345">
        <f>'[2]basic allocation'!$I$10</f>
        <v>938</v>
      </c>
      <c r="EG24" s="345">
        <f>'[2]basic allocation'!$J$10</f>
        <v>703</v>
      </c>
      <c r="EH24" s="345">
        <f>'[2]basic allocation'!$K$10</f>
        <v>469</v>
      </c>
      <c r="EI24" s="345">
        <f>'[2]basic allocation'!$L$10</f>
        <v>234</v>
      </c>
      <c r="EJ24" s="345">
        <f>'[2]basic allocation'!$M$10</f>
        <v>100</v>
      </c>
      <c r="EK24" s="345">
        <f>'[2]PBF Run'!$AT31</f>
        <v>0</v>
      </c>
      <c r="EM24" s="477"/>
    </row>
    <row r="25" spans="1:143">
      <c r="A25" s="476" t="s">
        <v>605</v>
      </c>
      <c r="B25" s="475" t="str">
        <f t="shared" si="19"/>
        <v>P1</v>
      </c>
      <c r="C25" s="346" t="s">
        <v>355</v>
      </c>
      <c r="D25" s="450" t="s">
        <v>354</v>
      </c>
      <c r="E25" s="449">
        <f>ROUND('[2]PBF Run'!N32,6)</f>
        <v>4767.695455</v>
      </c>
      <c r="F25" s="340">
        <f t="shared" si="20"/>
        <v>4636.49</v>
      </c>
      <c r="G25" s="474">
        <f t="shared" si="21"/>
        <v>2788.0536374600001</v>
      </c>
      <c r="H25" s="473">
        <f t="shared" si="22"/>
        <v>2811.7520933800001</v>
      </c>
      <c r="I25" s="473">
        <f t="shared" si="23"/>
        <v>3282.8110613200001</v>
      </c>
      <c r="J25" s="473">
        <f t="shared" si="24"/>
        <v>3310.71495534</v>
      </c>
      <c r="K25" s="472">
        <f>ROUND([2]FTES!C32,3)</f>
        <v>1574.02</v>
      </c>
      <c r="L25" s="472">
        <f>ROUND([2]FTES!L32,3)</f>
        <v>61.67</v>
      </c>
      <c r="M25" s="472">
        <f>ROUND([2]FTES!U32,3)</f>
        <v>32.979999999999997</v>
      </c>
      <c r="N25" s="465">
        <f>ROUND([2]FTES!$D32,3)</f>
        <v>1574.02</v>
      </c>
      <c r="O25" s="465">
        <f>ROUND([2]FTES!$M32,3)</f>
        <v>61.67</v>
      </c>
      <c r="P25" s="465">
        <f>ROUND([2]FTES!$V32,3)</f>
        <v>32.979999999999997</v>
      </c>
      <c r="Q25" s="471">
        <f>'[2]FTES Adjustment'!BU32</f>
        <v>96.086252000000002</v>
      </c>
      <c r="R25" s="471">
        <f>'[2]FTES Adjustment'!BV32</f>
        <v>0</v>
      </c>
      <c r="S25" s="471">
        <f>'[2]FTES Adjustment'!BW32</f>
        <v>0</v>
      </c>
      <c r="T25" s="469">
        <f>ROUND('[2]Growth Deficit'!$AG32,3)</f>
        <v>0</v>
      </c>
      <c r="U25" s="469">
        <f>ROUND('[2]Growth Deficit'!$AH32,3)</f>
        <v>0</v>
      </c>
      <c r="V25" s="469">
        <f>ROUND('[2]Growth Deficit'!$AI32,3)</f>
        <v>0</v>
      </c>
      <c r="W25" s="470">
        <f>ROUND([2]FTES!I32,3)</f>
        <v>0</v>
      </c>
      <c r="X25" s="470">
        <f>ROUND([2]FTES!R32,3)</f>
        <v>0</v>
      </c>
      <c r="Y25" s="470">
        <f>ROUND([2]FTES!AA32,3)</f>
        <v>0</v>
      </c>
      <c r="Z25" s="469">
        <f>ROUND([2]FTES!E32,3)</f>
        <v>1677.97</v>
      </c>
      <c r="AA25" s="469">
        <f>ROUND([2]FTES!N32,3)</f>
        <v>57.93</v>
      </c>
      <c r="AB25" s="469">
        <f>ROUND([2]FTES!W32,3)</f>
        <v>25.05</v>
      </c>
      <c r="AC25" s="468">
        <f>'[2]FTES Adjustment'!CW32</f>
        <v>1677.9699740000001</v>
      </c>
      <c r="AD25" s="468">
        <f>'[2]FTES Adjustment'!CX32</f>
        <v>57.930000000000007</v>
      </c>
      <c r="AE25" s="468">
        <f>'[2]FTES Adjustment'!CY32</f>
        <v>25.05</v>
      </c>
      <c r="AF25" s="467">
        <f>'[2]FTES Adjustment'!DQ32</f>
        <v>2.599999993435631E-5</v>
      </c>
      <c r="AG25" s="467">
        <f>'[2]FTES Adjustment'!DR32</f>
        <v>0</v>
      </c>
      <c r="AH25" s="467">
        <f>'[2]FTES Adjustment'!DS32</f>
        <v>0</v>
      </c>
      <c r="AI25" s="340">
        <f>'[2]FTES Adjustment'!$DX32</f>
        <v>0</v>
      </c>
      <c r="AJ25" s="340">
        <v>0</v>
      </c>
      <c r="AK25" s="340">
        <v>0</v>
      </c>
      <c r="AL25" s="465">
        <f>'[2]FTES Adjustment'!CG32</f>
        <v>7.8637220000000001</v>
      </c>
      <c r="AM25" s="465">
        <f>'[2]FTES Adjustment'!CH32</f>
        <v>-3.7398979999999966</v>
      </c>
      <c r="AN25" s="465">
        <f>'[2]FTES Adjustment'!CI32</f>
        <v>-7.9300049999999978</v>
      </c>
      <c r="AO25" s="463">
        <f t="shared" si="0"/>
        <v>1668.67</v>
      </c>
      <c r="AP25" s="463">
        <f t="shared" si="1"/>
        <v>1668.67</v>
      </c>
      <c r="AQ25" s="463">
        <f t="shared" si="2"/>
        <v>96.085999999999999</v>
      </c>
      <c r="AR25" s="463">
        <f t="shared" si="3"/>
        <v>0</v>
      </c>
      <c r="AS25" s="463">
        <f t="shared" si="4"/>
        <v>0</v>
      </c>
      <c r="AT25" s="463">
        <f t="shared" si="5"/>
        <v>1760.95</v>
      </c>
      <c r="AU25" s="463">
        <f t="shared" si="6"/>
        <v>1760.95</v>
      </c>
      <c r="AV25" s="464">
        <f t="shared" si="7"/>
        <v>0</v>
      </c>
      <c r="AW25" s="464">
        <f t="shared" si="8"/>
        <v>0</v>
      </c>
      <c r="AX25" s="464">
        <f t="shared" si="9"/>
        <v>-3.806</v>
      </c>
      <c r="AY25" s="460">
        <f>'[2]PBF Run'!F32</f>
        <v>3935976</v>
      </c>
      <c r="AZ25" s="460">
        <f t="shared" si="10"/>
        <v>7784654</v>
      </c>
      <c r="BA25" s="460">
        <f>'[2]PBF Run'!J32 + '[2]PBF Run'!$L32</f>
        <v>7504448</v>
      </c>
      <c r="BB25" s="460">
        <f>'[2]PBF Run'!H32</f>
        <v>171939</v>
      </c>
      <c r="BC25" s="460">
        <f>'[2]PBF Run'!I32</f>
        <v>108267</v>
      </c>
      <c r="BD25" s="462">
        <v>0</v>
      </c>
      <c r="BE25" s="461">
        <f>'[2]Restoration and Growth'!BM32</f>
        <v>0</v>
      </c>
      <c r="BF25" s="460">
        <f t="shared" si="11"/>
        <v>11720630</v>
      </c>
      <c r="BG25" s="333" t="str">
        <f t="shared" si="25"/>
        <v>0.85%</v>
      </c>
      <c r="BH25" s="459">
        <f>'[2]PBF Run'!O32</f>
        <v>99625</v>
      </c>
      <c r="BI25" s="459">
        <f t="shared" si="12"/>
        <v>11820255</v>
      </c>
      <c r="BJ25" s="458">
        <f>'[2]PBF Run'!AC32</f>
        <v>0</v>
      </c>
      <c r="BK25" s="458">
        <f>'[2]PBF Run'!$AD32</f>
        <v>0</v>
      </c>
      <c r="BL25" s="458">
        <f>'[2]PBF Run'!$T32</f>
        <v>449290</v>
      </c>
      <c r="BM25" s="458">
        <f>'[2]PBF Run'!$S32</f>
        <v>0</v>
      </c>
      <c r="BN25" s="458">
        <f>'[2]13-14 $86M Workload Restore'!$P30</f>
        <v>0</v>
      </c>
      <c r="BO25" s="458">
        <f t="shared" si="13"/>
        <v>449290</v>
      </c>
      <c r="BP25" s="478">
        <f>'[2]Restoration and Growth'!AA32</f>
        <v>0</v>
      </c>
      <c r="BQ25" s="478">
        <f>'[2]Restoration and Growth'!AB32</f>
        <v>0</v>
      </c>
      <c r="BR25" s="453">
        <f>'[2]Restoration and Growth'!BT32</f>
        <v>0</v>
      </c>
      <c r="BS25" s="453">
        <f>'[2]Growth Deficit'!$AO32</f>
        <v>0</v>
      </c>
      <c r="BT25" s="453">
        <f>'[2]Growth Deficit'!AO32</f>
        <v>0</v>
      </c>
      <c r="BU25" s="453">
        <f>'[2]Growth Deficit'!AL32</f>
        <v>0</v>
      </c>
      <c r="BV25" s="453">
        <f>'[2]Growth Deficit'!AM32</f>
        <v>0</v>
      </c>
      <c r="BW25" s="453">
        <f>'[2]Growth Deficit'!AN32</f>
        <v>0</v>
      </c>
      <c r="BX25" s="453">
        <f>'[2]Growth Deficit'!AO32</f>
        <v>0</v>
      </c>
      <c r="BY25" s="454">
        <f>'[2]PBF Run'!AA32</f>
        <v>0</v>
      </c>
      <c r="BZ25" s="454">
        <f>'[2]PBF Run'!AB32</f>
        <v>0</v>
      </c>
      <c r="CA25" s="454">
        <f>'[2]PBF Run'!AC32</f>
        <v>0</v>
      </c>
      <c r="CB25" s="454">
        <f t="shared" si="14"/>
        <v>0</v>
      </c>
      <c r="CC25" s="457">
        <f>'[2]PBF Run'!X32</f>
        <v>0</v>
      </c>
      <c r="CD25" s="456">
        <f>'[2]PBF Run'!AE32</f>
        <v>12269545</v>
      </c>
      <c r="CE25" s="337">
        <f t="shared" si="15"/>
        <v>0.98518543271164494</v>
      </c>
      <c r="CF25" s="455">
        <f>'[2]PBF Run'!AM32</f>
        <v>181768</v>
      </c>
      <c r="CG25" s="455">
        <f>'[2]PBF Run'!$AN32</f>
        <v>5672573</v>
      </c>
      <c r="CH25" s="455">
        <f>'[2]PBF Run'!$AO32</f>
        <v>0</v>
      </c>
      <c r="CI25" s="455">
        <f>'[2]PBF Run'!AJ32</f>
        <v>3768586</v>
      </c>
      <c r="CJ25" s="455">
        <f>'[2]PBF Run'!AI32</f>
        <v>761590</v>
      </c>
      <c r="CK25" s="455">
        <f>'[2]PBF Run'!$AN32</f>
        <v>5672573</v>
      </c>
      <c r="CL25" s="455">
        <f>'[2]PBF Run'!AK32</f>
        <v>1885028</v>
      </c>
      <c r="CM25" s="455">
        <f t="shared" si="16"/>
        <v>12087777</v>
      </c>
      <c r="CN25" s="454">
        <f>'[2]PBF Run'!$AN32</f>
        <v>5672573</v>
      </c>
      <c r="CO25" s="454">
        <f>'[2]PBF Run'!BI32</f>
        <v>0</v>
      </c>
      <c r="CP25" s="339">
        <f>'[2]PBF Run'!BH32</f>
        <v>0</v>
      </c>
      <c r="CQ25" s="454">
        <f t="shared" si="26"/>
        <v>69532</v>
      </c>
      <c r="CR25" s="454">
        <f t="shared" si="17"/>
        <v>5672573</v>
      </c>
      <c r="CS25" s="453">
        <f>'[2]As of 13-14 R1'!BX32</f>
        <v>0</v>
      </c>
      <c r="CT25" s="453">
        <f>'[2]As of 13-14 R1'!BY32</f>
        <v>1047857</v>
      </c>
      <c r="CU25" s="453">
        <f>'[2]As of 13-14 R1'!BZ32</f>
        <v>0</v>
      </c>
      <c r="CV25" s="453">
        <f t="shared" si="18"/>
        <v>1047857</v>
      </c>
      <c r="CW25" s="342">
        <f>'[2]Growth Deficit'!$D$2</f>
        <v>0</v>
      </c>
      <c r="CX25" s="343">
        <f>IF($DL25="S",'[2]Foundation Grant'!C32,0)</f>
        <v>0</v>
      </c>
      <c r="CY25" s="343">
        <f>IF($DL25="S",'[2]Foundation Grant'!D32,0)</f>
        <v>0</v>
      </c>
      <c r="CZ25" s="343">
        <f>IF($DL25="S",'[2]Foundation Grant'!E32,0)</f>
        <v>1</v>
      </c>
      <c r="DA25" s="343">
        <f>IF($DL25="S",'[2]Foundation Grant'!F32,0)</f>
        <v>1</v>
      </c>
      <c r="DB25" s="343">
        <f>IF($DL25="M",'[2]Foundation Grant'!C32,0)</f>
        <v>0</v>
      </c>
      <c r="DC25" s="343">
        <f>IF($DL25="M",'[2]Foundation Grant'!D32,0)</f>
        <v>0</v>
      </c>
      <c r="DD25" s="343">
        <f>IF($DL25="M",'[2]Foundation Grant'!E32,0)</f>
        <v>0</v>
      </c>
      <c r="DE25" s="343">
        <f>IF($DL25="M",'[2]Foundation Grant'!F32,0)</f>
        <v>0</v>
      </c>
      <c r="DF25" s="343">
        <f>'[2]Foundation Grant'!G32</f>
        <v>0</v>
      </c>
      <c r="DG25" s="343">
        <f>'[2]Foundation Grant'!H32</f>
        <v>0</v>
      </c>
      <c r="DH25" s="343">
        <f>'[2]Foundation Grant'!I32</f>
        <v>0</v>
      </c>
      <c r="DI25" s="343">
        <f>'[2]Foundation Grant'!J32</f>
        <v>0</v>
      </c>
      <c r="DJ25" s="343">
        <f>'[2]Foundation Grant'!K32</f>
        <v>0</v>
      </c>
      <c r="DK25" s="452">
        <f>'[2]Foundation Grant'!L32</f>
        <v>0</v>
      </c>
      <c r="DL25" s="343" t="str">
        <f>'[2]Foundation Grant'!M32</f>
        <v>S</v>
      </c>
      <c r="DM25" s="343">
        <f>'[2]Foundation Grant'!N32</f>
        <v>3935976</v>
      </c>
      <c r="DN25" s="452">
        <f>'[2]Foundation Grant'!O32</f>
        <v>1</v>
      </c>
      <c r="DO25" s="452">
        <f>'[2]Foundation Grant'!P32</f>
        <v>0</v>
      </c>
      <c r="DP25" s="344">
        <f>'[2]Foundation Grant'!$C$1</f>
        <v>5622823</v>
      </c>
      <c r="DQ25" s="344">
        <f>'[2]Foundation Grant'!$D$1</f>
        <v>4498258</v>
      </c>
      <c r="DR25" s="344">
        <f>'[2]Foundation Grant'!$E$1</f>
        <v>3373694</v>
      </c>
      <c r="DS25" s="344">
        <f>'[2]Foundation Grant'!$C$2</f>
        <v>4498258</v>
      </c>
      <c r="DT25" s="344">
        <f>'[2]Foundation Grant'!$D$2</f>
        <v>3935976</v>
      </c>
      <c r="DU25" s="344">
        <f>'[2]Foundation Grant'!$E$2</f>
        <v>3373694</v>
      </c>
      <c r="DV25" s="344">
        <f>'[2]Foundation Grant'!$G$1</f>
        <v>1124565</v>
      </c>
      <c r="DW25" s="344">
        <f>'[2]Foundation Grant'!$H$1</f>
        <v>843423</v>
      </c>
      <c r="DX25" s="344">
        <f>'[2]Foundation Grant'!$I$1</f>
        <v>562282</v>
      </c>
      <c r="DY25" s="344">
        <f>'[2]Foundation Grant'!$J$1</f>
        <v>281141</v>
      </c>
      <c r="DZ25" s="344">
        <f>'[2]Foundation Grant'!$K$1</f>
        <v>140571</v>
      </c>
      <c r="EA25" s="344">
        <f>'[2]Foundation Grant'!$O$1</f>
        <v>562282</v>
      </c>
      <c r="EB25" s="344">
        <f>'[2]Foundation Grant'!$P$1</f>
        <v>1124565</v>
      </c>
      <c r="EC25" s="345">
        <f>'[2]basic allocation'!$C$10</f>
        <v>18749</v>
      </c>
      <c r="ED25" s="345">
        <f>'[2]basic allocation'!$D$10</f>
        <v>9375</v>
      </c>
      <c r="EE25" s="345">
        <f>'[2]basic allocation'!$E$10</f>
        <v>9375</v>
      </c>
      <c r="EF25" s="345">
        <f>'[2]basic allocation'!$I$10</f>
        <v>938</v>
      </c>
      <c r="EG25" s="345">
        <f>'[2]basic allocation'!$J$10</f>
        <v>703</v>
      </c>
      <c r="EH25" s="345">
        <f>'[2]basic allocation'!$K$10</f>
        <v>469</v>
      </c>
      <c r="EI25" s="345">
        <f>'[2]basic allocation'!$L$10</f>
        <v>234</v>
      </c>
      <c r="EJ25" s="345">
        <f>'[2]basic allocation'!$M$10</f>
        <v>100</v>
      </c>
      <c r="EK25" s="345">
        <f>'[2]PBF Run'!$AT32</f>
        <v>0</v>
      </c>
      <c r="EM25" s="477"/>
    </row>
    <row r="26" spans="1:143">
      <c r="A26" s="476" t="s">
        <v>605</v>
      </c>
      <c r="B26" s="475" t="str">
        <f t="shared" si="19"/>
        <v>P1</v>
      </c>
      <c r="C26" s="346" t="s">
        <v>353</v>
      </c>
      <c r="D26" s="450" t="s">
        <v>352</v>
      </c>
      <c r="E26" s="449">
        <f>ROUND('[2]PBF Run'!N33,6)</f>
        <v>4744.0092130000003</v>
      </c>
      <c r="F26" s="340">
        <f t="shared" si="20"/>
        <v>4636.49</v>
      </c>
      <c r="G26" s="474">
        <f t="shared" si="21"/>
        <v>2788.0536374600001</v>
      </c>
      <c r="H26" s="473">
        <f t="shared" si="22"/>
        <v>2811.7520933800001</v>
      </c>
      <c r="I26" s="473">
        <f t="shared" si="23"/>
        <v>3282.8110613200001</v>
      </c>
      <c r="J26" s="473">
        <f t="shared" si="24"/>
        <v>3310.71495534</v>
      </c>
      <c r="K26" s="472">
        <f>ROUND([2]FTES!C33,3)</f>
        <v>1341.56</v>
      </c>
      <c r="L26" s="472">
        <f>ROUND([2]FTES!L33,3)</f>
        <v>74.81</v>
      </c>
      <c r="M26" s="472">
        <f>ROUND([2]FTES!U33,3)</f>
        <v>0</v>
      </c>
      <c r="N26" s="465">
        <f>ROUND([2]FTES!$D33,3)</f>
        <v>1341.56</v>
      </c>
      <c r="O26" s="465">
        <f>ROUND([2]FTES!$M33,3)</f>
        <v>74.81</v>
      </c>
      <c r="P26" s="465">
        <f>ROUND([2]FTES!$V33,3)</f>
        <v>0</v>
      </c>
      <c r="Q26" s="471">
        <f>'[2]FTES Adjustment'!BU33</f>
        <v>293.57986799999998</v>
      </c>
      <c r="R26" s="471">
        <f>'[2]FTES Adjustment'!BV33</f>
        <v>0</v>
      </c>
      <c r="S26" s="471">
        <f>'[2]FTES Adjustment'!BW33</f>
        <v>0</v>
      </c>
      <c r="T26" s="469">
        <f>ROUND('[2]Growth Deficit'!$AG33,3)</f>
        <v>0</v>
      </c>
      <c r="U26" s="469">
        <f>ROUND('[2]Growth Deficit'!$AH33,3)</f>
        <v>0</v>
      </c>
      <c r="V26" s="469">
        <f>ROUND('[2]Growth Deficit'!$AI33,3)</f>
        <v>0</v>
      </c>
      <c r="W26" s="470">
        <f>ROUND([2]FTES!I33,3)</f>
        <v>0</v>
      </c>
      <c r="X26" s="470">
        <f>ROUND([2]FTES!R33,3)</f>
        <v>0</v>
      </c>
      <c r="Y26" s="470">
        <f>ROUND([2]FTES!AA33,3)</f>
        <v>0</v>
      </c>
      <c r="Z26" s="469">
        <f>ROUND([2]FTES!E33,3)</f>
        <v>1648.73</v>
      </c>
      <c r="AA26" s="469">
        <f>ROUND([2]FTES!N33,3)</f>
        <v>52.21</v>
      </c>
      <c r="AB26" s="469">
        <f>ROUND([2]FTES!W33,3)</f>
        <v>0</v>
      </c>
      <c r="AC26" s="468">
        <f>'[2]FTES Adjustment'!CW33</f>
        <v>1648.7299699999999</v>
      </c>
      <c r="AD26" s="468">
        <f>'[2]FTES Adjustment'!CX33</f>
        <v>52.21</v>
      </c>
      <c r="AE26" s="468">
        <f>'[2]FTES Adjustment'!CY33</f>
        <v>0</v>
      </c>
      <c r="AF26" s="467">
        <f>'[2]FTES Adjustment'!DQ33</f>
        <v>3.0000000151630957E-5</v>
      </c>
      <c r="AG26" s="467">
        <f>'[2]FTES Adjustment'!DR33</f>
        <v>0</v>
      </c>
      <c r="AH26" s="467">
        <f>'[2]FTES Adjustment'!DS33</f>
        <v>0</v>
      </c>
      <c r="AI26" s="340">
        <f>'[2]FTES Adjustment'!$DX33</f>
        <v>0</v>
      </c>
      <c r="AJ26" s="340">
        <v>0</v>
      </c>
      <c r="AK26" s="340">
        <v>0</v>
      </c>
      <c r="AL26" s="465">
        <f>'[2]FTES Adjustment'!CG33</f>
        <v>13.590102</v>
      </c>
      <c r="AM26" s="465">
        <f>'[2]FTES Adjustment'!CH33</f>
        <v>-22.6</v>
      </c>
      <c r="AN26" s="465">
        <f>'[2]FTES Adjustment'!CI33</f>
        <v>0</v>
      </c>
      <c r="AO26" s="463">
        <f t="shared" si="0"/>
        <v>1416.37</v>
      </c>
      <c r="AP26" s="463">
        <f t="shared" si="1"/>
        <v>1416.37</v>
      </c>
      <c r="AQ26" s="463">
        <f t="shared" si="2"/>
        <v>293.58</v>
      </c>
      <c r="AR26" s="463">
        <f t="shared" si="3"/>
        <v>0</v>
      </c>
      <c r="AS26" s="463">
        <f t="shared" si="4"/>
        <v>0</v>
      </c>
      <c r="AT26" s="463">
        <f t="shared" si="5"/>
        <v>1700.94</v>
      </c>
      <c r="AU26" s="463">
        <f t="shared" si="6"/>
        <v>1700.94</v>
      </c>
      <c r="AV26" s="464">
        <f t="shared" si="7"/>
        <v>0</v>
      </c>
      <c r="AW26" s="464">
        <f t="shared" si="8"/>
        <v>0</v>
      </c>
      <c r="AX26" s="464">
        <f t="shared" si="9"/>
        <v>-9.01</v>
      </c>
      <c r="AY26" s="460">
        <f>'[2]PBF Run'!F33</f>
        <v>3935976</v>
      </c>
      <c r="AZ26" s="460">
        <f t="shared" si="10"/>
        <v>6572947</v>
      </c>
      <c r="BA26" s="460">
        <f>'[2]PBF Run'!J33 + '[2]PBF Run'!$L33</f>
        <v>6364373</v>
      </c>
      <c r="BB26" s="460">
        <f>'[2]PBF Run'!H33</f>
        <v>208574</v>
      </c>
      <c r="BC26" s="460">
        <f>'[2]PBF Run'!I33</f>
        <v>0</v>
      </c>
      <c r="BD26" s="462">
        <v>0</v>
      </c>
      <c r="BE26" s="461">
        <f>'[2]Restoration and Growth'!BM33</f>
        <v>0</v>
      </c>
      <c r="BF26" s="460">
        <f t="shared" si="11"/>
        <v>10508923</v>
      </c>
      <c r="BG26" s="333" t="str">
        <f t="shared" si="25"/>
        <v>0.85%</v>
      </c>
      <c r="BH26" s="459">
        <f>'[2]PBF Run'!O33</f>
        <v>89326</v>
      </c>
      <c r="BI26" s="459">
        <f t="shared" si="12"/>
        <v>10598249</v>
      </c>
      <c r="BJ26" s="458">
        <f>'[2]PBF Run'!AC33</f>
        <v>0</v>
      </c>
      <c r="BK26" s="458">
        <f>'[2]PBF Run'!$AD33</f>
        <v>0</v>
      </c>
      <c r="BL26" s="458">
        <f>'[2]PBF Run'!$T33</f>
        <v>1372751</v>
      </c>
      <c r="BM26" s="458">
        <f>'[2]PBF Run'!$S33</f>
        <v>0</v>
      </c>
      <c r="BN26" s="458">
        <f>'[2]13-14 $86M Workload Restore'!$P31</f>
        <v>0</v>
      </c>
      <c r="BO26" s="458">
        <f t="shared" si="13"/>
        <v>1372751</v>
      </c>
      <c r="BP26" s="478">
        <f>'[2]Restoration and Growth'!AA33</f>
        <v>0</v>
      </c>
      <c r="BQ26" s="478">
        <f>'[2]Restoration and Growth'!AB33</f>
        <v>0</v>
      </c>
      <c r="BR26" s="453">
        <f>'[2]Restoration and Growth'!BT33</f>
        <v>0</v>
      </c>
      <c r="BS26" s="453">
        <f>'[2]Growth Deficit'!$AO33</f>
        <v>0</v>
      </c>
      <c r="BT26" s="453">
        <f>'[2]Growth Deficit'!AO33</f>
        <v>0</v>
      </c>
      <c r="BU26" s="453">
        <f>'[2]Growth Deficit'!AL33</f>
        <v>0</v>
      </c>
      <c r="BV26" s="453">
        <f>'[2]Growth Deficit'!AM33</f>
        <v>0</v>
      </c>
      <c r="BW26" s="453">
        <f>'[2]Growth Deficit'!AN33</f>
        <v>0</v>
      </c>
      <c r="BX26" s="453">
        <f>'[2]Growth Deficit'!AO33</f>
        <v>0</v>
      </c>
      <c r="BY26" s="454">
        <f>'[2]PBF Run'!AA33</f>
        <v>-162047</v>
      </c>
      <c r="BZ26" s="454">
        <f>'[2]PBF Run'!AB33</f>
        <v>0</v>
      </c>
      <c r="CA26" s="454">
        <f>'[2]PBF Run'!AC33</f>
        <v>0</v>
      </c>
      <c r="CB26" s="454">
        <f t="shared" si="14"/>
        <v>-162047</v>
      </c>
      <c r="CC26" s="457">
        <f>'[2]PBF Run'!X33</f>
        <v>0</v>
      </c>
      <c r="CD26" s="456">
        <f>'[2]PBF Run'!AE33</f>
        <v>11808953</v>
      </c>
      <c r="CE26" s="337">
        <f t="shared" si="15"/>
        <v>0.98518539281170825</v>
      </c>
      <c r="CF26" s="455">
        <f>'[2]PBF Run'!AM33</f>
        <v>174945</v>
      </c>
      <c r="CG26" s="455">
        <f>'[2]PBF Run'!$AN33</f>
        <v>7971328</v>
      </c>
      <c r="CH26" s="455">
        <f>'[2]PBF Run'!$AO33</f>
        <v>0</v>
      </c>
      <c r="CI26" s="455">
        <f>'[2]PBF Run'!AJ33</f>
        <v>1394371</v>
      </c>
      <c r="CJ26" s="455">
        <f>'[2]PBF Run'!AI33</f>
        <v>399399</v>
      </c>
      <c r="CK26" s="455">
        <f>'[2]PBF Run'!$AN33</f>
        <v>7971328</v>
      </c>
      <c r="CL26" s="455">
        <f>'[2]PBF Run'!AK33</f>
        <v>1868910</v>
      </c>
      <c r="CM26" s="455">
        <f t="shared" si="16"/>
        <v>11634008</v>
      </c>
      <c r="CN26" s="454">
        <f>'[2]PBF Run'!$AN33</f>
        <v>7971328</v>
      </c>
      <c r="CO26" s="454">
        <f>'[2]PBF Run'!BI33</f>
        <v>0</v>
      </c>
      <c r="CP26" s="339">
        <f>'[2]PBF Run'!BH33</f>
        <v>0</v>
      </c>
      <c r="CQ26" s="454">
        <f t="shared" si="26"/>
        <v>69532</v>
      </c>
      <c r="CR26" s="454">
        <f t="shared" si="17"/>
        <v>7971328</v>
      </c>
      <c r="CS26" s="453">
        <f>'[2]As of 13-14 R1'!BX33</f>
        <v>0</v>
      </c>
      <c r="CT26" s="453">
        <f>'[2]As of 13-14 R1'!BY33</f>
        <v>1474767</v>
      </c>
      <c r="CU26" s="453">
        <f>'[2]As of 13-14 R1'!BZ33</f>
        <v>557318</v>
      </c>
      <c r="CV26" s="453">
        <f t="shared" si="18"/>
        <v>2032085</v>
      </c>
      <c r="CW26" s="342">
        <f>'[2]Growth Deficit'!$D$2</f>
        <v>0</v>
      </c>
      <c r="CX26" s="343">
        <f>IF($DL26="S",'[2]Foundation Grant'!C33,0)</f>
        <v>0</v>
      </c>
      <c r="CY26" s="343">
        <f>IF($DL26="S",'[2]Foundation Grant'!D33,0)</f>
        <v>0</v>
      </c>
      <c r="CZ26" s="343">
        <f>IF($DL26="S",'[2]Foundation Grant'!E33,0)</f>
        <v>1</v>
      </c>
      <c r="DA26" s="343">
        <f>IF($DL26="S",'[2]Foundation Grant'!F33,0)</f>
        <v>1</v>
      </c>
      <c r="DB26" s="343">
        <f>IF($DL26="M",'[2]Foundation Grant'!C33,0)</f>
        <v>0</v>
      </c>
      <c r="DC26" s="343">
        <f>IF($DL26="M",'[2]Foundation Grant'!D33,0)</f>
        <v>0</v>
      </c>
      <c r="DD26" s="343">
        <f>IF($DL26="M",'[2]Foundation Grant'!E33,0)</f>
        <v>0</v>
      </c>
      <c r="DE26" s="343">
        <f>IF($DL26="M",'[2]Foundation Grant'!F33,0)</f>
        <v>0</v>
      </c>
      <c r="DF26" s="343">
        <f>'[2]Foundation Grant'!G33</f>
        <v>0</v>
      </c>
      <c r="DG26" s="343">
        <f>'[2]Foundation Grant'!H33</f>
        <v>0</v>
      </c>
      <c r="DH26" s="343">
        <f>'[2]Foundation Grant'!I33</f>
        <v>0</v>
      </c>
      <c r="DI26" s="343">
        <f>'[2]Foundation Grant'!J33</f>
        <v>0</v>
      </c>
      <c r="DJ26" s="343">
        <f>'[2]Foundation Grant'!K33</f>
        <v>0</v>
      </c>
      <c r="DK26" s="452">
        <f>'[2]Foundation Grant'!L33</f>
        <v>0</v>
      </c>
      <c r="DL26" s="343" t="str">
        <f>'[2]Foundation Grant'!M33</f>
        <v>S</v>
      </c>
      <c r="DM26" s="343">
        <f>'[2]Foundation Grant'!N33</f>
        <v>3935976</v>
      </c>
      <c r="DN26" s="452">
        <f>'[2]Foundation Grant'!O33</f>
        <v>1</v>
      </c>
      <c r="DO26" s="452">
        <f>'[2]Foundation Grant'!P33</f>
        <v>0</v>
      </c>
      <c r="DP26" s="344">
        <f>'[2]Foundation Grant'!$C$1</f>
        <v>5622823</v>
      </c>
      <c r="DQ26" s="344">
        <f>'[2]Foundation Grant'!$D$1</f>
        <v>4498258</v>
      </c>
      <c r="DR26" s="344">
        <f>'[2]Foundation Grant'!$E$1</f>
        <v>3373694</v>
      </c>
      <c r="DS26" s="344">
        <f>'[2]Foundation Grant'!$C$2</f>
        <v>4498258</v>
      </c>
      <c r="DT26" s="344">
        <f>'[2]Foundation Grant'!$D$2</f>
        <v>3935976</v>
      </c>
      <c r="DU26" s="344">
        <f>'[2]Foundation Grant'!$E$2</f>
        <v>3373694</v>
      </c>
      <c r="DV26" s="344">
        <f>'[2]Foundation Grant'!$G$1</f>
        <v>1124565</v>
      </c>
      <c r="DW26" s="344">
        <f>'[2]Foundation Grant'!$H$1</f>
        <v>843423</v>
      </c>
      <c r="DX26" s="344">
        <f>'[2]Foundation Grant'!$I$1</f>
        <v>562282</v>
      </c>
      <c r="DY26" s="344">
        <f>'[2]Foundation Grant'!$J$1</f>
        <v>281141</v>
      </c>
      <c r="DZ26" s="344">
        <f>'[2]Foundation Grant'!$K$1</f>
        <v>140571</v>
      </c>
      <c r="EA26" s="344">
        <f>'[2]Foundation Grant'!$O$1</f>
        <v>562282</v>
      </c>
      <c r="EB26" s="344">
        <f>'[2]Foundation Grant'!$P$1</f>
        <v>1124565</v>
      </c>
      <c r="EC26" s="345">
        <f>'[2]basic allocation'!$C$10</f>
        <v>18749</v>
      </c>
      <c r="ED26" s="345">
        <f>'[2]basic allocation'!$D$10</f>
        <v>9375</v>
      </c>
      <c r="EE26" s="345">
        <f>'[2]basic allocation'!$E$10</f>
        <v>9375</v>
      </c>
      <c r="EF26" s="345">
        <f>'[2]basic allocation'!$I$10</f>
        <v>938</v>
      </c>
      <c r="EG26" s="345">
        <f>'[2]basic allocation'!$J$10</f>
        <v>703</v>
      </c>
      <c r="EH26" s="345">
        <f>'[2]basic allocation'!$K$10</f>
        <v>469</v>
      </c>
      <c r="EI26" s="345">
        <f>'[2]basic allocation'!$L$10</f>
        <v>234</v>
      </c>
      <c r="EJ26" s="345">
        <f>'[2]basic allocation'!$M$10</f>
        <v>100</v>
      </c>
      <c r="EK26" s="345">
        <f>'[2]PBF Run'!$AT33</f>
        <v>0</v>
      </c>
      <c r="EM26" s="477"/>
    </row>
    <row r="27" spans="1:143" s="648" customFormat="1">
      <c r="A27" s="646" t="s">
        <v>605</v>
      </c>
      <c r="B27" s="647" t="str">
        <f t="shared" si="19"/>
        <v>P1</v>
      </c>
      <c r="C27" s="648" t="s">
        <v>351</v>
      </c>
      <c r="D27" s="649" t="s">
        <v>350</v>
      </c>
      <c r="E27" s="650">
        <f>ROUND('[2]PBF Run'!N34,6)</f>
        <v>4636.492835</v>
      </c>
      <c r="F27" s="648">
        <f t="shared" si="20"/>
        <v>4636.49</v>
      </c>
      <c r="G27" s="651">
        <f t="shared" si="21"/>
        <v>2788.0536374600001</v>
      </c>
      <c r="H27" s="651">
        <f t="shared" si="22"/>
        <v>2811.7520933800001</v>
      </c>
      <c r="I27" s="651">
        <f t="shared" si="23"/>
        <v>3282.8110613200001</v>
      </c>
      <c r="J27" s="651">
        <f t="shared" si="24"/>
        <v>3310.71495534</v>
      </c>
      <c r="K27" s="652">
        <f>ROUND([2]FTES!C34,3)</f>
        <v>19675.759999999998</v>
      </c>
      <c r="L27" s="652">
        <f>ROUND([2]FTES!L34,3)</f>
        <v>137.01</v>
      </c>
      <c r="M27" s="652">
        <f>ROUND([2]FTES!U34,3)</f>
        <v>97.36</v>
      </c>
      <c r="N27" s="652">
        <f>ROUND([2]FTES!$D34,3)</f>
        <v>19675.759999999998</v>
      </c>
      <c r="O27" s="652">
        <f>ROUND([2]FTES!$M34,3)</f>
        <v>137.01</v>
      </c>
      <c r="P27" s="652">
        <f>ROUND([2]FTES!$V34,3)</f>
        <v>97.36</v>
      </c>
      <c r="Q27" s="652">
        <f>'[2]FTES Adjustment'!BU34</f>
        <v>0</v>
      </c>
      <c r="R27" s="652">
        <f>'[2]FTES Adjustment'!BV34</f>
        <v>0</v>
      </c>
      <c r="S27" s="652">
        <f>'[2]FTES Adjustment'!BW34</f>
        <v>0</v>
      </c>
      <c r="T27" s="652">
        <f>ROUND('[2]Growth Deficit'!$AG34,3)</f>
        <v>0</v>
      </c>
      <c r="U27" s="652">
        <f>ROUND('[2]Growth Deficit'!$AH34,3)</f>
        <v>0</v>
      </c>
      <c r="V27" s="652">
        <f>ROUND('[2]Growth Deficit'!$AI34,3)</f>
        <v>0</v>
      </c>
      <c r="W27" s="652">
        <f>ROUND([2]FTES!I34,3)</f>
        <v>0</v>
      </c>
      <c r="X27" s="652">
        <f>ROUND([2]FTES!R34,3)</f>
        <v>0</v>
      </c>
      <c r="Y27" s="652">
        <f>ROUND([2]FTES!AA34,3)</f>
        <v>0</v>
      </c>
      <c r="Z27" s="652">
        <f>ROUND([2]FTES!E34,3)</f>
        <v>19922.55</v>
      </c>
      <c r="AA27" s="652">
        <f>ROUND([2]FTES!N34,3)</f>
        <v>157</v>
      </c>
      <c r="AB27" s="652">
        <f>ROUND([2]FTES!W34,3)</f>
        <v>227.63</v>
      </c>
      <c r="AC27" s="653">
        <f>'[2]FTES Adjustment'!CW34</f>
        <v>19922.549921000002</v>
      </c>
      <c r="AD27" s="653">
        <f>'[2]FTES Adjustment'!CX34</f>
        <v>157</v>
      </c>
      <c r="AE27" s="653">
        <f>'[2]FTES Adjustment'!CY34</f>
        <v>227.63</v>
      </c>
      <c r="AF27" s="654">
        <f>'[2]FTES Adjustment'!DQ34</f>
        <v>7.8999997640494257E-5</v>
      </c>
      <c r="AG27" s="654">
        <f>'[2]FTES Adjustment'!DR34</f>
        <v>0</v>
      </c>
      <c r="AH27" s="654">
        <f>'[2]FTES Adjustment'!DS34</f>
        <v>0</v>
      </c>
      <c r="AI27" s="648">
        <f>'[2]FTES Adjustment'!$DX34</f>
        <v>0</v>
      </c>
      <c r="AJ27" s="648">
        <v>0</v>
      </c>
      <c r="AK27" s="648">
        <v>0</v>
      </c>
      <c r="AL27" s="652">
        <f>'[2]FTES Adjustment'!CG34</f>
        <v>246.789976</v>
      </c>
      <c r="AM27" s="652">
        <f>'[2]FTES Adjustment'!CH34</f>
        <v>19.989999999999998</v>
      </c>
      <c r="AN27" s="652">
        <f>'[2]FTES Adjustment'!CI34</f>
        <v>130.27000000000001</v>
      </c>
      <c r="AO27" s="652">
        <f t="shared" si="0"/>
        <v>19910.13</v>
      </c>
      <c r="AP27" s="652">
        <f t="shared" si="1"/>
        <v>19910.13</v>
      </c>
      <c r="AQ27" s="652">
        <f t="shared" si="2"/>
        <v>0</v>
      </c>
      <c r="AR27" s="652">
        <f t="shared" si="3"/>
        <v>0</v>
      </c>
      <c r="AS27" s="652">
        <f t="shared" si="4"/>
        <v>0</v>
      </c>
      <c r="AT27" s="652">
        <f t="shared" si="5"/>
        <v>20307.18</v>
      </c>
      <c r="AU27" s="652">
        <f t="shared" si="6"/>
        <v>20307.18</v>
      </c>
      <c r="AV27" s="654">
        <f t="shared" si="7"/>
        <v>0</v>
      </c>
      <c r="AW27" s="654">
        <f t="shared" si="8"/>
        <v>0</v>
      </c>
      <c r="AX27" s="654">
        <f t="shared" si="9"/>
        <v>397.05</v>
      </c>
      <c r="AY27" s="655">
        <f>'[2]PBF Run'!F34</f>
        <v>6747388</v>
      </c>
      <c r="AZ27" s="655">
        <f t="shared" si="10"/>
        <v>91928125</v>
      </c>
      <c r="BA27" s="655">
        <f>'[2]PBF Run'!J34 + '[2]PBF Run'!$L34</f>
        <v>91226520</v>
      </c>
      <c r="BB27" s="655">
        <f>'[2]PBF Run'!H34</f>
        <v>381991</v>
      </c>
      <c r="BC27" s="655">
        <f>'[2]PBF Run'!I34</f>
        <v>319614</v>
      </c>
      <c r="BD27" s="655">
        <v>0</v>
      </c>
      <c r="BE27" s="656">
        <f>'[2]Restoration and Growth'!BM34</f>
        <v>0</v>
      </c>
      <c r="BF27" s="655">
        <f t="shared" si="11"/>
        <v>98675513</v>
      </c>
      <c r="BG27" s="648" t="str">
        <f t="shared" si="25"/>
        <v>0.85%</v>
      </c>
      <c r="BH27" s="657">
        <f>'[2]PBF Run'!O34</f>
        <v>838742</v>
      </c>
      <c r="BI27" s="657">
        <f t="shared" si="12"/>
        <v>99514255</v>
      </c>
      <c r="BJ27" s="657">
        <f>'[2]PBF Run'!AC34</f>
        <v>0</v>
      </c>
      <c r="BK27" s="657">
        <f>'[2]PBF Run'!$AD34</f>
        <v>0</v>
      </c>
      <c r="BL27" s="657">
        <f>'[2]PBF Run'!$T34</f>
        <v>0</v>
      </c>
      <c r="BM27" s="657">
        <f>'[2]PBF Run'!$S34</f>
        <v>1641460</v>
      </c>
      <c r="BN27" s="657">
        <f>'[2]13-14 $86M Workload Restore'!$P32</f>
        <v>0</v>
      </c>
      <c r="BO27" s="657">
        <f t="shared" si="13"/>
        <v>1641460</v>
      </c>
      <c r="BP27" s="658">
        <f>'[2]Restoration and Growth'!AA34</f>
        <v>0</v>
      </c>
      <c r="BQ27" s="658">
        <f>'[2]Restoration and Growth'!AB34</f>
        <v>0</v>
      </c>
      <c r="BR27" s="657">
        <f>'[2]Restoration and Growth'!BT34</f>
        <v>0</v>
      </c>
      <c r="BS27" s="657">
        <f>'[2]Growth Deficit'!$AO34</f>
        <v>0</v>
      </c>
      <c r="BT27" s="657">
        <f>'[2]Growth Deficit'!AO34</f>
        <v>0</v>
      </c>
      <c r="BU27" s="657">
        <f>'[2]Growth Deficit'!AL34</f>
        <v>0</v>
      </c>
      <c r="BV27" s="657">
        <f>'[2]Growth Deficit'!AM34</f>
        <v>0</v>
      </c>
      <c r="BW27" s="657">
        <f>'[2]Growth Deficit'!AN34</f>
        <v>0</v>
      </c>
      <c r="BX27" s="657">
        <f>'[2]Growth Deficit'!AO34</f>
        <v>0</v>
      </c>
      <c r="BY27" s="657">
        <f>'[2]PBF Run'!AA34</f>
        <v>0</v>
      </c>
      <c r="BZ27" s="657">
        <f>'[2]PBF Run'!AB34</f>
        <v>0</v>
      </c>
      <c r="CA27" s="657">
        <f>'[2]PBF Run'!AC34</f>
        <v>0</v>
      </c>
      <c r="CB27" s="657">
        <f t="shared" si="14"/>
        <v>0</v>
      </c>
      <c r="CC27" s="657">
        <f>'[2]PBF Run'!X34</f>
        <v>0</v>
      </c>
      <c r="CD27" s="657">
        <f>'[2]PBF Run'!AE34</f>
        <v>101155715</v>
      </c>
      <c r="CE27" s="650">
        <f t="shared" si="15"/>
        <v>0.98518541438810447</v>
      </c>
      <c r="CF27" s="657">
        <f>'[2]PBF Run'!AM34</f>
        <v>1498580</v>
      </c>
      <c r="CG27" s="657">
        <f>'[2]PBF Run'!$AN34</f>
        <v>66392086</v>
      </c>
      <c r="CH27" s="657">
        <f>'[2]PBF Run'!$AO34</f>
        <v>0</v>
      </c>
      <c r="CI27" s="657">
        <f>'[2]PBF Run'!AJ34</f>
        <v>12942295</v>
      </c>
      <c r="CJ27" s="657">
        <f>'[2]PBF Run'!AI34</f>
        <v>4488447</v>
      </c>
      <c r="CK27" s="657">
        <f>'[2]PBF Run'!$AN34</f>
        <v>66392086</v>
      </c>
      <c r="CL27" s="657">
        <f>'[2]PBF Run'!AK34</f>
        <v>15834307</v>
      </c>
      <c r="CM27" s="657">
        <f t="shared" si="16"/>
        <v>99657135</v>
      </c>
      <c r="CN27" s="657">
        <f>'[2]PBF Run'!$AN34</f>
        <v>66392086</v>
      </c>
      <c r="CO27" s="657">
        <f>'[2]PBF Run'!BI34</f>
        <v>0</v>
      </c>
      <c r="CP27" s="659">
        <f>'[2]PBF Run'!BH34</f>
        <v>0</v>
      </c>
      <c r="CQ27" s="657">
        <f t="shared" si="26"/>
        <v>69532</v>
      </c>
      <c r="CR27" s="657">
        <f t="shared" si="17"/>
        <v>66392086</v>
      </c>
      <c r="CS27" s="657">
        <f>'[2]As of 13-14 R1'!BX34</f>
        <v>0</v>
      </c>
      <c r="CT27" s="657">
        <f>'[2]As of 13-14 R1'!BY34</f>
        <v>0</v>
      </c>
      <c r="CU27" s="657">
        <f>'[2]As of 13-14 R1'!BZ34</f>
        <v>0</v>
      </c>
      <c r="CV27" s="657">
        <f t="shared" si="18"/>
        <v>0</v>
      </c>
      <c r="CW27" s="660">
        <f>'[2]Growth Deficit'!$D$2</f>
        <v>0</v>
      </c>
      <c r="CX27" s="648">
        <f>IF($DL27="S",'[2]Foundation Grant'!C34,0)</f>
        <v>1</v>
      </c>
      <c r="CY27" s="648">
        <f>IF($DL27="S",'[2]Foundation Grant'!D34,0)</f>
        <v>0</v>
      </c>
      <c r="CZ27" s="648">
        <f>IF($DL27="S",'[2]Foundation Grant'!E34,0)</f>
        <v>0</v>
      </c>
      <c r="DA27" s="648">
        <f>IF($DL27="S",'[2]Foundation Grant'!F34,0)</f>
        <v>1</v>
      </c>
      <c r="DB27" s="648">
        <f>IF($DL27="M",'[2]Foundation Grant'!C34,0)</f>
        <v>0</v>
      </c>
      <c r="DC27" s="648">
        <f>IF($DL27="M",'[2]Foundation Grant'!D34,0)</f>
        <v>0</v>
      </c>
      <c r="DD27" s="648">
        <f>IF($DL27="M",'[2]Foundation Grant'!E34,0)</f>
        <v>0</v>
      </c>
      <c r="DE27" s="648">
        <f>IF($DL27="M",'[2]Foundation Grant'!F34,0)</f>
        <v>0</v>
      </c>
      <c r="DF27" s="648">
        <f>'[2]Foundation Grant'!G34</f>
        <v>0</v>
      </c>
      <c r="DG27" s="648">
        <f>'[2]Foundation Grant'!H34</f>
        <v>0</v>
      </c>
      <c r="DH27" s="648">
        <f>'[2]Foundation Grant'!I34</f>
        <v>0</v>
      </c>
      <c r="DI27" s="648">
        <f>'[2]Foundation Grant'!J34</f>
        <v>0</v>
      </c>
      <c r="DJ27" s="648">
        <f>'[2]Foundation Grant'!K34</f>
        <v>0</v>
      </c>
      <c r="DK27" s="661">
        <f>'[2]Foundation Grant'!L34</f>
        <v>0</v>
      </c>
      <c r="DL27" s="648" t="str">
        <f>'[2]Foundation Grant'!M34</f>
        <v>S</v>
      </c>
      <c r="DM27" s="648">
        <f>'[2]Foundation Grant'!N34</f>
        <v>6747388</v>
      </c>
      <c r="DN27" s="661">
        <f>'[2]Foundation Grant'!O34</f>
        <v>0</v>
      </c>
      <c r="DO27" s="661">
        <f>'[2]Foundation Grant'!P34</f>
        <v>1</v>
      </c>
      <c r="DP27" s="662">
        <f>'[2]Foundation Grant'!$C$1</f>
        <v>5622823</v>
      </c>
      <c r="DQ27" s="662">
        <f>'[2]Foundation Grant'!$D$1</f>
        <v>4498258</v>
      </c>
      <c r="DR27" s="662">
        <f>'[2]Foundation Grant'!$E$1</f>
        <v>3373694</v>
      </c>
      <c r="DS27" s="662">
        <f>'[2]Foundation Grant'!$C$2</f>
        <v>4498258</v>
      </c>
      <c r="DT27" s="662">
        <f>'[2]Foundation Grant'!$D$2</f>
        <v>3935976</v>
      </c>
      <c r="DU27" s="662">
        <f>'[2]Foundation Grant'!$E$2</f>
        <v>3373694</v>
      </c>
      <c r="DV27" s="662">
        <f>'[2]Foundation Grant'!$G$1</f>
        <v>1124565</v>
      </c>
      <c r="DW27" s="662">
        <f>'[2]Foundation Grant'!$H$1</f>
        <v>843423</v>
      </c>
      <c r="DX27" s="662">
        <f>'[2]Foundation Grant'!$I$1</f>
        <v>562282</v>
      </c>
      <c r="DY27" s="662">
        <f>'[2]Foundation Grant'!$J$1</f>
        <v>281141</v>
      </c>
      <c r="DZ27" s="662">
        <f>'[2]Foundation Grant'!$K$1</f>
        <v>140571</v>
      </c>
      <c r="EA27" s="662">
        <f>'[2]Foundation Grant'!$O$1</f>
        <v>562282</v>
      </c>
      <c r="EB27" s="662">
        <f>'[2]Foundation Grant'!$P$1</f>
        <v>1124565</v>
      </c>
      <c r="EC27" s="663">
        <f>'[2]basic allocation'!$C$10</f>
        <v>18749</v>
      </c>
      <c r="ED27" s="663">
        <f>'[2]basic allocation'!$D$10</f>
        <v>9375</v>
      </c>
      <c r="EE27" s="663">
        <f>'[2]basic allocation'!$E$10</f>
        <v>9375</v>
      </c>
      <c r="EF27" s="663">
        <f>'[2]basic allocation'!$I$10</f>
        <v>938</v>
      </c>
      <c r="EG27" s="663">
        <f>'[2]basic allocation'!$J$10</f>
        <v>703</v>
      </c>
      <c r="EH27" s="663">
        <f>'[2]basic allocation'!$K$10</f>
        <v>469</v>
      </c>
      <c r="EI27" s="663">
        <f>'[2]basic allocation'!$L$10</f>
        <v>234</v>
      </c>
      <c r="EJ27" s="663">
        <f>'[2]basic allocation'!$M$10</f>
        <v>100</v>
      </c>
      <c r="EK27" s="663">
        <f>'[2]PBF Run'!$AT34</f>
        <v>0</v>
      </c>
      <c r="EM27" s="657"/>
    </row>
    <row r="28" spans="1:143">
      <c r="A28" s="476" t="s">
        <v>605</v>
      </c>
      <c r="B28" s="475" t="str">
        <f t="shared" si="19"/>
        <v>P1</v>
      </c>
      <c r="C28" s="346" t="s">
        <v>349</v>
      </c>
      <c r="D28" s="450" t="s">
        <v>348</v>
      </c>
      <c r="E28" s="449">
        <f>ROUND('[2]PBF Run'!N35,6)</f>
        <v>4636.4928570000002</v>
      </c>
      <c r="F28" s="340">
        <f t="shared" si="20"/>
        <v>4636.49</v>
      </c>
      <c r="G28" s="474">
        <f t="shared" si="21"/>
        <v>2788.0536374600001</v>
      </c>
      <c r="H28" s="473">
        <f t="shared" si="22"/>
        <v>2811.7520933800001</v>
      </c>
      <c r="I28" s="473">
        <f t="shared" si="23"/>
        <v>3282.8110613200001</v>
      </c>
      <c r="J28" s="473">
        <f t="shared" si="24"/>
        <v>3310.71495534</v>
      </c>
      <c r="K28" s="472">
        <f>ROUND([2]FTES!C35,3)</f>
        <v>94583.259000000005</v>
      </c>
      <c r="L28" s="472">
        <f>ROUND([2]FTES!L35,3)</f>
        <v>1934.42</v>
      </c>
      <c r="M28" s="472">
        <f>ROUND([2]FTES!U35,3)</f>
        <v>2909.02</v>
      </c>
      <c r="N28" s="465">
        <f>ROUND([2]FTES!$D35,3)</f>
        <v>94583.259000000005</v>
      </c>
      <c r="O28" s="465">
        <f>ROUND([2]FTES!$M35,3)</f>
        <v>1934.42</v>
      </c>
      <c r="P28" s="465">
        <f>ROUND([2]FTES!$V35,3)</f>
        <v>2909.02</v>
      </c>
      <c r="Q28" s="471">
        <f>'[2]FTES Adjustment'!BU35</f>
        <v>0</v>
      </c>
      <c r="R28" s="471">
        <f>'[2]FTES Adjustment'!BV35</f>
        <v>0</v>
      </c>
      <c r="S28" s="471">
        <f>'[2]FTES Adjustment'!BW35</f>
        <v>0</v>
      </c>
      <c r="T28" s="469">
        <f>ROUND('[2]Growth Deficit'!$AG35,3)</f>
        <v>0</v>
      </c>
      <c r="U28" s="469">
        <f>ROUND('[2]Growth Deficit'!$AH35,3)</f>
        <v>0</v>
      </c>
      <c r="V28" s="469">
        <f>ROUND('[2]Growth Deficit'!$AI35,3)</f>
        <v>0</v>
      </c>
      <c r="W28" s="470">
        <f>ROUND([2]FTES!I35,3)</f>
        <v>0</v>
      </c>
      <c r="X28" s="470">
        <f>ROUND([2]FTES!R35,3)</f>
        <v>0</v>
      </c>
      <c r="Y28" s="470">
        <f>ROUND([2]FTES!AA35,3)</f>
        <v>0</v>
      </c>
      <c r="Z28" s="469">
        <f>ROUND([2]FTES!E35,3)</f>
        <v>100542.22</v>
      </c>
      <c r="AA28" s="469">
        <f>ROUND([2]FTES!N35,3)</f>
        <v>2290.73</v>
      </c>
      <c r="AB28" s="469">
        <f>ROUND([2]FTES!W35,3)</f>
        <v>3110.2</v>
      </c>
      <c r="AC28" s="468">
        <f>'[2]FTES Adjustment'!CW35</f>
        <v>99151.743855999986</v>
      </c>
      <c r="AD28" s="468">
        <f>'[2]FTES Adjustment'!CX35</f>
        <v>2290.7299999999996</v>
      </c>
      <c r="AE28" s="468">
        <f>'[2]FTES Adjustment'!CY35</f>
        <v>3110.2</v>
      </c>
      <c r="AF28" s="467">
        <f>'[2]FTES Adjustment'!DQ35</f>
        <v>1390.4761440000148</v>
      </c>
      <c r="AG28" s="467">
        <f>'[2]FTES Adjustment'!DR35</f>
        <v>0</v>
      </c>
      <c r="AH28" s="467">
        <f>'[2]FTES Adjustment'!DS35</f>
        <v>0</v>
      </c>
      <c r="AI28" s="340">
        <f>'[2]FTES Adjustment'!$DX35</f>
        <v>0</v>
      </c>
      <c r="AJ28" s="340">
        <v>0</v>
      </c>
      <c r="AK28" s="340">
        <v>0</v>
      </c>
      <c r="AL28" s="465">
        <f>'[2]FTES Adjustment'!CG35</f>
        <v>4568.4848039999997</v>
      </c>
      <c r="AM28" s="465">
        <f>'[2]FTES Adjustment'!CH35</f>
        <v>356.31</v>
      </c>
      <c r="AN28" s="465">
        <f>'[2]FTES Adjustment'!CI35</f>
        <v>201.18</v>
      </c>
      <c r="AO28" s="463">
        <f t="shared" si="0"/>
        <v>99426.698999999993</v>
      </c>
      <c r="AP28" s="463">
        <f t="shared" si="1"/>
        <v>99426.698999999993</v>
      </c>
      <c r="AQ28" s="463">
        <f t="shared" si="2"/>
        <v>0</v>
      </c>
      <c r="AR28" s="463">
        <f t="shared" si="3"/>
        <v>0</v>
      </c>
      <c r="AS28" s="463">
        <f t="shared" si="4"/>
        <v>0</v>
      </c>
      <c r="AT28" s="463">
        <f t="shared" si="5"/>
        <v>105943.15</v>
      </c>
      <c r="AU28" s="463">
        <f t="shared" si="6"/>
        <v>104552.674</v>
      </c>
      <c r="AV28" s="464">
        <f t="shared" si="7"/>
        <v>1390.4760000000001</v>
      </c>
      <c r="AW28" s="464">
        <f t="shared" si="8"/>
        <v>0</v>
      </c>
      <c r="AX28" s="464">
        <f t="shared" si="9"/>
        <v>5125.9750000000004</v>
      </c>
      <c r="AY28" s="460">
        <f>'[2]PBF Run'!F35</f>
        <v>33736938</v>
      </c>
      <c r="AZ28" s="460">
        <f t="shared" si="10"/>
        <v>453477635</v>
      </c>
      <c r="BA28" s="460">
        <f>'[2]PBF Run'!J35 + '[2]PBF Run'!$L35</f>
        <v>438534605</v>
      </c>
      <c r="BB28" s="460">
        <f>'[2]PBF Run'!H35</f>
        <v>5393267</v>
      </c>
      <c r="BC28" s="460">
        <f>'[2]PBF Run'!I35</f>
        <v>9549763</v>
      </c>
      <c r="BD28" s="462">
        <v>0</v>
      </c>
      <c r="BE28" s="461">
        <f>'[2]Restoration and Growth'!BM35</f>
        <v>0</v>
      </c>
      <c r="BF28" s="460">
        <f t="shared" si="11"/>
        <v>487214573</v>
      </c>
      <c r="BG28" s="333" t="str">
        <f t="shared" si="25"/>
        <v>0.85%</v>
      </c>
      <c r="BH28" s="459">
        <f>'[2]PBF Run'!O35</f>
        <v>4141324</v>
      </c>
      <c r="BI28" s="459">
        <f t="shared" si="12"/>
        <v>491355897</v>
      </c>
      <c r="BJ28" s="458">
        <f>'[2]PBF Run'!AC35</f>
        <v>0</v>
      </c>
      <c r="BK28" s="458">
        <f>'[2]PBF Run'!$AD35</f>
        <v>0</v>
      </c>
      <c r="BL28" s="458">
        <f>'[2]PBF Run'!$T35</f>
        <v>0</v>
      </c>
      <c r="BM28" s="458">
        <f>'[2]PBF Run'!$S35</f>
        <v>23029697</v>
      </c>
      <c r="BN28" s="458">
        <f>'[2]13-14 $86M Workload Restore'!$P33</f>
        <v>0</v>
      </c>
      <c r="BO28" s="458">
        <f t="shared" si="13"/>
        <v>23029697</v>
      </c>
      <c r="BP28" s="478">
        <f>'[2]Restoration and Growth'!AA35</f>
        <v>0</v>
      </c>
      <c r="BQ28" s="478">
        <f>'[2]Restoration and Growth'!AB35</f>
        <v>0</v>
      </c>
      <c r="BR28" s="453">
        <f>'[2]Restoration and Growth'!BT35</f>
        <v>0</v>
      </c>
      <c r="BS28" s="453">
        <f>'[2]Growth Deficit'!$AO35</f>
        <v>0</v>
      </c>
      <c r="BT28" s="453">
        <f>'[2]Growth Deficit'!AO35</f>
        <v>0</v>
      </c>
      <c r="BU28" s="453">
        <f>'[2]Growth Deficit'!AL35</f>
        <v>0</v>
      </c>
      <c r="BV28" s="453">
        <f>'[2]Growth Deficit'!AM35</f>
        <v>0</v>
      </c>
      <c r="BW28" s="453">
        <f>'[2]Growth Deficit'!AN35</f>
        <v>0</v>
      </c>
      <c r="BX28" s="453">
        <f>'[2]Growth Deficit'!AO35</f>
        <v>0</v>
      </c>
      <c r="BY28" s="454">
        <f>'[2]PBF Run'!AA35</f>
        <v>0</v>
      </c>
      <c r="BZ28" s="454">
        <f>'[2]PBF Run'!AB35</f>
        <v>0</v>
      </c>
      <c r="CA28" s="454">
        <f>'[2]PBF Run'!AC35</f>
        <v>0</v>
      </c>
      <c r="CB28" s="454">
        <f t="shared" si="14"/>
        <v>0</v>
      </c>
      <c r="CC28" s="457">
        <f>'[2]PBF Run'!X35</f>
        <v>0</v>
      </c>
      <c r="CD28" s="456">
        <f>'[2]PBF Run'!AE35</f>
        <v>514385594</v>
      </c>
      <c r="CE28" s="337">
        <f t="shared" si="15"/>
        <v>0.98518541714836594</v>
      </c>
      <c r="CF28" s="455">
        <f>'[2]PBF Run'!AM35</f>
        <v>7620408</v>
      </c>
      <c r="CG28" s="455">
        <f>'[2]PBF Run'!$AN35</f>
        <v>222868220</v>
      </c>
      <c r="CH28" s="455">
        <f>'[2]PBF Run'!$AO35</f>
        <v>0</v>
      </c>
      <c r="CI28" s="455">
        <f>'[2]PBF Run'!AJ35</f>
        <v>181039938</v>
      </c>
      <c r="CJ28" s="455">
        <f>'[2]PBF Run'!AI35</f>
        <v>22243013</v>
      </c>
      <c r="CK28" s="455">
        <f>'[2]PBF Run'!$AN35</f>
        <v>222868220</v>
      </c>
      <c r="CL28" s="455">
        <f>'[2]PBF Run'!AK35</f>
        <v>80614015</v>
      </c>
      <c r="CM28" s="455">
        <f t="shared" si="16"/>
        <v>506765186</v>
      </c>
      <c r="CN28" s="454">
        <f>'[2]PBF Run'!$AN35</f>
        <v>222868220</v>
      </c>
      <c r="CO28" s="454">
        <f>'[2]PBF Run'!BI35</f>
        <v>0</v>
      </c>
      <c r="CP28" s="339">
        <f>'[2]PBF Run'!BH35</f>
        <v>0</v>
      </c>
      <c r="CQ28" s="454">
        <f t="shared" si="26"/>
        <v>69532</v>
      </c>
      <c r="CR28" s="454">
        <f t="shared" si="17"/>
        <v>222868220</v>
      </c>
      <c r="CS28" s="453">
        <f>'[2]As of 13-14 R1'!BX35</f>
        <v>0</v>
      </c>
      <c r="CT28" s="453">
        <f>'[2]As of 13-14 R1'!BY35</f>
        <v>0</v>
      </c>
      <c r="CU28" s="453">
        <f>'[2]As of 13-14 R1'!BZ35</f>
        <v>0</v>
      </c>
      <c r="CV28" s="453">
        <f t="shared" si="18"/>
        <v>0</v>
      </c>
      <c r="CW28" s="342">
        <f>'[2]Growth Deficit'!$D$2</f>
        <v>0</v>
      </c>
      <c r="CX28" s="343">
        <f>IF($DL28="S",'[2]Foundation Grant'!C35,0)</f>
        <v>0</v>
      </c>
      <c r="CY28" s="343">
        <f>IF($DL28="S",'[2]Foundation Grant'!D35,0)</f>
        <v>0</v>
      </c>
      <c r="CZ28" s="343">
        <f>IF($DL28="S",'[2]Foundation Grant'!E35,0)</f>
        <v>0</v>
      </c>
      <c r="DA28" s="343">
        <f>IF($DL28="S",'[2]Foundation Grant'!F35,0)</f>
        <v>0</v>
      </c>
      <c r="DB28" s="343">
        <f>IF($DL28="M",'[2]Foundation Grant'!C35,0)</f>
        <v>1</v>
      </c>
      <c r="DC28" s="343">
        <f>IF($DL28="M",'[2]Foundation Grant'!D35,0)</f>
        <v>4</v>
      </c>
      <c r="DD28" s="343">
        <f>IF($DL28="M",'[2]Foundation Grant'!E35,0)</f>
        <v>4</v>
      </c>
      <c r="DE28" s="343">
        <f>IF($DL28="M",'[2]Foundation Grant'!F35,0)</f>
        <v>9</v>
      </c>
      <c r="DF28" s="343">
        <f>'[2]Foundation Grant'!G35</f>
        <v>0</v>
      </c>
      <c r="DG28" s="343">
        <f>'[2]Foundation Grant'!H35</f>
        <v>0</v>
      </c>
      <c r="DH28" s="343">
        <f>'[2]Foundation Grant'!I35</f>
        <v>0</v>
      </c>
      <c r="DI28" s="343">
        <f>'[2]Foundation Grant'!J35</f>
        <v>0</v>
      </c>
      <c r="DJ28" s="343">
        <f>'[2]Foundation Grant'!K35</f>
        <v>0</v>
      </c>
      <c r="DK28" s="452">
        <f>'[2]Foundation Grant'!L35</f>
        <v>0</v>
      </c>
      <c r="DL28" s="343" t="str">
        <f>'[2]Foundation Grant'!M35</f>
        <v>M</v>
      </c>
      <c r="DM28" s="343">
        <f>'[2]Foundation Grant'!N35</f>
        <v>33736938</v>
      </c>
      <c r="DN28" s="452">
        <f>'[2]Foundation Grant'!O35</f>
        <v>0</v>
      </c>
      <c r="DO28" s="452">
        <f>'[2]Foundation Grant'!P35</f>
        <v>0</v>
      </c>
      <c r="DP28" s="344">
        <f>'[2]Foundation Grant'!$C$1</f>
        <v>5622823</v>
      </c>
      <c r="DQ28" s="344">
        <f>'[2]Foundation Grant'!$D$1</f>
        <v>4498258</v>
      </c>
      <c r="DR28" s="344">
        <f>'[2]Foundation Grant'!$E$1</f>
        <v>3373694</v>
      </c>
      <c r="DS28" s="344">
        <f>'[2]Foundation Grant'!$C$2</f>
        <v>4498258</v>
      </c>
      <c r="DT28" s="344">
        <f>'[2]Foundation Grant'!$D$2</f>
        <v>3935976</v>
      </c>
      <c r="DU28" s="344">
        <f>'[2]Foundation Grant'!$E$2</f>
        <v>3373694</v>
      </c>
      <c r="DV28" s="344">
        <f>'[2]Foundation Grant'!$G$1</f>
        <v>1124565</v>
      </c>
      <c r="DW28" s="344">
        <f>'[2]Foundation Grant'!$H$1</f>
        <v>843423</v>
      </c>
      <c r="DX28" s="344">
        <f>'[2]Foundation Grant'!$I$1</f>
        <v>562282</v>
      </c>
      <c r="DY28" s="344">
        <f>'[2]Foundation Grant'!$J$1</f>
        <v>281141</v>
      </c>
      <c r="DZ28" s="344">
        <f>'[2]Foundation Grant'!$K$1</f>
        <v>140571</v>
      </c>
      <c r="EA28" s="344">
        <f>'[2]Foundation Grant'!$O$1</f>
        <v>562282</v>
      </c>
      <c r="EB28" s="344">
        <f>'[2]Foundation Grant'!$P$1</f>
        <v>1124565</v>
      </c>
      <c r="EC28" s="345">
        <f>'[2]basic allocation'!$C$10</f>
        <v>18749</v>
      </c>
      <c r="ED28" s="345">
        <f>'[2]basic allocation'!$D$10</f>
        <v>9375</v>
      </c>
      <c r="EE28" s="345">
        <f>'[2]basic allocation'!$E$10</f>
        <v>9375</v>
      </c>
      <c r="EF28" s="345">
        <f>'[2]basic allocation'!$I$10</f>
        <v>938</v>
      </c>
      <c r="EG28" s="345">
        <f>'[2]basic allocation'!$J$10</f>
        <v>703</v>
      </c>
      <c r="EH28" s="345">
        <f>'[2]basic allocation'!$K$10</f>
        <v>469</v>
      </c>
      <c r="EI28" s="345">
        <f>'[2]basic allocation'!$L$10</f>
        <v>234</v>
      </c>
      <c r="EJ28" s="345">
        <f>'[2]basic allocation'!$M$10</f>
        <v>100</v>
      </c>
      <c r="EK28" s="345">
        <f>'[2]PBF Run'!$AT35</f>
        <v>0</v>
      </c>
      <c r="EM28" s="477"/>
    </row>
    <row r="29" spans="1:143">
      <c r="A29" s="476" t="s">
        <v>605</v>
      </c>
      <c r="B29" s="475" t="str">
        <f t="shared" si="19"/>
        <v>P1</v>
      </c>
      <c r="C29" s="346" t="s">
        <v>347</v>
      </c>
      <c r="D29" s="450" t="s">
        <v>346</v>
      </c>
      <c r="E29" s="449">
        <f>ROUND('[2]PBF Run'!N36,6)</f>
        <v>4636.4928600000003</v>
      </c>
      <c r="F29" s="340">
        <f t="shared" si="20"/>
        <v>4636.49</v>
      </c>
      <c r="G29" s="474">
        <f t="shared" si="21"/>
        <v>2788.0536374600001</v>
      </c>
      <c r="H29" s="473">
        <f t="shared" si="22"/>
        <v>2811.7520933800001</v>
      </c>
      <c r="I29" s="473">
        <f t="shared" si="23"/>
        <v>3282.8110613200001</v>
      </c>
      <c r="J29" s="473">
        <f t="shared" si="24"/>
        <v>3310.71495534</v>
      </c>
      <c r="K29" s="472">
        <f>ROUND([2]FTES!C36,3)</f>
        <v>50013.025000000001</v>
      </c>
      <c r="L29" s="472">
        <f>ROUND([2]FTES!L36,3)</f>
        <v>20.34</v>
      </c>
      <c r="M29" s="472">
        <f>ROUND([2]FTES!U36,3)</f>
        <v>0</v>
      </c>
      <c r="N29" s="465">
        <f>ROUND([2]FTES!$D36,3)</f>
        <v>50013.025000000001</v>
      </c>
      <c r="O29" s="465">
        <f>ROUND([2]FTES!$M36,3)</f>
        <v>20.34</v>
      </c>
      <c r="P29" s="465">
        <f>ROUND([2]FTES!$V36,3)</f>
        <v>0</v>
      </c>
      <c r="Q29" s="471">
        <f>'[2]FTES Adjustment'!BU36</f>
        <v>0</v>
      </c>
      <c r="R29" s="471">
        <f>'[2]FTES Adjustment'!BV36</f>
        <v>0</v>
      </c>
      <c r="S29" s="471">
        <f>'[2]FTES Adjustment'!BW36</f>
        <v>0</v>
      </c>
      <c r="T29" s="469">
        <f>ROUND('[2]Growth Deficit'!$AG36,3)</f>
        <v>0</v>
      </c>
      <c r="U29" s="469">
        <f>ROUND('[2]Growth Deficit'!$AH36,3)</f>
        <v>0</v>
      </c>
      <c r="V29" s="469">
        <f>ROUND('[2]Growth Deficit'!$AI36,3)</f>
        <v>0</v>
      </c>
      <c r="W29" s="470">
        <f>ROUND([2]FTES!I36,3)</f>
        <v>0</v>
      </c>
      <c r="X29" s="470">
        <f>ROUND([2]FTES!R36,3)</f>
        <v>0</v>
      </c>
      <c r="Y29" s="470">
        <f>ROUND([2]FTES!AA36,3)</f>
        <v>0</v>
      </c>
      <c r="Z29" s="469">
        <f>ROUND([2]FTES!E36,3)</f>
        <v>51867.93</v>
      </c>
      <c r="AA29" s="469">
        <f>ROUND([2]FTES!N36,3)</f>
        <v>298.93</v>
      </c>
      <c r="AB29" s="469">
        <f>ROUND([2]FTES!W36,3)</f>
        <v>0</v>
      </c>
      <c r="AC29" s="468">
        <f>'[2]FTES Adjustment'!CW36</f>
        <v>51867.929944999996</v>
      </c>
      <c r="AD29" s="468">
        <f>'[2]FTES Adjustment'!CX36</f>
        <v>298.92999999999995</v>
      </c>
      <c r="AE29" s="468">
        <f>'[2]FTES Adjustment'!CY36</f>
        <v>0</v>
      </c>
      <c r="AF29" s="467">
        <f>'[2]FTES Adjustment'!DQ36</f>
        <v>5.5000004067551345E-5</v>
      </c>
      <c r="AG29" s="467">
        <f>'[2]FTES Adjustment'!DR36</f>
        <v>0</v>
      </c>
      <c r="AH29" s="467">
        <f>'[2]FTES Adjustment'!DS36</f>
        <v>0</v>
      </c>
      <c r="AI29" s="340">
        <f>'[2]FTES Adjustment'!$DX36</f>
        <v>0</v>
      </c>
      <c r="AJ29" s="340">
        <v>0</v>
      </c>
      <c r="AK29" s="340">
        <v>0</v>
      </c>
      <c r="AL29" s="465">
        <f>'[2]FTES Adjustment'!CG36</f>
        <v>1854.9050139999999</v>
      </c>
      <c r="AM29" s="465">
        <f>'[2]FTES Adjustment'!CH36</f>
        <v>278.58999999999997</v>
      </c>
      <c r="AN29" s="465">
        <f>'[2]FTES Adjustment'!CI36</f>
        <v>0</v>
      </c>
      <c r="AO29" s="463">
        <f t="shared" si="0"/>
        <v>50033.364999999998</v>
      </c>
      <c r="AP29" s="463">
        <f t="shared" si="1"/>
        <v>50033.364999999998</v>
      </c>
      <c r="AQ29" s="463">
        <f t="shared" si="2"/>
        <v>0</v>
      </c>
      <c r="AR29" s="463">
        <f t="shared" si="3"/>
        <v>0</v>
      </c>
      <c r="AS29" s="463">
        <f t="shared" si="4"/>
        <v>0</v>
      </c>
      <c r="AT29" s="463">
        <f t="shared" si="5"/>
        <v>52166.86</v>
      </c>
      <c r="AU29" s="463">
        <f t="shared" si="6"/>
        <v>52166.86</v>
      </c>
      <c r="AV29" s="464">
        <f t="shared" si="7"/>
        <v>0</v>
      </c>
      <c r="AW29" s="464">
        <f t="shared" si="8"/>
        <v>0</v>
      </c>
      <c r="AX29" s="464">
        <f t="shared" si="9"/>
        <v>2133.4949999999999</v>
      </c>
      <c r="AY29" s="460">
        <f>'[2]PBF Run'!F36</f>
        <v>19117599</v>
      </c>
      <c r="AZ29" s="460">
        <f t="shared" si="10"/>
        <v>231941742</v>
      </c>
      <c r="BA29" s="460">
        <f>'[2]PBF Run'!J36 + '[2]PBF Run'!$L36</f>
        <v>231885033</v>
      </c>
      <c r="BB29" s="460">
        <f>'[2]PBF Run'!H36</f>
        <v>56709</v>
      </c>
      <c r="BC29" s="460">
        <f>'[2]PBF Run'!I36</f>
        <v>0</v>
      </c>
      <c r="BD29" s="462">
        <v>0</v>
      </c>
      <c r="BE29" s="461">
        <f>'[2]Restoration and Growth'!BM36</f>
        <v>0</v>
      </c>
      <c r="BF29" s="460">
        <f t="shared" si="11"/>
        <v>251059341</v>
      </c>
      <c r="BG29" s="333" t="str">
        <f t="shared" si="25"/>
        <v>0.85%</v>
      </c>
      <c r="BH29" s="459">
        <f>'[2]PBF Run'!O36</f>
        <v>2134004</v>
      </c>
      <c r="BI29" s="459">
        <f t="shared" si="12"/>
        <v>253193345</v>
      </c>
      <c r="BJ29" s="458">
        <f>'[2]PBF Run'!AC36</f>
        <v>0</v>
      </c>
      <c r="BK29" s="458">
        <f>'[2]PBF Run'!$AD36</f>
        <v>0</v>
      </c>
      <c r="BL29" s="458">
        <f>'[2]PBF Run'!$T36</f>
        <v>0</v>
      </c>
      <c r="BM29" s="458">
        <f>'[2]PBF Run'!$S36</f>
        <v>9456682</v>
      </c>
      <c r="BN29" s="458">
        <f>'[2]13-14 $86M Workload Restore'!$P34</f>
        <v>0</v>
      </c>
      <c r="BO29" s="458">
        <f t="shared" si="13"/>
        <v>9456682</v>
      </c>
      <c r="BP29" s="478">
        <f>'[2]Restoration and Growth'!AA36</f>
        <v>0</v>
      </c>
      <c r="BQ29" s="478">
        <f>'[2]Restoration and Growth'!AB36</f>
        <v>0</v>
      </c>
      <c r="BR29" s="453">
        <f>'[2]Restoration and Growth'!BT36</f>
        <v>0</v>
      </c>
      <c r="BS29" s="453">
        <f>'[2]Growth Deficit'!$AO36</f>
        <v>0</v>
      </c>
      <c r="BT29" s="453">
        <f>'[2]Growth Deficit'!AO36</f>
        <v>0</v>
      </c>
      <c r="BU29" s="453">
        <f>'[2]Growth Deficit'!AL36</f>
        <v>0</v>
      </c>
      <c r="BV29" s="453">
        <f>'[2]Growth Deficit'!AM36</f>
        <v>0</v>
      </c>
      <c r="BW29" s="453">
        <f>'[2]Growth Deficit'!AN36</f>
        <v>0</v>
      </c>
      <c r="BX29" s="453">
        <f>'[2]Growth Deficit'!AO36</f>
        <v>0</v>
      </c>
      <c r="BY29" s="454">
        <f>'[2]PBF Run'!AA36</f>
        <v>0</v>
      </c>
      <c r="BZ29" s="454">
        <f>'[2]PBF Run'!AB36</f>
        <v>0</v>
      </c>
      <c r="CA29" s="454">
        <f>'[2]PBF Run'!AC36</f>
        <v>0</v>
      </c>
      <c r="CB29" s="454">
        <f t="shared" si="14"/>
        <v>0</v>
      </c>
      <c r="CC29" s="457">
        <f>'[2]PBF Run'!X36</f>
        <v>0</v>
      </c>
      <c r="CD29" s="456">
        <f>'[2]PBF Run'!AE36</f>
        <v>262650027</v>
      </c>
      <c r="CE29" s="337">
        <f t="shared" si="15"/>
        <v>0.9851854193793782</v>
      </c>
      <c r="CF29" s="455">
        <f>'[2]PBF Run'!AM36</f>
        <v>3891050</v>
      </c>
      <c r="CG29" s="455">
        <f>'[2]PBF Run'!$AN36</f>
        <v>147666480</v>
      </c>
      <c r="CH29" s="455">
        <f>'[2]PBF Run'!$AO36</f>
        <v>0</v>
      </c>
      <c r="CI29" s="455">
        <f>'[2]PBF Run'!AJ36</f>
        <v>55557109</v>
      </c>
      <c r="CJ29" s="455">
        <f>'[2]PBF Run'!AI36</f>
        <v>14963861</v>
      </c>
      <c r="CK29" s="455">
        <f>'[2]PBF Run'!$AN36</f>
        <v>147666480</v>
      </c>
      <c r="CL29" s="455">
        <f>'[2]PBF Run'!AK36</f>
        <v>40571527</v>
      </c>
      <c r="CM29" s="455">
        <f t="shared" si="16"/>
        <v>258758977</v>
      </c>
      <c r="CN29" s="454">
        <f>'[2]PBF Run'!$AN36</f>
        <v>147666480</v>
      </c>
      <c r="CO29" s="454">
        <f>'[2]PBF Run'!BI36</f>
        <v>0</v>
      </c>
      <c r="CP29" s="339">
        <f>'[2]PBF Run'!BH36</f>
        <v>0</v>
      </c>
      <c r="CQ29" s="454">
        <f t="shared" si="26"/>
        <v>69532</v>
      </c>
      <c r="CR29" s="454">
        <f t="shared" si="17"/>
        <v>147666480</v>
      </c>
      <c r="CS29" s="453">
        <f>'[2]As of 13-14 R1'!BX36</f>
        <v>0</v>
      </c>
      <c r="CT29" s="453">
        <f>'[2]As of 13-14 R1'!BY36</f>
        <v>0</v>
      </c>
      <c r="CU29" s="453">
        <f>'[2]As of 13-14 R1'!BZ36</f>
        <v>0</v>
      </c>
      <c r="CV29" s="453">
        <f t="shared" si="18"/>
        <v>0</v>
      </c>
      <c r="CW29" s="342">
        <f>'[2]Growth Deficit'!$D$2</f>
        <v>0</v>
      </c>
      <c r="CX29" s="343">
        <f>IF($DL29="S",'[2]Foundation Grant'!C36,0)</f>
        <v>0</v>
      </c>
      <c r="CY29" s="343">
        <f>IF($DL29="S",'[2]Foundation Grant'!D36,0)</f>
        <v>0</v>
      </c>
      <c r="CZ29" s="343">
        <f>IF($DL29="S",'[2]Foundation Grant'!E36,0)</f>
        <v>0</v>
      </c>
      <c r="DA29" s="343">
        <f>IF($DL29="S",'[2]Foundation Grant'!F36,0)</f>
        <v>0</v>
      </c>
      <c r="DB29" s="343">
        <f>IF($DL29="M",'[2]Foundation Grant'!C36,0)</f>
        <v>1</v>
      </c>
      <c r="DC29" s="343">
        <f>IF($DL29="M",'[2]Foundation Grant'!D36,0)</f>
        <v>2</v>
      </c>
      <c r="DD29" s="343">
        <f>IF($DL29="M",'[2]Foundation Grant'!E36,0)</f>
        <v>1</v>
      </c>
      <c r="DE29" s="343">
        <f>IF($DL29="M",'[2]Foundation Grant'!F36,0)</f>
        <v>4</v>
      </c>
      <c r="DF29" s="343">
        <f>'[2]Foundation Grant'!G36</f>
        <v>1</v>
      </c>
      <c r="DG29" s="343">
        <f>'[2]Foundation Grant'!H36</f>
        <v>0</v>
      </c>
      <c r="DH29" s="343">
        <f>'[2]Foundation Grant'!I36</f>
        <v>0</v>
      </c>
      <c r="DI29" s="343">
        <f>'[2]Foundation Grant'!J36</f>
        <v>0</v>
      </c>
      <c r="DJ29" s="343">
        <f>'[2]Foundation Grant'!K36</f>
        <v>0</v>
      </c>
      <c r="DK29" s="452">
        <f>'[2]Foundation Grant'!L36</f>
        <v>1</v>
      </c>
      <c r="DL29" s="343" t="str">
        <f>'[2]Foundation Grant'!M36</f>
        <v>M</v>
      </c>
      <c r="DM29" s="343">
        <f>'[2]Foundation Grant'!N36</f>
        <v>19117599</v>
      </c>
      <c r="DN29" s="452">
        <f>'[2]Foundation Grant'!O36</f>
        <v>0</v>
      </c>
      <c r="DO29" s="452">
        <f>'[2]Foundation Grant'!P36</f>
        <v>2</v>
      </c>
      <c r="DP29" s="344">
        <f>'[2]Foundation Grant'!$C$1</f>
        <v>5622823</v>
      </c>
      <c r="DQ29" s="344">
        <f>'[2]Foundation Grant'!$D$1</f>
        <v>4498258</v>
      </c>
      <c r="DR29" s="344">
        <f>'[2]Foundation Grant'!$E$1</f>
        <v>3373694</v>
      </c>
      <c r="DS29" s="344">
        <f>'[2]Foundation Grant'!$C$2</f>
        <v>4498258</v>
      </c>
      <c r="DT29" s="344">
        <f>'[2]Foundation Grant'!$D$2</f>
        <v>3935976</v>
      </c>
      <c r="DU29" s="344">
        <f>'[2]Foundation Grant'!$E$2</f>
        <v>3373694</v>
      </c>
      <c r="DV29" s="344">
        <f>'[2]Foundation Grant'!$G$1</f>
        <v>1124565</v>
      </c>
      <c r="DW29" s="344">
        <f>'[2]Foundation Grant'!$H$1</f>
        <v>843423</v>
      </c>
      <c r="DX29" s="344">
        <f>'[2]Foundation Grant'!$I$1</f>
        <v>562282</v>
      </c>
      <c r="DY29" s="344">
        <f>'[2]Foundation Grant'!$J$1</f>
        <v>281141</v>
      </c>
      <c r="DZ29" s="344">
        <f>'[2]Foundation Grant'!$K$1</f>
        <v>140571</v>
      </c>
      <c r="EA29" s="344">
        <f>'[2]Foundation Grant'!$O$1</f>
        <v>562282</v>
      </c>
      <c r="EB29" s="344">
        <f>'[2]Foundation Grant'!$P$1</f>
        <v>1124565</v>
      </c>
      <c r="EC29" s="345">
        <f>'[2]basic allocation'!$C$10</f>
        <v>18749</v>
      </c>
      <c r="ED29" s="345">
        <f>'[2]basic allocation'!$D$10</f>
        <v>9375</v>
      </c>
      <c r="EE29" s="345">
        <f>'[2]basic allocation'!$E$10</f>
        <v>9375</v>
      </c>
      <c r="EF29" s="345">
        <f>'[2]basic allocation'!$I$10</f>
        <v>938</v>
      </c>
      <c r="EG29" s="345">
        <f>'[2]basic allocation'!$J$10</f>
        <v>703</v>
      </c>
      <c r="EH29" s="345">
        <f>'[2]basic allocation'!$K$10</f>
        <v>469</v>
      </c>
      <c r="EI29" s="345">
        <f>'[2]basic allocation'!$L$10</f>
        <v>234</v>
      </c>
      <c r="EJ29" s="345">
        <f>'[2]basic allocation'!$M$10</f>
        <v>100</v>
      </c>
      <c r="EK29" s="345">
        <f>'[2]PBF Run'!$AT36</f>
        <v>0</v>
      </c>
      <c r="EM29" s="477"/>
    </row>
    <row r="30" spans="1:143">
      <c r="A30" s="476" t="s">
        <v>605</v>
      </c>
      <c r="B30" s="475" t="str">
        <f t="shared" si="19"/>
        <v>P1</v>
      </c>
      <c r="C30" s="346" t="s">
        <v>345</v>
      </c>
      <c r="D30" s="450" t="s">
        <v>344</v>
      </c>
      <c r="E30" s="449">
        <f>ROUND('[2]PBF Run'!N37,6)</f>
        <v>5250.9259510000002</v>
      </c>
      <c r="F30" s="340">
        <f t="shared" si="20"/>
        <v>4636.49</v>
      </c>
      <c r="G30" s="474">
        <f t="shared" si="21"/>
        <v>2788.0536374600001</v>
      </c>
      <c r="H30" s="473">
        <f t="shared" si="22"/>
        <v>2811.7520933800001</v>
      </c>
      <c r="I30" s="473">
        <f t="shared" si="23"/>
        <v>3282.8110613200001</v>
      </c>
      <c r="J30" s="473">
        <f t="shared" si="24"/>
        <v>3310.71495534</v>
      </c>
      <c r="K30" s="472">
        <f>ROUND([2]FTES!C37,3)</f>
        <v>4133.59</v>
      </c>
      <c r="L30" s="472">
        <f>ROUND([2]FTES!L37,3)</f>
        <v>232.45</v>
      </c>
      <c r="M30" s="472">
        <f>ROUND([2]FTES!U37,3)</f>
        <v>0</v>
      </c>
      <c r="N30" s="465">
        <f>ROUND([2]FTES!$D37,3)</f>
        <v>4133.59</v>
      </c>
      <c r="O30" s="465">
        <f>ROUND([2]FTES!$M37,3)</f>
        <v>232.45</v>
      </c>
      <c r="P30" s="465">
        <f>ROUND([2]FTES!$V37,3)</f>
        <v>0</v>
      </c>
      <c r="Q30" s="471">
        <f>'[2]FTES Adjustment'!BU37</f>
        <v>0</v>
      </c>
      <c r="R30" s="471">
        <f>'[2]FTES Adjustment'!BV37</f>
        <v>0</v>
      </c>
      <c r="S30" s="471">
        <f>'[2]FTES Adjustment'!BW37</f>
        <v>0</v>
      </c>
      <c r="T30" s="469">
        <f>ROUND('[2]Growth Deficit'!$AG37,3)</f>
        <v>0</v>
      </c>
      <c r="U30" s="469">
        <f>ROUND('[2]Growth Deficit'!$AH37,3)</f>
        <v>0</v>
      </c>
      <c r="V30" s="469">
        <f>ROUND('[2]Growth Deficit'!$AI37,3)</f>
        <v>0</v>
      </c>
      <c r="W30" s="470">
        <f>ROUND([2]FTES!I37,3)</f>
        <v>-397.57</v>
      </c>
      <c r="X30" s="470">
        <f>ROUND([2]FTES!R37,3)</f>
        <v>-65.489999999999995</v>
      </c>
      <c r="Y30" s="470">
        <f>ROUND([2]FTES!AA37,3)</f>
        <v>0</v>
      </c>
      <c r="Z30" s="469">
        <f>ROUND([2]FTES!E37,3)</f>
        <v>3736.02</v>
      </c>
      <c r="AA30" s="469">
        <f>ROUND([2]FTES!N37,3)</f>
        <v>166.96</v>
      </c>
      <c r="AB30" s="469">
        <f>ROUND([2]FTES!W37,3)</f>
        <v>0</v>
      </c>
      <c r="AC30" s="468">
        <f>'[2]FTES Adjustment'!CW37</f>
        <v>3736.0199999999991</v>
      </c>
      <c r="AD30" s="468">
        <f>'[2]FTES Adjustment'!CX37</f>
        <v>166.95999999999998</v>
      </c>
      <c r="AE30" s="468">
        <f>'[2]FTES Adjustment'!CY37</f>
        <v>0</v>
      </c>
      <c r="AF30" s="467">
        <f>'[2]FTES Adjustment'!DQ37</f>
        <v>0</v>
      </c>
      <c r="AG30" s="467">
        <f>'[2]FTES Adjustment'!DR37</f>
        <v>0</v>
      </c>
      <c r="AH30" s="467">
        <f>'[2]FTES Adjustment'!DS37</f>
        <v>0</v>
      </c>
      <c r="AI30" s="340">
        <f>'[2]FTES Adjustment'!$DX37</f>
        <v>0</v>
      </c>
      <c r="AJ30" s="340">
        <v>0</v>
      </c>
      <c r="AK30" s="340">
        <v>0</v>
      </c>
      <c r="AL30" s="465">
        <f>'[2]FTES Adjustment'!CG37</f>
        <v>0</v>
      </c>
      <c r="AM30" s="465">
        <f>'[2]FTES Adjustment'!CH37</f>
        <v>0</v>
      </c>
      <c r="AN30" s="465">
        <f>'[2]FTES Adjustment'!CI37</f>
        <v>0</v>
      </c>
      <c r="AO30" s="463">
        <f t="shared" si="0"/>
        <v>4366.04</v>
      </c>
      <c r="AP30" s="463">
        <f t="shared" si="1"/>
        <v>4366.04</v>
      </c>
      <c r="AQ30" s="463">
        <f t="shared" si="2"/>
        <v>0</v>
      </c>
      <c r="AR30" s="463">
        <f t="shared" si="3"/>
        <v>0</v>
      </c>
      <c r="AS30" s="463">
        <f t="shared" si="4"/>
        <v>-463.06</v>
      </c>
      <c r="AT30" s="463">
        <f t="shared" si="5"/>
        <v>3902.98</v>
      </c>
      <c r="AU30" s="463">
        <f t="shared" si="6"/>
        <v>3902.98</v>
      </c>
      <c r="AV30" s="464">
        <f t="shared" si="7"/>
        <v>0</v>
      </c>
      <c r="AW30" s="464">
        <f t="shared" si="8"/>
        <v>0</v>
      </c>
      <c r="AX30" s="464">
        <f t="shared" si="9"/>
        <v>0</v>
      </c>
      <c r="AY30" s="460">
        <f>'[2]PBF Run'!F37</f>
        <v>3373694</v>
      </c>
      <c r="AZ30" s="460">
        <f t="shared" si="10"/>
        <v>22353258</v>
      </c>
      <c r="BA30" s="460">
        <f>'[2]PBF Run'!J37 + '[2]PBF Run'!$L37</f>
        <v>21705175</v>
      </c>
      <c r="BB30" s="460">
        <f>'[2]PBF Run'!H37</f>
        <v>648083</v>
      </c>
      <c r="BC30" s="460">
        <f>'[2]PBF Run'!I37</f>
        <v>0</v>
      </c>
      <c r="BD30" s="462">
        <v>0</v>
      </c>
      <c r="BE30" s="461">
        <f>'[2]Restoration and Growth'!BM37</f>
        <v>-2025920.674268716</v>
      </c>
      <c r="BF30" s="460">
        <f t="shared" si="11"/>
        <v>23701031.325731285</v>
      </c>
      <c r="BG30" s="333" t="str">
        <f t="shared" si="25"/>
        <v>0.85%</v>
      </c>
      <c r="BH30" s="459">
        <f>'[2]PBF Run'!O37</f>
        <v>201459</v>
      </c>
      <c r="BI30" s="459">
        <f t="shared" si="12"/>
        <v>23902490.325731285</v>
      </c>
      <c r="BJ30" s="458">
        <f>'[2]PBF Run'!AC37</f>
        <v>0</v>
      </c>
      <c r="BK30" s="458">
        <f>'[2]PBF Run'!$AD37</f>
        <v>0</v>
      </c>
      <c r="BL30" s="458">
        <f>'[2]PBF Run'!$T37</f>
        <v>0</v>
      </c>
      <c r="BM30" s="458">
        <f>'[2]PBF Run'!$S37</f>
        <v>0</v>
      </c>
      <c r="BN30" s="458">
        <f>'[2]13-14 $86M Workload Restore'!$P35</f>
        <v>0</v>
      </c>
      <c r="BO30" s="458">
        <f t="shared" si="13"/>
        <v>0</v>
      </c>
      <c r="BP30" s="478">
        <f>'[2]Restoration and Growth'!AA37</f>
        <v>0</v>
      </c>
      <c r="BQ30" s="478">
        <f>'[2]Restoration and Growth'!AB37</f>
        <v>0</v>
      </c>
      <c r="BR30" s="453">
        <f>'[2]Restoration and Growth'!BT37</f>
        <v>0</v>
      </c>
      <c r="BS30" s="453">
        <f>'[2]Growth Deficit'!$AO37</f>
        <v>0</v>
      </c>
      <c r="BT30" s="453">
        <f>'[2]Growth Deficit'!AO37</f>
        <v>0</v>
      </c>
      <c r="BU30" s="453">
        <f>'[2]Growth Deficit'!AL37</f>
        <v>0</v>
      </c>
      <c r="BV30" s="453">
        <f>'[2]Growth Deficit'!AM37</f>
        <v>0</v>
      </c>
      <c r="BW30" s="453">
        <f>'[2]Growth Deficit'!AN37</f>
        <v>0</v>
      </c>
      <c r="BX30" s="453">
        <f>'[2]Growth Deficit'!AO37</f>
        <v>0</v>
      </c>
      <c r="BY30" s="454">
        <f>'[2]PBF Run'!AA37</f>
        <v>0</v>
      </c>
      <c r="BZ30" s="454">
        <f>'[2]PBF Run'!AB37</f>
        <v>0</v>
      </c>
      <c r="CA30" s="454">
        <f>'[2]PBF Run'!AC37</f>
        <v>0</v>
      </c>
      <c r="CB30" s="454">
        <f t="shared" si="14"/>
        <v>0</v>
      </c>
      <c r="CC30" s="457">
        <f>'[2]PBF Run'!X37</f>
        <v>2043141</v>
      </c>
      <c r="CD30" s="456">
        <f>'[2]PBF Run'!AE37</f>
        <v>25945631</v>
      </c>
      <c r="CE30" s="337">
        <f t="shared" si="15"/>
        <v>1</v>
      </c>
      <c r="CF30" s="455">
        <f>'[2]PBF Run'!AM37</f>
        <v>0</v>
      </c>
      <c r="CG30" s="455">
        <f>'[2]PBF Run'!$AN37</f>
        <v>0</v>
      </c>
      <c r="CH30" s="455">
        <f>'[2]PBF Run'!$AO37</f>
        <v>20734918</v>
      </c>
      <c r="CI30" s="455">
        <f>'[2]PBF Run'!AJ37</f>
        <v>44652773</v>
      </c>
      <c r="CJ30" s="455">
        <f>'[2]PBF Run'!AI37</f>
        <v>1637478</v>
      </c>
      <c r="CK30" s="455">
        <f>'[2]PBF Run'!$AN37</f>
        <v>0</v>
      </c>
      <c r="CL30" s="455">
        <f>'[2]PBF Run'!AK37</f>
        <v>390298</v>
      </c>
      <c r="CM30" s="455">
        <f t="shared" si="16"/>
        <v>25945631</v>
      </c>
      <c r="CN30" s="454">
        <f>'[2]PBF Run'!$AN37</f>
        <v>0</v>
      </c>
      <c r="CO30" s="454">
        <f>'[2]PBF Run'!BI37</f>
        <v>0</v>
      </c>
      <c r="CP30" s="339">
        <f>'[2]PBF Run'!BH37</f>
        <v>0</v>
      </c>
      <c r="CQ30" s="454">
        <f t="shared" si="26"/>
        <v>69532</v>
      </c>
      <c r="CR30" s="454">
        <f t="shared" si="17"/>
        <v>0</v>
      </c>
      <c r="CS30" s="453">
        <f>'[2]As of 13-14 R1'!BX37</f>
        <v>1589485</v>
      </c>
      <c r="CT30" s="453">
        <f>'[2]As of 13-14 R1'!BY37</f>
        <v>1546955</v>
      </c>
      <c r="CU30" s="453">
        <f>'[2]As of 13-14 R1'!BZ37</f>
        <v>1458254</v>
      </c>
      <c r="CV30" s="453">
        <f t="shared" si="18"/>
        <v>4594694</v>
      </c>
      <c r="CW30" s="342">
        <f>'[2]Growth Deficit'!$D$2</f>
        <v>0</v>
      </c>
      <c r="CX30" s="343">
        <f>IF($DL30="S",'[2]Foundation Grant'!C37,0)</f>
        <v>0</v>
      </c>
      <c r="CY30" s="343">
        <f>IF($DL30="S",'[2]Foundation Grant'!D37,0)</f>
        <v>0</v>
      </c>
      <c r="CZ30" s="343">
        <f>IF($DL30="S",'[2]Foundation Grant'!E37,0)</f>
        <v>1</v>
      </c>
      <c r="DA30" s="343">
        <f>IF($DL30="S",'[2]Foundation Grant'!F37,0)</f>
        <v>1</v>
      </c>
      <c r="DB30" s="343">
        <f>IF($DL30="M",'[2]Foundation Grant'!C37,0)</f>
        <v>0</v>
      </c>
      <c r="DC30" s="343">
        <f>IF($DL30="M",'[2]Foundation Grant'!D37,0)</f>
        <v>0</v>
      </c>
      <c r="DD30" s="343">
        <f>IF($DL30="M",'[2]Foundation Grant'!E37,0)</f>
        <v>0</v>
      </c>
      <c r="DE30" s="343">
        <f>IF($DL30="M",'[2]Foundation Grant'!F37,0)</f>
        <v>0</v>
      </c>
      <c r="DF30" s="343">
        <f>'[2]Foundation Grant'!G37</f>
        <v>0</v>
      </c>
      <c r="DG30" s="343">
        <f>'[2]Foundation Grant'!H37</f>
        <v>0</v>
      </c>
      <c r="DH30" s="343">
        <f>'[2]Foundation Grant'!I37</f>
        <v>0</v>
      </c>
      <c r="DI30" s="343">
        <f>'[2]Foundation Grant'!J37</f>
        <v>0</v>
      </c>
      <c r="DJ30" s="343">
        <f>'[2]Foundation Grant'!K37</f>
        <v>0</v>
      </c>
      <c r="DK30" s="452">
        <f>'[2]Foundation Grant'!L37</f>
        <v>0</v>
      </c>
      <c r="DL30" s="343" t="str">
        <f>'[2]Foundation Grant'!M37</f>
        <v>S</v>
      </c>
      <c r="DM30" s="343">
        <f>'[2]Foundation Grant'!N37</f>
        <v>3373694</v>
      </c>
      <c r="DN30" s="452">
        <f>'[2]Foundation Grant'!O37</f>
        <v>0</v>
      </c>
      <c r="DO30" s="452">
        <f>'[2]Foundation Grant'!P37</f>
        <v>0</v>
      </c>
      <c r="DP30" s="344">
        <f>'[2]Foundation Grant'!$C$1</f>
        <v>5622823</v>
      </c>
      <c r="DQ30" s="344">
        <f>'[2]Foundation Grant'!$D$1</f>
        <v>4498258</v>
      </c>
      <c r="DR30" s="344">
        <f>'[2]Foundation Grant'!$E$1</f>
        <v>3373694</v>
      </c>
      <c r="DS30" s="344">
        <f>'[2]Foundation Grant'!$C$2</f>
        <v>4498258</v>
      </c>
      <c r="DT30" s="344">
        <f>'[2]Foundation Grant'!$D$2</f>
        <v>3935976</v>
      </c>
      <c r="DU30" s="344">
        <f>'[2]Foundation Grant'!$E$2</f>
        <v>3373694</v>
      </c>
      <c r="DV30" s="344">
        <f>'[2]Foundation Grant'!$G$1</f>
        <v>1124565</v>
      </c>
      <c r="DW30" s="344">
        <f>'[2]Foundation Grant'!$H$1</f>
        <v>843423</v>
      </c>
      <c r="DX30" s="344">
        <f>'[2]Foundation Grant'!$I$1</f>
        <v>562282</v>
      </c>
      <c r="DY30" s="344">
        <f>'[2]Foundation Grant'!$J$1</f>
        <v>281141</v>
      </c>
      <c r="DZ30" s="344">
        <f>'[2]Foundation Grant'!$K$1</f>
        <v>140571</v>
      </c>
      <c r="EA30" s="344">
        <f>'[2]Foundation Grant'!$O$1</f>
        <v>562282</v>
      </c>
      <c r="EB30" s="344">
        <f>'[2]Foundation Grant'!$P$1</f>
        <v>1124565</v>
      </c>
      <c r="EC30" s="345">
        <f>'[2]basic allocation'!$C$10</f>
        <v>18749</v>
      </c>
      <c r="ED30" s="345">
        <f>'[2]basic allocation'!$D$10</f>
        <v>9375</v>
      </c>
      <c r="EE30" s="345">
        <f>'[2]basic allocation'!$E$10</f>
        <v>9375</v>
      </c>
      <c r="EF30" s="345">
        <f>'[2]basic allocation'!$I$10</f>
        <v>938</v>
      </c>
      <c r="EG30" s="345">
        <f>'[2]basic allocation'!$J$10</f>
        <v>703</v>
      </c>
      <c r="EH30" s="345">
        <f>'[2]basic allocation'!$K$10</f>
        <v>469</v>
      </c>
      <c r="EI30" s="345">
        <f>'[2]basic allocation'!$L$10</f>
        <v>234</v>
      </c>
      <c r="EJ30" s="345">
        <f>'[2]basic allocation'!$M$10</f>
        <v>100</v>
      </c>
      <c r="EK30" s="345">
        <f>'[2]PBF Run'!$AT37</f>
        <v>0</v>
      </c>
      <c r="EM30" s="477"/>
    </row>
    <row r="31" spans="1:143">
      <c r="A31" s="476" t="s">
        <v>605</v>
      </c>
      <c r="B31" s="475" t="str">
        <f t="shared" si="19"/>
        <v>P1</v>
      </c>
      <c r="C31" s="346" t="s">
        <v>343</v>
      </c>
      <c r="D31" s="450" t="s">
        <v>342</v>
      </c>
      <c r="E31" s="449">
        <f>ROUND('[2]PBF Run'!N38,6)</f>
        <v>4636.4927269999998</v>
      </c>
      <c r="F31" s="340">
        <f t="shared" si="20"/>
        <v>4636.49</v>
      </c>
      <c r="G31" s="474">
        <f t="shared" si="21"/>
        <v>2788.0536374600001</v>
      </c>
      <c r="H31" s="473">
        <f t="shared" si="22"/>
        <v>2811.7520933800001</v>
      </c>
      <c r="I31" s="473">
        <f t="shared" si="23"/>
        <v>3282.8110613200001</v>
      </c>
      <c r="J31" s="473">
        <f t="shared" si="24"/>
        <v>3310.71495534</v>
      </c>
      <c r="K31" s="472">
        <f>ROUND([2]FTES!C38,3)</f>
        <v>2254.23</v>
      </c>
      <c r="L31" s="472">
        <f>ROUND([2]FTES!L38,3)</f>
        <v>35.14</v>
      </c>
      <c r="M31" s="472">
        <f>ROUND([2]FTES!U38,3)</f>
        <v>54.6</v>
      </c>
      <c r="N31" s="465">
        <f>ROUND([2]FTES!$D38,3)</f>
        <v>2254.23</v>
      </c>
      <c r="O31" s="465">
        <f>ROUND([2]FTES!$M38,3)</f>
        <v>35.14</v>
      </c>
      <c r="P31" s="465">
        <f>ROUND([2]FTES!$V38,3)</f>
        <v>54.6</v>
      </c>
      <c r="Q31" s="471">
        <f>'[2]FTES Adjustment'!BU38</f>
        <v>315.74713700000001</v>
      </c>
      <c r="R31" s="471">
        <f>'[2]FTES Adjustment'!BV38</f>
        <v>0</v>
      </c>
      <c r="S31" s="471">
        <f>'[2]FTES Adjustment'!BW38</f>
        <v>0</v>
      </c>
      <c r="T31" s="469">
        <f>ROUND('[2]Growth Deficit'!$AG38,3)</f>
        <v>0</v>
      </c>
      <c r="U31" s="469">
        <f>ROUND('[2]Growth Deficit'!$AH38,3)</f>
        <v>0</v>
      </c>
      <c r="V31" s="469">
        <f>ROUND('[2]Growth Deficit'!$AI38,3)</f>
        <v>0</v>
      </c>
      <c r="W31" s="470">
        <f>ROUND([2]FTES!I38,3)</f>
        <v>0</v>
      </c>
      <c r="X31" s="470">
        <f>ROUND([2]FTES!R38,3)</f>
        <v>0</v>
      </c>
      <c r="Y31" s="470">
        <f>ROUND([2]FTES!AA38,3)</f>
        <v>0</v>
      </c>
      <c r="Z31" s="469">
        <f>ROUND([2]FTES!E38,3)</f>
        <v>2571.08</v>
      </c>
      <c r="AA31" s="469">
        <f>ROUND([2]FTES!N38,3)</f>
        <v>40.5</v>
      </c>
      <c r="AB31" s="469">
        <f>ROUND([2]FTES!W38,3)</f>
        <v>48.49</v>
      </c>
      <c r="AC31" s="468">
        <f>'[2]FTES Adjustment'!CW38</f>
        <v>2571.0800260000001</v>
      </c>
      <c r="AD31" s="468">
        <f>'[2]FTES Adjustment'!CX38</f>
        <v>40.5</v>
      </c>
      <c r="AE31" s="468">
        <f>'[2]FTES Adjustment'!CY38</f>
        <v>48.49</v>
      </c>
      <c r="AF31" s="467">
        <f>'[2]FTES Adjustment'!DQ38</f>
        <v>-2.6000000161729986E-5</v>
      </c>
      <c r="AG31" s="467">
        <f>'[2]FTES Adjustment'!DR38</f>
        <v>0</v>
      </c>
      <c r="AH31" s="467">
        <f>'[2]FTES Adjustment'!DS38</f>
        <v>0</v>
      </c>
      <c r="AI31" s="340">
        <f>'[2]FTES Adjustment'!$DX38</f>
        <v>0</v>
      </c>
      <c r="AJ31" s="340">
        <v>0</v>
      </c>
      <c r="AK31" s="340">
        <v>0</v>
      </c>
      <c r="AL31" s="465">
        <f>'[2]FTES Adjustment'!CG38</f>
        <v>1.102889</v>
      </c>
      <c r="AM31" s="465">
        <f>'[2]FTES Adjustment'!CH38</f>
        <v>5.36</v>
      </c>
      <c r="AN31" s="465">
        <f>'[2]FTES Adjustment'!CI38</f>
        <v>-6.1099999999999994</v>
      </c>
      <c r="AO31" s="463">
        <f t="shared" si="0"/>
        <v>2343.9699999999998</v>
      </c>
      <c r="AP31" s="463">
        <f t="shared" si="1"/>
        <v>2343.9699999999998</v>
      </c>
      <c r="AQ31" s="463">
        <f t="shared" si="2"/>
        <v>315.74700000000001</v>
      </c>
      <c r="AR31" s="463">
        <f t="shared" si="3"/>
        <v>0</v>
      </c>
      <c r="AS31" s="463">
        <f t="shared" si="4"/>
        <v>0</v>
      </c>
      <c r="AT31" s="463">
        <f t="shared" si="5"/>
        <v>2660.07</v>
      </c>
      <c r="AU31" s="463">
        <f t="shared" si="6"/>
        <v>2660.07</v>
      </c>
      <c r="AV31" s="464">
        <f t="shared" si="7"/>
        <v>0</v>
      </c>
      <c r="AW31" s="464">
        <f t="shared" si="8"/>
        <v>0</v>
      </c>
      <c r="AX31" s="464">
        <f t="shared" si="9"/>
        <v>0.35299999999999998</v>
      </c>
      <c r="AY31" s="460">
        <f>'[2]PBF Run'!F38</f>
        <v>4498258</v>
      </c>
      <c r="AZ31" s="460">
        <f t="shared" si="10"/>
        <v>10728934</v>
      </c>
      <c r="BA31" s="460">
        <f>'[2]PBF Run'!J38 + '[2]PBF Run'!$L38</f>
        <v>10451721</v>
      </c>
      <c r="BB31" s="460">
        <f>'[2]PBF Run'!H38</f>
        <v>97972</v>
      </c>
      <c r="BC31" s="460">
        <f>'[2]PBF Run'!I38</f>
        <v>179241</v>
      </c>
      <c r="BD31" s="462">
        <v>0</v>
      </c>
      <c r="BE31" s="461">
        <f>'[2]Restoration and Growth'!BM38</f>
        <v>0</v>
      </c>
      <c r="BF31" s="460">
        <f t="shared" si="11"/>
        <v>15227192</v>
      </c>
      <c r="BG31" s="333" t="str">
        <f t="shared" si="25"/>
        <v>0.85%</v>
      </c>
      <c r="BH31" s="459">
        <f>'[2]PBF Run'!O38</f>
        <v>129431</v>
      </c>
      <c r="BI31" s="459">
        <f t="shared" si="12"/>
        <v>15356623</v>
      </c>
      <c r="BJ31" s="458">
        <f>'[2]PBF Run'!AC38</f>
        <v>0</v>
      </c>
      <c r="BK31" s="458">
        <f>'[2]PBF Run'!$AD38</f>
        <v>0</v>
      </c>
      <c r="BL31" s="458">
        <f>'[2]PBF Run'!$T38</f>
        <v>1476403</v>
      </c>
      <c r="BM31" s="458">
        <f>'[2]PBF Run'!$S38</f>
        <v>0</v>
      </c>
      <c r="BN31" s="458">
        <f>'[2]13-14 $86M Workload Restore'!$P36</f>
        <v>0</v>
      </c>
      <c r="BO31" s="458">
        <f t="shared" si="13"/>
        <v>1476403</v>
      </c>
      <c r="BP31" s="478">
        <f>'[2]Restoration and Growth'!AA38</f>
        <v>0</v>
      </c>
      <c r="BQ31" s="478">
        <f>'[2]Restoration and Growth'!AB38</f>
        <v>0</v>
      </c>
      <c r="BR31" s="453">
        <f>'[2]Restoration and Growth'!BT38</f>
        <v>0</v>
      </c>
      <c r="BS31" s="453">
        <f>'[2]Growth Deficit'!$AO38</f>
        <v>0</v>
      </c>
      <c r="BT31" s="453">
        <f>'[2]Growth Deficit'!AO38</f>
        <v>0</v>
      </c>
      <c r="BU31" s="453">
        <f>'[2]Growth Deficit'!AL38</f>
        <v>0</v>
      </c>
      <c r="BV31" s="453">
        <f>'[2]Growth Deficit'!AM38</f>
        <v>0</v>
      </c>
      <c r="BW31" s="453">
        <f>'[2]Growth Deficit'!AN38</f>
        <v>0</v>
      </c>
      <c r="BX31" s="453">
        <f>'[2]Growth Deficit'!AO38</f>
        <v>0</v>
      </c>
      <c r="BY31" s="454">
        <f>'[2]PBF Run'!AA38</f>
        <v>0</v>
      </c>
      <c r="BZ31" s="454">
        <f>'[2]PBF Run'!AB38</f>
        <v>0</v>
      </c>
      <c r="CA31" s="454">
        <f>'[2]PBF Run'!AC38</f>
        <v>0</v>
      </c>
      <c r="CB31" s="454">
        <f t="shared" si="14"/>
        <v>0</v>
      </c>
      <c r="CC31" s="457">
        <f>'[2]PBF Run'!X38</f>
        <v>0</v>
      </c>
      <c r="CD31" s="456">
        <f>'[2]PBF Run'!AE38</f>
        <v>16833026</v>
      </c>
      <c r="CE31" s="337">
        <f t="shared" si="15"/>
        <v>0.98518543249443091</v>
      </c>
      <c r="CF31" s="455">
        <f>'[2]PBF Run'!AM38</f>
        <v>249374</v>
      </c>
      <c r="CG31" s="455">
        <f>'[2]PBF Run'!$AN38</f>
        <v>7052754</v>
      </c>
      <c r="CH31" s="455">
        <f>'[2]PBF Run'!$AO38</f>
        <v>0</v>
      </c>
      <c r="CI31" s="455">
        <f>'[2]PBF Run'!AJ38</f>
        <v>6254066</v>
      </c>
      <c r="CJ31" s="455">
        <f>'[2]PBF Run'!AI38</f>
        <v>621320</v>
      </c>
      <c r="CK31" s="455">
        <f>'[2]PBF Run'!$AN38</f>
        <v>7052754</v>
      </c>
      <c r="CL31" s="455">
        <f>'[2]PBF Run'!AK38</f>
        <v>2655512</v>
      </c>
      <c r="CM31" s="455">
        <f t="shared" si="16"/>
        <v>16583652</v>
      </c>
      <c r="CN31" s="454">
        <f>'[2]PBF Run'!$AN38</f>
        <v>7052754</v>
      </c>
      <c r="CO31" s="454">
        <f>'[2]PBF Run'!BI38</f>
        <v>0</v>
      </c>
      <c r="CP31" s="339">
        <f>'[2]PBF Run'!BH38</f>
        <v>0</v>
      </c>
      <c r="CQ31" s="454">
        <f t="shared" si="26"/>
        <v>69532</v>
      </c>
      <c r="CR31" s="454">
        <f t="shared" si="17"/>
        <v>7052754</v>
      </c>
      <c r="CS31" s="453">
        <f>'[2]As of 13-14 R1'!BX38</f>
        <v>142357</v>
      </c>
      <c r="CT31" s="453">
        <f>'[2]As of 13-14 R1'!BY38</f>
        <v>0</v>
      </c>
      <c r="CU31" s="453">
        <f>'[2]As of 13-14 R1'!BZ38</f>
        <v>3261348</v>
      </c>
      <c r="CV31" s="453">
        <f t="shared" si="18"/>
        <v>3403705</v>
      </c>
      <c r="CW31" s="342">
        <f>'[2]Growth Deficit'!$D$2</f>
        <v>0</v>
      </c>
      <c r="CX31" s="343">
        <f>IF($DL31="S",'[2]Foundation Grant'!C38,0)</f>
        <v>0</v>
      </c>
      <c r="CY31" s="343">
        <f>IF($DL31="S",'[2]Foundation Grant'!D38,0)</f>
        <v>0</v>
      </c>
      <c r="CZ31" s="343">
        <f>IF($DL31="S",'[2]Foundation Grant'!E38,0)</f>
        <v>1</v>
      </c>
      <c r="DA31" s="343">
        <f>IF($DL31="S",'[2]Foundation Grant'!F38,0)</f>
        <v>1</v>
      </c>
      <c r="DB31" s="343">
        <f>IF($DL31="M",'[2]Foundation Grant'!C38,0)</f>
        <v>0</v>
      </c>
      <c r="DC31" s="343">
        <f>IF($DL31="M",'[2]Foundation Grant'!D38,0)</f>
        <v>0</v>
      </c>
      <c r="DD31" s="343">
        <f>IF($DL31="M",'[2]Foundation Grant'!E38,0)</f>
        <v>0</v>
      </c>
      <c r="DE31" s="343">
        <f>IF($DL31="M",'[2]Foundation Grant'!F38,0)</f>
        <v>0</v>
      </c>
      <c r="DF31" s="343">
        <f>'[2]Foundation Grant'!G38</f>
        <v>0</v>
      </c>
      <c r="DG31" s="343">
        <f>'[2]Foundation Grant'!H38</f>
        <v>0</v>
      </c>
      <c r="DH31" s="343">
        <f>'[2]Foundation Grant'!I38</f>
        <v>0</v>
      </c>
      <c r="DI31" s="343">
        <f>'[2]Foundation Grant'!J38</f>
        <v>2</v>
      </c>
      <c r="DJ31" s="343">
        <f>'[2]Foundation Grant'!K38</f>
        <v>0</v>
      </c>
      <c r="DK31" s="452">
        <f>'[2]Foundation Grant'!L38</f>
        <v>2</v>
      </c>
      <c r="DL31" s="343" t="str">
        <f>'[2]Foundation Grant'!M38</f>
        <v>S</v>
      </c>
      <c r="DM31" s="343">
        <f>'[2]Foundation Grant'!N38</f>
        <v>4498258</v>
      </c>
      <c r="DN31" s="452">
        <f>'[2]Foundation Grant'!O38</f>
        <v>1</v>
      </c>
      <c r="DO31" s="452">
        <f>'[2]Foundation Grant'!P38</f>
        <v>0</v>
      </c>
      <c r="DP31" s="344">
        <f>'[2]Foundation Grant'!$C$1</f>
        <v>5622823</v>
      </c>
      <c r="DQ31" s="344">
        <f>'[2]Foundation Grant'!$D$1</f>
        <v>4498258</v>
      </c>
      <c r="DR31" s="344">
        <f>'[2]Foundation Grant'!$E$1</f>
        <v>3373694</v>
      </c>
      <c r="DS31" s="344">
        <f>'[2]Foundation Grant'!$C$2</f>
        <v>4498258</v>
      </c>
      <c r="DT31" s="344">
        <f>'[2]Foundation Grant'!$D$2</f>
        <v>3935976</v>
      </c>
      <c r="DU31" s="344">
        <f>'[2]Foundation Grant'!$E$2</f>
        <v>3373694</v>
      </c>
      <c r="DV31" s="344">
        <f>'[2]Foundation Grant'!$G$1</f>
        <v>1124565</v>
      </c>
      <c r="DW31" s="344">
        <f>'[2]Foundation Grant'!$H$1</f>
        <v>843423</v>
      </c>
      <c r="DX31" s="344">
        <f>'[2]Foundation Grant'!$I$1</f>
        <v>562282</v>
      </c>
      <c r="DY31" s="344">
        <f>'[2]Foundation Grant'!$J$1</f>
        <v>281141</v>
      </c>
      <c r="DZ31" s="344">
        <f>'[2]Foundation Grant'!$K$1</f>
        <v>140571</v>
      </c>
      <c r="EA31" s="344">
        <f>'[2]Foundation Grant'!$O$1</f>
        <v>562282</v>
      </c>
      <c r="EB31" s="344">
        <f>'[2]Foundation Grant'!$P$1</f>
        <v>1124565</v>
      </c>
      <c r="EC31" s="345">
        <f>'[2]basic allocation'!$C$10</f>
        <v>18749</v>
      </c>
      <c r="ED31" s="345">
        <f>'[2]basic allocation'!$D$10</f>
        <v>9375</v>
      </c>
      <c r="EE31" s="345">
        <f>'[2]basic allocation'!$E$10</f>
        <v>9375</v>
      </c>
      <c r="EF31" s="345">
        <f>'[2]basic allocation'!$I$10</f>
        <v>938</v>
      </c>
      <c r="EG31" s="345">
        <f>'[2]basic allocation'!$J$10</f>
        <v>703</v>
      </c>
      <c r="EH31" s="345">
        <f>'[2]basic allocation'!$K$10</f>
        <v>469</v>
      </c>
      <c r="EI31" s="345">
        <f>'[2]basic allocation'!$L$10</f>
        <v>234</v>
      </c>
      <c r="EJ31" s="345">
        <f>'[2]basic allocation'!$M$10</f>
        <v>100</v>
      </c>
      <c r="EK31" s="345">
        <f>'[2]PBF Run'!$AT38</f>
        <v>0</v>
      </c>
      <c r="EM31" s="477"/>
    </row>
    <row r="32" spans="1:143">
      <c r="A32" s="476" t="s">
        <v>605</v>
      </c>
      <c r="B32" s="475" t="str">
        <f t="shared" si="19"/>
        <v>P1</v>
      </c>
      <c r="C32" s="346" t="s">
        <v>341</v>
      </c>
      <c r="D32" s="450" t="s">
        <v>340</v>
      </c>
      <c r="E32" s="449">
        <f>ROUND('[2]PBF Run'!N39,6)</f>
        <v>4636.4928220000002</v>
      </c>
      <c r="F32" s="340">
        <f t="shared" si="20"/>
        <v>4636.49</v>
      </c>
      <c r="G32" s="474">
        <f t="shared" si="21"/>
        <v>2788.0536374600001</v>
      </c>
      <c r="H32" s="473">
        <f t="shared" si="22"/>
        <v>2811.7520933800001</v>
      </c>
      <c r="I32" s="473">
        <f t="shared" si="23"/>
        <v>3282.8110613200001</v>
      </c>
      <c r="J32" s="473">
        <f t="shared" si="24"/>
        <v>3310.71495534</v>
      </c>
      <c r="K32" s="472">
        <f>ROUND([2]FTES!C39,3)</f>
        <v>8446.0499999999993</v>
      </c>
      <c r="L32" s="472">
        <f>ROUND([2]FTES!L39,3)</f>
        <v>313.08</v>
      </c>
      <c r="M32" s="472">
        <f>ROUND([2]FTES!U39,3)</f>
        <v>641.54</v>
      </c>
      <c r="N32" s="465">
        <f>ROUND([2]FTES!$D39,3)</f>
        <v>8446.0499999999993</v>
      </c>
      <c r="O32" s="465">
        <f>ROUND([2]FTES!$M39,3)</f>
        <v>313.08</v>
      </c>
      <c r="P32" s="465">
        <f>ROUND([2]FTES!$V39,3)</f>
        <v>641.54</v>
      </c>
      <c r="Q32" s="471">
        <f>'[2]FTES Adjustment'!BU39</f>
        <v>0</v>
      </c>
      <c r="R32" s="471">
        <f>'[2]FTES Adjustment'!BV39</f>
        <v>0</v>
      </c>
      <c r="S32" s="471">
        <f>'[2]FTES Adjustment'!BW39</f>
        <v>0</v>
      </c>
      <c r="T32" s="469">
        <f>ROUND('[2]Growth Deficit'!$AG39,3)</f>
        <v>0</v>
      </c>
      <c r="U32" s="469">
        <f>ROUND('[2]Growth Deficit'!$AH39,3)</f>
        <v>0</v>
      </c>
      <c r="V32" s="469">
        <f>ROUND('[2]Growth Deficit'!$AI39,3)</f>
        <v>0</v>
      </c>
      <c r="W32" s="470">
        <f>ROUND([2]FTES!I39,3)</f>
        <v>0</v>
      </c>
      <c r="X32" s="470">
        <f>ROUND([2]FTES!R39,3)</f>
        <v>0</v>
      </c>
      <c r="Y32" s="470">
        <f>ROUND([2]FTES!AA39,3)</f>
        <v>0</v>
      </c>
      <c r="Z32" s="469">
        <f>ROUND([2]FTES!E39,3)</f>
        <v>8867.09</v>
      </c>
      <c r="AA32" s="469">
        <f>ROUND([2]FTES!N39,3)</f>
        <v>283.75</v>
      </c>
      <c r="AB32" s="469">
        <f>ROUND([2]FTES!W39,3)</f>
        <v>602.28</v>
      </c>
      <c r="AC32" s="468">
        <f>'[2]FTES Adjustment'!CW39</f>
        <v>8867.0899110000009</v>
      </c>
      <c r="AD32" s="468">
        <f>'[2]FTES Adjustment'!CX39</f>
        <v>283.75</v>
      </c>
      <c r="AE32" s="468">
        <f>'[2]FTES Adjustment'!CY39</f>
        <v>602.28</v>
      </c>
      <c r="AF32" s="467">
        <f>'[2]FTES Adjustment'!DQ39</f>
        <v>8.8999999206862412E-5</v>
      </c>
      <c r="AG32" s="467">
        <f>'[2]FTES Adjustment'!DR39</f>
        <v>0</v>
      </c>
      <c r="AH32" s="467">
        <f>'[2]FTES Adjustment'!DS39</f>
        <v>0</v>
      </c>
      <c r="AI32" s="340">
        <f>'[2]FTES Adjustment'!$DX39</f>
        <v>0</v>
      </c>
      <c r="AJ32" s="340">
        <v>0</v>
      </c>
      <c r="AK32" s="340">
        <v>0</v>
      </c>
      <c r="AL32" s="465">
        <f>'[2]FTES Adjustment'!CG39</f>
        <v>421.03995400000002</v>
      </c>
      <c r="AM32" s="465">
        <f>'[2]FTES Adjustment'!CH39</f>
        <v>-29.330000000000041</v>
      </c>
      <c r="AN32" s="465">
        <f>'[2]FTES Adjustment'!CI39</f>
        <v>-39.259999999999991</v>
      </c>
      <c r="AO32" s="463">
        <f t="shared" si="0"/>
        <v>9400.67</v>
      </c>
      <c r="AP32" s="463">
        <f t="shared" si="1"/>
        <v>9400.67</v>
      </c>
      <c r="AQ32" s="463">
        <f t="shared" si="2"/>
        <v>0</v>
      </c>
      <c r="AR32" s="463">
        <f t="shared" si="3"/>
        <v>0</v>
      </c>
      <c r="AS32" s="463">
        <f t="shared" si="4"/>
        <v>0</v>
      </c>
      <c r="AT32" s="463">
        <f t="shared" si="5"/>
        <v>9753.1200000000008</v>
      </c>
      <c r="AU32" s="463">
        <f t="shared" si="6"/>
        <v>9753.1200000000008</v>
      </c>
      <c r="AV32" s="464">
        <f t="shared" si="7"/>
        <v>0</v>
      </c>
      <c r="AW32" s="464">
        <f t="shared" si="8"/>
        <v>0</v>
      </c>
      <c r="AX32" s="464">
        <f t="shared" si="9"/>
        <v>352.45</v>
      </c>
      <c r="AY32" s="460">
        <f>'[2]PBF Run'!F39</f>
        <v>5622823</v>
      </c>
      <c r="AZ32" s="460">
        <f t="shared" si="10"/>
        <v>42138989</v>
      </c>
      <c r="BA32" s="460">
        <f>'[2]PBF Run'!J39 + '[2]PBF Run'!$L39</f>
        <v>39160050</v>
      </c>
      <c r="BB32" s="460">
        <f>'[2]PBF Run'!H39</f>
        <v>872884</v>
      </c>
      <c r="BC32" s="460">
        <f>'[2]PBF Run'!I39</f>
        <v>2106055</v>
      </c>
      <c r="BD32" s="462">
        <v>0</v>
      </c>
      <c r="BE32" s="461">
        <f>'[2]Restoration and Growth'!BM39</f>
        <v>0</v>
      </c>
      <c r="BF32" s="460">
        <f t="shared" si="11"/>
        <v>47761812</v>
      </c>
      <c r="BG32" s="333" t="str">
        <f t="shared" si="25"/>
        <v>0.85%</v>
      </c>
      <c r="BH32" s="459">
        <f>'[2]PBF Run'!O39</f>
        <v>405975</v>
      </c>
      <c r="BI32" s="459">
        <f t="shared" si="12"/>
        <v>48167787</v>
      </c>
      <c r="BJ32" s="458">
        <f>'[2]PBF Run'!AC39</f>
        <v>0</v>
      </c>
      <c r="BK32" s="458">
        <f>'[2]PBF Run'!$AD39</f>
        <v>0</v>
      </c>
      <c r="BL32" s="458">
        <f>'[2]PBF Run'!$T39</f>
        <v>0</v>
      </c>
      <c r="BM32" s="458">
        <f>'[2]PBF Run'!$S39</f>
        <v>1756294</v>
      </c>
      <c r="BN32" s="458">
        <f>'[2]13-14 $86M Workload Restore'!$P37</f>
        <v>0</v>
      </c>
      <c r="BO32" s="458">
        <f t="shared" si="13"/>
        <v>1756294</v>
      </c>
      <c r="BP32" s="478">
        <f>'[2]Restoration and Growth'!AA39</f>
        <v>0</v>
      </c>
      <c r="BQ32" s="478">
        <f>'[2]Restoration and Growth'!AB39</f>
        <v>0</v>
      </c>
      <c r="BR32" s="453">
        <f>'[2]Restoration and Growth'!BT39</f>
        <v>0</v>
      </c>
      <c r="BS32" s="453">
        <f>'[2]Growth Deficit'!$AO39</f>
        <v>0</v>
      </c>
      <c r="BT32" s="453">
        <f>'[2]Growth Deficit'!AO39</f>
        <v>0</v>
      </c>
      <c r="BU32" s="453">
        <f>'[2]Growth Deficit'!AL39</f>
        <v>0</v>
      </c>
      <c r="BV32" s="453">
        <f>'[2]Growth Deficit'!AM39</f>
        <v>0</v>
      </c>
      <c r="BW32" s="453">
        <f>'[2]Growth Deficit'!AN39</f>
        <v>0</v>
      </c>
      <c r="BX32" s="453">
        <f>'[2]Growth Deficit'!AO39</f>
        <v>0</v>
      </c>
      <c r="BY32" s="454">
        <f>'[2]PBF Run'!AA39</f>
        <v>0</v>
      </c>
      <c r="BZ32" s="454">
        <f>'[2]PBF Run'!AB39</f>
        <v>0</v>
      </c>
      <c r="CA32" s="454">
        <f>'[2]PBF Run'!AC39</f>
        <v>0</v>
      </c>
      <c r="CB32" s="454">
        <f t="shared" si="14"/>
        <v>0</v>
      </c>
      <c r="CC32" s="457">
        <f>'[2]PBF Run'!X39</f>
        <v>0</v>
      </c>
      <c r="CD32" s="456">
        <f>'[2]PBF Run'!AE39</f>
        <v>49924081</v>
      </c>
      <c r="CE32" s="337">
        <f t="shared" si="15"/>
        <v>0.98518542584689739</v>
      </c>
      <c r="CF32" s="455">
        <f>'[2]PBF Run'!AM39</f>
        <v>739604</v>
      </c>
      <c r="CG32" s="455">
        <f>'[2]PBF Run'!$AN39</f>
        <v>30190174</v>
      </c>
      <c r="CH32" s="455">
        <f>'[2]PBF Run'!$AO39</f>
        <v>0</v>
      </c>
      <c r="CI32" s="455">
        <f>'[2]PBF Run'!AJ39</f>
        <v>9124271</v>
      </c>
      <c r="CJ32" s="455">
        <f>'[2]PBF Run'!AI39</f>
        <v>2023876</v>
      </c>
      <c r="CK32" s="455">
        <f>'[2]PBF Run'!$AN39</f>
        <v>30190174</v>
      </c>
      <c r="CL32" s="455">
        <f>'[2]PBF Run'!AK39</f>
        <v>7846156</v>
      </c>
      <c r="CM32" s="455">
        <f t="shared" si="16"/>
        <v>49184477</v>
      </c>
      <c r="CN32" s="454">
        <f>'[2]PBF Run'!$AN39</f>
        <v>30190174</v>
      </c>
      <c r="CO32" s="454">
        <f>'[2]PBF Run'!BI39</f>
        <v>0</v>
      </c>
      <c r="CP32" s="339">
        <f>'[2]PBF Run'!BH39</f>
        <v>0</v>
      </c>
      <c r="CQ32" s="454">
        <f t="shared" si="26"/>
        <v>69532</v>
      </c>
      <c r="CR32" s="454">
        <f t="shared" si="17"/>
        <v>30190174</v>
      </c>
      <c r="CS32" s="453">
        <f>'[2]As of 13-14 R1'!BX39</f>
        <v>0</v>
      </c>
      <c r="CT32" s="453">
        <f>'[2]As of 13-14 R1'!BY39</f>
        <v>0</v>
      </c>
      <c r="CU32" s="453">
        <f>'[2]As of 13-14 R1'!BZ39</f>
        <v>0</v>
      </c>
      <c r="CV32" s="453">
        <f t="shared" si="18"/>
        <v>0</v>
      </c>
      <c r="CW32" s="342">
        <f>'[2]Growth Deficit'!$D$2</f>
        <v>0</v>
      </c>
      <c r="CX32" s="343">
        <f>IF($DL32="S",'[2]Foundation Grant'!C39,0)</f>
        <v>0</v>
      </c>
      <c r="CY32" s="343">
        <f>IF($DL32="S",'[2]Foundation Grant'!D39,0)</f>
        <v>1</v>
      </c>
      <c r="CZ32" s="343">
        <f>IF($DL32="S",'[2]Foundation Grant'!E39,0)</f>
        <v>0</v>
      </c>
      <c r="DA32" s="343">
        <f>IF($DL32="S",'[2]Foundation Grant'!F39,0)</f>
        <v>1</v>
      </c>
      <c r="DB32" s="343">
        <f>IF($DL32="M",'[2]Foundation Grant'!C39,0)</f>
        <v>0</v>
      </c>
      <c r="DC32" s="343">
        <f>IF($DL32="M",'[2]Foundation Grant'!D39,0)</f>
        <v>0</v>
      </c>
      <c r="DD32" s="343">
        <f>IF($DL32="M",'[2]Foundation Grant'!E39,0)</f>
        <v>0</v>
      </c>
      <c r="DE32" s="343">
        <f>IF($DL32="M",'[2]Foundation Grant'!F39,0)</f>
        <v>0</v>
      </c>
      <c r="DF32" s="343">
        <f>'[2]Foundation Grant'!G39</f>
        <v>1</v>
      </c>
      <c r="DG32" s="343">
        <f>'[2]Foundation Grant'!H39</f>
        <v>0</v>
      </c>
      <c r="DH32" s="343">
        <f>'[2]Foundation Grant'!I39</f>
        <v>0</v>
      </c>
      <c r="DI32" s="343">
        <f>'[2]Foundation Grant'!J39</f>
        <v>0</v>
      </c>
      <c r="DJ32" s="343">
        <f>'[2]Foundation Grant'!K39</f>
        <v>0</v>
      </c>
      <c r="DK32" s="452">
        <f>'[2]Foundation Grant'!L39</f>
        <v>1</v>
      </c>
      <c r="DL32" s="343" t="str">
        <f>'[2]Foundation Grant'!M39</f>
        <v>S</v>
      </c>
      <c r="DM32" s="343">
        <f>'[2]Foundation Grant'!N39</f>
        <v>5622823</v>
      </c>
      <c r="DN32" s="452">
        <f>'[2]Foundation Grant'!O39</f>
        <v>0</v>
      </c>
      <c r="DO32" s="452">
        <f>'[2]Foundation Grant'!P39</f>
        <v>0</v>
      </c>
      <c r="DP32" s="344">
        <f>'[2]Foundation Grant'!$C$1</f>
        <v>5622823</v>
      </c>
      <c r="DQ32" s="344">
        <f>'[2]Foundation Grant'!$D$1</f>
        <v>4498258</v>
      </c>
      <c r="DR32" s="344">
        <f>'[2]Foundation Grant'!$E$1</f>
        <v>3373694</v>
      </c>
      <c r="DS32" s="344">
        <f>'[2]Foundation Grant'!$C$2</f>
        <v>4498258</v>
      </c>
      <c r="DT32" s="344">
        <f>'[2]Foundation Grant'!$D$2</f>
        <v>3935976</v>
      </c>
      <c r="DU32" s="344">
        <f>'[2]Foundation Grant'!$E$2</f>
        <v>3373694</v>
      </c>
      <c r="DV32" s="344">
        <f>'[2]Foundation Grant'!$G$1</f>
        <v>1124565</v>
      </c>
      <c r="DW32" s="344">
        <f>'[2]Foundation Grant'!$H$1</f>
        <v>843423</v>
      </c>
      <c r="DX32" s="344">
        <f>'[2]Foundation Grant'!$I$1</f>
        <v>562282</v>
      </c>
      <c r="DY32" s="344">
        <f>'[2]Foundation Grant'!$J$1</f>
        <v>281141</v>
      </c>
      <c r="DZ32" s="344">
        <f>'[2]Foundation Grant'!$K$1</f>
        <v>140571</v>
      </c>
      <c r="EA32" s="344">
        <f>'[2]Foundation Grant'!$O$1</f>
        <v>562282</v>
      </c>
      <c r="EB32" s="344">
        <f>'[2]Foundation Grant'!$P$1</f>
        <v>1124565</v>
      </c>
      <c r="EC32" s="345">
        <f>'[2]basic allocation'!$C$10</f>
        <v>18749</v>
      </c>
      <c r="ED32" s="345">
        <f>'[2]basic allocation'!$D$10</f>
        <v>9375</v>
      </c>
      <c r="EE32" s="345">
        <f>'[2]basic allocation'!$E$10</f>
        <v>9375</v>
      </c>
      <c r="EF32" s="345">
        <f>'[2]basic allocation'!$I$10</f>
        <v>938</v>
      </c>
      <c r="EG32" s="345">
        <f>'[2]basic allocation'!$J$10</f>
        <v>703</v>
      </c>
      <c r="EH32" s="345">
        <f>'[2]basic allocation'!$K$10</f>
        <v>469</v>
      </c>
      <c r="EI32" s="345">
        <f>'[2]basic allocation'!$L$10</f>
        <v>234</v>
      </c>
      <c r="EJ32" s="345">
        <f>'[2]basic allocation'!$M$10</f>
        <v>100</v>
      </c>
      <c r="EK32" s="345">
        <f>'[2]PBF Run'!$AT39</f>
        <v>0</v>
      </c>
      <c r="EM32" s="477"/>
    </row>
    <row r="33" spans="1:143">
      <c r="A33" s="476" t="s">
        <v>605</v>
      </c>
      <c r="B33" s="475" t="str">
        <f t="shared" si="19"/>
        <v>P1</v>
      </c>
      <c r="C33" s="346" t="s">
        <v>339</v>
      </c>
      <c r="D33" s="450" t="s">
        <v>338</v>
      </c>
      <c r="E33" s="449">
        <f>ROUND('[2]PBF Run'!N40,6)</f>
        <v>4645.6969429999999</v>
      </c>
      <c r="F33" s="340">
        <f t="shared" si="20"/>
        <v>4636.49</v>
      </c>
      <c r="G33" s="474">
        <f t="shared" si="21"/>
        <v>2788.0536374600001</v>
      </c>
      <c r="H33" s="473">
        <f t="shared" si="22"/>
        <v>2811.7520933800001</v>
      </c>
      <c r="I33" s="473">
        <f t="shared" si="23"/>
        <v>3282.8110613200001</v>
      </c>
      <c r="J33" s="473">
        <f t="shared" si="24"/>
        <v>3310.71495534</v>
      </c>
      <c r="K33" s="472">
        <f>ROUND([2]FTES!C40,3)</f>
        <v>9909.7199999999993</v>
      </c>
      <c r="L33" s="472">
        <f>ROUND([2]FTES!L40,3)</f>
        <v>736.46</v>
      </c>
      <c r="M33" s="472">
        <f>ROUND([2]FTES!U40,3)</f>
        <v>0</v>
      </c>
      <c r="N33" s="465">
        <f>ROUND([2]FTES!$D40,3)</f>
        <v>9909.7199999999993</v>
      </c>
      <c r="O33" s="465">
        <f>ROUND([2]FTES!$M40,3)</f>
        <v>736.46</v>
      </c>
      <c r="P33" s="465">
        <f>ROUND([2]FTES!$V40,3)</f>
        <v>0</v>
      </c>
      <c r="Q33" s="471">
        <f>'[2]FTES Adjustment'!BU40</f>
        <v>0</v>
      </c>
      <c r="R33" s="471">
        <f>'[2]FTES Adjustment'!BV40</f>
        <v>0</v>
      </c>
      <c r="S33" s="471">
        <f>'[2]FTES Adjustment'!BW40</f>
        <v>0</v>
      </c>
      <c r="T33" s="469">
        <f>ROUND('[2]Growth Deficit'!$AG40,3)</f>
        <v>0</v>
      </c>
      <c r="U33" s="469">
        <f>ROUND('[2]Growth Deficit'!$AH40,3)</f>
        <v>0</v>
      </c>
      <c r="V33" s="469">
        <f>ROUND('[2]Growth Deficit'!$AI40,3)</f>
        <v>0</v>
      </c>
      <c r="W33" s="470">
        <f>ROUND([2]FTES!I40,3)</f>
        <v>0</v>
      </c>
      <c r="X33" s="470">
        <f>ROUND([2]FTES!R40,3)</f>
        <v>0</v>
      </c>
      <c r="Y33" s="470">
        <f>ROUND([2]FTES!AA40,3)</f>
        <v>0</v>
      </c>
      <c r="Z33" s="469">
        <f>ROUND([2]FTES!E40,3)</f>
        <v>10110.33</v>
      </c>
      <c r="AA33" s="469">
        <f>ROUND([2]FTES!N40,3)</f>
        <v>655.23</v>
      </c>
      <c r="AB33" s="469">
        <f>ROUND([2]FTES!W40,3)</f>
        <v>0</v>
      </c>
      <c r="AC33" s="468">
        <f>'[2]FTES Adjustment'!CW40</f>
        <v>9958.5664160000015</v>
      </c>
      <c r="AD33" s="468">
        <f>'[2]FTES Adjustment'!CX40</f>
        <v>655.23</v>
      </c>
      <c r="AE33" s="468">
        <f>'[2]FTES Adjustment'!CY40</f>
        <v>0</v>
      </c>
      <c r="AF33" s="467">
        <f>'[2]FTES Adjustment'!DQ40</f>
        <v>151.76358399999845</v>
      </c>
      <c r="AG33" s="467">
        <f>'[2]FTES Adjustment'!DR40</f>
        <v>0</v>
      </c>
      <c r="AH33" s="467">
        <f>'[2]FTES Adjustment'!DS40</f>
        <v>0</v>
      </c>
      <c r="AI33" s="340">
        <f>'[2]FTES Adjustment'!$DX40</f>
        <v>0</v>
      </c>
      <c r="AJ33" s="340">
        <v>0</v>
      </c>
      <c r="AK33" s="340">
        <v>0</v>
      </c>
      <c r="AL33" s="465">
        <f>'[2]FTES Adjustment'!CG40</f>
        <v>48.845965999999997</v>
      </c>
      <c r="AM33" s="465">
        <f>'[2]FTES Adjustment'!CH40</f>
        <v>-81.230000000000018</v>
      </c>
      <c r="AN33" s="465">
        <f>'[2]FTES Adjustment'!CI40</f>
        <v>0</v>
      </c>
      <c r="AO33" s="463">
        <f t="shared" si="0"/>
        <v>10646.18</v>
      </c>
      <c r="AP33" s="463">
        <f t="shared" si="1"/>
        <v>10646.18</v>
      </c>
      <c r="AQ33" s="463">
        <f t="shared" si="2"/>
        <v>0</v>
      </c>
      <c r="AR33" s="463">
        <f t="shared" si="3"/>
        <v>0</v>
      </c>
      <c r="AS33" s="463">
        <f t="shared" si="4"/>
        <v>0</v>
      </c>
      <c r="AT33" s="463">
        <f t="shared" si="5"/>
        <v>10765.56</v>
      </c>
      <c r="AU33" s="463">
        <f t="shared" si="6"/>
        <v>10613.796</v>
      </c>
      <c r="AV33" s="464">
        <f t="shared" si="7"/>
        <v>151.76400000000001</v>
      </c>
      <c r="AW33" s="464">
        <f t="shared" si="8"/>
        <v>0</v>
      </c>
      <c r="AX33" s="464">
        <f t="shared" si="9"/>
        <v>-32.384</v>
      </c>
      <c r="AY33" s="460">
        <f>'[2]PBF Run'!F40</f>
        <v>5622823</v>
      </c>
      <c r="AZ33" s="460">
        <f t="shared" si="10"/>
        <v>48090848</v>
      </c>
      <c r="BA33" s="460">
        <f>'[2]PBF Run'!J40 + '[2]PBF Run'!$L40</f>
        <v>46037558</v>
      </c>
      <c r="BB33" s="460">
        <f>'[2]PBF Run'!H40</f>
        <v>2053290</v>
      </c>
      <c r="BC33" s="460">
        <f>'[2]PBF Run'!I40</f>
        <v>0</v>
      </c>
      <c r="BD33" s="462">
        <v>0</v>
      </c>
      <c r="BE33" s="461">
        <f>'[2]Restoration and Growth'!BM40</f>
        <v>0</v>
      </c>
      <c r="BF33" s="460">
        <f t="shared" si="11"/>
        <v>53713671</v>
      </c>
      <c r="BG33" s="333" t="str">
        <f t="shared" si="25"/>
        <v>0.85%</v>
      </c>
      <c r="BH33" s="459">
        <f>'[2]PBF Run'!O40</f>
        <v>456566</v>
      </c>
      <c r="BI33" s="459">
        <f t="shared" si="12"/>
        <v>54170237</v>
      </c>
      <c r="BJ33" s="458">
        <f>'[2]PBF Run'!AC40</f>
        <v>0</v>
      </c>
      <c r="BK33" s="458">
        <f>'[2]PBF Run'!$AD40</f>
        <v>0</v>
      </c>
      <c r="BL33" s="458">
        <f>'[2]PBF Run'!$T40</f>
        <v>0</v>
      </c>
      <c r="BM33" s="458">
        <f>'[2]PBF Run'!$S40</f>
        <v>0</v>
      </c>
      <c r="BN33" s="458">
        <f>'[2]13-14 $86M Workload Restore'!$P38</f>
        <v>0</v>
      </c>
      <c r="BO33" s="458">
        <f t="shared" si="13"/>
        <v>0</v>
      </c>
      <c r="BP33" s="478">
        <f>'[2]Restoration and Growth'!AA40</f>
        <v>0</v>
      </c>
      <c r="BQ33" s="478">
        <f>'[2]Restoration and Growth'!AB40</f>
        <v>0</v>
      </c>
      <c r="BR33" s="453">
        <f>'[2]Restoration and Growth'!BT40</f>
        <v>0</v>
      </c>
      <c r="BS33" s="453">
        <f>'[2]Growth Deficit'!$AO40</f>
        <v>0</v>
      </c>
      <c r="BT33" s="453">
        <f>'[2]Growth Deficit'!AO40</f>
        <v>0</v>
      </c>
      <c r="BU33" s="453">
        <f>'[2]Growth Deficit'!AL40</f>
        <v>0</v>
      </c>
      <c r="BV33" s="453">
        <f>'[2]Growth Deficit'!AM40</f>
        <v>0</v>
      </c>
      <c r="BW33" s="453">
        <f>'[2]Growth Deficit'!AN40</f>
        <v>0</v>
      </c>
      <c r="BX33" s="453">
        <f>'[2]Growth Deficit'!AO40</f>
        <v>0</v>
      </c>
      <c r="BY33" s="454">
        <f>'[2]PBF Run'!AA40</f>
        <v>0</v>
      </c>
      <c r="BZ33" s="454">
        <f>'[2]PBF Run'!AB40</f>
        <v>0</v>
      </c>
      <c r="CA33" s="454">
        <f>'[2]PBF Run'!AC40</f>
        <v>0</v>
      </c>
      <c r="CB33" s="454">
        <f t="shared" si="14"/>
        <v>0</v>
      </c>
      <c r="CC33" s="457">
        <f>'[2]PBF Run'!X40</f>
        <v>0</v>
      </c>
      <c r="CD33" s="456">
        <f>'[2]PBF Run'!AE40</f>
        <v>54170237</v>
      </c>
      <c r="CE33" s="337">
        <f t="shared" si="15"/>
        <v>1</v>
      </c>
      <c r="CF33" s="455">
        <f>'[2]PBF Run'!AM40</f>
        <v>0</v>
      </c>
      <c r="CG33" s="455">
        <f>'[2]PBF Run'!$AN40</f>
        <v>0</v>
      </c>
      <c r="CH33" s="455">
        <f>'[2]PBF Run'!$AO40</f>
        <v>36170373</v>
      </c>
      <c r="CI33" s="455">
        <f>'[2]PBF Run'!AJ40</f>
        <v>82502054</v>
      </c>
      <c r="CJ33" s="455">
        <f>'[2]PBF Run'!AI40</f>
        <v>6762000</v>
      </c>
      <c r="CK33" s="455">
        <f>'[2]PBF Run'!$AN40</f>
        <v>0</v>
      </c>
      <c r="CL33" s="455">
        <f>'[2]PBF Run'!AK40</f>
        <v>1076556</v>
      </c>
      <c r="CM33" s="455">
        <f t="shared" si="16"/>
        <v>54170237</v>
      </c>
      <c r="CN33" s="454">
        <f>'[2]PBF Run'!$AN40</f>
        <v>0</v>
      </c>
      <c r="CO33" s="454">
        <f>'[2]PBF Run'!BI40</f>
        <v>0</v>
      </c>
      <c r="CP33" s="339">
        <f>'[2]PBF Run'!BH40</f>
        <v>0</v>
      </c>
      <c r="CQ33" s="454">
        <f t="shared" si="26"/>
        <v>69532</v>
      </c>
      <c r="CR33" s="454">
        <f t="shared" si="17"/>
        <v>0</v>
      </c>
      <c r="CS33" s="453">
        <f>'[2]As of 13-14 R1'!BX40</f>
        <v>0</v>
      </c>
      <c r="CT33" s="453">
        <f>'[2]As of 13-14 R1'!BY40</f>
        <v>0</v>
      </c>
      <c r="CU33" s="453">
        <f>'[2]As of 13-14 R1'!BZ40</f>
        <v>0</v>
      </c>
      <c r="CV33" s="453">
        <f t="shared" si="18"/>
        <v>0</v>
      </c>
      <c r="CW33" s="342">
        <f>'[2]Growth Deficit'!$D$2</f>
        <v>0</v>
      </c>
      <c r="CX33" s="343">
        <f>IF($DL33="S",'[2]Foundation Grant'!C40,0)</f>
        <v>0</v>
      </c>
      <c r="CY33" s="343">
        <f>IF($DL33="S",'[2]Foundation Grant'!D40,0)</f>
        <v>1</v>
      </c>
      <c r="CZ33" s="343">
        <f>IF($DL33="S",'[2]Foundation Grant'!E40,0)</f>
        <v>0</v>
      </c>
      <c r="DA33" s="343">
        <f>IF($DL33="S",'[2]Foundation Grant'!F40,0)</f>
        <v>1</v>
      </c>
      <c r="DB33" s="343">
        <f>IF($DL33="M",'[2]Foundation Grant'!C40,0)</f>
        <v>0</v>
      </c>
      <c r="DC33" s="343">
        <f>IF($DL33="M",'[2]Foundation Grant'!D40,0)</f>
        <v>0</v>
      </c>
      <c r="DD33" s="343">
        <f>IF($DL33="M",'[2]Foundation Grant'!E40,0)</f>
        <v>0</v>
      </c>
      <c r="DE33" s="343">
        <f>IF($DL33="M",'[2]Foundation Grant'!F40,0)</f>
        <v>0</v>
      </c>
      <c r="DF33" s="343">
        <f>'[2]Foundation Grant'!G40</f>
        <v>0</v>
      </c>
      <c r="DG33" s="343">
        <f>'[2]Foundation Grant'!H40</f>
        <v>0</v>
      </c>
      <c r="DH33" s="343">
        <f>'[2]Foundation Grant'!I40</f>
        <v>0</v>
      </c>
      <c r="DI33" s="343">
        <f>'[2]Foundation Grant'!J40</f>
        <v>0</v>
      </c>
      <c r="DJ33" s="343">
        <f>'[2]Foundation Grant'!K40</f>
        <v>0</v>
      </c>
      <c r="DK33" s="452">
        <f>'[2]Foundation Grant'!L40</f>
        <v>0</v>
      </c>
      <c r="DL33" s="343" t="str">
        <f>'[2]Foundation Grant'!M40</f>
        <v>S</v>
      </c>
      <c r="DM33" s="343">
        <f>'[2]Foundation Grant'!N40</f>
        <v>5622823</v>
      </c>
      <c r="DN33" s="452">
        <f>'[2]Foundation Grant'!O40</f>
        <v>0</v>
      </c>
      <c r="DO33" s="452">
        <f>'[2]Foundation Grant'!P40</f>
        <v>1</v>
      </c>
      <c r="DP33" s="344">
        <f>'[2]Foundation Grant'!$C$1</f>
        <v>5622823</v>
      </c>
      <c r="DQ33" s="344">
        <f>'[2]Foundation Grant'!$D$1</f>
        <v>4498258</v>
      </c>
      <c r="DR33" s="344">
        <f>'[2]Foundation Grant'!$E$1</f>
        <v>3373694</v>
      </c>
      <c r="DS33" s="344">
        <f>'[2]Foundation Grant'!$C$2</f>
        <v>4498258</v>
      </c>
      <c r="DT33" s="344">
        <f>'[2]Foundation Grant'!$D$2</f>
        <v>3935976</v>
      </c>
      <c r="DU33" s="344">
        <f>'[2]Foundation Grant'!$E$2</f>
        <v>3373694</v>
      </c>
      <c r="DV33" s="344">
        <f>'[2]Foundation Grant'!$G$1</f>
        <v>1124565</v>
      </c>
      <c r="DW33" s="344">
        <f>'[2]Foundation Grant'!$H$1</f>
        <v>843423</v>
      </c>
      <c r="DX33" s="344">
        <f>'[2]Foundation Grant'!$I$1</f>
        <v>562282</v>
      </c>
      <c r="DY33" s="344">
        <f>'[2]Foundation Grant'!$J$1</f>
        <v>281141</v>
      </c>
      <c r="DZ33" s="344">
        <f>'[2]Foundation Grant'!$K$1</f>
        <v>140571</v>
      </c>
      <c r="EA33" s="344">
        <f>'[2]Foundation Grant'!$O$1</f>
        <v>562282</v>
      </c>
      <c r="EB33" s="344">
        <f>'[2]Foundation Grant'!$P$1</f>
        <v>1124565</v>
      </c>
      <c r="EC33" s="345">
        <f>'[2]basic allocation'!$C$10</f>
        <v>18749</v>
      </c>
      <c r="ED33" s="345">
        <f>'[2]basic allocation'!$D$10</f>
        <v>9375</v>
      </c>
      <c r="EE33" s="345">
        <f>'[2]basic allocation'!$E$10</f>
        <v>9375</v>
      </c>
      <c r="EF33" s="345">
        <f>'[2]basic allocation'!$I$10</f>
        <v>938</v>
      </c>
      <c r="EG33" s="345">
        <f>'[2]basic allocation'!$J$10</f>
        <v>703</v>
      </c>
      <c r="EH33" s="345">
        <f>'[2]basic allocation'!$K$10</f>
        <v>469</v>
      </c>
      <c r="EI33" s="345">
        <f>'[2]basic allocation'!$L$10</f>
        <v>234</v>
      </c>
      <c r="EJ33" s="345">
        <f>'[2]basic allocation'!$M$10</f>
        <v>100</v>
      </c>
      <c r="EK33" s="345">
        <f>'[2]PBF Run'!$AT40</f>
        <v>0</v>
      </c>
      <c r="EM33" s="477"/>
    </row>
    <row r="34" spans="1:143">
      <c r="A34" s="476" t="s">
        <v>605</v>
      </c>
      <c r="B34" s="475" t="str">
        <f t="shared" si="19"/>
        <v>P1</v>
      </c>
      <c r="C34" s="346" t="s">
        <v>337</v>
      </c>
      <c r="D34" s="450" t="s">
        <v>336</v>
      </c>
      <c r="E34" s="449">
        <f>ROUND('[2]PBF Run'!N41,6)</f>
        <v>4636.4928559999998</v>
      </c>
      <c r="F34" s="340">
        <f t="shared" si="20"/>
        <v>4636.49</v>
      </c>
      <c r="G34" s="474">
        <f t="shared" si="21"/>
        <v>2788.0536374600001</v>
      </c>
      <c r="H34" s="473">
        <f t="shared" si="22"/>
        <v>2811.7520933800001</v>
      </c>
      <c r="I34" s="473">
        <f t="shared" si="23"/>
        <v>3282.8110613200001</v>
      </c>
      <c r="J34" s="473">
        <f t="shared" si="24"/>
        <v>3310.71495534</v>
      </c>
      <c r="K34" s="472">
        <f>ROUND([2]FTES!C41,3)</f>
        <v>6032.03</v>
      </c>
      <c r="L34" s="472">
        <f>ROUND([2]FTES!L41,3)</f>
        <v>381.22</v>
      </c>
      <c r="M34" s="472">
        <f>ROUND([2]FTES!U41,3)</f>
        <v>110.54</v>
      </c>
      <c r="N34" s="465">
        <f>ROUND([2]FTES!$D41,3)</f>
        <v>6032.03</v>
      </c>
      <c r="O34" s="465">
        <f>ROUND([2]FTES!$M41,3)</f>
        <v>381.22</v>
      </c>
      <c r="P34" s="465">
        <f>ROUND([2]FTES!$V41,3)</f>
        <v>110.54</v>
      </c>
      <c r="Q34" s="471">
        <f>'[2]FTES Adjustment'!BU41</f>
        <v>0</v>
      </c>
      <c r="R34" s="471">
        <f>'[2]FTES Adjustment'!BV41</f>
        <v>0</v>
      </c>
      <c r="S34" s="471">
        <f>'[2]FTES Adjustment'!BW41</f>
        <v>0</v>
      </c>
      <c r="T34" s="469">
        <f>ROUND('[2]Growth Deficit'!$AG41,3)</f>
        <v>0</v>
      </c>
      <c r="U34" s="469">
        <f>ROUND('[2]Growth Deficit'!$AH41,3)</f>
        <v>0</v>
      </c>
      <c r="V34" s="469">
        <f>ROUND('[2]Growth Deficit'!$AI41,3)</f>
        <v>0</v>
      </c>
      <c r="W34" s="470">
        <f>ROUND([2]FTES!I41,3)</f>
        <v>13.71</v>
      </c>
      <c r="X34" s="470">
        <f>ROUND([2]FTES!R41,3)</f>
        <v>-44.31</v>
      </c>
      <c r="Y34" s="470">
        <f>ROUND([2]FTES!AA41,3)</f>
        <v>9.7899999999999991</v>
      </c>
      <c r="Z34" s="469">
        <f>ROUND([2]FTES!E41,3)</f>
        <v>6045.74</v>
      </c>
      <c r="AA34" s="469">
        <f>ROUND([2]FTES!N41,3)</f>
        <v>336.91</v>
      </c>
      <c r="AB34" s="469">
        <f>ROUND([2]FTES!W41,3)</f>
        <v>120.33</v>
      </c>
      <c r="AC34" s="468">
        <f>'[2]FTES Adjustment'!CW41</f>
        <v>6045.7400000000007</v>
      </c>
      <c r="AD34" s="468">
        <f>'[2]FTES Adjustment'!CX41</f>
        <v>336.90999999999991</v>
      </c>
      <c r="AE34" s="468">
        <f>'[2]FTES Adjustment'!CY41</f>
        <v>120.32999999999998</v>
      </c>
      <c r="AF34" s="467">
        <f>'[2]FTES Adjustment'!DQ41</f>
        <v>0</v>
      </c>
      <c r="AG34" s="467">
        <f>'[2]FTES Adjustment'!DR41</f>
        <v>0</v>
      </c>
      <c r="AH34" s="467">
        <f>'[2]FTES Adjustment'!DS41</f>
        <v>0</v>
      </c>
      <c r="AI34" s="340">
        <f>'[2]FTES Adjustment'!$DX41</f>
        <v>0</v>
      </c>
      <c r="AJ34" s="340">
        <v>0</v>
      </c>
      <c r="AK34" s="340">
        <v>0</v>
      </c>
      <c r="AL34" s="465">
        <f>'[2]FTES Adjustment'!CG41</f>
        <v>0</v>
      </c>
      <c r="AM34" s="465">
        <f>'[2]FTES Adjustment'!CH41</f>
        <v>0</v>
      </c>
      <c r="AN34" s="465">
        <f>'[2]FTES Adjustment'!CI41</f>
        <v>0</v>
      </c>
      <c r="AO34" s="463">
        <f t="shared" ref="AO34:AO65" si="27">ROUND(K34+L34+M34,3)</f>
        <v>6523.79</v>
      </c>
      <c r="AP34" s="463">
        <f t="shared" ref="AP34:AP65" si="28">ROUND(N34+O34+P34,3)</f>
        <v>6523.79</v>
      </c>
      <c r="AQ34" s="463">
        <f t="shared" ref="AQ34:AQ65" si="29">ROUND(Q34+R34+S34,3)</f>
        <v>0</v>
      </c>
      <c r="AR34" s="463">
        <f t="shared" ref="AR34:AR65" si="30">ROUND(T34+U34+V34,3)</f>
        <v>0</v>
      </c>
      <c r="AS34" s="463">
        <f t="shared" ref="AS34:AS65" si="31">ROUND(W34+X34+Y34,3)</f>
        <v>-20.81</v>
      </c>
      <c r="AT34" s="463">
        <f t="shared" ref="AT34:AT65" si="32">ROUND(Z34+AA34+AB34,3)</f>
        <v>6502.98</v>
      </c>
      <c r="AU34" s="463">
        <f t="shared" ref="AU34:AU65" si="33">ROUND(AC34+AD34+AE34,3)</f>
        <v>6502.98</v>
      </c>
      <c r="AV34" s="464">
        <f t="shared" ref="AV34:AV65" si="34">ROUND(AF34+AG34+AH34,3)</f>
        <v>0</v>
      </c>
      <c r="AW34" s="464">
        <f t="shared" ref="AW34:AW65" si="35">ROUND(AI34+AJ34+AK34,3)</f>
        <v>0</v>
      </c>
      <c r="AX34" s="464">
        <f t="shared" ref="AX34:AX65" si="36">ROUND(AL34+AM34+AN34,3)</f>
        <v>0</v>
      </c>
      <c r="AY34" s="460">
        <f>'[2]PBF Run'!F41</f>
        <v>3654835</v>
      </c>
      <c r="AZ34" s="460">
        <f t="shared" ref="AZ34:AZ65" si="37">BA34+BB34+BC34</f>
        <v>29393208</v>
      </c>
      <c r="BA34" s="460">
        <f>'[2]PBF Run'!J41 + '[2]PBF Run'!$L41</f>
        <v>27967464</v>
      </c>
      <c r="BB34" s="460">
        <f>'[2]PBF Run'!H41</f>
        <v>1062862</v>
      </c>
      <c r="BC34" s="460">
        <f>'[2]PBF Run'!I41</f>
        <v>362882</v>
      </c>
      <c r="BD34" s="462">
        <v>0</v>
      </c>
      <c r="BE34" s="461">
        <f>'[2]Restoration and Growth'!BM41</f>
        <v>-27833.415964303422</v>
      </c>
      <c r="BF34" s="460">
        <f t="shared" ref="BF34:BF65" si="38">AY34+AZ34-BD34+BE34</f>
        <v>33020209.584035698</v>
      </c>
      <c r="BG34" s="333" t="str">
        <f t="shared" si="25"/>
        <v>0.85%</v>
      </c>
      <c r="BH34" s="459">
        <f>'[2]PBF Run'!O41</f>
        <v>280672</v>
      </c>
      <c r="BI34" s="459">
        <f t="shared" ref="BI34:BI65" si="39">SUM(BF34,BH34)</f>
        <v>33300881.584035698</v>
      </c>
      <c r="BJ34" s="458">
        <f>'[2]PBF Run'!AC41</f>
        <v>0</v>
      </c>
      <c r="BK34" s="458">
        <f>'[2]PBF Run'!$AD41</f>
        <v>0</v>
      </c>
      <c r="BL34" s="458">
        <f>'[2]PBF Run'!$T41</f>
        <v>0</v>
      </c>
      <c r="BM34" s="458">
        <f>'[2]PBF Run'!$S41</f>
        <v>0</v>
      </c>
      <c r="BN34" s="458">
        <f>'[2]13-14 $86M Workload Restore'!$P39</f>
        <v>0</v>
      </c>
      <c r="BO34" s="458">
        <f t="shared" ref="BO34:BO65" si="40">BJ34+BK34+BL34+BM34+BN34</f>
        <v>0</v>
      </c>
      <c r="BP34" s="478">
        <f>'[2]Restoration and Growth'!AA41</f>
        <v>0</v>
      </c>
      <c r="BQ34" s="478">
        <f>'[2]Restoration and Growth'!AB41</f>
        <v>0</v>
      </c>
      <c r="BR34" s="453">
        <f>'[2]Restoration and Growth'!BT41</f>
        <v>0</v>
      </c>
      <c r="BS34" s="453">
        <f>'[2]Growth Deficit'!$AO41</f>
        <v>0</v>
      </c>
      <c r="BT34" s="453">
        <f>'[2]Growth Deficit'!AO41</f>
        <v>0</v>
      </c>
      <c r="BU34" s="453">
        <f>'[2]Growth Deficit'!AL41</f>
        <v>0</v>
      </c>
      <c r="BV34" s="453">
        <f>'[2]Growth Deficit'!AM41</f>
        <v>0</v>
      </c>
      <c r="BW34" s="453">
        <f>'[2]Growth Deficit'!AN41</f>
        <v>0</v>
      </c>
      <c r="BX34" s="453">
        <f>'[2]Growth Deficit'!AO41</f>
        <v>0</v>
      </c>
      <c r="BY34" s="454">
        <f>'[2]PBF Run'!AA41</f>
        <v>0</v>
      </c>
      <c r="BZ34" s="454">
        <f>'[2]PBF Run'!AB41</f>
        <v>0</v>
      </c>
      <c r="CA34" s="454">
        <f>'[2]PBF Run'!AC41</f>
        <v>0</v>
      </c>
      <c r="CB34" s="454">
        <f t="shared" ref="CB34:CB65" si="41">BY34+BZ34</f>
        <v>0</v>
      </c>
      <c r="CC34" s="457">
        <f>'[2]PBF Run'!X41</f>
        <v>28070</v>
      </c>
      <c r="CD34" s="456">
        <f>'[2]PBF Run'!AE41</f>
        <v>33328952</v>
      </c>
      <c r="CE34" s="337">
        <f t="shared" ref="CE34:CE65" si="42">1-CF34/CD34</f>
        <v>0.98518543277328374</v>
      </c>
      <c r="CF34" s="455">
        <f>'[2]PBF Run'!AM41</f>
        <v>493754</v>
      </c>
      <c r="CG34" s="455">
        <f>'[2]PBF Run'!$AN41</f>
        <v>10709260</v>
      </c>
      <c r="CH34" s="455">
        <f>'[2]PBF Run'!$AO41</f>
        <v>0</v>
      </c>
      <c r="CI34" s="455">
        <f>'[2]PBF Run'!AJ41</f>
        <v>14567600</v>
      </c>
      <c r="CJ34" s="455">
        <f>'[2]PBF Run'!AI41</f>
        <v>2510152</v>
      </c>
      <c r="CK34" s="455">
        <f>'[2]PBF Run'!$AN41</f>
        <v>10709260</v>
      </c>
      <c r="CL34" s="455">
        <f>'[2]PBF Run'!AK41</f>
        <v>5048186</v>
      </c>
      <c r="CM34" s="455">
        <f t="shared" ref="CM34:CM65" si="43">CD34-CF34</f>
        <v>32835198</v>
      </c>
      <c r="CN34" s="454">
        <f>'[2]PBF Run'!$AN41</f>
        <v>10709260</v>
      </c>
      <c r="CO34" s="454">
        <f>'[2]PBF Run'!BI41</f>
        <v>0</v>
      </c>
      <c r="CP34" s="339">
        <f>'[2]PBF Run'!BH41</f>
        <v>0</v>
      </c>
      <c r="CQ34" s="454">
        <f t="shared" si="26"/>
        <v>69532</v>
      </c>
      <c r="CR34" s="454">
        <f t="shared" ref="CR34:CR65" si="44">CN34+CO34</f>
        <v>10709260</v>
      </c>
      <c r="CS34" s="453">
        <f>'[2]As of 13-14 R1'!BX41</f>
        <v>1296425</v>
      </c>
      <c r="CT34" s="453">
        <f>'[2]As of 13-14 R1'!BY41</f>
        <v>0</v>
      </c>
      <c r="CU34" s="453">
        <f>'[2]As of 13-14 R1'!BZ41</f>
        <v>1251953</v>
      </c>
      <c r="CV34" s="453">
        <f t="shared" ref="CV34:CV65" si="45">CS34+CT34+CU34</f>
        <v>2548378</v>
      </c>
      <c r="CW34" s="342">
        <f>'[2]Growth Deficit'!$D$2</f>
        <v>0</v>
      </c>
      <c r="CX34" s="343">
        <f>IF($DL34="S",'[2]Foundation Grant'!C41,0)</f>
        <v>0</v>
      </c>
      <c r="CY34" s="343">
        <f>IF($DL34="S",'[2]Foundation Grant'!D41,0)</f>
        <v>0</v>
      </c>
      <c r="CZ34" s="343">
        <f>IF($DL34="S",'[2]Foundation Grant'!E41,0)</f>
        <v>1</v>
      </c>
      <c r="DA34" s="343">
        <f>IF($DL34="S",'[2]Foundation Grant'!F41,0)</f>
        <v>1</v>
      </c>
      <c r="DB34" s="343">
        <f>IF($DL34="M",'[2]Foundation Grant'!C41,0)</f>
        <v>0</v>
      </c>
      <c r="DC34" s="343">
        <f>IF($DL34="M",'[2]Foundation Grant'!D41,0)</f>
        <v>0</v>
      </c>
      <c r="DD34" s="343">
        <f>IF($DL34="M",'[2]Foundation Grant'!E41,0)</f>
        <v>0</v>
      </c>
      <c r="DE34" s="343">
        <f>IF($DL34="M",'[2]Foundation Grant'!F41,0)</f>
        <v>0</v>
      </c>
      <c r="DF34" s="343">
        <f>'[2]Foundation Grant'!G41</f>
        <v>0</v>
      </c>
      <c r="DG34" s="343">
        <f>'[2]Foundation Grant'!H41</f>
        <v>0</v>
      </c>
      <c r="DH34" s="343">
        <f>'[2]Foundation Grant'!I41</f>
        <v>0</v>
      </c>
      <c r="DI34" s="343">
        <f>'[2]Foundation Grant'!J41</f>
        <v>1</v>
      </c>
      <c r="DJ34" s="343">
        <f>'[2]Foundation Grant'!K41</f>
        <v>0</v>
      </c>
      <c r="DK34" s="452">
        <f>'[2]Foundation Grant'!L41</f>
        <v>1</v>
      </c>
      <c r="DL34" s="343" t="str">
        <f>'[2]Foundation Grant'!M41</f>
        <v>S</v>
      </c>
      <c r="DM34" s="343">
        <f>'[2]Foundation Grant'!N41</f>
        <v>3654835</v>
      </c>
      <c r="DN34" s="452">
        <f>'[2]Foundation Grant'!O41</f>
        <v>0</v>
      </c>
      <c r="DO34" s="452">
        <f>'[2]Foundation Grant'!P41</f>
        <v>0</v>
      </c>
      <c r="DP34" s="344">
        <f>'[2]Foundation Grant'!$C$1</f>
        <v>5622823</v>
      </c>
      <c r="DQ34" s="344">
        <f>'[2]Foundation Grant'!$D$1</f>
        <v>4498258</v>
      </c>
      <c r="DR34" s="344">
        <f>'[2]Foundation Grant'!$E$1</f>
        <v>3373694</v>
      </c>
      <c r="DS34" s="344">
        <f>'[2]Foundation Grant'!$C$2</f>
        <v>4498258</v>
      </c>
      <c r="DT34" s="344">
        <f>'[2]Foundation Grant'!$D$2</f>
        <v>3935976</v>
      </c>
      <c r="DU34" s="344">
        <f>'[2]Foundation Grant'!$E$2</f>
        <v>3373694</v>
      </c>
      <c r="DV34" s="344">
        <f>'[2]Foundation Grant'!$G$1</f>
        <v>1124565</v>
      </c>
      <c r="DW34" s="344">
        <f>'[2]Foundation Grant'!$H$1</f>
        <v>843423</v>
      </c>
      <c r="DX34" s="344">
        <f>'[2]Foundation Grant'!$I$1</f>
        <v>562282</v>
      </c>
      <c r="DY34" s="344">
        <f>'[2]Foundation Grant'!$J$1</f>
        <v>281141</v>
      </c>
      <c r="DZ34" s="344">
        <f>'[2]Foundation Grant'!$K$1</f>
        <v>140571</v>
      </c>
      <c r="EA34" s="344">
        <f>'[2]Foundation Grant'!$O$1</f>
        <v>562282</v>
      </c>
      <c r="EB34" s="344">
        <f>'[2]Foundation Grant'!$P$1</f>
        <v>1124565</v>
      </c>
      <c r="EC34" s="345">
        <f>'[2]basic allocation'!$C$10</f>
        <v>18749</v>
      </c>
      <c r="ED34" s="345">
        <f>'[2]basic allocation'!$D$10</f>
        <v>9375</v>
      </c>
      <c r="EE34" s="345">
        <f>'[2]basic allocation'!$E$10</f>
        <v>9375</v>
      </c>
      <c r="EF34" s="345">
        <f>'[2]basic allocation'!$I$10</f>
        <v>938</v>
      </c>
      <c r="EG34" s="345">
        <f>'[2]basic allocation'!$J$10</f>
        <v>703</v>
      </c>
      <c r="EH34" s="345">
        <f>'[2]basic allocation'!$K$10</f>
        <v>469</v>
      </c>
      <c r="EI34" s="345">
        <f>'[2]basic allocation'!$L$10</f>
        <v>234</v>
      </c>
      <c r="EJ34" s="345">
        <f>'[2]basic allocation'!$M$10</f>
        <v>100</v>
      </c>
      <c r="EK34" s="345">
        <f>'[2]PBF Run'!$AT41</f>
        <v>0</v>
      </c>
      <c r="EM34" s="477"/>
    </row>
    <row r="35" spans="1:143">
      <c r="A35" s="476" t="s">
        <v>605</v>
      </c>
      <c r="B35" s="475" t="str">
        <f t="shared" ref="B35:B66" si="46">$B$2</f>
        <v>P1</v>
      </c>
      <c r="C35" s="346" t="s">
        <v>335</v>
      </c>
      <c r="D35" s="450" t="s">
        <v>334</v>
      </c>
      <c r="E35" s="449">
        <f>ROUND('[2]PBF Run'!N42,6)</f>
        <v>4636.4928529999997</v>
      </c>
      <c r="F35" s="340">
        <f t="shared" ref="F35:F66" si="47">F34</f>
        <v>4636.49</v>
      </c>
      <c r="G35" s="474">
        <f t="shared" ref="G35:G66" si="48">G34</f>
        <v>2788.0536374600001</v>
      </c>
      <c r="H35" s="473">
        <f t="shared" ref="H35:H66" si="49">H34</f>
        <v>2811.7520933800001</v>
      </c>
      <c r="I35" s="473">
        <f t="shared" ref="I35:I66" si="50">I34</f>
        <v>3282.8110613200001</v>
      </c>
      <c r="J35" s="473">
        <f t="shared" ref="J35:J66" si="51">J34</f>
        <v>3310.71495534</v>
      </c>
      <c r="K35" s="472">
        <f>ROUND([2]FTES!C42,3)</f>
        <v>23273.652999999998</v>
      </c>
      <c r="L35" s="472">
        <f>ROUND([2]FTES!L42,3)</f>
        <v>1902.64</v>
      </c>
      <c r="M35" s="472">
        <f>ROUND([2]FTES!U42,3)</f>
        <v>3696.35</v>
      </c>
      <c r="N35" s="465">
        <f>ROUND([2]FTES!$D42,3)</f>
        <v>23273.652999999998</v>
      </c>
      <c r="O35" s="465">
        <f>ROUND([2]FTES!$M42,3)</f>
        <v>1902.64</v>
      </c>
      <c r="P35" s="465">
        <f>ROUND([2]FTES!$V42,3)</f>
        <v>3696.35</v>
      </c>
      <c r="Q35" s="471">
        <f>'[2]FTES Adjustment'!BU42</f>
        <v>0</v>
      </c>
      <c r="R35" s="471">
        <f>'[2]FTES Adjustment'!BV42</f>
        <v>0</v>
      </c>
      <c r="S35" s="471">
        <f>'[2]FTES Adjustment'!BW42</f>
        <v>0</v>
      </c>
      <c r="T35" s="469">
        <f>ROUND('[2]Growth Deficit'!$AG42,3)</f>
        <v>0</v>
      </c>
      <c r="U35" s="469">
        <f>ROUND('[2]Growth Deficit'!$AH42,3)</f>
        <v>0</v>
      </c>
      <c r="V35" s="469">
        <f>ROUND('[2]Growth Deficit'!$AI42,3)</f>
        <v>0</v>
      </c>
      <c r="W35" s="470">
        <f>ROUND([2]FTES!I42,3)</f>
        <v>0</v>
      </c>
      <c r="X35" s="470">
        <f>ROUND([2]FTES!R42,3)</f>
        <v>0</v>
      </c>
      <c r="Y35" s="470">
        <f>ROUND([2]FTES!AA42,3)</f>
        <v>0</v>
      </c>
      <c r="Z35" s="469">
        <f>ROUND([2]FTES!E42,3)</f>
        <v>25291.200000000001</v>
      </c>
      <c r="AA35" s="469">
        <f>ROUND([2]FTES!N42,3)</f>
        <v>2820.43</v>
      </c>
      <c r="AB35" s="469">
        <f>ROUND([2]FTES!W42,3)</f>
        <v>3122.28</v>
      </c>
      <c r="AC35" s="468">
        <f>'[2]FTES Adjustment'!CW42</f>
        <v>24490.023863999999</v>
      </c>
      <c r="AD35" s="468">
        <f>'[2]FTES Adjustment'!CX42</f>
        <v>2820.43</v>
      </c>
      <c r="AE35" s="468">
        <f>'[2]FTES Adjustment'!CY42</f>
        <v>3122.28</v>
      </c>
      <c r="AF35" s="467">
        <f>'[2]FTES Adjustment'!DQ42</f>
        <v>801.17613600000186</v>
      </c>
      <c r="AG35" s="467">
        <f>'[2]FTES Adjustment'!DR42</f>
        <v>0</v>
      </c>
      <c r="AH35" s="467">
        <f>'[2]FTES Adjustment'!DS42</f>
        <v>0</v>
      </c>
      <c r="AI35" s="340">
        <f>'[2]FTES Adjustment'!$DX42</f>
        <v>0</v>
      </c>
      <c r="AJ35" s="340">
        <v>0</v>
      </c>
      <c r="AK35" s="340">
        <v>0</v>
      </c>
      <c r="AL35" s="465">
        <f>'[2]FTES Adjustment'!CG42</f>
        <v>1216.370388</v>
      </c>
      <c r="AM35" s="465">
        <f>'[2]FTES Adjustment'!CH42</f>
        <v>917.79</v>
      </c>
      <c r="AN35" s="465">
        <f>'[2]FTES Adjustment'!CI42</f>
        <v>-574.06999999999971</v>
      </c>
      <c r="AO35" s="463">
        <f t="shared" si="27"/>
        <v>28872.643</v>
      </c>
      <c r="AP35" s="463">
        <f t="shared" si="28"/>
        <v>28872.643</v>
      </c>
      <c r="AQ35" s="463">
        <f t="shared" si="29"/>
        <v>0</v>
      </c>
      <c r="AR35" s="463">
        <f t="shared" si="30"/>
        <v>0</v>
      </c>
      <c r="AS35" s="463">
        <f t="shared" si="31"/>
        <v>0</v>
      </c>
      <c r="AT35" s="463">
        <f t="shared" si="32"/>
        <v>31233.91</v>
      </c>
      <c r="AU35" s="463">
        <f t="shared" si="33"/>
        <v>30432.734</v>
      </c>
      <c r="AV35" s="464">
        <f t="shared" si="34"/>
        <v>801.17600000000004</v>
      </c>
      <c r="AW35" s="464">
        <f t="shared" si="35"/>
        <v>0</v>
      </c>
      <c r="AX35" s="464">
        <f t="shared" si="36"/>
        <v>1560.09</v>
      </c>
      <c r="AY35" s="460">
        <f>'[2]PBF Run'!F42</f>
        <v>5622823</v>
      </c>
      <c r="AZ35" s="460">
        <f t="shared" si="37"/>
        <v>125347209</v>
      </c>
      <c r="BA35" s="460">
        <f>'[2]PBF Run'!J42 + '[2]PBF Run'!$L42</f>
        <v>107908128</v>
      </c>
      <c r="BB35" s="460">
        <f>'[2]PBF Run'!H42</f>
        <v>5304662</v>
      </c>
      <c r="BC35" s="460">
        <f>'[2]PBF Run'!I42</f>
        <v>12134419</v>
      </c>
      <c r="BD35" s="462">
        <v>0</v>
      </c>
      <c r="BE35" s="461">
        <f>'[2]Restoration and Growth'!BM42</f>
        <v>0</v>
      </c>
      <c r="BF35" s="460">
        <f t="shared" si="38"/>
        <v>130970032</v>
      </c>
      <c r="BG35" s="333" t="str">
        <f t="shared" ref="BG35:BG66" si="52">$BG$2</f>
        <v>0.85%</v>
      </c>
      <c r="BH35" s="459">
        <f>'[2]PBF Run'!O42</f>
        <v>1113245</v>
      </c>
      <c r="BI35" s="459">
        <f t="shared" si="39"/>
        <v>132083277</v>
      </c>
      <c r="BJ35" s="458">
        <f>'[2]PBF Run'!AC42</f>
        <v>0</v>
      </c>
      <c r="BK35" s="458">
        <f>'[2]PBF Run'!$AD42</f>
        <v>0</v>
      </c>
      <c r="BL35" s="458">
        <f>'[2]PBF Run'!$T42</f>
        <v>0</v>
      </c>
      <c r="BM35" s="458">
        <f>'[2]PBF Run'!$S42</f>
        <v>6367646</v>
      </c>
      <c r="BN35" s="458">
        <f>'[2]13-14 $86M Workload Restore'!$P40</f>
        <v>0</v>
      </c>
      <c r="BO35" s="458">
        <f t="shared" si="40"/>
        <v>6367646</v>
      </c>
      <c r="BP35" s="478">
        <f>'[2]Restoration and Growth'!AA42</f>
        <v>0</v>
      </c>
      <c r="BQ35" s="478">
        <f>'[2]Restoration and Growth'!AB42</f>
        <v>0</v>
      </c>
      <c r="BR35" s="453">
        <f>'[2]Restoration and Growth'!BT42</f>
        <v>0</v>
      </c>
      <c r="BS35" s="453">
        <f>'[2]Growth Deficit'!$AO42</f>
        <v>0</v>
      </c>
      <c r="BT35" s="453">
        <f>'[2]Growth Deficit'!AO42</f>
        <v>0</v>
      </c>
      <c r="BU35" s="453">
        <f>'[2]Growth Deficit'!AL42</f>
        <v>0</v>
      </c>
      <c r="BV35" s="453">
        <f>'[2]Growth Deficit'!AM42</f>
        <v>0</v>
      </c>
      <c r="BW35" s="453">
        <f>'[2]Growth Deficit'!AN42</f>
        <v>0</v>
      </c>
      <c r="BX35" s="453">
        <f>'[2]Growth Deficit'!AO42</f>
        <v>0</v>
      </c>
      <c r="BY35" s="454">
        <f>'[2]PBF Run'!AA42</f>
        <v>0</v>
      </c>
      <c r="BZ35" s="454">
        <f>'[2]PBF Run'!AB42</f>
        <v>0</v>
      </c>
      <c r="CA35" s="454">
        <f>'[2]PBF Run'!AC42</f>
        <v>0</v>
      </c>
      <c r="CB35" s="454">
        <f t="shared" si="41"/>
        <v>0</v>
      </c>
      <c r="CC35" s="457">
        <f>'[2]PBF Run'!X42</f>
        <v>0</v>
      </c>
      <c r="CD35" s="456">
        <f>'[2]PBF Run'!AE42</f>
        <v>138450923</v>
      </c>
      <c r="CE35" s="337">
        <f t="shared" si="42"/>
        <v>0.98518541476245702</v>
      </c>
      <c r="CF35" s="455">
        <f>'[2]PBF Run'!AM42</f>
        <v>2051093</v>
      </c>
      <c r="CG35" s="455">
        <f>'[2]PBF Run'!$AN42</f>
        <v>87013888</v>
      </c>
      <c r="CH35" s="455">
        <f>'[2]PBF Run'!$AO42</f>
        <v>0</v>
      </c>
      <c r="CI35" s="455">
        <f>'[2]PBF Run'!AJ42</f>
        <v>19849687</v>
      </c>
      <c r="CJ35" s="455">
        <f>'[2]PBF Run'!AI42</f>
        <v>8201044</v>
      </c>
      <c r="CK35" s="455">
        <f>'[2]PBF Run'!$AN42</f>
        <v>87013888</v>
      </c>
      <c r="CL35" s="455">
        <f>'[2]PBF Run'!AK42</f>
        <v>21335211</v>
      </c>
      <c r="CM35" s="455">
        <f t="shared" si="43"/>
        <v>136399830</v>
      </c>
      <c r="CN35" s="454">
        <f>'[2]PBF Run'!$AN42</f>
        <v>87013888</v>
      </c>
      <c r="CO35" s="454">
        <f>'[2]PBF Run'!BI42</f>
        <v>0</v>
      </c>
      <c r="CP35" s="339">
        <f>'[2]PBF Run'!BH42</f>
        <v>0</v>
      </c>
      <c r="CQ35" s="454">
        <f t="shared" ref="CQ35:CQ66" si="53">$CQ$2</f>
        <v>69532</v>
      </c>
      <c r="CR35" s="454">
        <f t="shared" si="44"/>
        <v>87013888</v>
      </c>
      <c r="CS35" s="453">
        <f>'[2]As of 13-14 R1'!BX42</f>
        <v>0</v>
      </c>
      <c r="CT35" s="453">
        <f>'[2]As of 13-14 R1'!BY42</f>
        <v>0</v>
      </c>
      <c r="CU35" s="453">
        <f>'[2]As of 13-14 R1'!BZ42</f>
        <v>0</v>
      </c>
      <c r="CV35" s="453">
        <f t="shared" si="45"/>
        <v>0</v>
      </c>
      <c r="CW35" s="342">
        <f>'[2]Growth Deficit'!$D$2</f>
        <v>0</v>
      </c>
      <c r="CX35" s="343">
        <f>IF($DL35="S",'[2]Foundation Grant'!C42,0)</f>
        <v>1</v>
      </c>
      <c r="CY35" s="343">
        <f>IF($DL35="S",'[2]Foundation Grant'!D42,0)</f>
        <v>0</v>
      </c>
      <c r="CZ35" s="343">
        <f>IF($DL35="S",'[2]Foundation Grant'!E42,0)</f>
        <v>0</v>
      </c>
      <c r="DA35" s="343">
        <f>IF($DL35="S",'[2]Foundation Grant'!F42,0)</f>
        <v>1</v>
      </c>
      <c r="DB35" s="343">
        <f>IF($DL35="M",'[2]Foundation Grant'!C42,0)</f>
        <v>0</v>
      </c>
      <c r="DC35" s="343">
        <f>IF($DL35="M",'[2]Foundation Grant'!D42,0)</f>
        <v>0</v>
      </c>
      <c r="DD35" s="343">
        <f>IF($DL35="M",'[2]Foundation Grant'!E42,0)</f>
        <v>0</v>
      </c>
      <c r="DE35" s="343">
        <f>IF($DL35="M",'[2]Foundation Grant'!F42,0)</f>
        <v>0</v>
      </c>
      <c r="DF35" s="343">
        <f>'[2]Foundation Grant'!G42</f>
        <v>0</v>
      </c>
      <c r="DG35" s="343">
        <f>'[2]Foundation Grant'!H42</f>
        <v>0</v>
      </c>
      <c r="DH35" s="343">
        <f>'[2]Foundation Grant'!I42</f>
        <v>0</v>
      </c>
      <c r="DI35" s="343">
        <f>'[2]Foundation Grant'!J42</f>
        <v>0</v>
      </c>
      <c r="DJ35" s="343">
        <f>'[2]Foundation Grant'!K42</f>
        <v>0</v>
      </c>
      <c r="DK35" s="452">
        <f>'[2]Foundation Grant'!L42</f>
        <v>0</v>
      </c>
      <c r="DL35" s="343" t="str">
        <f>'[2]Foundation Grant'!M42</f>
        <v>S</v>
      </c>
      <c r="DM35" s="343">
        <f>'[2]Foundation Grant'!N42</f>
        <v>5622823</v>
      </c>
      <c r="DN35" s="452">
        <f>'[2]Foundation Grant'!O42</f>
        <v>0</v>
      </c>
      <c r="DO35" s="452">
        <f>'[2]Foundation Grant'!P42</f>
        <v>0</v>
      </c>
      <c r="DP35" s="344">
        <f>'[2]Foundation Grant'!$C$1</f>
        <v>5622823</v>
      </c>
      <c r="DQ35" s="344">
        <f>'[2]Foundation Grant'!$D$1</f>
        <v>4498258</v>
      </c>
      <c r="DR35" s="344">
        <f>'[2]Foundation Grant'!$E$1</f>
        <v>3373694</v>
      </c>
      <c r="DS35" s="344">
        <f>'[2]Foundation Grant'!$C$2</f>
        <v>4498258</v>
      </c>
      <c r="DT35" s="344">
        <f>'[2]Foundation Grant'!$D$2</f>
        <v>3935976</v>
      </c>
      <c r="DU35" s="344">
        <f>'[2]Foundation Grant'!$E$2</f>
        <v>3373694</v>
      </c>
      <c r="DV35" s="344">
        <f>'[2]Foundation Grant'!$G$1</f>
        <v>1124565</v>
      </c>
      <c r="DW35" s="344">
        <f>'[2]Foundation Grant'!$H$1</f>
        <v>843423</v>
      </c>
      <c r="DX35" s="344">
        <f>'[2]Foundation Grant'!$I$1</f>
        <v>562282</v>
      </c>
      <c r="DY35" s="344">
        <f>'[2]Foundation Grant'!$J$1</f>
        <v>281141</v>
      </c>
      <c r="DZ35" s="344">
        <f>'[2]Foundation Grant'!$K$1</f>
        <v>140571</v>
      </c>
      <c r="EA35" s="344">
        <f>'[2]Foundation Grant'!$O$1</f>
        <v>562282</v>
      </c>
      <c r="EB35" s="344">
        <f>'[2]Foundation Grant'!$P$1</f>
        <v>1124565</v>
      </c>
      <c r="EC35" s="345">
        <f>'[2]basic allocation'!$C$10</f>
        <v>18749</v>
      </c>
      <c r="ED35" s="345">
        <f>'[2]basic allocation'!$D$10</f>
        <v>9375</v>
      </c>
      <c r="EE35" s="345">
        <f>'[2]basic allocation'!$E$10</f>
        <v>9375</v>
      </c>
      <c r="EF35" s="345">
        <f>'[2]basic allocation'!$I$10</f>
        <v>938</v>
      </c>
      <c r="EG35" s="345">
        <f>'[2]basic allocation'!$J$10</f>
        <v>703</v>
      </c>
      <c r="EH35" s="345">
        <f>'[2]basic allocation'!$K$10</f>
        <v>469</v>
      </c>
      <c r="EI35" s="345">
        <f>'[2]basic allocation'!$L$10</f>
        <v>234</v>
      </c>
      <c r="EJ35" s="345">
        <f>'[2]basic allocation'!$M$10</f>
        <v>100</v>
      </c>
      <c r="EK35" s="345">
        <f>'[2]PBF Run'!$AT42</f>
        <v>0</v>
      </c>
      <c r="EM35" s="477"/>
    </row>
    <row r="36" spans="1:143">
      <c r="A36" s="476" t="s">
        <v>605</v>
      </c>
      <c r="B36" s="475" t="str">
        <f t="shared" si="46"/>
        <v>P1</v>
      </c>
      <c r="C36" s="346" t="s">
        <v>333</v>
      </c>
      <c r="D36" s="450" t="s">
        <v>332</v>
      </c>
      <c r="E36" s="449">
        <f>ROUND('[2]PBF Run'!N43,6)</f>
        <v>4636.4928570000002</v>
      </c>
      <c r="F36" s="340">
        <f t="shared" si="47"/>
        <v>4636.49</v>
      </c>
      <c r="G36" s="474">
        <f t="shared" si="48"/>
        <v>2788.0536374600001</v>
      </c>
      <c r="H36" s="473">
        <f t="shared" si="49"/>
        <v>2811.7520933800001</v>
      </c>
      <c r="I36" s="473">
        <f t="shared" si="50"/>
        <v>3282.8110613200001</v>
      </c>
      <c r="J36" s="473">
        <f t="shared" si="51"/>
        <v>3310.71495534</v>
      </c>
      <c r="K36" s="472">
        <f>ROUND([2]FTES!C43,3)</f>
        <v>9562.3989999999994</v>
      </c>
      <c r="L36" s="472">
        <f>ROUND([2]FTES!L43,3)</f>
        <v>376</v>
      </c>
      <c r="M36" s="472">
        <f>ROUND([2]FTES!U43,3)</f>
        <v>190.01</v>
      </c>
      <c r="N36" s="465">
        <f>ROUND([2]FTES!$D43,3)</f>
        <v>9562.3989999999994</v>
      </c>
      <c r="O36" s="465">
        <f>ROUND([2]FTES!$M43,3)</f>
        <v>376</v>
      </c>
      <c r="P36" s="465">
        <f>ROUND([2]FTES!$V43,3)</f>
        <v>190.01</v>
      </c>
      <c r="Q36" s="471">
        <f>'[2]FTES Adjustment'!BU43</f>
        <v>0</v>
      </c>
      <c r="R36" s="471">
        <f>'[2]FTES Adjustment'!BV43</f>
        <v>0</v>
      </c>
      <c r="S36" s="471">
        <f>'[2]FTES Adjustment'!BW43</f>
        <v>0</v>
      </c>
      <c r="T36" s="469">
        <f>ROUND('[2]Growth Deficit'!$AG43,3)</f>
        <v>0</v>
      </c>
      <c r="U36" s="469">
        <f>ROUND('[2]Growth Deficit'!$AH43,3)</f>
        <v>0</v>
      </c>
      <c r="V36" s="469">
        <f>ROUND('[2]Growth Deficit'!$AI43,3)</f>
        <v>0</v>
      </c>
      <c r="W36" s="470">
        <f>ROUND([2]FTES!I43,3)</f>
        <v>0</v>
      </c>
      <c r="X36" s="470">
        <f>ROUND([2]FTES!R43,3)</f>
        <v>0</v>
      </c>
      <c r="Y36" s="470">
        <f>ROUND([2]FTES!AA43,3)</f>
        <v>0</v>
      </c>
      <c r="Z36" s="469">
        <f>ROUND([2]FTES!E43,3)</f>
        <v>10415.129999999999</v>
      </c>
      <c r="AA36" s="469">
        <f>ROUND([2]FTES!N43,3)</f>
        <v>423.01</v>
      </c>
      <c r="AB36" s="469">
        <f>ROUND([2]FTES!W43,3)</f>
        <v>150.06</v>
      </c>
      <c r="AC36" s="468">
        <f>'[2]FTES Adjustment'!CW43</f>
        <v>10061.861526999999</v>
      </c>
      <c r="AD36" s="468">
        <f>'[2]FTES Adjustment'!CX43</f>
        <v>423.01</v>
      </c>
      <c r="AE36" s="468">
        <f>'[2]FTES Adjustment'!CY43</f>
        <v>150.06</v>
      </c>
      <c r="AF36" s="467">
        <f>'[2]FTES Adjustment'!DQ43</f>
        <v>353.26847300000009</v>
      </c>
      <c r="AG36" s="467">
        <f>'[2]FTES Adjustment'!DR43</f>
        <v>0</v>
      </c>
      <c r="AH36" s="467">
        <f>'[2]FTES Adjustment'!DS43</f>
        <v>0</v>
      </c>
      <c r="AI36" s="340">
        <f>'[2]FTES Adjustment'!$DX43</f>
        <v>0</v>
      </c>
      <c r="AJ36" s="340">
        <v>0</v>
      </c>
      <c r="AK36" s="340">
        <v>0</v>
      </c>
      <c r="AL36" s="465">
        <f>'[2]FTES Adjustment'!CG43</f>
        <v>499.46223800000001</v>
      </c>
      <c r="AM36" s="465">
        <f>'[2]FTES Adjustment'!CH43</f>
        <v>47.01</v>
      </c>
      <c r="AN36" s="465">
        <f>'[2]FTES Adjustment'!CI43</f>
        <v>-39.950000000000017</v>
      </c>
      <c r="AO36" s="463">
        <f t="shared" si="27"/>
        <v>10128.409</v>
      </c>
      <c r="AP36" s="463">
        <f t="shared" si="28"/>
        <v>10128.409</v>
      </c>
      <c r="AQ36" s="463">
        <f t="shared" si="29"/>
        <v>0</v>
      </c>
      <c r="AR36" s="463">
        <f t="shared" si="30"/>
        <v>0</v>
      </c>
      <c r="AS36" s="463">
        <f t="shared" si="31"/>
        <v>0</v>
      </c>
      <c r="AT36" s="463">
        <f t="shared" si="32"/>
        <v>10988.2</v>
      </c>
      <c r="AU36" s="463">
        <f t="shared" si="33"/>
        <v>10634.932000000001</v>
      </c>
      <c r="AV36" s="464">
        <f t="shared" si="34"/>
        <v>353.26799999999997</v>
      </c>
      <c r="AW36" s="464">
        <f t="shared" si="35"/>
        <v>0</v>
      </c>
      <c r="AX36" s="464">
        <f t="shared" si="36"/>
        <v>506.52199999999999</v>
      </c>
      <c r="AY36" s="460">
        <f>'[2]PBF Run'!F43</f>
        <v>5622823</v>
      </c>
      <c r="AZ36" s="460">
        <f t="shared" si="37"/>
        <v>46008071</v>
      </c>
      <c r="BA36" s="460">
        <f>'[2]PBF Run'!J43 + '[2]PBF Run'!$L43</f>
        <v>44335996</v>
      </c>
      <c r="BB36" s="460">
        <f>'[2]PBF Run'!H43</f>
        <v>1048308</v>
      </c>
      <c r="BC36" s="460">
        <f>'[2]PBF Run'!I43</f>
        <v>623767</v>
      </c>
      <c r="BD36" s="462">
        <v>0</v>
      </c>
      <c r="BE36" s="461">
        <f>'[2]Restoration and Growth'!BM43</f>
        <v>0</v>
      </c>
      <c r="BF36" s="460">
        <f t="shared" si="38"/>
        <v>51630894</v>
      </c>
      <c r="BG36" s="333" t="str">
        <f t="shared" si="52"/>
        <v>0.85%</v>
      </c>
      <c r="BH36" s="459">
        <f>'[2]PBF Run'!O43</f>
        <v>438863</v>
      </c>
      <c r="BI36" s="459">
        <f t="shared" si="39"/>
        <v>52069757</v>
      </c>
      <c r="BJ36" s="458">
        <f>'[2]PBF Run'!AC43</f>
        <v>0</v>
      </c>
      <c r="BK36" s="458">
        <f>'[2]PBF Run'!$AD43</f>
        <v>0</v>
      </c>
      <c r="BL36" s="458">
        <f>'[2]PBF Run'!$T43</f>
        <v>0</v>
      </c>
      <c r="BM36" s="458">
        <f>'[2]PBF Run'!$S43</f>
        <v>2335354</v>
      </c>
      <c r="BN36" s="458">
        <f>'[2]13-14 $86M Workload Restore'!$P41</f>
        <v>0</v>
      </c>
      <c r="BO36" s="458">
        <f t="shared" si="40"/>
        <v>2335354</v>
      </c>
      <c r="BP36" s="478">
        <f>'[2]Restoration and Growth'!AA43</f>
        <v>0</v>
      </c>
      <c r="BQ36" s="478">
        <f>'[2]Restoration and Growth'!AB43</f>
        <v>0</v>
      </c>
      <c r="BR36" s="453">
        <f>'[2]Restoration and Growth'!BT43</f>
        <v>0</v>
      </c>
      <c r="BS36" s="453">
        <f>'[2]Growth Deficit'!$AO43</f>
        <v>0</v>
      </c>
      <c r="BT36" s="453">
        <f>'[2]Growth Deficit'!AO43</f>
        <v>0</v>
      </c>
      <c r="BU36" s="453">
        <f>'[2]Growth Deficit'!AL43</f>
        <v>0</v>
      </c>
      <c r="BV36" s="453">
        <f>'[2]Growth Deficit'!AM43</f>
        <v>0</v>
      </c>
      <c r="BW36" s="453">
        <f>'[2]Growth Deficit'!AN43</f>
        <v>0</v>
      </c>
      <c r="BX36" s="453">
        <f>'[2]Growth Deficit'!AO43</f>
        <v>0</v>
      </c>
      <c r="BY36" s="454">
        <f>'[2]PBF Run'!AA43</f>
        <v>0</v>
      </c>
      <c r="BZ36" s="454">
        <f>'[2]PBF Run'!AB43</f>
        <v>0</v>
      </c>
      <c r="CA36" s="454">
        <f>'[2]PBF Run'!AC43</f>
        <v>0</v>
      </c>
      <c r="CB36" s="454">
        <f t="shared" si="41"/>
        <v>0</v>
      </c>
      <c r="CC36" s="457">
        <f>'[2]PBF Run'!X43</f>
        <v>0</v>
      </c>
      <c r="CD36" s="456">
        <f>'[2]PBF Run'!AE43</f>
        <v>54405111</v>
      </c>
      <c r="CE36" s="337">
        <f t="shared" si="42"/>
        <v>0.98518541759799005</v>
      </c>
      <c r="CF36" s="455">
        <f>'[2]PBF Run'!AM43</f>
        <v>805989</v>
      </c>
      <c r="CG36" s="455">
        <f>'[2]PBF Run'!$AN43</f>
        <v>22952597</v>
      </c>
      <c r="CH36" s="455">
        <f>'[2]PBF Run'!$AO43</f>
        <v>0</v>
      </c>
      <c r="CI36" s="455">
        <f>'[2]PBF Run'!AJ43</f>
        <v>19104339</v>
      </c>
      <c r="CJ36" s="455">
        <f>'[2]PBF Run'!AI43</f>
        <v>3145800</v>
      </c>
      <c r="CK36" s="455">
        <f>'[2]PBF Run'!$AN43</f>
        <v>22952597</v>
      </c>
      <c r="CL36" s="455">
        <f>'[2]PBF Run'!AK43</f>
        <v>8396386</v>
      </c>
      <c r="CM36" s="455">
        <f t="shared" si="43"/>
        <v>53599122</v>
      </c>
      <c r="CN36" s="454">
        <f>'[2]PBF Run'!$AN43</f>
        <v>22952597</v>
      </c>
      <c r="CO36" s="454">
        <f>'[2]PBF Run'!BI43</f>
        <v>0</v>
      </c>
      <c r="CP36" s="339">
        <f>'[2]PBF Run'!BH43</f>
        <v>0</v>
      </c>
      <c r="CQ36" s="454">
        <f t="shared" si="53"/>
        <v>69532</v>
      </c>
      <c r="CR36" s="454">
        <f t="shared" si="44"/>
        <v>22952597</v>
      </c>
      <c r="CS36" s="453">
        <f>'[2]As of 13-14 R1'!BX43</f>
        <v>0</v>
      </c>
      <c r="CT36" s="453">
        <f>'[2]As of 13-14 R1'!BY43</f>
        <v>0</v>
      </c>
      <c r="CU36" s="453">
        <f>'[2]As of 13-14 R1'!BZ43</f>
        <v>0</v>
      </c>
      <c r="CV36" s="453">
        <f t="shared" si="45"/>
        <v>0</v>
      </c>
      <c r="CW36" s="342">
        <f>'[2]Growth Deficit'!$D$2</f>
        <v>0</v>
      </c>
      <c r="CX36" s="343">
        <f>IF($DL36="S",'[2]Foundation Grant'!C43,0)</f>
        <v>0</v>
      </c>
      <c r="CY36" s="343">
        <f>IF($DL36="S",'[2]Foundation Grant'!D43,0)</f>
        <v>1</v>
      </c>
      <c r="CZ36" s="343">
        <f>IF($DL36="S",'[2]Foundation Grant'!E43,0)</f>
        <v>0</v>
      </c>
      <c r="DA36" s="343">
        <f>IF($DL36="S",'[2]Foundation Grant'!F43,0)</f>
        <v>1</v>
      </c>
      <c r="DB36" s="343">
        <f>IF($DL36="M",'[2]Foundation Grant'!C43,0)</f>
        <v>0</v>
      </c>
      <c r="DC36" s="343">
        <f>IF($DL36="M",'[2]Foundation Grant'!D43,0)</f>
        <v>0</v>
      </c>
      <c r="DD36" s="343">
        <f>IF($DL36="M",'[2]Foundation Grant'!E43,0)</f>
        <v>0</v>
      </c>
      <c r="DE36" s="343">
        <f>IF($DL36="M",'[2]Foundation Grant'!F43,0)</f>
        <v>0</v>
      </c>
      <c r="DF36" s="343">
        <f>'[2]Foundation Grant'!G43</f>
        <v>0</v>
      </c>
      <c r="DG36" s="343">
        <f>'[2]Foundation Grant'!H43</f>
        <v>0</v>
      </c>
      <c r="DH36" s="343">
        <f>'[2]Foundation Grant'!I43</f>
        <v>0</v>
      </c>
      <c r="DI36" s="343">
        <f>'[2]Foundation Grant'!J43</f>
        <v>0</v>
      </c>
      <c r="DJ36" s="343">
        <f>'[2]Foundation Grant'!K43</f>
        <v>0</v>
      </c>
      <c r="DK36" s="452">
        <f>'[2]Foundation Grant'!L43</f>
        <v>0</v>
      </c>
      <c r="DL36" s="343" t="str">
        <f>'[2]Foundation Grant'!M43</f>
        <v>S</v>
      </c>
      <c r="DM36" s="343">
        <f>'[2]Foundation Grant'!N43</f>
        <v>5622823</v>
      </c>
      <c r="DN36" s="452">
        <f>'[2]Foundation Grant'!O43</f>
        <v>0</v>
      </c>
      <c r="DO36" s="452">
        <f>'[2]Foundation Grant'!P43</f>
        <v>1</v>
      </c>
      <c r="DP36" s="344">
        <f>'[2]Foundation Grant'!$C$1</f>
        <v>5622823</v>
      </c>
      <c r="DQ36" s="344">
        <f>'[2]Foundation Grant'!$D$1</f>
        <v>4498258</v>
      </c>
      <c r="DR36" s="344">
        <f>'[2]Foundation Grant'!$E$1</f>
        <v>3373694</v>
      </c>
      <c r="DS36" s="344">
        <f>'[2]Foundation Grant'!$C$2</f>
        <v>4498258</v>
      </c>
      <c r="DT36" s="344">
        <f>'[2]Foundation Grant'!$D$2</f>
        <v>3935976</v>
      </c>
      <c r="DU36" s="344">
        <f>'[2]Foundation Grant'!$E$2</f>
        <v>3373694</v>
      </c>
      <c r="DV36" s="344">
        <f>'[2]Foundation Grant'!$G$1</f>
        <v>1124565</v>
      </c>
      <c r="DW36" s="344">
        <f>'[2]Foundation Grant'!$H$1</f>
        <v>843423</v>
      </c>
      <c r="DX36" s="344">
        <f>'[2]Foundation Grant'!$I$1</f>
        <v>562282</v>
      </c>
      <c r="DY36" s="344">
        <f>'[2]Foundation Grant'!$J$1</f>
        <v>281141</v>
      </c>
      <c r="DZ36" s="344">
        <f>'[2]Foundation Grant'!$K$1</f>
        <v>140571</v>
      </c>
      <c r="EA36" s="344">
        <f>'[2]Foundation Grant'!$O$1</f>
        <v>562282</v>
      </c>
      <c r="EB36" s="344">
        <f>'[2]Foundation Grant'!$P$1</f>
        <v>1124565</v>
      </c>
      <c r="EC36" s="345">
        <f>'[2]basic allocation'!$C$10</f>
        <v>18749</v>
      </c>
      <c r="ED36" s="345">
        <f>'[2]basic allocation'!$D$10</f>
        <v>9375</v>
      </c>
      <c r="EE36" s="345">
        <f>'[2]basic allocation'!$E$10</f>
        <v>9375</v>
      </c>
      <c r="EF36" s="345">
        <f>'[2]basic allocation'!$I$10</f>
        <v>938</v>
      </c>
      <c r="EG36" s="345">
        <f>'[2]basic allocation'!$J$10</f>
        <v>703</v>
      </c>
      <c r="EH36" s="345">
        <f>'[2]basic allocation'!$K$10</f>
        <v>469</v>
      </c>
      <c r="EI36" s="345">
        <f>'[2]basic allocation'!$L$10</f>
        <v>234</v>
      </c>
      <c r="EJ36" s="345">
        <f>'[2]basic allocation'!$M$10</f>
        <v>100</v>
      </c>
      <c r="EK36" s="345">
        <f>'[2]PBF Run'!$AT43</f>
        <v>0</v>
      </c>
      <c r="EM36" s="477"/>
    </row>
    <row r="37" spans="1:143">
      <c r="A37" s="476" t="s">
        <v>605</v>
      </c>
      <c r="B37" s="475" t="str">
        <f t="shared" si="46"/>
        <v>P1</v>
      </c>
      <c r="C37" s="346" t="s">
        <v>331</v>
      </c>
      <c r="D37" s="450" t="s">
        <v>330</v>
      </c>
      <c r="E37" s="449">
        <f>ROUND('[2]PBF Run'!N44,6)</f>
        <v>4636.492921</v>
      </c>
      <c r="F37" s="340">
        <f t="shared" si="47"/>
        <v>4636.49</v>
      </c>
      <c r="G37" s="474">
        <f t="shared" si="48"/>
        <v>2788.0536374600001</v>
      </c>
      <c r="H37" s="473">
        <f t="shared" si="49"/>
        <v>2811.7520933800001</v>
      </c>
      <c r="I37" s="473">
        <f t="shared" si="50"/>
        <v>3282.8110613200001</v>
      </c>
      <c r="J37" s="473">
        <f t="shared" si="51"/>
        <v>3310.71495534</v>
      </c>
      <c r="K37" s="472">
        <f>ROUND([2]FTES!C44,3)</f>
        <v>5031.88</v>
      </c>
      <c r="L37" s="472">
        <f>ROUND([2]FTES!L44,3)</f>
        <v>399.38</v>
      </c>
      <c r="M37" s="472">
        <f>ROUND([2]FTES!U44,3)</f>
        <v>16.25</v>
      </c>
      <c r="N37" s="465">
        <f>ROUND([2]FTES!$D44,3)</f>
        <v>5031.88</v>
      </c>
      <c r="O37" s="465">
        <f>ROUND([2]FTES!$M44,3)</f>
        <v>399.38</v>
      </c>
      <c r="P37" s="465">
        <f>ROUND([2]FTES!$V44,3)</f>
        <v>16.25</v>
      </c>
      <c r="Q37" s="471">
        <f>'[2]FTES Adjustment'!BU44</f>
        <v>22.508379000000001</v>
      </c>
      <c r="R37" s="471">
        <f>'[2]FTES Adjustment'!BV44</f>
        <v>0</v>
      </c>
      <c r="S37" s="471">
        <f>'[2]FTES Adjustment'!BW44</f>
        <v>0</v>
      </c>
      <c r="T37" s="469">
        <f>ROUND('[2]Growth Deficit'!$AG44,3)</f>
        <v>0</v>
      </c>
      <c r="U37" s="469">
        <f>ROUND('[2]Growth Deficit'!$AH44,3)</f>
        <v>0</v>
      </c>
      <c r="V37" s="469">
        <f>ROUND('[2]Growth Deficit'!$AI44,3)</f>
        <v>0</v>
      </c>
      <c r="W37" s="470">
        <f>ROUND([2]FTES!I44,3)</f>
        <v>0</v>
      </c>
      <c r="X37" s="470">
        <f>ROUND([2]FTES!R44,3)</f>
        <v>0</v>
      </c>
      <c r="Y37" s="470">
        <f>ROUND([2]FTES!AA44,3)</f>
        <v>0</v>
      </c>
      <c r="Z37" s="469">
        <f>ROUND([2]FTES!E44,3)</f>
        <v>5160.72</v>
      </c>
      <c r="AA37" s="469">
        <f>ROUND([2]FTES!N44,3)</f>
        <v>490.93</v>
      </c>
      <c r="AB37" s="469">
        <f>ROUND([2]FTES!W44,3)</f>
        <v>0</v>
      </c>
      <c r="AC37" s="468">
        <f>'[2]FTES Adjustment'!CW44</f>
        <v>5160.7199249999994</v>
      </c>
      <c r="AD37" s="468">
        <f>'[2]FTES Adjustment'!CX44</f>
        <v>490.93</v>
      </c>
      <c r="AE37" s="468">
        <f>'[2]FTES Adjustment'!CY44</f>
        <v>0</v>
      </c>
      <c r="AF37" s="467">
        <f>'[2]FTES Adjustment'!DQ44</f>
        <v>7.5000000833824743E-5</v>
      </c>
      <c r="AG37" s="467">
        <f>'[2]FTES Adjustment'!DR44</f>
        <v>0</v>
      </c>
      <c r="AH37" s="467">
        <f>'[2]FTES Adjustment'!DS44</f>
        <v>0</v>
      </c>
      <c r="AI37" s="340">
        <f>'[2]FTES Adjustment'!$DX44</f>
        <v>0</v>
      </c>
      <c r="AJ37" s="340">
        <v>0</v>
      </c>
      <c r="AK37" s="340">
        <v>0</v>
      </c>
      <c r="AL37" s="465">
        <f>'[2]FTES Adjustment'!CG44</f>
        <v>106.331546</v>
      </c>
      <c r="AM37" s="465">
        <f>'[2]FTES Adjustment'!CH44</f>
        <v>91.55</v>
      </c>
      <c r="AN37" s="465">
        <f>'[2]FTES Adjustment'!CI44</f>
        <v>-16.25</v>
      </c>
      <c r="AO37" s="463">
        <f t="shared" si="27"/>
        <v>5447.51</v>
      </c>
      <c r="AP37" s="463">
        <f t="shared" si="28"/>
        <v>5447.51</v>
      </c>
      <c r="AQ37" s="463">
        <f t="shared" si="29"/>
        <v>22.507999999999999</v>
      </c>
      <c r="AR37" s="463">
        <f t="shared" si="30"/>
        <v>0</v>
      </c>
      <c r="AS37" s="463">
        <f t="shared" si="31"/>
        <v>0</v>
      </c>
      <c r="AT37" s="463">
        <f t="shared" si="32"/>
        <v>5651.65</v>
      </c>
      <c r="AU37" s="463">
        <f t="shared" si="33"/>
        <v>5651.65</v>
      </c>
      <c r="AV37" s="464">
        <f t="shared" si="34"/>
        <v>0</v>
      </c>
      <c r="AW37" s="464">
        <f t="shared" si="35"/>
        <v>0</v>
      </c>
      <c r="AX37" s="464">
        <f t="shared" si="36"/>
        <v>181.63200000000001</v>
      </c>
      <c r="AY37" s="460">
        <f>'[2]PBF Run'!F44</f>
        <v>3935976</v>
      </c>
      <c r="AZ37" s="460">
        <f t="shared" si="37"/>
        <v>24497115</v>
      </c>
      <c r="BA37" s="460">
        <f>'[2]PBF Run'!J44 + '[2]PBF Run'!$L44</f>
        <v>23330276</v>
      </c>
      <c r="BB37" s="460">
        <f>'[2]PBF Run'!H44</f>
        <v>1113493</v>
      </c>
      <c r="BC37" s="460">
        <f>'[2]PBF Run'!I44</f>
        <v>53346</v>
      </c>
      <c r="BD37" s="462">
        <v>0</v>
      </c>
      <c r="BE37" s="461">
        <f>'[2]Restoration and Growth'!BM44</f>
        <v>0</v>
      </c>
      <c r="BF37" s="460">
        <f t="shared" si="38"/>
        <v>28433091</v>
      </c>
      <c r="BG37" s="333" t="str">
        <f t="shared" si="52"/>
        <v>0.85%</v>
      </c>
      <c r="BH37" s="459">
        <f>'[2]PBF Run'!O44</f>
        <v>241681</v>
      </c>
      <c r="BI37" s="459">
        <f t="shared" si="39"/>
        <v>28674772</v>
      </c>
      <c r="BJ37" s="458">
        <f>'[2]PBF Run'!AC44</f>
        <v>0</v>
      </c>
      <c r="BK37" s="458">
        <f>'[2]PBF Run'!$AD44</f>
        <v>0</v>
      </c>
      <c r="BL37" s="458">
        <f>'[2]PBF Run'!$T44</f>
        <v>105247</v>
      </c>
      <c r="BM37" s="458">
        <f>'[2]PBF Run'!$S44</f>
        <v>700813</v>
      </c>
      <c r="BN37" s="458">
        <f>'[2]13-14 $86M Workload Restore'!$P42</f>
        <v>0</v>
      </c>
      <c r="BO37" s="458">
        <f t="shared" si="40"/>
        <v>806060</v>
      </c>
      <c r="BP37" s="478">
        <f>'[2]Restoration and Growth'!AA44</f>
        <v>0</v>
      </c>
      <c r="BQ37" s="478">
        <f>'[2]Restoration and Growth'!AB44</f>
        <v>0</v>
      </c>
      <c r="BR37" s="453">
        <f>'[2]Restoration and Growth'!BT44</f>
        <v>0</v>
      </c>
      <c r="BS37" s="453">
        <f>'[2]Growth Deficit'!$AO44</f>
        <v>0</v>
      </c>
      <c r="BT37" s="453">
        <f>'[2]Growth Deficit'!AO44</f>
        <v>0</v>
      </c>
      <c r="BU37" s="453">
        <f>'[2]Growth Deficit'!AL44</f>
        <v>0</v>
      </c>
      <c r="BV37" s="453">
        <f>'[2]Growth Deficit'!AM44</f>
        <v>0</v>
      </c>
      <c r="BW37" s="453">
        <f>'[2]Growth Deficit'!AN44</f>
        <v>0</v>
      </c>
      <c r="BX37" s="453">
        <f>'[2]Growth Deficit'!AO44</f>
        <v>0</v>
      </c>
      <c r="BY37" s="454">
        <f>'[2]PBF Run'!AA44</f>
        <v>0</v>
      </c>
      <c r="BZ37" s="454">
        <f>'[2]PBF Run'!AB44</f>
        <v>0</v>
      </c>
      <c r="CA37" s="454">
        <f>'[2]PBF Run'!AC44</f>
        <v>0</v>
      </c>
      <c r="CB37" s="454">
        <f t="shared" si="41"/>
        <v>0</v>
      </c>
      <c r="CC37" s="457">
        <f>'[2]PBF Run'!X44</f>
        <v>0</v>
      </c>
      <c r="CD37" s="456">
        <f>'[2]PBF Run'!AE44</f>
        <v>29480832</v>
      </c>
      <c r="CE37" s="337">
        <f t="shared" si="42"/>
        <v>0.98518542488895833</v>
      </c>
      <c r="CF37" s="455">
        <f>'[2]PBF Run'!AM44</f>
        <v>436746</v>
      </c>
      <c r="CG37" s="455">
        <f>'[2]PBF Run'!$AN44</f>
        <v>1715129</v>
      </c>
      <c r="CH37" s="455">
        <f>'[2]PBF Run'!$AO44</f>
        <v>0</v>
      </c>
      <c r="CI37" s="455">
        <f>'[2]PBF Run'!AJ44</f>
        <v>20651642</v>
      </c>
      <c r="CJ37" s="455">
        <f>'[2]PBF Run'!AI44</f>
        <v>2210351</v>
      </c>
      <c r="CK37" s="455">
        <f>'[2]PBF Run'!$AN44</f>
        <v>1715129</v>
      </c>
      <c r="CL37" s="455">
        <f>'[2]PBF Run'!AK44</f>
        <v>4466964</v>
      </c>
      <c r="CM37" s="455">
        <f t="shared" si="43"/>
        <v>29044086</v>
      </c>
      <c r="CN37" s="454">
        <f>'[2]PBF Run'!$AN44</f>
        <v>1715129</v>
      </c>
      <c r="CO37" s="454">
        <f>'[2]PBF Run'!BI44</f>
        <v>0</v>
      </c>
      <c r="CP37" s="339">
        <f>'[2]PBF Run'!BH44</f>
        <v>0</v>
      </c>
      <c r="CQ37" s="454">
        <f t="shared" si="53"/>
        <v>69532</v>
      </c>
      <c r="CR37" s="454">
        <f t="shared" si="44"/>
        <v>1715129</v>
      </c>
      <c r="CS37" s="453">
        <f>'[2]As of 13-14 R1'!BX44</f>
        <v>0</v>
      </c>
      <c r="CT37" s="453">
        <f>'[2]As of 13-14 R1'!BY44</f>
        <v>0</v>
      </c>
      <c r="CU37" s="453">
        <f>'[2]As of 13-14 R1'!BZ44</f>
        <v>104360</v>
      </c>
      <c r="CV37" s="453">
        <f t="shared" si="45"/>
        <v>104360</v>
      </c>
      <c r="CW37" s="342">
        <f>'[2]Growth Deficit'!$D$2</f>
        <v>0</v>
      </c>
      <c r="CX37" s="343">
        <f>IF($DL37="S",'[2]Foundation Grant'!C44,0)</f>
        <v>0</v>
      </c>
      <c r="CY37" s="343">
        <f>IF($DL37="S",'[2]Foundation Grant'!D44,0)</f>
        <v>0</v>
      </c>
      <c r="CZ37" s="343">
        <f>IF($DL37="S",'[2]Foundation Grant'!E44,0)</f>
        <v>1</v>
      </c>
      <c r="DA37" s="343">
        <f>IF($DL37="S",'[2]Foundation Grant'!F44,0)</f>
        <v>1</v>
      </c>
      <c r="DB37" s="343">
        <f>IF($DL37="M",'[2]Foundation Grant'!C44,0)</f>
        <v>0</v>
      </c>
      <c r="DC37" s="343">
        <f>IF($DL37="M",'[2]Foundation Grant'!D44,0)</f>
        <v>0</v>
      </c>
      <c r="DD37" s="343">
        <f>IF($DL37="M",'[2]Foundation Grant'!E44,0)</f>
        <v>0</v>
      </c>
      <c r="DE37" s="343">
        <f>IF($DL37="M",'[2]Foundation Grant'!F44,0)</f>
        <v>0</v>
      </c>
      <c r="DF37" s="343">
        <f>'[2]Foundation Grant'!G44</f>
        <v>0</v>
      </c>
      <c r="DG37" s="343">
        <f>'[2]Foundation Grant'!H44</f>
        <v>0</v>
      </c>
      <c r="DH37" s="343">
        <f>'[2]Foundation Grant'!I44</f>
        <v>1</v>
      </c>
      <c r="DI37" s="343">
        <f>'[2]Foundation Grant'!J44</f>
        <v>0</v>
      </c>
      <c r="DJ37" s="343">
        <f>'[2]Foundation Grant'!K44</f>
        <v>0</v>
      </c>
      <c r="DK37" s="452">
        <f>'[2]Foundation Grant'!L44</f>
        <v>1</v>
      </c>
      <c r="DL37" s="343" t="str">
        <f>'[2]Foundation Grant'!M44</f>
        <v>S</v>
      </c>
      <c r="DM37" s="343">
        <f>'[2]Foundation Grant'!N44</f>
        <v>3935976</v>
      </c>
      <c r="DN37" s="452">
        <f>'[2]Foundation Grant'!O44</f>
        <v>0</v>
      </c>
      <c r="DO37" s="452">
        <f>'[2]Foundation Grant'!P44</f>
        <v>0</v>
      </c>
      <c r="DP37" s="344">
        <f>'[2]Foundation Grant'!$C$1</f>
        <v>5622823</v>
      </c>
      <c r="DQ37" s="344">
        <f>'[2]Foundation Grant'!$D$1</f>
        <v>4498258</v>
      </c>
      <c r="DR37" s="344">
        <f>'[2]Foundation Grant'!$E$1</f>
        <v>3373694</v>
      </c>
      <c r="DS37" s="344">
        <f>'[2]Foundation Grant'!$C$2</f>
        <v>4498258</v>
      </c>
      <c r="DT37" s="344">
        <f>'[2]Foundation Grant'!$D$2</f>
        <v>3935976</v>
      </c>
      <c r="DU37" s="344">
        <f>'[2]Foundation Grant'!$E$2</f>
        <v>3373694</v>
      </c>
      <c r="DV37" s="344">
        <f>'[2]Foundation Grant'!$G$1</f>
        <v>1124565</v>
      </c>
      <c r="DW37" s="344">
        <f>'[2]Foundation Grant'!$H$1</f>
        <v>843423</v>
      </c>
      <c r="DX37" s="344">
        <f>'[2]Foundation Grant'!$I$1</f>
        <v>562282</v>
      </c>
      <c r="DY37" s="344">
        <f>'[2]Foundation Grant'!$J$1</f>
        <v>281141</v>
      </c>
      <c r="DZ37" s="344">
        <f>'[2]Foundation Grant'!$K$1</f>
        <v>140571</v>
      </c>
      <c r="EA37" s="344">
        <f>'[2]Foundation Grant'!$O$1</f>
        <v>562282</v>
      </c>
      <c r="EB37" s="344">
        <f>'[2]Foundation Grant'!$P$1</f>
        <v>1124565</v>
      </c>
      <c r="EC37" s="345">
        <f>'[2]basic allocation'!$C$10</f>
        <v>18749</v>
      </c>
      <c r="ED37" s="345">
        <f>'[2]basic allocation'!$D$10</f>
        <v>9375</v>
      </c>
      <c r="EE37" s="345">
        <f>'[2]basic allocation'!$E$10</f>
        <v>9375</v>
      </c>
      <c r="EF37" s="345">
        <f>'[2]basic allocation'!$I$10</f>
        <v>938</v>
      </c>
      <c r="EG37" s="345">
        <f>'[2]basic allocation'!$J$10</f>
        <v>703</v>
      </c>
      <c r="EH37" s="345">
        <f>'[2]basic allocation'!$K$10</f>
        <v>469</v>
      </c>
      <c r="EI37" s="345">
        <f>'[2]basic allocation'!$L$10</f>
        <v>234</v>
      </c>
      <c r="EJ37" s="345">
        <f>'[2]basic allocation'!$M$10</f>
        <v>100</v>
      </c>
      <c r="EK37" s="345">
        <f>'[2]PBF Run'!$AT44</f>
        <v>0</v>
      </c>
      <c r="EM37" s="477"/>
    </row>
    <row r="38" spans="1:143">
      <c r="A38" s="476" t="s">
        <v>605</v>
      </c>
      <c r="B38" s="475" t="str">
        <f t="shared" si="46"/>
        <v>P1</v>
      </c>
      <c r="C38" s="346" t="s">
        <v>329</v>
      </c>
      <c r="D38" s="450" t="s">
        <v>328</v>
      </c>
      <c r="E38" s="449">
        <f>ROUND('[2]PBF Run'!N45,6)</f>
        <v>4636.492851</v>
      </c>
      <c r="F38" s="340">
        <f t="shared" si="47"/>
        <v>4636.49</v>
      </c>
      <c r="G38" s="474">
        <f t="shared" si="48"/>
        <v>2788.0536374600001</v>
      </c>
      <c r="H38" s="473">
        <f t="shared" si="49"/>
        <v>2811.7520933800001</v>
      </c>
      <c r="I38" s="473">
        <f t="shared" si="50"/>
        <v>3282.8110613200001</v>
      </c>
      <c r="J38" s="473">
        <f t="shared" si="51"/>
        <v>3310.71495534</v>
      </c>
      <c r="K38" s="472">
        <f>ROUND([2]FTES!C45,3)</f>
        <v>27227.083999999999</v>
      </c>
      <c r="L38" s="472">
        <f>ROUND([2]FTES!L45,3)</f>
        <v>2482.65</v>
      </c>
      <c r="M38" s="472">
        <f>ROUND([2]FTES!U45,3)</f>
        <v>3407.08</v>
      </c>
      <c r="N38" s="465">
        <f>ROUND([2]FTES!$D45,3)</f>
        <v>27227.083999999999</v>
      </c>
      <c r="O38" s="465">
        <f>ROUND([2]FTES!$M45,3)</f>
        <v>2482.65</v>
      </c>
      <c r="P38" s="465">
        <f>ROUND([2]FTES!$V45,3)</f>
        <v>3407.08</v>
      </c>
      <c r="Q38" s="471">
        <f>'[2]FTES Adjustment'!BU45</f>
        <v>0</v>
      </c>
      <c r="R38" s="471">
        <f>'[2]FTES Adjustment'!BV45</f>
        <v>0</v>
      </c>
      <c r="S38" s="471">
        <f>'[2]FTES Adjustment'!BW45</f>
        <v>0</v>
      </c>
      <c r="T38" s="469">
        <f>ROUND('[2]Growth Deficit'!$AG45,3)</f>
        <v>0</v>
      </c>
      <c r="U38" s="469">
        <f>ROUND('[2]Growth Deficit'!$AH45,3)</f>
        <v>0</v>
      </c>
      <c r="V38" s="469">
        <f>ROUND('[2]Growth Deficit'!$AI45,3)</f>
        <v>0</v>
      </c>
      <c r="W38" s="470">
        <f>ROUND([2]FTES!I45,3)</f>
        <v>0</v>
      </c>
      <c r="X38" s="470">
        <f>ROUND([2]FTES!R45,3)</f>
        <v>0</v>
      </c>
      <c r="Y38" s="470">
        <f>ROUND([2]FTES!AA45,3)</f>
        <v>0</v>
      </c>
      <c r="Z38" s="469">
        <f>ROUND([2]FTES!E45,3)</f>
        <v>30657.42</v>
      </c>
      <c r="AA38" s="469">
        <f>ROUND([2]FTES!N45,3)</f>
        <v>2819.89</v>
      </c>
      <c r="AB38" s="469">
        <f>ROUND([2]FTES!W45,3)</f>
        <v>3365.62</v>
      </c>
      <c r="AC38" s="468">
        <f>'[2]FTES Adjustment'!CW45</f>
        <v>28621.559380999999</v>
      </c>
      <c r="AD38" s="468">
        <f>'[2]FTES Adjustment'!CX45</f>
        <v>2819.8899999999994</v>
      </c>
      <c r="AE38" s="468">
        <f>'[2]FTES Adjustment'!CY45</f>
        <v>3365.62</v>
      </c>
      <c r="AF38" s="467">
        <f>'[2]FTES Adjustment'!DQ45</f>
        <v>2035.8606189999991</v>
      </c>
      <c r="AG38" s="467">
        <f>'[2]FTES Adjustment'!DR45</f>
        <v>0</v>
      </c>
      <c r="AH38" s="467">
        <f>'[2]FTES Adjustment'!DS45</f>
        <v>0</v>
      </c>
      <c r="AI38" s="340">
        <f>'[2]FTES Adjustment'!$DX45</f>
        <v>0</v>
      </c>
      <c r="AJ38" s="340">
        <v>0</v>
      </c>
      <c r="AK38" s="340">
        <v>0</v>
      </c>
      <c r="AL38" s="465">
        <f>'[2]FTES Adjustment'!CG45</f>
        <v>1394.475236</v>
      </c>
      <c r="AM38" s="465">
        <f>'[2]FTES Adjustment'!CH45</f>
        <v>337.24</v>
      </c>
      <c r="AN38" s="465">
        <f>'[2]FTES Adjustment'!CI45</f>
        <v>-41.460000000000491</v>
      </c>
      <c r="AO38" s="463">
        <f t="shared" si="27"/>
        <v>33116.813999999998</v>
      </c>
      <c r="AP38" s="463">
        <f t="shared" si="28"/>
        <v>33116.813999999998</v>
      </c>
      <c r="AQ38" s="463">
        <f t="shared" si="29"/>
        <v>0</v>
      </c>
      <c r="AR38" s="463">
        <f t="shared" si="30"/>
        <v>0</v>
      </c>
      <c r="AS38" s="463">
        <f t="shared" si="31"/>
        <v>0</v>
      </c>
      <c r="AT38" s="463">
        <f t="shared" si="32"/>
        <v>36842.93</v>
      </c>
      <c r="AU38" s="463">
        <f t="shared" si="33"/>
        <v>34807.069000000003</v>
      </c>
      <c r="AV38" s="464">
        <f t="shared" si="34"/>
        <v>2035.8610000000001</v>
      </c>
      <c r="AW38" s="464">
        <f t="shared" si="35"/>
        <v>0</v>
      </c>
      <c r="AX38" s="464">
        <f t="shared" si="36"/>
        <v>1690.2550000000001</v>
      </c>
      <c r="AY38" s="460">
        <f>'[2]PBF Run'!F45</f>
        <v>8996517</v>
      </c>
      <c r="AZ38" s="460">
        <f t="shared" si="37"/>
        <v>144344742</v>
      </c>
      <c r="BA38" s="460">
        <f>'[2]PBF Run'!J45 + '[2]PBF Run'!$L45</f>
        <v>126238181</v>
      </c>
      <c r="BB38" s="460">
        <f>'[2]PBF Run'!H45</f>
        <v>6921761</v>
      </c>
      <c r="BC38" s="460">
        <f>'[2]PBF Run'!I45</f>
        <v>11184800</v>
      </c>
      <c r="BD38" s="462">
        <v>0</v>
      </c>
      <c r="BE38" s="461">
        <f>'[2]Restoration and Growth'!BM45</f>
        <v>0</v>
      </c>
      <c r="BF38" s="460">
        <f t="shared" si="38"/>
        <v>153341259</v>
      </c>
      <c r="BG38" s="333" t="str">
        <f t="shared" si="52"/>
        <v>0.85%</v>
      </c>
      <c r="BH38" s="459">
        <f>'[2]PBF Run'!O45</f>
        <v>1303401</v>
      </c>
      <c r="BI38" s="459">
        <f t="shared" si="39"/>
        <v>154644660</v>
      </c>
      <c r="BJ38" s="458">
        <f>'[2]PBF Run'!AC45</f>
        <v>0</v>
      </c>
      <c r="BK38" s="458">
        <f>'[2]PBF Run'!$AD45</f>
        <v>0</v>
      </c>
      <c r="BL38" s="458">
        <f>'[2]PBF Run'!$T45</f>
        <v>0</v>
      </c>
      <c r="BM38" s="458">
        <f>'[2]PBF Run'!$S45</f>
        <v>7331404</v>
      </c>
      <c r="BN38" s="458">
        <f>'[2]13-14 $86M Workload Restore'!$P43</f>
        <v>0</v>
      </c>
      <c r="BO38" s="458">
        <f t="shared" si="40"/>
        <v>7331404</v>
      </c>
      <c r="BP38" s="478">
        <f>'[2]Restoration and Growth'!AA45</f>
        <v>0</v>
      </c>
      <c r="BQ38" s="478">
        <f>'[2]Restoration and Growth'!AB45</f>
        <v>0</v>
      </c>
      <c r="BR38" s="453">
        <f>'[2]Restoration and Growth'!BT45</f>
        <v>0</v>
      </c>
      <c r="BS38" s="453">
        <f>'[2]Growth Deficit'!$AO45</f>
        <v>0</v>
      </c>
      <c r="BT38" s="453">
        <f>'[2]Growth Deficit'!AO45</f>
        <v>0</v>
      </c>
      <c r="BU38" s="453">
        <f>'[2]Growth Deficit'!AL45</f>
        <v>0</v>
      </c>
      <c r="BV38" s="453">
        <f>'[2]Growth Deficit'!AM45</f>
        <v>0</v>
      </c>
      <c r="BW38" s="453">
        <f>'[2]Growth Deficit'!AN45</f>
        <v>0</v>
      </c>
      <c r="BX38" s="453">
        <f>'[2]Growth Deficit'!AO45</f>
        <v>0</v>
      </c>
      <c r="BY38" s="454">
        <f>'[2]PBF Run'!AA45</f>
        <v>0</v>
      </c>
      <c r="BZ38" s="454">
        <f>'[2]PBF Run'!AB45</f>
        <v>0</v>
      </c>
      <c r="CA38" s="454">
        <f>'[2]PBF Run'!AC45</f>
        <v>0</v>
      </c>
      <c r="CB38" s="454">
        <f t="shared" si="41"/>
        <v>0</v>
      </c>
      <c r="CC38" s="457">
        <f>'[2]PBF Run'!X45</f>
        <v>0</v>
      </c>
      <c r="CD38" s="456">
        <f>'[2]PBF Run'!AE45</f>
        <v>161976064</v>
      </c>
      <c r="CE38" s="337">
        <f t="shared" si="42"/>
        <v>0.98518541603776721</v>
      </c>
      <c r="CF38" s="455">
        <f>'[2]PBF Run'!AM45</f>
        <v>2399608</v>
      </c>
      <c r="CG38" s="455">
        <f>'[2]PBF Run'!$AN45</f>
        <v>54688082</v>
      </c>
      <c r="CH38" s="455">
        <f>'[2]PBF Run'!$AO45</f>
        <v>0</v>
      </c>
      <c r="CI38" s="455">
        <f>'[2]PBF Run'!AJ45</f>
        <v>68689843</v>
      </c>
      <c r="CJ38" s="455">
        <f>'[2]PBF Run'!AI45</f>
        <v>11560067</v>
      </c>
      <c r="CK38" s="455">
        <f>'[2]PBF Run'!$AN45</f>
        <v>54688082</v>
      </c>
      <c r="CL38" s="455">
        <f>'[2]PBF Run'!AK45</f>
        <v>24638464</v>
      </c>
      <c r="CM38" s="455">
        <f t="shared" si="43"/>
        <v>159576456</v>
      </c>
      <c r="CN38" s="454">
        <f>'[2]PBF Run'!$AN45</f>
        <v>54688082</v>
      </c>
      <c r="CO38" s="454">
        <f>'[2]PBF Run'!BI45</f>
        <v>0</v>
      </c>
      <c r="CP38" s="339">
        <f>'[2]PBF Run'!BH45</f>
        <v>0</v>
      </c>
      <c r="CQ38" s="454">
        <f t="shared" si="53"/>
        <v>69532</v>
      </c>
      <c r="CR38" s="454">
        <f t="shared" si="44"/>
        <v>54688082</v>
      </c>
      <c r="CS38" s="453">
        <f>'[2]As of 13-14 R1'!BX45</f>
        <v>0</v>
      </c>
      <c r="CT38" s="453">
        <f>'[2]As of 13-14 R1'!BY45</f>
        <v>0</v>
      </c>
      <c r="CU38" s="453">
        <f>'[2]As of 13-14 R1'!BZ45</f>
        <v>0</v>
      </c>
      <c r="CV38" s="453">
        <f t="shared" si="45"/>
        <v>0</v>
      </c>
      <c r="CW38" s="342">
        <f>'[2]Growth Deficit'!$D$2</f>
        <v>0</v>
      </c>
      <c r="CX38" s="343">
        <f>IF($DL38="S",'[2]Foundation Grant'!C45,0)</f>
        <v>0</v>
      </c>
      <c r="CY38" s="343">
        <f>IF($DL38="S",'[2]Foundation Grant'!D45,0)</f>
        <v>0</v>
      </c>
      <c r="CZ38" s="343">
        <f>IF($DL38="S",'[2]Foundation Grant'!E45,0)</f>
        <v>0</v>
      </c>
      <c r="DA38" s="343">
        <f>IF($DL38="S",'[2]Foundation Grant'!F45,0)</f>
        <v>0</v>
      </c>
      <c r="DB38" s="343">
        <f>IF($DL38="M",'[2]Foundation Grant'!C45,0)</f>
        <v>0</v>
      </c>
      <c r="DC38" s="343">
        <f>IF($DL38="M",'[2]Foundation Grant'!D45,0)</f>
        <v>2</v>
      </c>
      <c r="DD38" s="343">
        <f>IF($DL38="M",'[2]Foundation Grant'!E45,0)</f>
        <v>0</v>
      </c>
      <c r="DE38" s="343">
        <f>IF($DL38="M",'[2]Foundation Grant'!F45,0)</f>
        <v>2</v>
      </c>
      <c r="DF38" s="343">
        <f>'[2]Foundation Grant'!G45</f>
        <v>0</v>
      </c>
      <c r="DG38" s="343">
        <f>'[2]Foundation Grant'!H45</f>
        <v>0</v>
      </c>
      <c r="DH38" s="343">
        <f>'[2]Foundation Grant'!I45</f>
        <v>0</v>
      </c>
      <c r="DI38" s="343">
        <f>'[2]Foundation Grant'!J45</f>
        <v>0</v>
      </c>
      <c r="DJ38" s="343">
        <f>'[2]Foundation Grant'!K45</f>
        <v>0</v>
      </c>
      <c r="DK38" s="452">
        <f>'[2]Foundation Grant'!L45</f>
        <v>0</v>
      </c>
      <c r="DL38" s="343" t="str">
        <f>'[2]Foundation Grant'!M45</f>
        <v>M</v>
      </c>
      <c r="DM38" s="343">
        <f>'[2]Foundation Grant'!N45</f>
        <v>8996517</v>
      </c>
      <c r="DN38" s="452">
        <f>'[2]Foundation Grant'!O45</f>
        <v>0</v>
      </c>
      <c r="DO38" s="452">
        <f>'[2]Foundation Grant'!P45</f>
        <v>1</v>
      </c>
      <c r="DP38" s="344">
        <f>'[2]Foundation Grant'!$C$1</f>
        <v>5622823</v>
      </c>
      <c r="DQ38" s="344">
        <f>'[2]Foundation Grant'!$D$1</f>
        <v>4498258</v>
      </c>
      <c r="DR38" s="344">
        <f>'[2]Foundation Grant'!$E$1</f>
        <v>3373694</v>
      </c>
      <c r="DS38" s="344">
        <f>'[2]Foundation Grant'!$C$2</f>
        <v>4498258</v>
      </c>
      <c r="DT38" s="344">
        <f>'[2]Foundation Grant'!$D$2</f>
        <v>3935976</v>
      </c>
      <c r="DU38" s="344">
        <f>'[2]Foundation Grant'!$E$2</f>
        <v>3373694</v>
      </c>
      <c r="DV38" s="344">
        <f>'[2]Foundation Grant'!$G$1</f>
        <v>1124565</v>
      </c>
      <c r="DW38" s="344">
        <f>'[2]Foundation Grant'!$H$1</f>
        <v>843423</v>
      </c>
      <c r="DX38" s="344">
        <f>'[2]Foundation Grant'!$I$1</f>
        <v>562282</v>
      </c>
      <c r="DY38" s="344">
        <f>'[2]Foundation Grant'!$J$1</f>
        <v>281141</v>
      </c>
      <c r="DZ38" s="344">
        <f>'[2]Foundation Grant'!$K$1</f>
        <v>140571</v>
      </c>
      <c r="EA38" s="344">
        <f>'[2]Foundation Grant'!$O$1</f>
        <v>562282</v>
      </c>
      <c r="EB38" s="344">
        <f>'[2]Foundation Grant'!$P$1</f>
        <v>1124565</v>
      </c>
      <c r="EC38" s="345">
        <f>'[2]basic allocation'!$C$10</f>
        <v>18749</v>
      </c>
      <c r="ED38" s="345">
        <f>'[2]basic allocation'!$D$10</f>
        <v>9375</v>
      </c>
      <c r="EE38" s="345">
        <f>'[2]basic allocation'!$E$10</f>
        <v>9375</v>
      </c>
      <c r="EF38" s="345">
        <f>'[2]basic allocation'!$I$10</f>
        <v>938</v>
      </c>
      <c r="EG38" s="345">
        <f>'[2]basic allocation'!$J$10</f>
        <v>703</v>
      </c>
      <c r="EH38" s="345">
        <f>'[2]basic allocation'!$K$10</f>
        <v>469</v>
      </c>
      <c r="EI38" s="345">
        <f>'[2]basic allocation'!$L$10</f>
        <v>234</v>
      </c>
      <c r="EJ38" s="345">
        <f>'[2]basic allocation'!$M$10</f>
        <v>100</v>
      </c>
      <c r="EK38" s="345">
        <f>'[2]PBF Run'!$AT45</f>
        <v>0</v>
      </c>
      <c r="EM38" s="477"/>
    </row>
    <row r="39" spans="1:143">
      <c r="A39" s="476" t="s">
        <v>605</v>
      </c>
      <c r="B39" s="475" t="str">
        <f t="shared" si="46"/>
        <v>P1</v>
      </c>
      <c r="C39" s="346" t="s">
        <v>327</v>
      </c>
      <c r="D39" s="450" t="s">
        <v>326</v>
      </c>
      <c r="E39" s="449">
        <f>ROUND('[2]PBF Run'!N46,6)</f>
        <v>4636.4928909999999</v>
      </c>
      <c r="F39" s="340">
        <f t="shared" si="47"/>
        <v>4636.49</v>
      </c>
      <c r="G39" s="474">
        <f t="shared" si="48"/>
        <v>2788.0536374600001</v>
      </c>
      <c r="H39" s="473">
        <f t="shared" si="49"/>
        <v>2811.7520933800001</v>
      </c>
      <c r="I39" s="473">
        <f t="shared" si="50"/>
        <v>3282.8110613200001</v>
      </c>
      <c r="J39" s="473">
        <f t="shared" si="51"/>
        <v>3310.71495534</v>
      </c>
      <c r="K39" s="472">
        <f>ROUND([2]FTES!C46,3)</f>
        <v>7886.53</v>
      </c>
      <c r="L39" s="472">
        <f>ROUND([2]FTES!L46,3)</f>
        <v>1.71</v>
      </c>
      <c r="M39" s="472">
        <f>ROUND([2]FTES!U46,3)</f>
        <v>0</v>
      </c>
      <c r="N39" s="465">
        <f>ROUND([2]FTES!$D46,3)</f>
        <v>7886.53</v>
      </c>
      <c r="O39" s="465">
        <f>ROUND([2]FTES!$M46,3)</f>
        <v>1.71</v>
      </c>
      <c r="P39" s="465">
        <f>ROUND([2]FTES!$V46,3)</f>
        <v>0</v>
      </c>
      <c r="Q39" s="471">
        <f>'[2]FTES Adjustment'!BU46</f>
        <v>0</v>
      </c>
      <c r="R39" s="471">
        <f>'[2]FTES Adjustment'!BV46</f>
        <v>0</v>
      </c>
      <c r="S39" s="471">
        <f>'[2]FTES Adjustment'!BW46</f>
        <v>0</v>
      </c>
      <c r="T39" s="469">
        <f>ROUND('[2]Growth Deficit'!$AG46,3)</f>
        <v>0</v>
      </c>
      <c r="U39" s="469">
        <f>ROUND('[2]Growth Deficit'!$AH46,3)</f>
        <v>0</v>
      </c>
      <c r="V39" s="469">
        <f>ROUND('[2]Growth Deficit'!$AI46,3)</f>
        <v>0</v>
      </c>
      <c r="W39" s="470">
        <f>ROUND([2]FTES!I46,3)</f>
        <v>0</v>
      </c>
      <c r="X39" s="470">
        <f>ROUND([2]FTES!R46,3)</f>
        <v>0</v>
      </c>
      <c r="Y39" s="470">
        <f>ROUND([2]FTES!AA46,3)</f>
        <v>0</v>
      </c>
      <c r="Z39" s="469">
        <f>ROUND([2]FTES!E46,3)</f>
        <v>8063.37</v>
      </c>
      <c r="AA39" s="469">
        <f>ROUND([2]FTES!N46,3)</f>
        <v>0</v>
      </c>
      <c r="AB39" s="469">
        <f>ROUND([2]FTES!W46,3)</f>
        <v>0</v>
      </c>
      <c r="AC39" s="468">
        <f>'[2]FTES Adjustment'!CW46</f>
        <v>8063.3700040000003</v>
      </c>
      <c r="AD39" s="468">
        <f>'[2]FTES Adjustment'!CX46</f>
        <v>0</v>
      </c>
      <c r="AE39" s="468">
        <f>'[2]FTES Adjustment'!CY46</f>
        <v>0</v>
      </c>
      <c r="AF39" s="467">
        <f>'[2]FTES Adjustment'!DQ46</f>
        <v>-4.0000004446483217E-6</v>
      </c>
      <c r="AG39" s="467">
        <f>'[2]FTES Adjustment'!DR46</f>
        <v>0</v>
      </c>
      <c r="AH39" s="467">
        <f>'[2]FTES Adjustment'!DS46</f>
        <v>0</v>
      </c>
      <c r="AI39" s="340">
        <f>'[2]FTES Adjustment'!$DX46</f>
        <v>0</v>
      </c>
      <c r="AJ39" s="340">
        <v>0</v>
      </c>
      <c r="AK39" s="340">
        <v>0</v>
      </c>
      <c r="AL39" s="465">
        <f>'[2]FTES Adjustment'!CG46</f>
        <v>176.84006500000001</v>
      </c>
      <c r="AM39" s="465">
        <f>'[2]FTES Adjustment'!CH46</f>
        <v>-1.71</v>
      </c>
      <c r="AN39" s="465">
        <f>'[2]FTES Adjustment'!CI46</f>
        <v>0</v>
      </c>
      <c r="AO39" s="463">
        <f t="shared" si="27"/>
        <v>7888.24</v>
      </c>
      <c r="AP39" s="463">
        <f t="shared" si="28"/>
        <v>7888.24</v>
      </c>
      <c r="AQ39" s="463">
        <f t="shared" si="29"/>
        <v>0</v>
      </c>
      <c r="AR39" s="463">
        <f t="shared" si="30"/>
        <v>0</v>
      </c>
      <c r="AS39" s="463">
        <f t="shared" si="31"/>
        <v>0</v>
      </c>
      <c r="AT39" s="463">
        <f t="shared" si="32"/>
        <v>8063.37</v>
      </c>
      <c r="AU39" s="463">
        <f t="shared" si="33"/>
        <v>8063.37</v>
      </c>
      <c r="AV39" s="464">
        <f t="shared" si="34"/>
        <v>0</v>
      </c>
      <c r="AW39" s="464">
        <f t="shared" si="35"/>
        <v>0</v>
      </c>
      <c r="AX39" s="464">
        <f t="shared" si="36"/>
        <v>175.13</v>
      </c>
      <c r="AY39" s="460">
        <f>'[2]PBF Run'!F46</f>
        <v>4498259</v>
      </c>
      <c r="AZ39" s="460">
        <f t="shared" si="37"/>
        <v>36570608</v>
      </c>
      <c r="BA39" s="460">
        <f>'[2]PBF Run'!J46 + '[2]PBF Run'!$L46</f>
        <v>36565840</v>
      </c>
      <c r="BB39" s="460">
        <f>'[2]PBF Run'!H46</f>
        <v>4768</v>
      </c>
      <c r="BC39" s="460">
        <f>'[2]PBF Run'!I46</f>
        <v>0</v>
      </c>
      <c r="BD39" s="462">
        <v>0</v>
      </c>
      <c r="BE39" s="461">
        <f>'[2]Restoration and Growth'!BM46</f>
        <v>0</v>
      </c>
      <c r="BF39" s="460">
        <f t="shared" si="38"/>
        <v>41068867</v>
      </c>
      <c r="BG39" s="333" t="str">
        <f t="shared" si="52"/>
        <v>0.85%</v>
      </c>
      <c r="BH39" s="459">
        <f>'[2]PBF Run'!O46</f>
        <v>349085</v>
      </c>
      <c r="BI39" s="459">
        <f t="shared" si="39"/>
        <v>41417952</v>
      </c>
      <c r="BJ39" s="458">
        <f>'[2]PBF Run'!AC46</f>
        <v>0</v>
      </c>
      <c r="BK39" s="458">
        <f>'[2]PBF Run'!$AD46</f>
        <v>0</v>
      </c>
      <c r="BL39" s="458">
        <f>'[2]PBF Run'!$T46</f>
        <v>0</v>
      </c>
      <c r="BM39" s="458">
        <f>'[2]PBF Run'!$S46</f>
        <v>822079</v>
      </c>
      <c r="BN39" s="458">
        <f>'[2]13-14 $86M Workload Restore'!$P44</f>
        <v>0</v>
      </c>
      <c r="BO39" s="458">
        <f t="shared" si="40"/>
        <v>822079</v>
      </c>
      <c r="BP39" s="478">
        <f>'[2]Restoration and Growth'!AA46</f>
        <v>0</v>
      </c>
      <c r="BQ39" s="478">
        <f>'[2]Restoration and Growth'!AB46</f>
        <v>0</v>
      </c>
      <c r="BR39" s="453">
        <f>'[2]Restoration and Growth'!BT46</f>
        <v>0</v>
      </c>
      <c r="BS39" s="453">
        <f>'[2]Growth Deficit'!$AO46</f>
        <v>0</v>
      </c>
      <c r="BT39" s="453">
        <f>'[2]Growth Deficit'!AO46</f>
        <v>0</v>
      </c>
      <c r="BU39" s="453">
        <f>'[2]Growth Deficit'!AL46</f>
        <v>0</v>
      </c>
      <c r="BV39" s="453">
        <f>'[2]Growth Deficit'!AM46</f>
        <v>0</v>
      </c>
      <c r="BW39" s="453">
        <f>'[2]Growth Deficit'!AN46</f>
        <v>0</v>
      </c>
      <c r="BX39" s="453">
        <f>'[2]Growth Deficit'!AO46</f>
        <v>0</v>
      </c>
      <c r="BY39" s="454">
        <f>'[2]PBF Run'!AA46</f>
        <v>0</v>
      </c>
      <c r="BZ39" s="454">
        <f>'[2]PBF Run'!AB46</f>
        <v>0</v>
      </c>
      <c r="CA39" s="454">
        <f>'[2]PBF Run'!AC46</f>
        <v>0</v>
      </c>
      <c r="CB39" s="454">
        <f t="shared" si="41"/>
        <v>0</v>
      </c>
      <c r="CC39" s="457">
        <f>'[2]PBF Run'!X46</f>
        <v>0</v>
      </c>
      <c r="CD39" s="456">
        <f>'[2]PBF Run'!AE46</f>
        <v>42240031</v>
      </c>
      <c r="CE39" s="337">
        <f t="shared" si="42"/>
        <v>0.98518542753910388</v>
      </c>
      <c r="CF39" s="455">
        <f>'[2]PBF Run'!AM46</f>
        <v>625768</v>
      </c>
      <c r="CG39" s="455">
        <f>'[2]PBF Run'!$AN46</f>
        <v>13520058</v>
      </c>
      <c r="CH39" s="455">
        <f>'[2]PBF Run'!$AO46</f>
        <v>0</v>
      </c>
      <c r="CI39" s="455">
        <f>'[2]PBF Run'!AJ46</f>
        <v>17789149</v>
      </c>
      <c r="CJ39" s="455">
        <f>'[2]PBF Run'!AI46</f>
        <v>4049338</v>
      </c>
      <c r="CK39" s="455">
        <f>'[2]PBF Run'!$AN46</f>
        <v>13520058</v>
      </c>
      <c r="CL39" s="455">
        <f>'[2]PBF Run'!AK46</f>
        <v>6255718</v>
      </c>
      <c r="CM39" s="455">
        <f t="shared" si="43"/>
        <v>41614263</v>
      </c>
      <c r="CN39" s="454">
        <f>'[2]PBF Run'!$AN46</f>
        <v>13520058</v>
      </c>
      <c r="CO39" s="454">
        <f>'[2]PBF Run'!BI46</f>
        <v>0</v>
      </c>
      <c r="CP39" s="339">
        <f>'[2]PBF Run'!BH46</f>
        <v>0</v>
      </c>
      <c r="CQ39" s="454">
        <f t="shared" si="53"/>
        <v>69532</v>
      </c>
      <c r="CR39" s="454">
        <f t="shared" si="44"/>
        <v>13520058</v>
      </c>
      <c r="CS39" s="453">
        <f>'[2]As of 13-14 R1'!BX46</f>
        <v>0</v>
      </c>
      <c r="CT39" s="453">
        <f>'[2]As of 13-14 R1'!BY46</f>
        <v>0</v>
      </c>
      <c r="CU39" s="453">
        <f>'[2]As of 13-14 R1'!BZ46</f>
        <v>0</v>
      </c>
      <c r="CV39" s="453">
        <f t="shared" si="45"/>
        <v>0</v>
      </c>
      <c r="CW39" s="342">
        <f>'[2]Growth Deficit'!$D$2</f>
        <v>0</v>
      </c>
      <c r="CX39" s="343">
        <f>IF($DL39="S",'[2]Foundation Grant'!C46,0)</f>
        <v>0</v>
      </c>
      <c r="CY39" s="343">
        <f>IF($DL39="S",'[2]Foundation Grant'!D46,0)</f>
        <v>0</v>
      </c>
      <c r="CZ39" s="343">
        <f>IF($DL39="S",'[2]Foundation Grant'!E46,0)</f>
        <v>1</v>
      </c>
      <c r="DA39" s="343">
        <f>IF($DL39="S",'[2]Foundation Grant'!F46,0)</f>
        <v>1</v>
      </c>
      <c r="DB39" s="343">
        <f>IF($DL39="M",'[2]Foundation Grant'!C46,0)</f>
        <v>0</v>
      </c>
      <c r="DC39" s="343">
        <f>IF($DL39="M",'[2]Foundation Grant'!D46,0)</f>
        <v>0</v>
      </c>
      <c r="DD39" s="343">
        <f>IF($DL39="M",'[2]Foundation Grant'!E46,0)</f>
        <v>0</v>
      </c>
      <c r="DE39" s="343">
        <f>IF($DL39="M",'[2]Foundation Grant'!F46,0)</f>
        <v>0</v>
      </c>
      <c r="DF39" s="343">
        <f>'[2]Foundation Grant'!G46</f>
        <v>1</v>
      </c>
      <c r="DG39" s="343">
        <f>'[2]Foundation Grant'!H46</f>
        <v>0</v>
      </c>
      <c r="DH39" s="343">
        <f>'[2]Foundation Grant'!I46</f>
        <v>0</v>
      </c>
      <c r="DI39" s="343">
        <f>'[2]Foundation Grant'!J46</f>
        <v>0</v>
      </c>
      <c r="DJ39" s="343">
        <f>'[2]Foundation Grant'!K46</f>
        <v>0</v>
      </c>
      <c r="DK39" s="452">
        <f>'[2]Foundation Grant'!L46</f>
        <v>1</v>
      </c>
      <c r="DL39" s="343" t="str">
        <f>'[2]Foundation Grant'!M46</f>
        <v>S</v>
      </c>
      <c r="DM39" s="343">
        <f>'[2]Foundation Grant'!N46</f>
        <v>4498259</v>
      </c>
      <c r="DN39" s="452">
        <f>'[2]Foundation Grant'!O46</f>
        <v>0</v>
      </c>
      <c r="DO39" s="452">
        <f>'[2]Foundation Grant'!P46</f>
        <v>0</v>
      </c>
      <c r="DP39" s="344">
        <f>'[2]Foundation Grant'!$C$1</f>
        <v>5622823</v>
      </c>
      <c r="DQ39" s="344">
        <f>'[2]Foundation Grant'!$D$1</f>
        <v>4498258</v>
      </c>
      <c r="DR39" s="344">
        <f>'[2]Foundation Grant'!$E$1</f>
        <v>3373694</v>
      </c>
      <c r="DS39" s="344">
        <f>'[2]Foundation Grant'!$C$2</f>
        <v>4498258</v>
      </c>
      <c r="DT39" s="344">
        <f>'[2]Foundation Grant'!$D$2</f>
        <v>3935976</v>
      </c>
      <c r="DU39" s="344">
        <f>'[2]Foundation Grant'!$E$2</f>
        <v>3373694</v>
      </c>
      <c r="DV39" s="344">
        <f>'[2]Foundation Grant'!$G$1</f>
        <v>1124565</v>
      </c>
      <c r="DW39" s="344">
        <f>'[2]Foundation Grant'!$H$1</f>
        <v>843423</v>
      </c>
      <c r="DX39" s="344">
        <f>'[2]Foundation Grant'!$I$1</f>
        <v>562282</v>
      </c>
      <c r="DY39" s="344">
        <f>'[2]Foundation Grant'!$J$1</f>
        <v>281141</v>
      </c>
      <c r="DZ39" s="344">
        <f>'[2]Foundation Grant'!$K$1</f>
        <v>140571</v>
      </c>
      <c r="EA39" s="344">
        <f>'[2]Foundation Grant'!$O$1</f>
        <v>562282</v>
      </c>
      <c r="EB39" s="344">
        <f>'[2]Foundation Grant'!$P$1</f>
        <v>1124565</v>
      </c>
      <c r="EC39" s="345">
        <f>'[2]basic allocation'!$C$10</f>
        <v>18749</v>
      </c>
      <c r="ED39" s="345">
        <f>'[2]basic allocation'!$D$10</f>
        <v>9375</v>
      </c>
      <c r="EE39" s="345">
        <f>'[2]basic allocation'!$E$10</f>
        <v>9375</v>
      </c>
      <c r="EF39" s="345">
        <f>'[2]basic allocation'!$I$10</f>
        <v>938</v>
      </c>
      <c r="EG39" s="345">
        <f>'[2]basic allocation'!$J$10</f>
        <v>703</v>
      </c>
      <c r="EH39" s="345">
        <f>'[2]basic allocation'!$K$10</f>
        <v>469</v>
      </c>
      <c r="EI39" s="345">
        <f>'[2]basic allocation'!$L$10</f>
        <v>234</v>
      </c>
      <c r="EJ39" s="345">
        <f>'[2]basic allocation'!$M$10</f>
        <v>100</v>
      </c>
      <c r="EK39" s="345">
        <f>'[2]PBF Run'!$AT46</f>
        <v>0</v>
      </c>
      <c r="EM39" s="477"/>
    </row>
    <row r="40" spans="1:143">
      <c r="A40" s="476" t="s">
        <v>605</v>
      </c>
      <c r="B40" s="475" t="str">
        <f t="shared" si="46"/>
        <v>P1</v>
      </c>
      <c r="C40" s="346" t="s">
        <v>325</v>
      </c>
      <c r="D40" s="450" t="s">
        <v>324</v>
      </c>
      <c r="E40" s="449">
        <f>ROUND('[2]PBF Run'!N47,6)</f>
        <v>4636.4931139999999</v>
      </c>
      <c r="F40" s="340">
        <f t="shared" si="47"/>
        <v>4636.49</v>
      </c>
      <c r="G40" s="474">
        <f t="shared" si="48"/>
        <v>2788.0536374600001</v>
      </c>
      <c r="H40" s="473">
        <f t="shared" si="49"/>
        <v>2811.7520933800001</v>
      </c>
      <c r="I40" s="473">
        <f t="shared" si="50"/>
        <v>3282.8110613200001</v>
      </c>
      <c r="J40" s="473">
        <f t="shared" si="51"/>
        <v>3310.71495534</v>
      </c>
      <c r="K40" s="472">
        <f>ROUND([2]FTES!C47,3)</f>
        <v>1362.12</v>
      </c>
      <c r="L40" s="472">
        <f>ROUND([2]FTES!L47,3)</f>
        <v>39.72</v>
      </c>
      <c r="M40" s="472">
        <f>ROUND([2]FTES!U47,3)</f>
        <v>0</v>
      </c>
      <c r="N40" s="465">
        <f>ROUND([2]FTES!$D47,3)</f>
        <v>1362.12</v>
      </c>
      <c r="O40" s="465">
        <f>ROUND([2]FTES!$M47,3)</f>
        <v>39.72</v>
      </c>
      <c r="P40" s="465">
        <f>ROUND([2]FTES!$V47,3)</f>
        <v>0</v>
      </c>
      <c r="Q40" s="471">
        <f>'[2]FTES Adjustment'!BU47</f>
        <v>313.67010499999998</v>
      </c>
      <c r="R40" s="471">
        <f>'[2]FTES Adjustment'!BV47</f>
        <v>69.250060000000005</v>
      </c>
      <c r="S40" s="471">
        <f>'[2]FTES Adjustment'!BW47</f>
        <v>0</v>
      </c>
      <c r="T40" s="469">
        <f>ROUND('[2]Growth Deficit'!$AG47,3)</f>
        <v>0</v>
      </c>
      <c r="U40" s="469">
        <f>ROUND('[2]Growth Deficit'!$AH47,3)</f>
        <v>0</v>
      </c>
      <c r="V40" s="469">
        <f>ROUND('[2]Growth Deficit'!$AI47,3)</f>
        <v>0</v>
      </c>
      <c r="W40" s="470">
        <f>ROUND([2]FTES!I47,3)</f>
        <v>0</v>
      </c>
      <c r="X40" s="470">
        <f>ROUND([2]FTES!R47,3)</f>
        <v>0</v>
      </c>
      <c r="Y40" s="470">
        <f>ROUND([2]FTES!AA47,3)</f>
        <v>0</v>
      </c>
      <c r="Z40" s="469">
        <f>ROUND([2]FTES!E47,3)</f>
        <v>1675.79</v>
      </c>
      <c r="AA40" s="469">
        <f>ROUND([2]FTES!N47,3)</f>
        <v>108.97</v>
      </c>
      <c r="AB40" s="469">
        <f>ROUND([2]FTES!W47,3)</f>
        <v>0</v>
      </c>
      <c r="AC40" s="468">
        <f>'[2]FTES Adjustment'!CW47</f>
        <v>1675.7899999999997</v>
      </c>
      <c r="AD40" s="468">
        <f>'[2]FTES Adjustment'!CX47</f>
        <v>108.97006</v>
      </c>
      <c r="AE40" s="468">
        <f>'[2]FTES Adjustment'!CY47</f>
        <v>0</v>
      </c>
      <c r="AF40" s="467">
        <f>'[2]FTES Adjustment'!DQ47</f>
        <v>0</v>
      </c>
      <c r="AG40" s="467">
        <f>'[2]FTES Adjustment'!DR47</f>
        <v>-6.0000000004833964E-5</v>
      </c>
      <c r="AH40" s="467">
        <f>'[2]FTES Adjustment'!DS47</f>
        <v>0</v>
      </c>
      <c r="AI40" s="340">
        <f>'[2]FTES Adjustment'!$DX47</f>
        <v>0</v>
      </c>
      <c r="AJ40" s="340">
        <v>0</v>
      </c>
      <c r="AK40" s="340">
        <v>0</v>
      </c>
      <c r="AL40" s="465">
        <f>'[2]FTES Adjustment'!CG47</f>
        <v>-1.05E-4</v>
      </c>
      <c r="AM40" s="465">
        <f>'[2]FTES Adjustment'!CH47</f>
        <v>0</v>
      </c>
      <c r="AN40" s="465">
        <f>'[2]FTES Adjustment'!CI47</f>
        <v>0</v>
      </c>
      <c r="AO40" s="463">
        <f t="shared" si="27"/>
        <v>1401.84</v>
      </c>
      <c r="AP40" s="463">
        <f t="shared" si="28"/>
        <v>1401.84</v>
      </c>
      <c r="AQ40" s="463">
        <f t="shared" si="29"/>
        <v>382.92</v>
      </c>
      <c r="AR40" s="463">
        <f t="shared" si="30"/>
        <v>0</v>
      </c>
      <c r="AS40" s="463">
        <f t="shared" si="31"/>
        <v>0</v>
      </c>
      <c r="AT40" s="463">
        <f t="shared" si="32"/>
        <v>1784.76</v>
      </c>
      <c r="AU40" s="463">
        <f t="shared" si="33"/>
        <v>1784.76</v>
      </c>
      <c r="AV40" s="464">
        <f t="shared" si="34"/>
        <v>0</v>
      </c>
      <c r="AW40" s="464">
        <f t="shared" si="35"/>
        <v>0</v>
      </c>
      <c r="AX40" s="464">
        <f t="shared" si="36"/>
        <v>0</v>
      </c>
      <c r="AY40" s="460">
        <f>'[2]PBF Run'!F47</f>
        <v>4076547</v>
      </c>
      <c r="AZ40" s="460">
        <f t="shared" si="37"/>
        <v>6426201</v>
      </c>
      <c r="BA40" s="460">
        <f>'[2]PBF Run'!J47 + '[2]PBF Run'!$L47</f>
        <v>6315460</v>
      </c>
      <c r="BB40" s="460">
        <f>'[2]PBF Run'!H47</f>
        <v>110741</v>
      </c>
      <c r="BC40" s="460">
        <f>'[2]PBF Run'!I47</f>
        <v>0</v>
      </c>
      <c r="BD40" s="462">
        <v>0</v>
      </c>
      <c r="BE40" s="461">
        <f>'[2]Restoration and Growth'!BM47</f>
        <v>0</v>
      </c>
      <c r="BF40" s="460">
        <f t="shared" si="38"/>
        <v>10502748</v>
      </c>
      <c r="BG40" s="333" t="str">
        <f t="shared" si="52"/>
        <v>0.85%</v>
      </c>
      <c r="BH40" s="459">
        <f>'[2]PBF Run'!O47</f>
        <v>89273</v>
      </c>
      <c r="BI40" s="459">
        <f t="shared" si="39"/>
        <v>10592021</v>
      </c>
      <c r="BJ40" s="458">
        <f>'[2]PBF Run'!AC47</f>
        <v>0</v>
      </c>
      <c r="BK40" s="458">
        <f>'[2]PBF Run'!$AD47</f>
        <v>0</v>
      </c>
      <c r="BL40" s="458">
        <f>'[2]PBF Run'!$T47</f>
        <v>1661405</v>
      </c>
      <c r="BM40" s="458">
        <f>'[2]PBF Run'!$S47</f>
        <v>0</v>
      </c>
      <c r="BN40" s="458">
        <f>'[2]13-14 $86M Workload Restore'!$P45</f>
        <v>0</v>
      </c>
      <c r="BO40" s="458">
        <f t="shared" si="40"/>
        <v>1661405</v>
      </c>
      <c r="BP40" s="478">
        <f>'[2]Restoration and Growth'!AA47</f>
        <v>0</v>
      </c>
      <c r="BQ40" s="478">
        <f>'[2]Restoration and Growth'!AB47</f>
        <v>0</v>
      </c>
      <c r="BR40" s="453">
        <f>'[2]Restoration and Growth'!BT47</f>
        <v>0</v>
      </c>
      <c r="BS40" s="453">
        <f>'[2]Growth Deficit'!$AO47</f>
        <v>0</v>
      </c>
      <c r="BT40" s="453">
        <f>'[2]Growth Deficit'!AO47</f>
        <v>0</v>
      </c>
      <c r="BU40" s="453">
        <f>'[2]Growth Deficit'!AL47</f>
        <v>0</v>
      </c>
      <c r="BV40" s="453">
        <f>'[2]Growth Deficit'!AM47</f>
        <v>0</v>
      </c>
      <c r="BW40" s="453">
        <f>'[2]Growth Deficit'!AN47</f>
        <v>0</v>
      </c>
      <c r="BX40" s="453">
        <f>'[2]Growth Deficit'!AO47</f>
        <v>0</v>
      </c>
      <c r="BY40" s="454">
        <f>'[2]PBF Run'!AA47</f>
        <v>0</v>
      </c>
      <c r="BZ40" s="454">
        <f>'[2]PBF Run'!AB47</f>
        <v>0</v>
      </c>
      <c r="CA40" s="454">
        <f>'[2]PBF Run'!AC47</f>
        <v>0</v>
      </c>
      <c r="CB40" s="454">
        <f t="shared" si="41"/>
        <v>0</v>
      </c>
      <c r="CC40" s="457">
        <f>'[2]PBF Run'!X47</f>
        <v>0</v>
      </c>
      <c r="CD40" s="456">
        <f>'[2]PBF Run'!AE47</f>
        <v>12253426</v>
      </c>
      <c r="CE40" s="337">
        <f t="shared" si="42"/>
        <v>0.98518544935922414</v>
      </c>
      <c r="CF40" s="455">
        <f>'[2]PBF Run'!AM47</f>
        <v>181529</v>
      </c>
      <c r="CG40" s="455">
        <f>'[2]PBF Run'!$AN47</f>
        <v>8430514</v>
      </c>
      <c r="CH40" s="455">
        <f>'[2]PBF Run'!$AO47</f>
        <v>0</v>
      </c>
      <c r="CI40" s="455">
        <f>'[2]PBF Run'!AJ47</f>
        <v>1223531</v>
      </c>
      <c r="CJ40" s="455">
        <f>'[2]PBF Run'!AI47</f>
        <v>491169</v>
      </c>
      <c r="CK40" s="455">
        <f>'[2]PBF Run'!$AN47</f>
        <v>8430514</v>
      </c>
      <c r="CL40" s="455">
        <f>'[2]PBF Run'!AK47</f>
        <v>1926683</v>
      </c>
      <c r="CM40" s="455">
        <f t="shared" si="43"/>
        <v>12071897</v>
      </c>
      <c r="CN40" s="454">
        <f>'[2]PBF Run'!$AN47</f>
        <v>8430514</v>
      </c>
      <c r="CO40" s="454">
        <f>'[2]PBF Run'!BI47</f>
        <v>0</v>
      </c>
      <c r="CP40" s="339">
        <f>'[2]PBF Run'!BH47</f>
        <v>0</v>
      </c>
      <c r="CQ40" s="454">
        <f t="shared" si="53"/>
        <v>69532</v>
      </c>
      <c r="CR40" s="454">
        <f t="shared" si="44"/>
        <v>8430514</v>
      </c>
      <c r="CS40" s="453">
        <f>'[2]As of 13-14 R1'!BX47</f>
        <v>836326</v>
      </c>
      <c r="CT40" s="453">
        <f>'[2]As of 13-14 R1'!BY47</f>
        <v>0</v>
      </c>
      <c r="CU40" s="453">
        <f>'[2]As of 13-14 R1'!BZ47</f>
        <v>924330</v>
      </c>
      <c r="CV40" s="453">
        <f t="shared" si="45"/>
        <v>1760656</v>
      </c>
      <c r="CW40" s="342">
        <f>'[2]Growth Deficit'!$D$2</f>
        <v>0</v>
      </c>
      <c r="CX40" s="343">
        <f>IF($DL40="S",'[2]Foundation Grant'!C47,0)</f>
        <v>0</v>
      </c>
      <c r="CY40" s="343">
        <f>IF($DL40="S",'[2]Foundation Grant'!D47,0)</f>
        <v>0</v>
      </c>
      <c r="CZ40" s="343">
        <f>IF($DL40="S",'[2]Foundation Grant'!E47,0)</f>
        <v>1</v>
      </c>
      <c r="DA40" s="343">
        <f>IF($DL40="S",'[2]Foundation Grant'!F47,0)</f>
        <v>1</v>
      </c>
      <c r="DB40" s="343">
        <f>IF($DL40="M",'[2]Foundation Grant'!C47,0)</f>
        <v>0</v>
      </c>
      <c r="DC40" s="343">
        <f>IF($DL40="M",'[2]Foundation Grant'!D47,0)</f>
        <v>0</v>
      </c>
      <c r="DD40" s="343">
        <f>IF($DL40="M",'[2]Foundation Grant'!E47,0)</f>
        <v>0</v>
      </c>
      <c r="DE40" s="343">
        <f>IF($DL40="M",'[2]Foundation Grant'!F47,0)</f>
        <v>0</v>
      </c>
      <c r="DF40" s="343">
        <f>'[2]Foundation Grant'!G47</f>
        <v>0</v>
      </c>
      <c r="DG40" s="343">
        <f>'[2]Foundation Grant'!H47</f>
        <v>0</v>
      </c>
      <c r="DH40" s="343">
        <f>'[2]Foundation Grant'!I47</f>
        <v>0</v>
      </c>
      <c r="DI40" s="343">
        <f>'[2]Foundation Grant'!J47</f>
        <v>0</v>
      </c>
      <c r="DJ40" s="343">
        <f>'[2]Foundation Grant'!K47</f>
        <v>1</v>
      </c>
      <c r="DK40" s="452">
        <f>'[2]Foundation Grant'!L47</f>
        <v>1</v>
      </c>
      <c r="DL40" s="343" t="str">
        <f>'[2]Foundation Grant'!M47</f>
        <v>S</v>
      </c>
      <c r="DM40" s="343">
        <f>'[2]Foundation Grant'!N47</f>
        <v>4076547</v>
      </c>
      <c r="DN40" s="452">
        <f>'[2]Foundation Grant'!O47</f>
        <v>1</v>
      </c>
      <c r="DO40" s="452">
        <f>'[2]Foundation Grant'!P47</f>
        <v>0</v>
      </c>
      <c r="DP40" s="344">
        <f>'[2]Foundation Grant'!$C$1</f>
        <v>5622823</v>
      </c>
      <c r="DQ40" s="344">
        <f>'[2]Foundation Grant'!$D$1</f>
        <v>4498258</v>
      </c>
      <c r="DR40" s="344">
        <f>'[2]Foundation Grant'!$E$1</f>
        <v>3373694</v>
      </c>
      <c r="DS40" s="344">
        <f>'[2]Foundation Grant'!$C$2</f>
        <v>4498258</v>
      </c>
      <c r="DT40" s="344">
        <f>'[2]Foundation Grant'!$D$2</f>
        <v>3935976</v>
      </c>
      <c r="DU40" s="344">
        <f>'[2]Foundation Grant'!$E$2</f>
        <v>3373694</v>
      </c>
      <c r="DV40" s="344">
        <f>'[2]Foundation Grant'!$G$1</f>
        <v>1124565</v>
      </c>
      <c r="DW40" s="344">
        <f>'[2]Foundation Grant'!$H$1</f>
        <v>843423</v>
      </c>
      <c r="DX40" s="344">
        <f>'[2]Foundation Grant'!$I$1</f>
        <v>562282</v>
      </c>
      <c r="DY40" s="344">
        <f>'[2]Foundation Grant'!$J$1</f>
        <v>281141</v>
      </c>
      <c r="DZ40" s="344">
        <f>'[2]Foundation Grant'!$K$1</f>
        <v>140571</v>
      </c>
      <c r="EA40" s="344">
        <f>'[2]Foundation Grant'!$O$1</f>
        <v>562282</v>
      </c>
      <c r="EB40" s="344">
        <f>'[2]Foundation Grant'!$P$1</f>
        <v>1124565</v>
      </c>
      <c r="EC40" s="345">
        <f>'[2]basic allocation'!$C$10</f>
        <v>18749</v>
      </c>
      <c r="ED40" s="345">
        <f>'[2]basic allocation'!$D$10</f>
        <v>9375</v>
      </c>
      <c r="EE40" s="345">
        <f>'[2]basic allocation'!$E$10</f>
        <v>9375</v>
      </c>
      <c r="EF40" s="345">
        <f>'[2]basic allocation'!$I$10</f>
        <v>938</v>
      </c>
      <c r="EG40" s="345">
        <f>'[2]basic allocation'!$J$10</f>
        <v>703</v>
      </c>
      <c r="EH40" s="345">
        <f>'[2]basic allocation'!$K$10</f>
        <v>469</v>
      </c>
      <c r="EI40" s="345">
        <f>'[2]basic allocation'!$L$10</f>
        <v>234</v>
      </c>
      <c r="EJ40" s="345">
        <f>'[2]basic allocation'!$M$10</f>
        <v>100</v>
      </c>
      <c r="EK40" s="345">
        <f>'[2]PBF Run'!$AT47</f>
        <v>0</v>
      </c>
      <c r="EM40" s="477"/>
    </row>
    <row r="41" spans="1:143">
      <c r="A41" s="476" t="s">
        <v>605</v>
      </c>
      <c r="B41" s="475" t="str">
        <f t="shared" si="46"/>
        <v>P1</v>
      </c>
      <c r="C41" s="346" t="s">
        <v>323</v>
      </c>
      <c r="D41" s="450" t="s">
        <v>322</v>
      </c>
      <c r="E41" s="449">
        <f>ROUND('[2]PBF Run'!N48,6)</f>
        <v>4636.4928790000004</v>
      </c>
      <c r="F41" s="340">
        <f t="shared" si="47"/>
        <v>4636.49</v>
      </c>
      <c r="G41" s="474">
        <f t="shared" si="48"/>
        <v>2788.0536374600001</v>
      </c>
      <c r="H41" s="473">
        <f t="shared" si="49"/>
        <v>2811.7520933800001</v>
      </c>
      <c r="I41" s="473">
        <f t="shared" si="50"/>
        <v>3282.8110613200001</v>
      </c>
      <c r="J41" s="473">
        <f t="shared" si="51"/>
        <v>3310.71495534</v>
      </c>
      <c r="K41" s="472">
        <f>ROUND([2]FTES!C48,3)</f>
        <v>17940.3</v>
      </c>
      <c r="L41" s="472">
        <f>ROUND([2]FTES!L48,3)</f>
        <v>331.44</v>
      </c>
      <c r="M41" s="472">
        <f>ROUND([2]FTES!U48,3)</f>
        <v>530.63</v>
      </c>
      <c r="N41" s="465">
        <f>ROUND([2]FTES!$D48,3)</f>
        <v>17940.3</v>
      </c>
      <c r="O41" s="465">
        <f>ROUND([2]FTES!$M48,3)</f>
        <v>331.44</v>
      </c>
      <c r="P41" s="465">
        <f>ROUND([2]FTES!$V48,3)</f>
        <v>530.63</v>
      </c>
      <c r="Q41" s="471">
        <f>'[2]FTES Adjustment'!BU48</f>
        <v>0</v>
      </c>
      <c r="R41" s="471">
        <f>'[2]FTES Adjustment'!BV48</f>
        <v>0</v>
      </c>
      <c r="S41" s="471">
        <f>'[2]FTES Adjustment'!BW48</f>
        <v>0</v>
      </c>
      <c r="T41" s="469">
        <f>ROUND('[2]Growth Deficit'!$AG48,3)</f>
        <v>0</v>
      </c>
      <c r="U41" s="469">
        <f>ROUND('[2]Growth Deficit'!$AH48,3)</f>
        <v>0</v>
      </c>
      <c r="V41" s="469">
        <f>ROUND('[2]Growth Deficit'!$AI48,3)</f>
        <v>0</v>
      </c>
      <c r="W41" s="470">
        <f>ROUND([2]FTES!I48,3)</f>
        <v>0</v>
      </c>
      <c r="X41" s="470">
        <f>ROUND([2]FTES!R48,3)</f>
        <v>0</v>
      </c>
      <c r="Y41" s="470">
        <f>ROUND([2]FTES!AA48,3)</f>
        <v>0</v>
      </c>
      <c r="Z41" s="469">
        <f>ROUND([2]FTES!E48,3)</f>
        <v>18477.32</v>
      </c>
      <c r="AA41" s="469">
        <f>ROUND([2]FTES!N48,3)</f>
        <v>327.02</v>
      </c>
      <c r="AB41" s="469">
        <f>ROUND([2]FTES!W48,3)</f>
        <v>516.11</v>
      </c>
      <c r="AC41" s="468">
        <f>'[2]FTES Adjustment'!CW48</f>
        <v>18477.320073000003</v>
      </c>
      <c r="AD41" s="468">
        <f>'[2]FTES Adjustment'!CX48</f>
        <v>327.02</v>
      </c>
      <c r="AE41" s="468">
        <f>'[2]FTES Adjustment'!CY48</f>
        <v>516.11</v>
      </c>
      <c r="AF41" s="467">
        <f>'[2]FTES Adjustment'!DQ48</f>
        <v>-7.3000002885237336E-5</v>
      </c>
      <c r="AG41" s="467">
        <f>'[2]FTES Adjustment'!DR48</f>
        <v>0</v>
      </c>
      <c r="AH41" s="467">
        <f>'[2]FTES Adjustment'!DS48</f>
        <v>0</v>
      </c>
      <c r="AI41" s="340">
        <f>'[2]FTES Adjustment'!$DX48</f>
        <v>0</v>
      </c>
      <c r="AJ41" s="340">
        <v>0</v>
      </c>
      <c r="AK41" s="340">
        <v>0</v>
      </c>
      <c r="AL41" s="465">
        <f>'[2]FTES Adjustment'!CG48</f>
        <v>537.02011700000003</v>
      </c>
      <c r="AM41" s="465">
        <f>'[2]FTES Adjustment'!CH48</f>
        <v>-4.4200000000000159</v>
      </c>
      <c r="AN41" s="465">
        <f>'[2]FTES Adjustment'!CI48</f>
        <v>-14.519999999999982</v>
      </c>
      <c r="AO41" s="463">
        <f t="shared" si="27"/>
        <v>18802.37</v>
      </c>
      <c r="AP41" s="463">
        <f t="shared" si="28"/>
        <v>18802.37</v>
      </c>
      <c r="AQ41" s="463">
        <f t="shared" si="29"/>
        <v>0</v>
      </c>
      <c r="AR41" s="463">
        <f t="shared" si="30"/>
        <v>0</v>
      </c>
      <c r="AS41" s="463">
        <f t="shared" si="31"/>
        <v>0</v>
      </c>
      <c r="AT41" s="463">
        <f t="shared" si="32"/>
        <v>19320.45</v>
      </c>
      <c r="AU41" s="463">
        <f t="shared" si="33"/>
        <v>19320.45</v>
      </c>
      <c r="AV41" s="464">
        <f t="shared" si="34"/>
        <v>0</v>
      </c>
      <c r="AW41" s="464">
        <f t="shared" si="35"/>
        <v>0</v>
      </c>
      <c r="AX41" s="464">
        <f t="shared" si="36"/>
        <v>518.08000000000004</v>
      </c>
      <c r="AY41" s="460">
        <f>'[2]PBF Run'!F48</f>
        <v>6747388</v>
      </c>
      <c r="AZ41" s="460">
        <f t="shared" si="37"/>
        <v>85846103</v>
      </c>
      <c r="BA41" s="460">
        <f>'[2]PBF Run'!J48 + '[2]PBF Run'!$L48</f>
        <v>83180073</v>
      </c>
      <c r="BB41" s="460">
        <f>'[2]PBF Run'!H48</f>
        <v>924072</v>
      </c>
      <c r="BC41" s="460">
        <f>'[2]PBF Run'!I48</f>
        <v>1741958</v>
      </c>
      <c r="BD41" s="462">
        <v>0</v>
      </c>
      <c r="BE41" s="461">
        <f>'[2]Restoration and Growth'!BM48</f>
        <v>0</v>
      </c>
      <c r="BF41" s="460">
        <f t="shared" si="38"/>
        <v>92593491</v>
      </c>
      <c r="BG41" s="333" t="str">
        <f t="shared" si="52"/>
        <v>0.85%</v>
      </c>
      <c r="BH41" s="459">
        <f>'[2]PBF Run'!O48</f>
        <v>787045</v>
      </c>
      <c r="BI41" s="459">
        <f t="shared" si="39"/>
        <v>93380536</v>
      </c>
      <c r="BJ41" s="458">
        <f>'[2]PBF Run'!AC48</f>
        <v>0</v>
      </c>
      <c r="BK41" s="458">
        <f>'[2]PBF Run'!$AD48</f>
        <v>0</v>
      </c>
      <c r="BL41" s="458">
        <f>'[2]PBF Run'!$T48</f>
        <v>0</v>
      </c>
      <c r="BM41" s="458">
        <f>'[2]PBF Run'!$S48</f>
        <v>2450554</v>
      </c>
      <c r="BN41" s="458">
        <f>'[2]13-14 $86M Workload Restore'!$P46</f>
        <v>0</v>
      </c>
      <c r="BO41" s="458">
        <f t="shared" si="40"/>
        <v>2450554</v>
      </c>
      <c r="BP41" s="478">
        <f>'[2]Restoration and Growth'!AA48</f>
        <v>0</v>
      </c>
      <c r="BQ41" s="478">
        <f>'[2]Restoration and Growth'!AB48</f>
        <v>0</v>
      </c>
      <c r="BR41" s="453">
        <f>'[2]Restoration and Growth'!BT48</f>
        <v>0</v>
      </c>
      <c r="BS41" s="453">
        <f>'[2]Growth Deficit'!$AO48</f>
        <v>0</v>
      </c>
      <c r="BT41" s="453">
        <f>'[2]Growth Deficit'!AO48</f>
        <v>0</v>
      </c>
      <c r="BU41" s="453">
        <f>'[2]Growth Deficit'!AL48</f>
        <v>0</v>
      </c>
      <c r="BV41" s="453">
        <f>'[2]Growth Deficit'!AM48</f>
        <v>0</v>
      </c>
      <c r="BW41" s="453">
        <f>'[2]Growth Deficit'!AN48</f>
        <v>0</v>
      </c>
      <c r="BX41" s="453">
        <f>'[2]Growth Deficit'!AO48</f>
        <v>0</v>
      </c>
      <c r="BY41" s="454">
        <f>'[2]PBF Run'!AA48</f>
        <v>0</v>
      </c>
      <c r="BZ41" s="454">
        <f>'[2]PBF Run'!AB48</f>
        <v>0</v>
      </c>
      <c r="CA41" s="454">
        <f>'[2]PBF Run'!AC48</f>
        <v>0</v>
      </c>
      <c r="CB41" s="454">
        <f t="shared" si="41"/>
        <v>0</v>
      </c>
      <c r="CC41" s="457">
        <f>'[2]PBF Run'!X48</f>
        <v>0</v>
      </c>
      <c r="CD41" s="456">
        <f>'[2]PBF Run'!AE48</f>
        <v>95831090</v>
      </c>
      <c r="CE41" s="337">
        <f t="shared" si="42"/>
        <v>0.98518541320984665</v>
      </c>
      <c r="CF41" s="455">
        <f>'[2]PBF Run'!AM48</f>
        <v>1419698</v>
      </c>
      <c r="CG41" s="455">
        <f>'[2]PBF Run'!$AN48</f>
        <v>15828426</v>
      </c>
      <c r="CH41" s="455">
        <f>'[2]PBF Run'!$AO48</f>
        <v>0</v>
      </c>
      <c r="CI41" s="455">
        <f>'[2]PBF Run'!AJ48</f>
        <v>55375374</v>
      </c>
      <c r="CJ41" s="455">
        <f>'[2]PBF Run'!AI48</f>
        <v>8981430</v>
      </c>
      <c r="CK41" s="455">
        <f>'[2]PBF Run'!$AN48</f>
        <v>15828426</v>
      </c>
      <c r="CL41" s="455">
        <f>'[2]PBF Run'!AK48</f>
        <v>14226162</v>
      </c>
      <c r="CM41" s="455">
        <f t="shared" si="43"/>
        <v>94411392</v>
      </c>
      <c r="CN41" s="454">
        <f>'[2]PBF Run'!$AN48</f>
        <v>15828426</v>
      </c>
      <c r="CO41" s="454">
        <f>'[2]PBF Run'!BI48</f>
        <v>0</v>
      </c>
      <c r="CP41" s="339">
        <f>'[2]PBF Run'!BH48</f>
        <v>0</v>
      </c>
      <c r="CQ41" s="454">
        <f t="shared" si="53"/>
        <v>69532</v>
      </c>
      <c r="CR41" s="454">
        <f t="shared" si="44"/>
        <v>15828426</v>
      </c>
      <c r="CS41" s="453">
        <f>'[2]As of 13-14 R1'!BX48</f>
        <v>0</v>
      </c>
      <c r="CT41" s="453">
        <f>'[2]As of 13-14 R1'!BY48</f>
        <v>0</v>
      </c>
      <c r="CU41" s="453">
        <f>'[2]As of 13-14 R1'!BZ48</f>
        <v>0</v>
      </c>
      <c r="CV41" s="453">
        <f t="shared" si="45"/>
        <v>0</v>
      </c>
      <c r="CW41" s="342">
        <f>'[2]Growth Deficit'!$D$2</f>
        <v>0</v>
      </c>
      <c r="CX41" s="343">
        <f>IF($DL41="S",'[2]Foundation Grant'!C48,0)</f>
        <v>1</v>
      </c>
      <c r="CY41" s="343">
        <f>IF($DL41="S",'[2]Foundation Grant'!D48,0)</f>
        <v>0</v>
      </c>
      <c r="CZ41" s="343">
        <f>IF($DL41="S",'[2]Foundation Grant'!E48,0)</f>
        <v>0</v>
      </c>
      <c r="DA41" s="343">
        <f>IF($DL41="S",'[2]Foundation Grant'!F48,0)</f>
        <v>1</v>
      </c>
      <c r="DB41" s="343">
        <f>IF($DL41="M",'[2]Foundation Grant'!C48,0)</f>
        <v>0</v>
      </c>
      <c r="DC41" s="343">
        <f>IF($DL41="M",'[2]Foundation Grant'!D48,0)</f>
        <v>0</v>
      </c>
      <c r="DD41" s="343">
        <f>IF($DL41="M",'[2]Foundation Grant'!E48,0)</f>
        <v>0</v>
      </c>
      <c r="DE41" s="343">
        <f>IF($DL41="M",'[2]Foundation Grant'!F48,0)</f>
        <v>0</v>
      </c>
      <c r="DF41" s="343">
        <f>'[2]Foundation Grant'!G48</f>
        <v>0</v>
      </c>
      <c r="DG41" s="343">
        <f>'[2]Foundation Grant'!H48</f>
        <v>0</v>
      </c>
      <c r="DH41" s="343">
        <f>'[2]Foundation Grant'!I48</f>
        <v>0</v>
      </c>
      <c r="DI41" s="343">
        <f>'[2]Foundation Grant'!J48</f>
        <v>0</v>
      </c>
      <c r="DJ41" s="343">
        <f>'[2]Foundation Grant'!K48</f>
        <v>0</v>
      </c>
      <c r="DK41" s="452">
        <f>'[2]Foundation Grant'!L48</f>
        <v>0</v>
      </c>
      <c r="DL41" s="343" t="str">
        <f>'[2]Foundation Grant'!M48</f>
        <v>S</v>
      </c>
      <c r="DM41" s="343">
        <f>'[2]Foundation Grant'!N48</f>
        <v>6747388</v>
      </c>
      <c r="DN41" s="452">
        <f>'[2]Foundation Grant'!O48</f>
        <v>0</v>
      </c>
      <c r="DO41" s="452">
        <f>'[2]Foundation Grant'!P48</f>
        <v>1</v>
      </c>
      <c r="DP41" s="344">
        <f>'[2]Foundation Grant'!$C$1</f>
        <v>5622823</v>
      </c>
      <c r="DQ41" s="344">
        <f>'[2]Foundation Grant'!$D$1</f>
        <v>4498258</v>
      </c>
      <c r="DR41" s="344">
        <f>'[2]Foundation Grant'!$E$1</f>
        <v>3373694</v>
      </c>
      <c r="DS41" s="344">
        <f>'[2]Foundation Grant'!$C$2</f>
        <v>4498258</v>
      </c>
      <c r="DT41" s="344">
        <f>'[2]Foundation Grant'!$D$2</f>
        <v>3935976</v>
      </c>
      <c r="DU41" s="344">
        <f>'[2]Foundation Grant'!$E$2</f>
        <v>3373694</v>
      </c>
      <c r="DV41" s="344">
        <f>'[2]Foundation Grant'!$G$1</f>
        <v>1124565</v>
      </c>
      <c r="DW41" s="344">
        <f>'[2]Foundation Grant'!$H$1</f>
        <v>843423</v>
      </c>
      <c r="DX41" s="344">
        <f>'[2]Foundation Grant'!$I$1</f>
        <v>562282</v>
      </c>
      <c r="DY41" s="344">
        <f>'[2]Foundation Grant'!$J$1</f>
        <v>281141</v>
      </c>
      <c r="DZ41" s="344">
        <f>'[2]Foundation Grant'!$K$1</f>
        <v>140571</v>
      </c>
      <c r="EA41" s="344">
        <f>'[2]Foundation Grant'!$O$1</f>
        <v>562282</v>
      </c>
      <c r="EB41" s="344">
        <f>'[2]Foundation Grant'!$P$1</f>
        <v>1124565</v>
      </c>
      <c r="EC41" s="345">
        <f>'[2]basic allocation'!$C$10</f>
        <v>18749</v>
      </c>
      <c r="ED41" s="345">
        <f>'[2]basic allocation'!$D$10</f>
        <v>9375</v>
      </c>
      <c r="EE41" s="345">
        <f>'[2]basic allocation'!$E$10</f>
        <v>9375</v>
      </c>
      <c r="EF41" s="345">
        <f>'[2]basic allocation'!$I$10</f>
        <v>938</v>
      </c>
      <c r="EG41" s="345">
        <f>'[2]basic allocation'!$J$10</f>
        <v>703</v>
      </c>
      <c r="EH41" s="345">
        <f>'[2]basic allocation'!$K$10</f>
        <v>469</v>
      </c>
      <c r="EI41" s="345">
        <f>'[2]basic allocation'!$L$10</f>
        <v>234</v>
      </c>
      <c r="EJ41" s="345">
        <f>'[2]basic allocation'!$M$10</f>
        <v>100</v>
      </c>
      <c r="EK41" s="345">
        <f>'[2]PBF Run'!$AT48</f>
        <v>0</v>
      </c>
      <c r="EM41" s="477"/>
    </row>
    <row r="42" spans="1:143">
      <c r="A42" s="476" t="s">
        <v>605</v>
      </c>
      <c r="B42" s="475" t="str">
        <f t="shared" si="46"/>
        <v>P1</v>
      </c>
      <c r="C42" s="346" t="s">
        <v>321</v>
      </c>
      <c r="D42" s="450" t="s">
        <v>320</v>
      </c>
      <c r="E42" s="449">
        <f>ROUND('[2]PBF Run'!N49,6)</f>
        <v>4636.4928540000001</v>
      </c>
      <c r="F42" s="340">
        <f t="shared" si="47"/>
        <v>4636.49</v>
      </c>
      <c r="G42" s="474">
        <f t="shared" si="48"/>
        <v>2788.0536374600001</v>
      </c>
      <c r="H42" s="473">
        <f t="shared" si="49"/>
        <v>2811.7520933800001</v>
      </c>
      <c r="I42" s="473">
        <f t="shared" si="50"/>
        <v>3282.8110613200001</v>
      </c>
      <c r="J42" s="473">
        <f t="shared" si="51"/>
        <v>3310.71495534</v>
      </c>
      <c r="K42" s="472">
        <f>ROUND([2]FTES!C49,3)</f>
        <v>20071.8</v>
      </c>
      <c r="L42" s="472">
        <f>ROUND([2]FTES!L49,3)</f>
        <v>471.36</v>
      </c>
      <c r="M42" s="472">
        <f>ROUND([2]FTES!U49,3)</f>
        <v>583.62</v>
      </c>
      <c r="N42" s="465">
        <f>ROUND([2]FTES!$D49,3)</f>
        <v>20071.8</v>
      </c>
      <c r="O42" s="465">
        <f>ROUND([2]FTES!$M49,3)</f>
        <v>471.36</v>
      </c>
      <c r="P42" s="465">
        <f>ROUND([2]FTES!$V49,3)</f>
        <v>583.62</v>
      </c>
      <c r="Q42" s="471">
        <f>'[2]FTES Adjustment'!BU49</f>
        <v>0</v>
      </c>
      <c r="R42" s="471">
        <f>'[2]FTES Adjustment'!BV49</f>
        <v>0</v>
      </c>
      <c r="S42" s="471">
        <f>'[2]FTES Adjustment'!BW49</f>
        <v>0</v>
      </c>
      <c r="T42" s="469">
        <f>ROUND('[2]Growth Deficit'!$AG49,3)</f>
        <v>0</v>
      </c>
      <c r="U42" s="469">
        <f>ROUND('[2]Growth Deficit'!$AH49,3)</f>
        <v>0</v>
      </c>
      <c r="V42" s="469">
        <f>ROUND('[2]Growth Deficit'!$AI49,3)</f>
        <v>0</v>
      </c>
      <c r="W42" s="470">
        <f>ROUND([2]FTES!I49,3)</f>
        <v>0</v>
      </c>
      <c r="X42" s="470">
        <f>ROUND([2]FTES!R49,3)</f>
        <v>0</v>
      </c>
      <c r="Y42" s="470">
        <f>ROUND([2]FTES!AA49,3)</f>
        <v>0</v>
      </c>
      <c r="Z42" s="469">
        <f>ROUND([2]FTES!E49,3)</f>
        <v>21676.84</v>
      </c>
      <c r="AA42" s="469">
        <f>ROUND([2]FTES!N49,3)</f>
        <v>666.73</v>
      </c>
      <c r="AB42" s="469">
        <f>ROUND([2]FTES!W49,3)</f>
        <v>313.43</v>
      </c>
      <c r="AC42" s="468">
        <f>'[2]FTES Adjustment'!CW49</f>
        <v>21443.851488</v>
      </c>
      <c r="AD42" s="468">
        <f>'[2]FTES Adjustment'!CX49</f>
        <v>666.73</v>
      </c>
      <c r="AE42" s="468">
        <f>'[2]FTES Adjustment'!CY49</f>
        <v>313.43</v>
      </c>
      <c r="AF42" s="467">
        <f>'[2]FTES Adjustment'!DQ49</f>
        <v>232.9885119999999</v>
      </c>
      <c r="AG42" s="467">
        <f>'[2]FTES Adjustment'!DR49</f>
        <v>0</v>
      </c>
      <c r="AH42" s="467">
        <f>'[2]FTES Adjustment'!DS49</f>
        <v>0</v>
      </c>
      <c r="AI42" s="340">
        <f>'[2]FTES Adjustment'!$DX49</f>
        <v>0</v>
      </c>
      <c r="AJ42" s="340">
        <v>0</v>
      </c>
      <c r="AK42" s="340">
        <v>0</v>
      </c>
      <c r="AL42" s="465">
        <f>'[2]FTES Adjustment'!CG49</f>
        <v>1372.0515459999999</v>
      </c>
      <c r="AM42" s="465">
        <f>'[2]FTES Adjustment'!CH49</f>
        <v>195.37</v>
      </c>
      <c r="AN42" s="465">
        <f>'[2]FTES Adjustment'!CI49</f>
        <v>-270.18999999999988</v>
      </c>
      <c r="AO42" s="463">
        <f t="shared" si="27"/>
        <v>21126.78</v>
      </c>
      <c r="AP42" s="463">
        <f t="shared" si="28"/>
        <v>21126.78</v>
      </c>
      <c r="AQ42" s="463">
        <f t="shared" si="29"/>
        <v>0</v>
      </c>
      <c r="AR42" s="463">
        <f t="shared" si="30"/>
        <v>0</v>
      </c>
      <c r="AS42" s="463">
        <f t="shared" si="31"/>
        <v>0</v>
      </c>
      <c r="AT42" s="463">
        <f t="shared" si="32"/>
        <v>22657</v>
      </c>
      <c r="AU42" s="463">
        <f t="shared" si="33"/>
        <v>22424.010999999999</v>
      </c>
      <c r="AV42" s="464">
        <f t="shared" si="34"/>
        <v>232.989</v>
      </c>
      <c r="AW42" s="464">
        <f t="shared" si="35"/>
        <v>0</v>
      </c>
      <c r="AX42" s="464">
        <f t="shared" si="36"/>
        <v>1297.232</v>
      </c>
      <c r="AY42" s="460">
        <f>'[2]PBF Run'!F49</f>
        <v>6747388</v>
      </c>
      <c r="AZ42" s="460">
        <f t="shared" si="37"/>
        <v>96292848</v>
      </c>
      <c r="BA42" s="460">
        <f>'[2]PBF Run'!J49 + '[2]PBF Run'!$L49</f>
        <v>93062757</v>
      </c>
      <c r="BB42" s="460">
        <f>'[2]PBF Run'!H49</f>
        <v>1314177</v>
      </c>
      <c r="BC42" s="460">
        <f>'[2]PBF Run'!I49</f>
        <v>1915914</v>
      </c>
      <c r="BD42" s="462">
        <v>0</v>
      </c>
      <c r="BE42" s="461">
        <f>'[2]Restoration and Growth'!BM49</f>
        <v>0</v>
      </c>
      <c r="BF42" s="460">
        <f t="shared" si="38"/>
        <v>103040236</v>
      </c>
      <c r="BG42" s="333" t="str">
        <f t="shared" si="52"/>
        <v>0.85%</v>
      </c>
      <c r="BH42" s="459">
        <f>'[2]PBF Run'!O49</f>
        <v>875842</v>
      </c>
      <c r="BI42" s="459">
        <f t="shared" si="39"/>
        <v>103916078</v>
      </c>
      <c r="BJ42" s="458">
        <f>'[2]PBF Run'!AC49</f>
        <v>0</v>
      </c>
      <c r="BK42" s="458">
        <f>'[2]PBF Run'!$AD49</f>
        <v>0</v>
      </c>
      <c r="BL42" s="458">
        <f>'[2]PBF Run'!$T49</f>
        <v>0</v>
      </c>
      <c r="BM42" s="458">
        <f>'[2]PBF Run'!$S49</f>
        <v>6070390</v>
      </c>
      <c r="BN42" s="458">
        <f>'[2]13-14 $86M Workload Restore'!$P47</f>
        <v>0</v>
      </c>
      <c r="BO42" s="458">
        <f t="shared" si="40"/>
        <v>6070390</v>
      </c>
      <c r="BP42" s="478">
        <f>'[2]Restoration and Growth'!AA49</f>
        <v>0</v>
      </c>
      <c r="BQ42" s="478">
        <f>'[2]Restoration and Growth'!AB49</f>
        <v>0</v>
      </c>
      <c r="BR42" s="453">
        <f>'[2]Restoration and Growth'!BT49</f>
        <v>0</v>
      </c>
      <c r="BS42" s="453">
        <f>'[2]Growth Deficit'!$AO49</f>
        <v>0</v>
      </c>
      <c r="BT42" s="453">
        <f>'[2]Growth Deficit'!AO49</f>
        <v>0</v>
      </c>
      <c r="BU42" s="453">
        <f>'[2]Growth Deficit'!AL49</f>
        <v>0</v>
      </c>
      <c r="BV42" s="453">
        <f>'[2]Growth Deficit'!AM49</f>
        <v>0</v>
      </c>
      <c r="BW42" s="453">
        <f>'[2]Growth Deficit'!AN49</f>
        <v>0</v>
      </c>
      <c r="BX42" s="453">
        <f>'[2]Growth Deficit'!AO49</f>
        <v>0</v>
      </c>
      <c r="BY42" s="454">
        <f>'[2]PBF Run'!AA49</f>
        <v>0</v>
      </c>
      <c r="BZ42" s="454">
        <f>'[2]PBF Run'!AB49</f>
        <v>0</v>
      </c>
      <c r="CA42" s="454">
        <f>'[2]PBF Run'!AC49</f>
        <v>0</v>
      </c>
      <c r="CB42" s="454">
        <f t="shared" si="41"/>
        <v>0</v>
      </c>
      <c r="CC42" s="457">
        <f>'[2]PBF Run'!X49</f>
        <v>0</v>
      </c>
      <c r="CD42" s="456">
        <f>'[2]PBF Run'!AE49</f>
        <v>109986468</v>
      </c>
      <c r="CE42" s="337">
        <f t="shared" si="42"/>
        <v>0.98518541390018999</v>
      </c>
      <c r="CF42" s="455">
        <f>'[2]PBF Run'!AM49</f>
        <v>1629404</v>
      </c>
      <c r="CG42" s="455">
        <f>'[2]PBF Run'!$AN49</f>
        <v>59018256</v>
      </c>
      <c r="CH42" s="455">
        <f>'[2]PBF Run'!$AO49</f>
        <v>0</v>
      </c>
      <c r="CI42" s="455">
        <f>'[2]PBF Run'!AJ49</f>
        <v>24071519</v>
      </c>
      <c r="CJ42" s="455">
        <f>'[2]PBF Run'!AI49</f>
        <v>8671715</v>
      </c>
      <c r="CK42" s="455">
        <f>'[2]PBF Run'!$AN49</f>
        <v>59018256</v>
      </c>
      <c r="CL42" s="455">
        <f>'[2]PBF Run'!AK49</f>
        <v>16595574</v>
      </c>
      <c r="CM42" s="455">
        <f t="shared" si="43"/>
        <v>108357064</v>
      </c>
      <c r="CN42" s="454">
        <f>'[2]PBF Run'!$AN49</f>
        <v>59018256</v>
      </c>
      <c r="CO42" s="454">
        <f>'[2]PBF Run'!BI49</f>
        <v>0</v>
      </c>
      <c r="CP42" s="339">
        <f>'[2]PBF Run'!BH49</f>
        <v>0</v>
      </c>
      <c r="CQ42" s="454">
        <f t="shared" si="53"/>
        <v>69532</v>
      </c>
      <c r="CR42" s="454">
        <f t="shared" si="44"/>
        <v>59018256</v>
      </c>
      <c r="CS42" s="453">
        <f>'[2]As of 13-14 R1'!BX49</f>
        <v>0</v>
      </c>
      <c r="CT42" s="453">
        <f>'[2]As of 13-14 R1'!BY49</f>
        <v>0</v>
      </c>
      <c r="CU42" s="453">
        <f>'[2]As of 13-14 R1'!BZ49</f>
        <v>0</v>
      </c>
      <c r="CV42" s="453">
        <f t="shared" si="45"/>
        <v>0</v>
      </c>
      <c r="CW42" s="342">
        <f>'[2]Growth Deficit'!$D$2</f>
        <v>0</v>
      </c>
      <c r="CX42" s="343">
        <f>IF($DL42="S",'[2]Foundation Grant'!C49,0)</f>
        <v>1</v>
      </c>
      <c r="CY42" s="343">
        <f>IF($DL42="S",'[2]Foundation Grant'!D49,0)</f>
        <v>0</v>
      </c>
      <c r="CZ42" s="343">
        <f>IF($DL42="S",'[2]Foundation Grant'!E49,0)</f>
        <v>0</v>
      </c>
      <c r="DA42" s="343">
        <f>IF($DL42="S",'[2]Foundation Grant'!F49,0)</f>
        <v>1</v>
      </c>
      <c r="DB42" s="343">
        <f>IF($DL42="M",'[2]Foundation Grant'!C49,0)</f>
        <v>0</v>
      </c>
      <c r="DC42" s="343">
        <f>IF($DL42="M",'[2]Foundation Grant'!D49,0)</f>
        <v>0</v>
      </c>
      <c r="DD42" s="343">
        <f>IF($DL42="M",'[2]Foundation Grant'!E49,0)</f>
        <v>0</v>
      </c>
      <c r="DE42" s="343">
        <f>IF($DL42="M",'[2]Foundation Grant'!F49,0)</f>
        <v>0</v>
      </c>
      <c r="DF42" s="343">
        <f>'[2]Foundation Grant'!G49</f>
        <v>1</v>
      </c>
      <c r="DG42" s="343">
        <f>'[2]Foundation Grant'!H49</f>
        <v>0</v>
      </c>
      <c r="DH42" s="343">
        <f>'[2]Foundation Grant'!I49</f>
        <v>0</v>
      </c>
      <c r="DI42" s="343">
        <f>'[2]Foundation Grant'!J49</f>
        <v>0</v>
      </c>
      <c r="DJ42" s="343">
        <f>'[2]Foundation Grant'!K49</f>
        <v>0</v>
      </c>
      <c r="DK42" s="452">
        <f>'[2]Foundation Grant'!L49</f>
        <v>1</v>
      </c>
      <c r="DL42" s="343" t="str">
        <f>'[2]Foundation Grant'!M49</f>
        <v>S</v>
      </c>
      <c r="DM42" s="343">
        <f>'[2]Foundation Grant'!N49</f>
        <v>6747388</v>
      </c>
      <c r="DN42" s="452">
        <f>'[2]Foundation Grant'!O49</f>
        <v>0</v>
      </c>
      <c r="DO42" s="452">
        <f>'[2]Foundation Grant'!P49</f>
        <v>0</v>
      </c>
      <c r="DP42" s="344">
        <f>'[2]Foundation Grant'!$C$1</f>
        <v>5622823</v>
      </c>
      <c r="DQ42" s="344">
        <f>'[2]Foundation Grant'!$D$1</f>
        <v>4498258</v>
      </c>
      <c r="DR42" s="344">
        <f>'[2]Foundation Grant'!$E$1</f>
        <v>3373694</v>
      </c>
      <c r="DS42" s="344">
        <f>'[2]Foundation Grant'!$C$2</f>
        <v>4498258</v>
      </c>
      <c r="DT42" s="344">
        <f>'[2]Foundation Grant'!$D$2</f>
        <v>3935976</v>
      </c>
      <c r="DU42" s="344">
        <f>'[2]Foundation Grant'!$E$2</f>
        <v>3373694</v>
      </c>
      <c r="DV42" s="344">
        <f>'[2]Foundation Grant'!$G$1</f>
        <v>1124565</v>
      </c>
      <c r="DW42" s="344">
        <f>'[2]Foundation Grant'!$H$1</f>
        <v>843423</v>
      </c>
      <c r="DX42" s="344">
        <f>'[2]Foundation Grant'!$I$1</f>
        <v>562282</v>
      </c>
      <c r="DY42" s="344">
        <f>'[2]Foundation Grant'!$J$1</f>
        <v>281141</v>
      </c>
      <c r="DZ42" s="344">
        <f>'[2]Foundation Grant'!$K$1</f>
        <v>140571</v>
      </c>
      <c r="EA42" s="344">
        <f>'[2]Foundation Grant'!$O$1</f>
        <v>562282</v>
      </c>
      <c r="EB42" s="344">
        <f>'[2]Foundation Grant'!$P$1</f>
        <v>1124565</v>
      </c>
      <c r="EC42" s="345">
        <f>'[2]basic allocation'!$C$10</f>
        <v>18749</v>
      </c>
      <c r="ED42" s="345">
        <f>'[2]basic allocation'!$D$10</f>
        <v>9375</v>
      </c>
      <c r="EE42" s="345">
        <f>'[2]basic allocation'!$E$10</f>
        <v>9375</v>
      </c>
      <c r="EF42" s="345">
        <f>'[2]basic allocation'!$I$10</f>
        <v>938</v>
      </c>
      <c r="EG42" s="345">
        <f>'[2]basic allocation'!$J$10</f>
        <v>703</v>
      </c>
      <c r="EH42" s="345">
        <f>'[2]basic allocation'!$K$10</f>
        <v>469</v>
      </c>
      <c r="EI42" s="345">
        <f>'[2]basic allocation'!$L$10</f>
        <v>234</v>
      </c>
      <c r="EJ42" s="345">
        <f>'[2]basic allocation'!$M$10</f>
        <v>100</v>
      </c>
      <c r="EK42" s="345">
        <f>'[2]PBF Run'!$AT49</f>
        <v>0</v>
      </c>
      <c r="EM42" s="477"/>
    </row>
    <row r="43" spans="1:143">
      <c r="A43" s="476" t="s">
        <v>605</v>
      </c>
      <c r="B43" s="475" t="str">
        <f t="shared" si="46"/>
        <v>P1</v>
      </c>
      <c r="C43" s="346" t="s">
        <v>319</v>
      </c>
      <c r="D43" s="450" t="s">
        <v>318</v>
      </c>
      <c r="E43" s="449">
        <f>ROUND('[2]PBF Run'!N50,6)</f>
        <v>4636.49287</v>
      </c>
      <c r="F43" s="340">
        <f t="shared" si="47"/>
        <v>4636.49</v>
      </c>
      <c r="G43" s="474">
        <f t="shared" si="48"/>
        <v>2788.0536374600001</v>
      </c>
      <c r="H43" s="473">
        <f t="shared" si="49"/>
        <v>2811.7520933800001</v>
      </c>
      <c r="I43" s="473">
        <f t="shared" si="50"/>
        <v>3282.8110613200001</v>
      </c>
      <c r="J43" s="473">
        <f t="shared" si="51"/>
        <v>3310.71495534</v>
      </c>
      <c r="K43" s="472">
        <f>ROUND([2]FTES!C50,3)</f>
        <v>18601.13</v>
      </c>
      <c r="L43" s="472">
        <f>ROUND([2]FTES!L50,3)</f>
        <v>40.92</v>
      </c>
      <c r="M43" s="472">
        <f>ROUND([2]FTES!U50,3)</f>
        <v>0</v>
      </c>
      <c r="N43" s="465">
        <f>ROUND([2]FTES!$D50,3)</f>
        <v>18601.13</v>
      </c>
      <c r="O43" s="465">
        <f>ROUND([2]FTES!$M50,3)</f>
        <v>40.92</v>
      </c>
      <c r="P43" s="465">
        <f>ROUND([2]FTES!$V50,3)</f>
        <v>0</v>
      </c>
      <c r="Q43" s="471">
        <f>'[2]FTES Adjustment'!BU50</f>
        <v>0</v>
      </c>
      <c r="R43" s="471">
        <f>'[2]FTES Adjustment'!BV50</f>
        <v>0</v>
      </c>
      <c r="S43" s="471">
        <f>'[2]FTES Adjustment'!BW50</f>
        <v>0</v>
      </c>
      <c r="T43" s="469">
        <f>ROUND('[2]Growth Deficit'!$AG50,3)</f>
        <v>0</v>
      </c>
      <c r="U43" s="469">
        <f>ROUND('[2]Growth Deficit'!$AH50,3)</f>
        <v>0</v>
      </c>
      <c r="V43" s="469">
        <f>ROUND('[2]Growth Deficit'!$AI50,3)</f>
        <v>0</v>
      </c>
      <c r="W43" s="470">
        <f>ROUND([2]FTES!I50,3)</f>
        <v>0</v>
      </c>
      <c r="X43" s="470">
        <f>ROUND([2]FTES!R50,3)</f>
        <v>0</v>
      </c>
      <c r="Y43" s="470">
        <f>ROUND([2]FTES!AA50,3)</f>
        <v>0</v>
      </c>
      <c r="Z43" s="469">
        <f>ROUND([2]FTES!E50,3)</f>
        <v>19316.759999999998</v>
      </c>
      <c r="AA43" s="469">
        <f>ROUND([2]FTES!N50,3)</f>
        <v>38.590000000000003</v>
      </c>
      <c r="AB43" s="469">
        <f>ROUND([2]FTES!W50,3)</f>
        <v>0</v>
      </c>
      <c r="AC43" s="468">
        <f>'[2]FTES Adjustment'!CW50</f>
        <v>19316.759977000002</v>
      </c>
      <c r="AD43" s="468">
        <f>'[2]FTES Adjustment'!CX50</f>
        <v>38.590000000000003</v>
      </c>
      <c r="AE43" s="468">
        <f>'[2]FTES Adjustment'!CY50</f>
        <v>0</v>
      </c>
      <c r="AF43" s="467">
        <f>'[2]FTES Adjustment'!DQ50</f>
        <v>2.2999996872385964E-5</v>
      </c>
      <c r="AG43" s="467">
        <f>'[2]FTES Adjustment'!DR50</f>
        <v>0</v>
      </c>
      <c r="AH43" s="467">
        <f>'[2]FTES Adjustment'!DS50</f>
        <v>0</v>
      </c>
      <c r="AI43" s="340">
        <f>'[2]FTES Adjustment'!$DX50</f>
        <v>0</v>
      </c>
      <c r="AJ43" s="340">
        <v>0</v>
      </c>
      <c r="AK43" s="340">
        <v>0</v>
      </c>
      <c r="AL43" s="465">
        <f>'[2]FTES Adjustment'!CG50</f>
        <v>715.62989400000004</v>
      </c>
      <c r="AM43" s="465">
        <f>'[2]FTES Adjustment'!CH50</f>
        <v>-2.3299999999999983</v>
      </c>
      <c r="AN43" s="465">
        <f>'[2]FTES Adjustment'!CI50</f>
        <v>0</v>
      </c>
      <c r="AO43" s="463">
        <f t="shared" si="27"/>
        <v>18642.05</v>
      </c>
      <c r="AP43" s="463">
        <f t="shared" si="28"/>
        <v>18642.05</v>
      </c>
      <c r="AQ43" s="463">
        <f t="shared" si="29"/>
        <v>0</v>
      </c>
      <c r="AR43" s="463">
        <f t="shared" si="30"/>
        <v>0</v>
      </c>
      <c r="AS43" s="463">
        <f t="shared" si="31"/>
        <v>0</v>
      </c>
      <c r="AT43" s="463">
        <f t="shared" si="32"/>
        <v>19355.349999999999</v>
      </c>
      <c r="AU43" s="463">
        <f t="shared" si="33"/>
        <v>19355.349999999999</v>
      </c>
      <c r="AV43" s="464">
        <f t="shared" si="34"/>
        <v>0</v>
      </c>
      <c r="AW43" s="464">
        <f t="shared" si="35"/>
        <v>0</v>
      </c>
      <c r="AX43" s="464">
        <f t="shared" si="36"/>
        <v>713.3</v>
      </c>
      <c r="AY43" s="460">
        <f>'[2]PBF Run'!F50</f>
        <v>13494776</v>
      </c>
      <c r="AZ43" s="460">
        <f t="shared" si="37"/>
        <v>86358094</v>
      </c>
      <c r="BA43" s="460">
        <f>'[2]PBF Run'!J50 + '[2]PBF Run'!$L50</f>
        <v>86244007</v>
      </c>
      <c r="BB43" s="460">
        <f>'[2]PBF Run'!H50</f>
        <v>114087</v>
      </c>
      <c r="BC43" s="460">
        <f>'[2]PBF Run'!I50</f>
        <v>0</v>
      </c>
      <c r="BD43" s="462">
        <v>0</v>
      </c>
      <c r="BE43" s="461">
        <f>'[2]Restoration and Growth'!BM50</f>
        <v>0</v>
      </c>
      <c r="BF43" s="460">
        <f t="shared" si="38"/>
        <v>99852870</v>
      </c>
      <c r="BG43" s="333" t="str">
        <f t="shared" si="52"/>
        <v>0.85%</v>
      </c>
      <c r="BH43" s="459">
        <f>'[2]PBF Run'!O50</f>
        <v>848749</v>
      </c>
      <c r="BI43" s="459">
        <f t="shared" si="39"/>
        <v>100701619</v>
      </c>
      <c r="BJ43" s="458">
        <f>'[2]PBF Run'!AC50</f>
        <v>0</v>
      </c>
      <c r="BK43" s="458">
        <f>'[2]PBF Run'!$AD50</f>
        <v>0</v>
      </c>
      <c r="BL43" s="458">
        <f>'[2]PBF Run'!$T50</f>
        <v>0</v>
      </c>
      <c r="BM43" s="458">
        <f>'[2]PBF Run'!$S50</f>
        <v>3339665</v>
      </c>
      <c r="BN43" s="458">
        <f>'[2]13-14 $86M Workload Restore'!$P48</f>
        <v>0</v>
      </c>
      <c r="BO43" s="458">
        <f t="shared" si="40"/>
        <v>3339665</v>
      </c>
      <c r="BP43" s="478">
        <f>'[2]Restoration and Growth'!AA50</f>
        <v>0</v>
      </c>
      <c r="BQ43" s="478">
        <f>'[2]Restoration and Growth'!AB50</f>
        <v>0</v>
      </c>
      <c r="BR43" s="453">
        <f>'[2]Restoration and Growth'!BT50</f>
        <v>0</v>
      </c>
      <c r="BS43" s="453">
        <f>'[2]Growth Deficit'!$AO50</f>
        <v>0</v>
      </c>
      <c r="BT43" s="453">
        <f>'[2]Growth Deficit'!AO50</f>
        <v>0</v>
      </c>
      <c r="BU43" s="453">
        <f>'[2]Growth Deficit'!AL50</f>
        <v>0</v>
      </c>
      <c r="BV43" s="453">
        <f>'[2]Growth Deficit'!AM50</f>
        <v>0</v>
      </c>
      <c r="BW43" s="453">
        <f>'[2]Growth Deficit'!AN50</f>
        <v>0</v>
      </c>
      <c r="BX43" s="453">
        <f>'[2]Growth Deficit'!AO50</f>
        <v>0</v>
      </c>
      <c r="BY43" s="454">
        <f>'[2]PBF Run'!AA50</f>
        <v>0</v>
      </c>
      <c r="BZ43" s="454">
        <f>'[2]PBF Run'!AB50</f>
        <v>0</v>
      </c>
      <c r="CA43" s="454">
        <f>'[2]PBF Run'!AC50</f>
        <v>0</v>
      </c>
      <c r="CB43" s="454">
        <f t="shared" si="41"/>
        <v>0</v>
      </c>
      <c r="CC43" s="457">
        <f>'[2]PBF Run'!X50</f>
        <v>0</v>
      </c>
      <c r="CD43" s="456">
        <f>'[2]PBF Run'!AE50</f>
        <v>104041284</v>
      </c>
      <c r="CE43" s="337">
        <f t="shared" si="42"/>
        <v>0.98518541928029257</v>
      </c>
      <c r="CF43" s="455">
        <f>'[2]PBF Run'!AM50</f>
        <v>1541328</v>
      </c>
      <c r="CG43" s="455">
        <f>'[2]PBF Run'!$AN50</f>
        <v>47242730</v>
      </c>
      <c r="CH43" s="455">
        <f>'[2]PBF Run'!$AO50</f>
        <v>0</v>
      </c>
      <c r="CI43" s="455">
        <f>'[2]PBF Run'!AJ50</f>
        <v>33271199</v>
      </c>
      <c r="CJ43" s="455">
        <f>'[2]PBF Run'!AI50</f>
        <v>5912285</v>
      </c>
      <c r="CK43" s="455">
        <f>'[2]PBF Run'!$AN50</f>
        <v>47242730</v>
      </c>
      <c r="CL43" s="455">
        <f>'[2]PBF Run'!AK50</f>
        <v>16073742</v>
      </c>
      <c r="CM43" s="455">
        <f t="shared" si="43"/>
        <v>102499956</v>
      </c>
      <c r="CN43" s="454">
        <f>'[2]PBF Run'!$AN50</f>
        <v>47242730</v>
      </c>
      <c r="CO43" s="454">
        <f>'[2]PBF Run'!BI50</f>
        <v>0</v>
      </c>
      <c r="CP43" s="339">
        <f>'[2]PBF Run'!BH50</f>
        <v>0</v>
      </c>
      <c r="CQ43" s="454">
        <f t="shared" si="53"/>
        <v>69532</v>
      </c>
      <c r="CR43" s="454">
        <f t="shared" si="44"/>
        <v>47242730</v>
      </c>
      <c r="CS43" s="453">
        <f>'[2]As of 13-14 R1'!BX50</f>
        <v>0</v>
      </c>
      <c r="CT43" s="453">
        <f>'[2]As of 13-14 R1'!BY50</f>
        <v>0</v>
      </c>
      <c r="CU43" s="453">
        <f>'[2]As of 13-14 R1'!BZ50</f>
        <v>0</v>
      </c>
      <c r="CV43" s="453">
        <f t="shared" si="45"/>
        <v>0</v>
      </c>
      <c r="CW43" s="342">
        <f>'[2]Growth Deficit'!$D$2</f>
        <v>0</v>
      </c>
      <c r="CX43" s="343">
        <f>IF($DL43="S",'[2]Foundation Grant'!C50,0)</f>
        <v>0</v>
      </c>
      <c r="CY43" s="343">
        <f>IF($DL43="S",'[2]Foundation Grant'!D50,0)</f>
        <v>0</v>
      </c>
      <c r="CZ43" s="343">
        <f>IF($DL43="S",'[2]Foundation Grant'!E50,0)</f>
        <v>0</v>
      </c>
      <c r="DA43" s="343">
        <f>IF($DL43="S",'[2]Foundation Grant'!F50,0)</f>
        <v>0</v>
      </c>
      <c r="DB43" s="343">
        <f>IF($DL43="M",'[2]Foundation Grant'!C50,0)</f>
        <v>0</v>
      </c>
      <c r="DC43" s="343">
        <f>IF($DL43="M",'[2]Foundation Grant'!D50,0)</f>
        <v>0</v>
      </c>
      <c r="DD43" s="343">
        <f>IF($DL43="M",'[2]Foundation Grant'!E50,0)</f>
        <v>4</v>
      </c>
      <c r="DE43" s="343">
        <f>IF($DL43="M",'[2]Foundation Grant'!F50,0)</f>
        <v>4</v>
      </c>
      <c r="DF43" s="343">
        <f>'[2]Foundation Grant'!G50</f>
        <v>0</v>
      </c>
      <c r="DG43" s="343">
        <f>'[2]Foundation Grant'!H50</f>
        <v>0</v>
      </c>
      <c r="DH43" s="343">
        <f>'[2]Foundation Grant'!I50</f>
        <v>0</v>
      </c>
      <c r="DI43" s="343">
        <f>'[2]Foundation Grant'!J50</f>
        <v>0</v>
      </c>
      <c r="DJ43" s="343">
        <f>'[2]Foundation Grant'!K50</f>
        <v>0</v>
      </c>
      <c r="DK43" s="452">
        <f>'[2]Foundation Grant'!L50</f>
        <v>0</v>
      </c>
      <c r="DL43" s="343" t="str">
        <f>'[2]Foundation Grant'!M50</f>
        <v>M</v>
      </c>
      <c r="DM43" s="343">
        <f>'[2]Foundation Grant'!N50</f>
        <v>13494776</v>
      </c>
      <c r="DN43" s="452">
        <f>'[2]Foundation Grant'!O50</f>
        <v>0</v>
      </c>
      <c r="DO43" s="452">
        <f>'[2]Foundation Grant'!P50</f>
        <v>0</v>
      </c>
      <c r="DP43" s="344">
        <f>'[2]Foundation Grant'!$C$1</f>
        <v>5622823</v>
      </c>
      <c r="DQ43" s="344">
        <f>'[2]Foundation Grant'!$D$1</f>
        <v>4498258</v>
      </c>
      <c r="DR43" s="344">
        <f>'[2]Foundation Grant'!$E$1</f>
        <v>3373694</v>
      </c>
      <c r="DS43" s="344">
        <f>'[2]Foundation Grant'!$C$2</f>
        <v>4498258</v>
      </c>
      <c r="DT43" s="344">
        <f>'[2]Foundation Grant'!$D$2</f>
        <v>3935976</v>
      </c>
      <c r="DU43" s="344">
        <f>'[2]Foundation Grant'!$E$2</f>
        <v>3373694</v>
      </c>
      <c r="DV43" s="344">
        <f>'[2]Foundation Grant'!$G$1</f>
        <v>1124565</v>
      </c>
      <c r="DW43" s="344">
        <f>'[2]Foundation Grant'!$H$1</f>
        <v>843423</v>
      </c>
      <c r="DX43" s="344">
        <f>'[2]Foundation Grant'!$I$1</f>
        <v>562282</v>
      </c>
      <c r="DY43" s="344">
        <f>'[2]Foundation Grant'!$J$1</f>
        <v>281141</v>
      </c>
      <c r="DZ43" s="344">
        <f>'[2]Foundation Grant'!$K$1</f>
        <v>140571</v>
      </c>
      <c r="EA43" s="344">
        <f>'[2]Foundation Grant'!$O$1</f>
        <v>562282</v>
      </c>
      <c r="EB43" s="344">
        <f>'[2]Foundation Grant'!$P$1</f>
        <v>1124565</v>
      </c>
      <c r="EC43" s="345">
        <f>'[2]basic allocation'!$C$10</f>
        <v>18749</v>
      </c>
      <c r="ED43" s="345">
        <f>'[2]basic allocation'!$D$10</f>
        <v>9375</v>
      </c>
      <c r="EE43" s="345">
        <f>'[2]basic allocation'!$E$10</f>
        <v>9375</v>
      </c>
      <c r="EF43" s="345">
        <f>'[2]basic allocation'!$I$10</f>
        <v>938</v>
      </c>
      <c r="EG43" s="345">
        <f>'[2]basic allocation'!$J$10</f>
        <v>703</v>
      </c>
      <c r="EH43" s="345">
        <f>'[2]basic allocation'!$K$10</f>
        <v>469</v>
      </c>
      <c r="EI43" s="345">
        <f>'[2]basic allocation'!$L$10</f>
        <v>234</v>
      </c>
      <c r="EJ43" s="345">
        <f>'[2]basic allocation'!$M$10</f>
        <v>100</v>
      </c>
      <c r="EK43" s="345">
        <f>'[2]PBF Run'!$AT50</f>
        <v>0</v>
      </c>
      <c r="EM43" s="477"/>
    </row>
    <row r="44" spans="1:143">
      <c r="A44" s="476" t="s">
        <v>605</v>
      </c>
      <c r="B44" s="475" t="str">
        <f t="shared" si="46"/>
        <v>P1</v>
      </c>
      <c r="C44" s="346" t="s">
        <v>317</v>
      </c>
      <c r="D44" s="450" t="s">
        <v>316</v>
      </c>
      <c r="E44" s="449">
        <f>ROUND('[2]PBF Run'!N51,6)</f>
        <v>4636.4928440000003</v>
      </c>
      <c r="F44" s="340">
        <f t="shared" si="47"/>
        <v>4636.49</v>
      </c>
      <c r="G44" s="474">
        <f t="shared" si="48"/>
        <v>2788.0536374600001</v>
      </c>
      <c r="H44" s="473">
        <f t="shared" si="49"/>
        <v>2811.7520933800001</v>
      </c>
      <c r="I44" s="473">
        <f t="shared" si="50"/>
        <v>3282.8110613200001</v>
      </c>
      <c r="J44" s="473">
        <f t="shared" si="51"/>
        <v>3310.71495534</v>
      </c>
      <c r="K44" s="472">
        <f>ROUND([2]FTES!C51,3)</f>
        <v>22287.8</v>
      </c>
      <c r="L44" s="472">
        <f>ROUND([2]FTES!L51,3)</f>
        <v>391.29</v>
      </c>
      <c r="M44" s="472">
        <f>ROUND([2]FTES!U51,3)</f>
        <v>6009.84</v>
      </c>
      <c r="N44" s="465">
        <f>ROUND([2]FTES!$D51,3)</f>
        <v>22287.8</v>
      </c>
      <c r="O44" s="465">
        <f>ROUND([2]FTES!$M51,3)</f>
        <v>391.29</v>
      </c>
      <c r="P44" s="465">
        <f>ROUND([2]FTES!$V51,3)</f>
        <v>6009.84</v>
      </c>
      <c r="Q44" s="471">
        <f>'[2]FTES Adjustment'!BU51</f>
        <v>0</v>
      </c>
      <c r="R44" s="471">
        <f>'[2]FTES Adjustment'!BV51</f>
        <v>0</v>
      </c>
      <c r="S44" s="471">
        <f>'[2]FTES Adjustment'!BW51</f>
        <v>0</v>
      </c>
      <c r="T44" s="469">
        <f>ROUND('[2]Growth Deficit'!$AG51,3)</f>
        <v>0</v>
      </c>
      <c r="U44" s="469">
        <f>ROUND('[2]Growth Deficit'!$AH51,3)</f>
        <v>0</v>
      </c>
      <c r="V44" s="469">
        <f>ROUND('[2]Growth Deficit'!$AI51,3)</f>
        <v>0</v>
      </c>
      <c r="W44" s="470">
        <f>ROUND([2]FTES!I51,3)</f>
        <v>0</v>
      </c>
      <c r="X44" s="470">
        <f>ROUND([2]FTES!R51,3)</f>
        <v>0</v>
      </c>
      <c r="Y44" s="470">
        <f>ROUND([2]FTES!AA51,3)</f>
        <v>0</v>
      </c>
      <c r="Z44" s="469">
        <f>ROUND([2]FTES!E51,3)</f>
        <v>22700.45</v>
      </c>
      <c r="AA44" s="469">
        <f>ROUND([2]FTES!N51,3)</f>
        <v>718.77</v>
      </c>
      <c r="AB44" s="469">
        <f>ROUND([2]FTES!W51,3)</f>
        <v>5795.41</v>
      </c>
      <c r="AC44" s="468">
        <f>'[2]FTES Adjustment'!CW51</f>
        <v>22700.450086000004</v>
      </c>
      <c r="AD44" s="468">
        <f>'[2]FTES Adjustment'!CX51</f>
        <v>718.77</v>
      </c>
      <c r="AE44" s="468">
        <f>'[2]FTES Adjustment'!CY51</f>
        <v>5795.41</v>
      </c>
      <c r="AF44" s="467">
        <f>'[2]FTES Adjustment'!DQ51</f>
        <v>-8.6000003648223355E-5</v>
      </c>
      <c r="AG44" s="467">
        <f>'[2]FTES Adjustment'!DR51</f>
        <v>0</v>
      </c>
      <c r="AH44" s="467">
        <f>'[2]FTES Adjustment'!DS51</f>
        <v>0</v>
      </c>
      <c r="AI44" s="340">
        <f>'[2]FTES Adjustment'!$DX51</f>
        <v>0</v>
      </c>
      <c r="AJ44" s="340">
        <v>0</v>
      </c>
      <c r="AK44" s="340">
        <v>0</v>
      </c>
      <c r="AL44" s="465">
        <f>'[2]FTES Adjustment'!CG51</f>
        <v>412.65012999999999</v>
      </c>
      <c r="AM44" s="465">
        <f>'[2]FTES Adjustment'!CH51</f>
        <v>327.48</v>
      </c>
      <c r="AN44" s="465">
        <f>'[2]FTES Adjustment'!CI51</f>
        <v>-214.43000000000029</v>
      </c>
      <c r="AO44" s="463">
        <f t="shared" si="27"/>
        <v>28688.93</v>
      </c>
      <c r="AP44" s="463">
        <f t="shared" si="28"/>
        <v>28688.93</v>
      </c>
      <c r="AQ44" s="463">
        <f t="shared" si="29"/>
        <v>0</v>
      </c>
      <c r="AR44" s="463">
        <f t="shared" si="30"/>
        <v>0</v>
      </c>
      <c r="AS44" s="463">
        <f t="shared" si="31"/>
        <v>0</v>
      </c>
      <c r="AT44" s="463">
        <f t="shared" si="32"/>
        <v>29214.63</v>
      </c>
      <c r="AU44" s="463">
        <f t="shared" si="33"/>
        <v>29214.63</v>
      </c>
      <c r="AV44" s="464">
        <f t="shared" si="34"/>
        <v>0</v>
      </c>
      <c r="AW44" s="464">
        <f t="shared" si="35"/>
        <v>0</v>
      </c>
      <c r="AX44" s="464">
        <f t="shared" si="36"/>
        <v>525.70000000000005</v>
      </c>
      <c r="AY44" s="460">
        <f>'[2]PBF Run'!F51</f>
        <v>10121082</v>
      </c>
      <c r="AZ44" s="460">
        <f t="shared" si="37"/>
        <v>124157332</v>
      </c>
      <c r="BA44" s="460">
        <f>'[2]PBF Run'!J51 + '[2]PBF Run'!$L51</f>
        <v>103337225</v>
      </c>
      <c r="BB44" s="460">
        <f>'[2]PBF Run'!H51</f>
        <v>1090938</v>
      </c>
      <c r="BC44" s="460">
        <f>'[2]PBF Run'!I51</f>
        <v>19729169</v>
      </c>
      <c r="BD44" s="462">
        <v>0</v>
      </c>
      <c r="BE44" s="461">
        <f>'[2]Restoration and Growth'!BM51</f>
        <v>0</v>
      </c>
      <c r="BF44" s="460">
        <f t="shared" si="38"/>
        <v>134278414</v>
      </c>
      <c r="BG44" s="333" t="str">
        <f t="shared" si="52"/>
        <v>0.85%</v>
      </c>
      <c r="BH44" s="459">
        <f>'[2]PBF Run'!O51</f>
        <v>1141367</v>
      </c>
      <c r="BI44" s="459">
        <f t="shared" si="39"/>
        <v>135419781</v>
      </c>
      <c r="BJ44" s="458">
        <f>'[2]PBF Run'!AC51</f>
        <v>0</v>
      </c>
      <c r="BK44" s="458">
        <f>'[2]PBF Run'!$AD51</f>
        <v>0</v>
      </c>
      <c r="BL44" s="458">
        <f>'[2]PBF Run'!$T51</f>
        <v>0</v>
      </c>
      <c r="BM44" s="458">
        <f>'[2]PBF Run'!$S51</f>
        <v>2140388</v>
      </c>
      <c r="BN44" s="458">
        <f>'[2]13-14 $86M Workload Restore'!$P49</f>
        <v>0</v>
      </c>
      <c r="BO44" s="458">
        <f t="shared" si="40"/>
        <v>2140388</v>
      </c>
      <c r="BP44" s="478">
        <f>'[2]Restoration and Growth'!AA51</f>
        <v>0</v>
      </c>
      <c r="BQ44" s="478">
        <f>'[2]Restoration and Growth'!AB51</f>
        <v>0</v>
      </c>
      <c r="BR44" s="453">
        <f>'[2]Restoration and Growth'!BT51</f>
        <v>0</v>
      </c>
      <c r="BS44" s="453">
        <f>'[2]Growth Deficit'!$AO51</f>
        <v>0</v>
      </c>
      <c r="BT44" s="453">
        <f>'[2]Growth Deficit'!AO51</f>
        <v>0</v>
      </c>
      <c r="BU44" s="453">
        <f>'[2]Growth Deficit'!AL51</f>
        <v>0</v>
      </c>
      <c r="BV44" s="453">
        <f>'[2]Growth Deficit'!AM51</f>
        <v>0</v>
      </c>
      <c r="BW44" s="453">
        <f>'[2]Growth Deficit'!AN51</f>
        <v>0</v>
      </c>
      <c r="BX44" s="453">
        <f>'[2]Growth Deficit'!AO51</f>
        <v>0</v>
      </c>
      <c r="BY44" s="454">
        <f>'[2]PBF Run'!AA51</f>
        <v>0</v>
      </c>
      <c r="BZ44" s="454">
        <f>'[2]PBF Run'!AB51</f>
        <v>0</v>
      </c>
      <c r="CA44" s="454">
        <f>'[2]PBF Run'!AC51</f>
        <v>0</v>
      </c>
      <c r="CB44" s="454">
        <f t="shared" si="41"/>
        <v>0</v>
      </c>
      <c r="CC44" s="457">
        <f>'[2]PBF Run'!X51</f>
        <v>0</v>
      </c>
      <c r="CD44" s="456">
        <f>'[2]PBF Run'!AE51</f>
        <v>137560169</v>
      </c>
      <c r="CE44" s="337">
        <f t="shared" si="42"/>
        <v>0.98518542093387518</v>
      </c>
      <c r="CF44" s="455">
        <f>'[2]PBF Run'!AM51</f>
        <v>2037896</v>
      </c>
      <c r="CG44" s="455">
        <f>'[2]PBF Run'!$AN51</f>
        <v>58443989</v>
      </c>
      <c r="CH44" s="455">
        <f>'[2]PBF Run'!$AO51</f>
        <v>0</v>
      </c>
      <c r="CI44" s="455">
        <f>'[2]PBF Run'!AJ51</f>
        <v>48462598</v>
      </c>
      <c r="CJ44" s="455">
        <f>'[2]PBF Run'!AI51</f>
        <v>7274636</v>
      </c>
      <c r="CK44" s="455">
        <f>'[2]PBF Run'!$AN51</f>
        <v>58443989</v>
      </c>
      <c r="CL44" s="455">
        <f>'[2]PBF Run'!AK51</f>
        <v>21341050</v>
      </c>
      <c r="CM44" s="455">
        <f t="shared" si="43"/>
        <v>135522273</v>
      </c>
      <c r="CN44" s="454">
        <f>'[2]PBF Run'!$AN51</f>
        <v>58443989</v>
      </c>
      <c r="CO44" s="454">
        <f>'[2]PBF Run'!BI51</f>
        <v>0</v>
      </c>
      <c r="CP44" s="339">
        <f>'[2]PBF Run'!BH51</f>
        <v>0</v>
      </c>
      <c r="CQ44" s="454">
        <f t="shared" si="53"/>
        <v>69532</v>
      </c>
      <c r="CR44" s="454">
        <f t="shared" si="44"/>
        <v>58443989</v>
      </c>
      <c r="CS44" s="453">
        <f>'[2]As of 13-14 R1'!BX51</f>
        <v>0</v>
      </c>
      <c r="CT44" s="453">
        <f>'[2]As of 13-14 R1'!BY51</f>
        <v>0</v>
      </c>
      <c r="CU44" s="453">
        <f>'[2]As of 13-14 R1'!BZ51</f>
        <v>0</v>
      </c>
      <c r="CV44" s="453">
        <f t="shared" si="45"/>
        <v>0</v>
      </c>
      <c r="CW44" s="342">
        <f>'[2]Growth Deficit'!$D$2</f>
        <v>0</v>
      </c>
      <c r="CX44" s="343">
        <f>IF($DL44="S",'[2]Foundation Grant'!C51,0)</f>
        <v>0</v>
      </c>
      <c r="CY44" s="343">
        <f>IF($DL44="S",'[2]Foundation Grant'!D51,0)</f>
        <v>0</v>
      </c>
      <c r="CZ44" s="343">
        <f>IF($DL44="S",'[2]Foundation Grant'!E51,0)</f>
        <v>0</v>
      </c>
      <c r="DA44" s="343">
        <f>IF($DL44="S",'[2]Foundation Grant'!F51,0)</f>
        <v>0</v>
      </c>
      <c r="DB44" s="343">
        <f>IF($DL44="M",'[2]Foundation Grant'!C51,0)</f>
        <v>1</v>
      </c>
      <c r="DC44" s="343">
        <f>IF($DL44="M",'[2]Foundation Grant'!D51,0)</f>
        <v>0</v>
      </c>
      <c r="DD44" s="343">
        <f>IF($DL44="M",'[2]Foundation Grant'!E51,0)</f>
        <v>1</v>
      </c>
      <c r="DE44" s="343">
        <f>IF($DL44="M",'[2]Foundation Grant'!F51,0)</f>
        <v>2</v>
      </c>
      <c r="DF44" s="343">
        <f>'[2]Foundation Grant'!G51</f>
        <v>1</v>
      </c>
      <c r="DG44" s="343">
        <f>'[2]Foundation Grant'!H51</f>
        <v>0</v>
      </c>
      <c r="DH44" s="343">
        <f>'[2]Foundation Grant'!I51</f>
        <v>0</v>
      </c>
      <c r="DI44" s="343">
        <f>'[2]Foundation Grant'!J51</f>
        <v>0</v>
      </c>
      <c r="DJ44" s="343">
        <f>'[2]Foundation Grant'!K51</f>
        <v>0</v>
      </c>
      <c r="DK44" s="452">
        <f>'[2]Foundation Grant'!L51</f>
        <v>1</v>
      </c>
      <c r="DL44" s="343" t="str">
        <f>'[2]Foundation Grant'!M51</f>
        <v>M</v>
      </c>
      <c r="DM44" s="343">
        <f>'[2]Foundation Grant'!N51</f>
        <v>10121082</v>
      </c>
      <c r="DN44" s="452">
        <f>'[2]Foundation Grant'!O51</f>
        <v>0</v>
      </c>
      <c r="DO44" s="452">
        <f>'[2]Foundation Grant'!P51</f>
        <v>1</v>
      </c>
      <c r="DP44" s="344">
        <f>'[2]Foundation Grant'!$C$1</f>
        <v>5622823</v>
      </c>
      <c r="DQ44" s="344">
        <f>'[2]Foundation Grant'!$D$1</f>
        <v>4498258</v>
      </c>
      <c r="DR44" s="344">
        <f>'[2]Foundation Grant'!$E$1</f>
        <v>3373694</v>
      </c>
      <c r="DS44" s="344">
        <f>'[2]Foundation Grant'!$C$2</f>
        <v>4498258</v>
      </c>
      <c r="DT44" s="344">
        <f>'[2]Foundation Grant'!$D$2</f>
        <v>3935976</v>
      </c>
      <c r="DU44" s="344">
        <f>'[2]Foundation Grant'!$E$2</f>
        <v>3373694</v>
      </c>
      <c r="DV44" s="344">
        <f>'[2]Foundation Grant'!$G$1</f>
        <v>1124565</v>
      </c>
      <c r="DW44" s="344">
        <f>'[2]Foundation Grant'!$H$1</f>
        <v>843423</v>
      </c>
      <c r="DX44" s="344">
        <f>'[2]Foundation Grant'!$I$1</f>
        <v>562282</v>
      </c>
      <c r="DY44" s="344">
        <f>'[2]Foundation Grant'!$J$1</f>
        <v>281141</v>
      </c>
      <c r="DZ44" s="344">
        <f>'[2]Foundation Grant'!$K$1</f>
        <v>140571</v>
      </c>
      <c r="EA44" s="344">
        <f>'[2]Foundation Grant'!$O$1</f>
        <v>562282</v>
      </c>
      <c r="EB44" s="344">
        <f>'[2]Foundation Grant'!$P$1</f>
        <v>1124565</v>
      </c>
      <c r="EC44" s="345">
        <f>'[2]basic allocation'!$C$10</f>
        <v>18749</v>
      </c>
      <c r="ED44" s="345">
        <f>'[2]basic allocation'!$D$10</f>
        <v>9375</v>
      </c>
      <c r="EE44" s="345">
        <f>'[2]basic allocation'!$E$10</f>
        <v>9375</v>
      </c>
      <c r="EF44" s="345">
        <f>'[2]basic allocation'!$I$10</f>
        <v>938</v>
      </c>
      <c r="EG44" s="345">
        <f>'[2]basic allocation'!$J$10</f>
        <v>703</v>
      </c>
      <c r="EH44" s="345">
        <f>'[2]basic allocation'!$K$10</f>
        <v>469</v>
      </c>
      <c r="EI44" s="345">
        <f>'[2]basic allocation'!$L$10</f>
        <v>234</v>
      </c>
      <c r="EJ44" s="345">
        <f>'[2]basic allocation'!$M$10</f>
        <v>100</v>
      </c>
      <c r="EK44" s="345">
        <f>'[2]PBF Run'!$AT51</f>
        <v>0</v>
      </c>
      <c r="EM44" s="477"/>
    </row>
    <row r="45" spans="1:143">
      <c r="A45" s="476" t="s">
        <v>605</v>
      </c>
      <c r="B45" s="475" t="str">
        <f t="shared" si="46"/>
        <v>P1</v>
      </c>
      <c r="C45" s="346" t="s">
        <v>315</v>
      </c>
      <c r="D45" s="450" t="s">
        <v>314</v>
      </c>
      <c r="E45" s="449">
        <f>ROUND('[2]PBF Run'!N52,6)</f>
        <v>4636.4927470000002</v>
      </c>
      <c r="F45" s="340">
        <f t="shared" si="47"/>
        <v>4636.49</v>
      </c>
      <c r="G45" s="474">
        <f t="shared" si="48"/>
        <v>2788.0536374600001</v>
      </c>
      <c r="H45" s="473">
        <f t="shared" si="49"/>
        <v>2811.7520933800001</v>
      </c>
      <c r="I45" s="473">
        <f t="shared" si="50"/>
        <v>3282.8110613200001</v>
      </c>
      <c r="J45" s="473">
        <f t="shared" si="51"/>
        <v>3310.71495534</v>
      </c>
      <c r="K45" s="472">
        <f>ROUND([2]FTES!C52,3)</f>
        <v>3759.98</v>
      </c>
      <c r="L45" s="472">
        <f>ROUND([2]FTES!L52,3)</f>
        <v>13.85</v>
      </c>
      <c r="M45" s="472">
        <f>ROUND([2]FTES!U52,3)</f>
        <v>0</v>
      </c>
      <c r="N45" s="465">
        <f>ROUND([2]FTES!$D52,3)</f>
        <v>3759.98</v>
      </c>
      <c r="O45" s="465">
        <f>ROUND([2]FTES!$M52,3)</f>
        <v>13.85</v>
      </c>
      <c r="P45" s="465">
        <f>ROUND([2]FTES!$V52,3)</f>
        <v>0</v>
      </c>
      <c r="Q45" s="471">
        <f>'[2]FTES Adjustment'!BU52</f>
        <v>173.14003099999999</v>
      </c>
      <c r="R45" s="471">
        <f>'[2]FTES Adjustment'!BV52</f>
        <v>34.549987999999999</v>
      </c>
      <c r="S45" s="471">
        <f>'[2]FTES Adjustment'!BW52</f>
        <v>0</v>
      </c>
      <c r="T45" s="469">
        <f>ROUND('[2]Growth Deficit'!$AG52,3)</f>
        <v>0</v>
      </c>
      <c r="U45" s="469">
        <f>ROUND('[2]Growth Deficit'!$AH52,3)</f>
        <v>0</v>
      </c>
      <c r="V45" s="469">
        <f>ROUND('[2]Growth Deficit'!$AI52,3)</f>
        <v>0</v>
      </c>
      <c r="W45" s="470">
        <f>ROUND([2]FTES!I52,3)</f>
        <v>0</v>
      </c>
      <c r="X45" s="470">
        <f>ROUND([2]FTES!R52,3)</f>
        <v>0</v>
      </c>
      <c r="Y45" s="470">
        <f>ROUND([2]FTES!AA52,3)</f>
        <v>0</v>
      </c>
      <c r="Z45" s="469">
        <f>ROUND([2]FTES!E52,3)</f>
        <v>3933.12</v>
      </c>
      <c r="AA45" s="469">
        <f>ROUND([2]FTES!N52,3)</f>
        <v>48.4</v>
      </c>
      <c r="AB45" s="469">
        <f>ROUND([2]FTES!W52,3)</f>
        <v>0</v>
      </c>
      <c r="AC45" s="468">
        <f>'[2]FTES Adjustment'!CW52</f>
        <v>3933.1199999999994</v>
      </c>
      <c r="AD45" s="468">
        <f>'[2]FTES Adjustment'!CX52</f>
        <v>48.399988</v>
      </c>
      <c r="AE45" s="468">
        <f>'[2]FTES Adjustment'!CY52</f>
        <v>0</v>
      </c>
      <c r="AF45" s="467">
        <f>'[2]FTES Adjustment'!DQ52</f>
        <v>0</v>
      </c>
      <c r="AG45" s="467">
        <f>'[2]FTES Adjustment'!DR52</f>
        <v>1.1999999998124622E-5</v>
      </c>
      <c r="AH45" s="467">
        <f>'[2]FTES Adjustment'!DS52</f>
        <v>0</v>
      </c>
      <c r="AI45" s="340">
        <f>'[2]FTES Adjustment'!$DX52</f>
        <v>0</v>
      </c>
      <c r="AJ45" s="340">
        <v>0</v>
      </c>
      <c r="AK45" s="340">
        <v>0</v>
      </c>
      <c r="AL45" s="465">
        <f>'[2]FTES Adjustment'!CG52</f>
        <v>-3.1000000000000001E-5</v>
      </c>
      <c r="AM45" s="465">
        <f>'[2]FTES Adjustment'!CH52</f>
        <v>0</v>
      </c>
      <c r="AN45" s="465">
        <f>'[2]FTES Adjustment'!CI52</f>
        <v>0</v>
      </c>
      <c r="AO45" s="463">
        <f t="shared" si="27"/>
        <v>3773.83</v>
      </c>
      <c r="AP45" s="463">
        <f t="shared" si="28"/>
        <v>3773.83</v>
      </c>
      <c r="AQ45" s="463">
        <f t="shared" si="29"/>
        <v>207.69</v>
      </c>
      <c r="AR45" s="463">
        <f t="shared" si="30"/>
        <v>0</v>
      </c>
      <c r="AS45" s="463">
        <f t="shared" si="31"/>
        <v>0</v>
      </c>
      <c r="AT45" s="463">
        <f t="shared" si="32"/>
        <v>3981.52</v>
      </c>
      <c r="AU45" s="463">
        <f t="shared" si="33"/>
        <v>3981.52</v>
      </c>
      <c r="AV45" s="464">
        <f t="shared" si="34"/>
        <v>0</v>
      </c>
      <c r="AW45" s="464">
        <f t="shared" si="35"/>
        <v>0</v>
      </c>
      <c r="AX45" s="464">
        <f t="shared" si="36"/>
        <v>0</v>
      </c>
      <c r="AY45" s="460">
        <f>'[2]PBF Run'!F52</f>
        <v>4779399</v>
      </c>
      <c r="AZ45" s="460">
        <f t="shared" si="37"/>
        <v>17471735</v>
      </c>
      <c r="BA45" s="460">
        <f>'[2]PBF Run'!J52 + '[2]PBF Run'!$L52</f>
        <v>17433120</v>
      </c>
      <c r="BB45" s="460">
        <f>'[2]PBF Run'!H52</f>
        <v>38615</v>
      </c>
      <c r="BC45" s="460">
        <f>'[2]PBF Run'!I52</f>
        <v>0</v>
      </c>
      <c r="BD45" s="462">
        <v>0</v>
      </c>
      <c r="BE45" s="461">
        <f>'[2]Restoration and Growth'!BM52</f>
        <v>0</v>
      </c>
      <c r="BF45" s="460">
        <f t="shared" si="38"/>
        <v>22251134</v>
      </c>
      <c r="BG45" s="333" t="str">
        <f t="shared" si="52"/>
        <v>0.85%</v>
      </c>
      <c r="BH45" s="459">
        <f>'[2]PBF Run'!O52</f>
        <v>189135</v>
      </c>
      <c r="BI45" s="459">
        <f t="shared" si="39"/>
        <v>22440269</v>
      </c>
      <c r="BJ45" s="458">
        <f>'[2]PBF Run'!AC52</f>
        <v>0</v>
      </c>
      <c r="BK45" s="458">
        <f>'[2]PBF Run'!$AD52</f>
        <v>0</v>
      </c>
      <c r="BL45" s="458">
        <f>'[2]PBF Run'!$T52</f>
        <v>906732</v>
      </c>
      <c r="BM45" s="458">
        <f>'[2]PBF Run'!$S52</f>
        <v>0</v>
      </c>
      <c r="BN45" s="458">
        <f>'[2]13-14 $86M Workload Restore'!$P50</f>
        <v>0</v>
      </c>
      <c r="BO45" s="458">
        <f t="shared" si="40"/>
        <v>906732</v>
      </c>
      <c r="BP45" s="478">
        <f>'[2]Restoration and Growth'!AA52</f>
        <v>0</v>
      </c>
      <c r="BQ45" s="478">
        <f>'[2]Restoration and Growth'!AB52</f>
        <v>0</v>
      </c>
      <c r="BR45" s="453">
        <f>'[2]Restoration and Growth'!BT52</f>
        <v>0</v>
      </c>
      <c r="BS45" s="453">
        <f>'[2]Growth Deficit'!$AO52</f>
        <v>0</v>
      </c>
      <c r="BT45" s="453">
        <f>'[2]Growth Deficit'!AO52</f>
        <v>0</v>
      </c>
      <c r="BU45" s="453">
        <f>'[2]Growth Deficit'!AL52</f>
        <v>0</v>
      </c>
      <c r="BV45" s="453">
        <f>'[2]Growth Deficit'!AM52</f>
        <v>0</v>
      </c>
      <c r="BW45" s="453">
        <f>'[2]Growth Deficit'!AN52</f>
        <v>0</v>
      </c>
      <c r="BX45" s="453">
        <f>'[2]Growth Deficit'!AO52</f>
        <v>0</v>
      </c>
      <c r="BY45" s="454">
        <f>'[2]PBF Run'!AA52</f>
        <v>0</v>
      </c>
      <c r="BZ45" s="454">
        <f>'[2]PBF Run'!AB52</f>
        <v>0</v>
      </c>
      <c r="CA45" s="454">
        <f>'[2]PBF Run'!AC52</f>
        <v>0</v>
      </c>
      <c r="CB45" s="454">
        <f t="shared" si="41"/>
        <v>0</v>
      </c>
      <c r="CC45" s="457">
        <f>'[2]PBF Run'!X52</f>
        <v>0</v>
      </c>
      <c r="CD45" s="456">
        <f>'[2]PBF Run'!AE52</f>
        <v>23347001</v>
      </c>
      <c r="CE45" s="337">
        <f t="shared" si="42"/>
        <v>0.9851854206028432</v>
      </c>
      <c r="CF45" s="455">
        <f>'[2]PBF Run'!AM52</f>
        <v>345876</v>
      </c>
      <c r="CG45" s="455">
        <f>'[2]PBF Run'!$AN52</f>
        <v>8827103</v>
      </c>
      <c r="CH45" s="455">
        <f>'[2]PBF Run'!$AO52</f>
        <v>0</v>
      </c>
      <c r="CI45" s="455">
        <f>'[2]PBF Run'!AJ52</f>
        <v>9418625</v>
      </c>
      <c r="CJ45" s="455">
        <f>'[2]PBF Run'!AI52</f>
        <v>1113501</v>
      </c>
      <c r="CK45" s="455">
        <f>'[2]PBF Run'!$AN52</f>
        <v>8827103</v>
      </c>
      <c r="CL45" s="455">
        <f>'[2]PBF Run'!AK52</f>
        <v>3641896</v>
      </c>
      <c r="CM45" s="455">
        <f t="shared" si="43"/>
        <v>23001125</v>
      </c>
      <c r="CN45" s="454">
        <f>'[2]PBF Run'!$AN52</f>
        <v>8827103</v>
      </c>
      <c r="CO45" s="454">
        <f>'[2]PBF Run'!BI52</f>
        <v>0</v>
      </c>
      <c r="CP45" s="339">
        <f>'[2]PBF Run'!BH52</f>
        <v>0</v>
      </c>
      <c r="CQ45" s="454">
        <f t="shared" si="53"/>
        <v>69532</v>
      </c>
      <c r="CR45" s="454">
        <f t="shared" si="44"/>
        <v>8827103</v>
      </c>
      <c r="CS45" s="453">
        <f>'[2]As of 13-14 R1'!BX52</f>
        <v>1277316</v>
      </c>
      <c r="CT45" s="453">
        <f>'[2]As of 13-14 R1'!BY52</f>
        <v>703535</v>
      </c>
      <c r="CU45" s="453">
        <f>'[2]As of 13-14 R1'!BZ52</f>
        <v>2847716</v>
      </c>
      <c r="CV45" s="453">
        <f t="shared" si="45"/>
        <v>4828567</v>
      </c>
      <c r="CW45" s="342">
        <f>'[2]Growth Deficit'!$D$2</f>
        <v>0</v>
      </c>
      <c r="CX45" s="343">
        <f>IF($DL45="S",'[2]Foundation Grant'!C52,0)</f>
        <v>0</v>
      </c>
      <c r="CY45" s="343">
        <f>IF($DL45="S",'[2]Foundation Grant'!D52,0)</f>
        <v>0</v>
      </c>
      <c r="CZ45" s="343">
        <f>IF($DL45="S",'[2]Foundation Grant'!E52,0)</f>
        <v>1</v>
      </c>
      <c r="DA45" s="343">
        <f>IF($DL45="S",'[2]Foundation Grant'!F52,0)</f>
        <v>1</v>
      </c>
      <c r="DB45" s="343">
        <f>IF($DL45="M",'[2]Foundation Grant'!C52,0)</f>
        <v>0</v>
      </c>
      <c r="DC45" s="343">
        <f>IF($DL45="M",'[2]Foundation Grant'!D52,0)</f>
        <v>0</v>
      </c>
      <c r="DD45" s="343">
        <f>IF($DL45="M",'[2]Foundation Grant'!E52,0)</f>
        <v>0</v>
      </c>
      <c r="DE45" s="343">
        <f>IF($DL45="M",'[2]Foundation Grant'!F52,0)</f>
        <v>0</v>
      </c>
      <c r="DF45" s="343">
        <f>'[2]Foundation Grant'!G52</f>
        <v>0</v>
      </c>
      <c r="DG45" s="343">
        <f>'[2]Foundation Grant'!H52</f>
        <v>0</v>
      </c>
      <c r="DH45" s="343">
        <f>'[2]Foundation Grant'!I52</f>
        <v>1</v>
      </c>
      <c r="DI45" s="343">
        <f>'[2]Foundation Grant'!J52</f>
        <v>1</v>
      </c>
      <c r="DJ45" s="343">
        <f>'[2]Foundation Grant'!K52</f>
        <v>0</v>
      </c>
      <c r="DK45" s="452">
        <f>'[2]Foundation Grant'!L52</f>
        <v>2</v>
      </c>
      <c r="DL45" s="343" t="str">
        <f>'[2]Foundation Grant'!M52</f>
        <v>S</v>
      </c>
      <c r="DM45" s="343">
        <f>'[2]Foundation Grant'!N52</f>
        <v>4779399</v>
      </c>
      <c r="DN45" s="452">
        <f>'[2]Foundation Grant'!O52</f>
        <v>1</v>
      </c>
      <c r="DO45" s="452">
        <f>'[2]Foundation Grant'!P52</f>
        <v>0</v>
      </c>
      <c r="DP45" s="344">
        <f>'[2]Foundation Grant'!$C$1</f>
        <v>5622823</v>
      </c>
      <c r="DQ45" s="344">
        <f>'[2]Foundation Grant'!$D$1</f>
        <v>4498258</v>
      </c>
      <c r="DR45" s="344">
        <f>'[2]Foundation Grant'!$E$1</f>
        <v>3373694</v>
      </c>
      <c r="DS45" s="344">
        <f>'[2]Foundation Grant'!$C$2</f>
        <v>4498258</v>
      </c>
      <c r="DT45" s="344">
        <f>'[2]Foundation Grant'!$D$2</f>
        <v>3935976</v>
      </c>
      <c r="DU45" s="344">
        <f>'[2]Foundation Grant'!$E$2</f>
        <v>3373694</v>
      </c>
      <c r="DV45" s="344">
        <f>'[2]Foundation Grant'!$G$1</f>
        <v>1124565</v>
      </c>
      <c r="DW45" s="344">
        <f>'[2]Foundation Grant'!$H$1</f>
        <v>843423</v>
      </c>
      <c r="DX45" s="344">
        <f>'[2]Foundation Grant'!$I$1</f>
        <v>562282</v>
      </c>
      <c r="DY45" s="344">
        <f>'[2]Foundation Grant'!$J$1</f>
        <v>281141</v>
      </c>
      <c r="DZ45" s="344">
        <f>'[2]Foundation Grant'!$K$1</f>
        <v>140571</v>
      </c>
      <c r="EA45" s="344">
        <f>'[2]Foundation Grant'!$O$1</f>
        <v>562282</v>
      </c>
      <c r="EB45" s="344">
        <f>'[2]Foundation Grant'!$P$1</f>
        <v>1124565</v>
      </c>
      <c r="EC45" s="345">
        <f>'[2]basic allocation'!$C$10</f>
        <v>18749</v>
      </c>
      <c r="ED45" s="345">
        <f>'[2]basic allocation'!$D$10</f>
        <v>9375</v>
      </c>
      <c r="EE45" s="345">
        <f>'[2]basic allocation'!$E$10</f>
        <v>9375</v>
      </c>
      <c r="EF45" s="345">
        <f>'[2]basic allocation'!$I$10</f>
        <v>938</v>
      </c>
      <c r="EG45" s="345">
        <f>'[2]basic allocation'!$J$10</f>
        <v>703</v>
      </c>
      <c r="EH45" s="345">
        <f>'[2]basic allocation'!$K$10</f>
        <v>469</v>
      </c>
      <c r="EI45" s="345">
        <f>'[2]basic allocation'!$L$10</f>
        <v>234</v>
      </c>
      <c r="EJ45" s="345">
        <f>'[2]basic allocation'!$M$10</f>
        <v>100</v>
      </c>
      <c r="EK45" s="345">
        <f>'[2]PBF Run'!$AT52</f>
        <v>0</v>
      </c>
      <c r="EM45" s="477"/>
    </row>
    <row r="46" spans="1:143">
      <c r="A46" s="476" t="s">
        <v>605</v>
      </c>
      <c r="B46" s="475" t="str">
        <f t="shared" si="46"/>
        <v>P1</v>
      </c>
      <c r="C46" s="346" t="s">
        <v>313</v>
      </c>
      <c r="D46" s="450" t="s">
        <v>312</v>
      </c>
      <c r="E46" s="449">
        <f>ROUND('[2]PBF Run'!N53,6)</f>
        <v>4636.4928239999999</v>
      </c>
      <c r="F46" s="340">
        <f t="shared" si="47"/>
        <v>4636.49</v>
      </c>
      <c r="G46" s="474">
        <f t="shared" si="48"/>
        <v>2788.0536374600001</v>
      </c>
      <c r="H46" s="473">
        <f t="shared" si="49"/>
        <v>2811.7520933800001</v>
      </c>
      <c r="I46" s="473">
        <f t="shared" si="50"/>
        <v>3282.8110613200001</v>
      </c>
      <c r="J46" s="473">
        <f t="shared" si="51"/>
        <v>3310.71495534</v>
      </c>
      <c r="K46" s="472">
        <f>ROUND([2]FTES!C53,3)</f>
        <v>12151.948</v>
      </c>
      <c r="L46" s="472">
        <f>ROUND([2]FTES!L53,3)</f>
        <v>466.07299999999998</v>
      </c>
      <c r="M46" s="472">
        <f>ROUND([2]FTES!U53,3)</f>
        <v>78.94</v>
      </c>
      <c r="N46" s="465">
        <f>ROUND([2]FTES!$D53,3)</f>
        <v>12151.948</v>
      </c>
      <c r="O46" s="465">
        <f>ROUND([2]FTES!$M53,3)</f>
        <v>466.07299999999998</v>
      </c>
      <c r="P46" s="465">
        <f>ROUND([2]FTES!$V53,3)</f>
        <v>78.94</v>
      </c>
      <c r="Q46" s="471">
        <f>'[2]FTES Adjustment'!BU53</f>
        <v>0</v>
      </c>
      <c r="R46" s="471">
        <f>'[2]FTES Adjustment'!BV53</f>
        <v>0</v>
      </c>
      <c r="S46" s="471">
        <f>'[2]FTES Adjustment'!BW53</f>
        <v>0</v>
      </c>
      <c r="T46" s="469">
        <f>ROUND('[2]Growth Deficit'!$AG53,3)</f>
        <v>0</v>
      </c>
      <c r="U46" s="469">
        <f>ROUND('[2]Growth Deficit'!$AH53,3)</f>
        <v>0</v>
      </c>
      <c r="V46" s="469">
        <f>ROUND('[2]Growth Deficit'!$AI53,3)</f>
        <v>0</v>
      </c>
      <c r="W46" s="470">
        <f>ROUND([2]FTES!I53,3)</f>
        <v>90.802000000000007</v>
      </c>
      <c r="X46" s="470">
        <f>ROUND([2]FTES!R53,3)</f>
        <v>-257.18299999999999</v>
      </c>
      <c r="Y46" s="470">
        <f>ROUND([2]FTES!AA53,3)</f>
        <v>-27.39</v>
      </c>
      <c r="Z46" s="469">
        <f>ROUND([2]FTES!E53,3)</f>
        <v>12242.75</v>
      </c>
      <c r="AA46" s="469">
        <f>ROUND([2]FTES!N53,3)</f>
        <v>208.89</v>
      </c>
      <c r="AB46" s="469">
        <f>ROUND([2]FTES!W53,3)</f>
        <v>51.55</v>
      </c>
      <c r="AC46" s="468">
        <f>'[2]FTES Adjustment'!CW53</f>
        <v>12242.749999999998</v>
      </c>
      <c r="AD46" s="468">
        <f>'[2]FTES Adjustment'!CX53</f>
        <v>208.88999950301803</v>
      </c>
      <c r="AE46" s="468">
        <f>'[2]FTES Adjustment'!CY53</f>
        <v>51.55</v>
      </c>
      <c r="AF46" s="467">
        <f>'[2]FTES Adjustment'!DQ53</f>
        <v>0</v>
      </c>
      <c r="AG46" s="467">
        <f>'[2]FTES Adjustment'!DR53</f>
        <v>4.9698195425662561E-7</v>
      </c>
      <c r="AH46" s="467">
        <f>'[2]FTES Adjustment'!DS53</f>
        <v>0</v>
      </c>
      <c r="AI46" s="340">
        <f>'[2]FTES Adjustment'!$DX53</f>
        <v>0</v>
      </c>
      <c r="AJ46" s="340">
        <v>0</v>
      </c>
      <c r="AK46" s="340">
        <v>0</v>
      </c>
      <c r="AL46" s="465">
        <f>'[2]FTES Adjustment'!CG53</f>
        <v>0</v>
      </c>
      <c r="AM46" s="465">
        <f>'[2]FTES Adjustment'!CH53</f>
        <v>0</v>
      </c>
      <c r="AN46" s="465">
        <f>'[2]FTES Adjustment'!CI53</f>
        <v>0</v>
      </c>
      <c r="AO46" s="463">
        <f t="shared" si="27"/>
        <v>12696.960999999999</v>
      </c>
      <c r="AP46" s="463">
        <f t="shared" si="28"/>
        <v>12696.960999999999</v>
      </c>
      <c r="AQ46" s="463">
        <f t="shared" si="29"/>
        <v>0</v>
      </c>
      <c r="AR46" s="463">
        <f t="shared" si="30"/>
        <v>0</v>
      </c>
      <c r="AS46" s="463">
        <f t="shared" si="31"/>
        <v>-193.77099999999999</v>
      </c>
      <c r="AT46" s="463">
        <f t="shared" si="32"/>
        <v>12503.19</v>
      </c>
      <c r="AU46" s="463">
        <f t="shared" si="33"/>
        <v>12503.19</v>
      </c>
      <c r="AV46" s="464">
        <f t="shared" si="34"/>
        <v>0</v>
      </c>
      <c r="AW46" s="464">
        <f t="shared" si="35"/>
        <v>0</v>
      </c>
      <c r="AX46" s="464">
        <f t="shared" si="36"/>
        <v>0</v>
      </c>
      <c r="AY46" s="460">
        <f>'[2]PBF Run'!F53</f>
        <v>4498258</v>
      </c>
      <c r="AZ46" s="460">
        <f t="shared" si="37"/>
        <v>57901001</v>
      </c>
      <c r="BA46" s="460">
        <f>'[2]PBF Run'!J53 + '[2]PBF Run'!$L53</f>
        <v>56342420</v>
      </c>
      <c r="BB46" s="460">
        <f>'[2]PBF Run'!H53</f>
        <v>1299436</v>
      </c>
      <c r="BC46" s="460">
        <f>'[2]PBF Run'!I53</f>
        <v>259145</v>
      </c>
      <c r="BD46" s="462">
        <v>0</v>
      </c>
      <c r="BE46" s="461">
        <f>'[2]Restoration and Growth'!BM53</f>
        <v>-385952.40456122957</v>
      </c>
      <c r="BF46" s="460">
        <f t="shared" si="38"/>
        <v>62013306.595438771</v>
      </c>
      <c r="BG46" s="333" t="str">
        <f t="shared" si="52"/>
        <v>0.85%</v>
      </c>
      <c r="BH46" s="459">
        <f>'[2]PBF Run'!O53</f>
        <v>527113</v>
      </c>
      <c r="BI46" s="459">
        <f t="shared" si="39"/>
        <v>62540419.595438771</v>
      </c>
      <c r="BJ46" s="458">
        <f>'[2]PBF Run'!AC53</f>
        <v>0</v>
      </c>
      <c r="BK46" s="458">
        <f>'[2]PBF Run'!$AD53</f>
        <v>0</v>
      </c>
      <c r="BL46" s="458">
        <f>'[2]PBF Run'!$T53</f>
        <v>0</v>
      </c>
      <c r="BM46" s="458">
        <f>'[2]PBF Run'!$S53</f>
        <v>0</v>
      </c>
      <c r="BN46" s="458">
        <f>'[2]13-14 $86M Workload Restore'!$P51</f>
        <v>0</v>
      </c>
      <c r="BO46" s="458">
        <f t="shared" si="40"/>
        <v>0</v>
      </c>
      <c r="BP46" s="478">
        <f>'[2]Restoration and Growth'!AA53</f>
        <v>0</v>
      </c>
      <c r="BQ46" s="478">
        <f>'[2]Restoration and Growth'!AB53</f>
        <v>0</v>
      </c>
      <c r="BR46" s="453">
        <f>'[2]Restoration and Growth'!BT53</f>
        <v>0</v>
      </c>
      <c r="BS46" s="453">
        <f>'[2]Growth Deficit'!$AO53</f>
        <v>0</v>
      </c>
      <c r="BT46" s="453">
        <f>'[2]Growth Deficit'!AO53</f>
        <v>0</v>
      </c>
      <c r="BU46" s="453">
        <f>'[2]Growth Deficit'!AL53</f>
        <v>0</v>
      </c>
      <c r="BV46" s="453">
        <f>'[2]Growth Deficit'!AM53</f>
        <v>0</v>
      </c>
      <c r="BW46" s="453">
        <f>'[2]Growth Deficit'!AN53</f>
        <v>0</v>
      </c>
      <c r="BX46" s="453">
        <f>'[2]Growth Deficit'!AO53</f>
        <v>0</v>
      </c>
      <c r="BY46" s="454">
        <f>'[2]PBF Run'!AA53</f>
        <v>0</v>
      </c>
      <c r="BZ46" s="454">
        <f>'[2]PBF Run'!AB53</f>
        <v>0</v>
      </c>
      <c r="CA46" s="454">
        <f>'[2]PBF Run'!AC53</f>
        <v>0</v>
      </c>
      <c r="CB46" s="454">
        <f t="shared" si="41"/>
        <v>0</v>
      </c>
      <c r="CC46" s="457">
        <f>'[2]PBF Run'!X53</f>
        <v>389233</v>
      </c>
      <c r="CD46" s="456">
        <f>'[2]PBF Run'!AE53</f>
        <v>62929653</v>
      </c>
      <c r="CE46" s="337">
        <f t="shared" si="42"/>
        <v>0.98518541012771832</v>
      </c>
      <c r="CF46" s="455">
        <f>'[2]PBF Run'!AM53</f>
        <v>932277</v>
      </c>
      <c r="CG46" s="455">
        <f>'[2]PBF Run'!$AN53</f>
        <v>43038334</v>
      </c>
      <c r="CH46" s="455">
        <f>'[2]PBF Run'!$AO53</f>
        <v>0</v>
      </c>
      <c r="CI46" s="455">
        <f>'[2]PBF Run'!AJ53</f>
        <v>6028713</v>
      </c>
      <c r="CJ46" s="455">
        <f>'[2]PBF Run'!AI53</f>
        <v>3136000</v>
      </c>
      <c r="CK46" s="455">
        <f>'[2]PBF Run'!$AN53</f>
        <v>43038334</v>
      </c>
      <c r="CL46" s="455">
        <f>'[2]PBF Run'!AK53</f>
        <v>9794329</v>
      </c>
      <c r="CM46" s="455">
        <f t="shared" si="43"/>
        <v>61997376</v>
      </c>
      <c r="CN46" s="454">
        <f>'[2]PBF Run'!$AN53</f>
        <v>43038334</v>
      </c>
      <c r="CO46" s="454">
        <f>'[2]PBF Run'!BI53</f>
        <v>0</v>
      </c>
      <c r="CP46" s="339">
        <f>'[2]PBF Run'!BH53</f>
        <v>0</v>
      </c>
      <c r="CQ46" s="454">
        <f t="shared" si="53"/>
        <v>69532</v>
      </c>
      <c r="CR46" s="454">
        <f t="shared" si="44"/>
        <v>43038334</v>
      </c>
      <c r="CS46" s="453">
        <f>'[2]As of 13-14 R1'!BX53</f>
        <v>0</v>
      </c>
      <c r="CT46" s="453">
        <f>'[2]As of 13-14 R1'!BY53</f>
        <v>0</v>
      </c>
      <c r="CU46" s="453">
        <f>'[2]As of 13-14 R1'!BZ53</f>
        <v>0</v>
      </c>
      <c r="CV46" s="453">
        <f t="shared" si="45"/>
        <v>0</v>
      </c>
      <c r="CW46" s="342">
        <f>'[2]Growth Deficit'!$D$2</f>
        <v>0</v>
      </c>
      <c r="CX46" s="343">
        <f>IF($DL46="S",'[2]Foundation Grant'!C53,0)</f>
        <v>0</v>
      </c>
      <c r="CY46" s="343">
        <f>IF($DL46="S",'[2]Foundation Grant'!D53,0)</f>
        <v>1</v>
      </c>
      <c r="CZ46" s="343">
        <f>IF($DL46="S",'[2]Foundation Grant'!E53,0)</f>
        <v>0</v>
      </c>
      <c r="DA46" s="343">
        <f>IF($DL46="S",'[2]Foundation Grant'!F53,0)</f>
        <v>1</v>
      </c>
      <c r="DB46" s="343">
        <f>IF($DL46="M",'[2]Foundation Grant'!C53,0)</f>
        <v>0</v>
      </c>
      <c r="DC46" s="343">
        <f>IF($DL46="M",'[2]Foundation Grant'!D53,0)</f>
        <v>0</v>
      </c>
      <c r="DD46" s="343">
        <f>IF($DL46="M",'[2]Foundation Grant'!E53,0)</f>
        <v>0</v>
      </c>
      <c r="DE46" s="343">
        <f>IF($DL46="M",'[2]Foundation Grant'!F53,0)</f>
        <v>0</v>
      </c>
      <c r="DF46" s="343">
        <f>'[2]Foundation Grant'!G53</f>
        <v>0</v>
      </c>
      <c r="DG46" s="343">
        <f>'[2]Foundation Grant'!H53</f>
        <v>0</v>
      </c>
      <c r="DH46" s="343">
        <f>'[2]Foundation Grant'!I53</f>
        <v>0</v>
      </c>
      <c r="DI46" s="343">
        <f>'[2]Foundation Grant'!J53</f>
        <v>0</v>
      </c>
      <c r="DJ46" s="343">
        <f>'[2]Foundation Grant'!K53</f>
        <v>0</v>
      </c>
      <c r="DK46" s="452">
        <f>'[2]Foundation Grant'!L53</f>
        <v>0</v>
      </c>
      <c r="DL46" s="343" t="str">
        <f>'[2]Foundation Grant'!M53</f>
        <v>S</v>
      </c>
      <c r="DM46" s="343">
        <f>'[2]Foundation Grant'!N53</f>
        <v>4498258</v>
      </c>
      <c r="DN46" s="452">
        <f>'[2]Foundation Grant'!O53</f>
        <v>0</v>
      </c>
      <c r="DO46" s="452">
        <f>'[2]Foundation Grant'!P53</f>
        <v>0</v>
      </c>
      <c r="DP46" s="344">
        <f>'[2]Foundation Grant'!$C$1</f>
        <v>5622823</v>
      </c>
      <c r="DQ46" s="344">
        <f>'[2]Foundation Grant'!$D$1</f>
        <v>4498258</v>
      </c>
      <c r="DR46" s="344">
        <f>'[2]Foundation Grant'!$E$1</f>
        <v>3373694</v>
      </c>
      <c r="DS46" s="344">
        <f>'[2]Foundation Grant'!$C$2</f>
        <v>4498258</v>
      </c>
      <c r="DT46" s="344">
        <f>'[2]Foundation Grant'!$D$2</f>
        <v>3935976</v>
      </c>
      <c r="DU46" s="344">
        <f>'[2]Foundation Grant'!$E$2</f>
        <v>3373694</v>
      </c>
      <c r="DV46" s="344">
        <f>'[2]Foundation Grant'!$G$1</f>
        <v>1124565</v>
      </c>
      <c r="DW46" s="344">
        <f>'[2]Foundation Grant'!$H$1</f>
        <v>843423</v>
      </c>
      <c r="DX46" s="344">
        <f>'[2]Foundation Grant'!$I$1</f>
        <v>562282</v>
      </c>
      <c r="DY46" s="344">
        <f>'[2]Foundation Grant'!$J$1</f>
        <v>281141</v>
      </c>
      <c r="DZ46" s="344">
        <f>'[2]Foundation Grant'!$K$1</f>
        <v>140571</v>
      </c>
      <c r="EA46" s="344">
        <f>'[2]Foundation Grant'!$O$1</f>
        <v>562282</v>
      </c>
      <c r="EB46" s="344">
        <f>'[2]Foundation Grant'!$P$1</f>
        <v>1124565</v>
      </c>
      <c r="EC46" s="345">
        <f>'[2]basic allocation'!$C$10</f>
        <v>18749</v>
      </c>
      <c r="ED46" s="345">
        <f>'[2]basic allocation'!$D$10</f>
        <v>9375</v>
      </c>
      <c r="EE46" s="345">
        <f>'[2]basic allocation'!$E$10</f>
        <v>9375</v>
      </c>
      <c r="EF46" s="345">
        <f>'[2]basic allocation'!$I$10</f>
        <v>938</v>
      </c>
      <c r="EG46" s="345">
        <f>'[2]basic allocation'!$J$10</f>
        <v>703</v>
      </c>
      <c r="EH46" s="345">
        <f>'[2]basic allocation'!$K$10</f>
        <v>469</v>
      </c>
      <c r="EI46" s="345">
        <f>'[2]basic allocation'!$L$10</f>
        <v>234</v>
      </c>
      <c r="EJ46" s="345">
        <f>'[2]basic allocation'!$M$10</f>
        <v>100</v>
      </c>
      <c r="EK46" s="345">
        <f>'[2]PBF Run'!$AT53</f>
        <v>0</v>
      </c>
      <c r="EM46" s="477"/>
    </row>
    <row r="47" spans="1:143">
      <c r="A47" s="476" t="s">
        <v>605</v>
      </c>
      <c r="B47" s="475" t="str">
        <f t="shared" si="46"/>
        <v>P1</v>
      </c>
      <c r="C47" s="346" t="s">
        <v>311</v>
      </c>
      <c r="D47" s="450" t="s">
        <v>310</v>
      </c>
      <c r="E47" s="449">
        <f>ROUND('[2]PBF Run'!N54,6)</f>
        <v>4636.4928559999998</v>
      </c>
      <c r="F47" s="340">
        <f t="shared" si="47"/>
        <v>4636.49</v>
      </c>
      <c r="G47" s="474">
        <f t="shared" si="48"/>
        <v>2788.0536374600001</v>
      </c>
      <c r="H47" s="473">
        <f t="shared" si="49"/>
        <v>2811.7520933800001</v>
      </c>
      <c r="I47" s="473">
        <f t="shared" si="50"/>
        <v>3282.8110613200001</v>
      </c>
      <c r="J47" s="473">
        <f t="shared" si="51"/>
        <v>3310.71495534</v>
      </c>
      <c r="K47" s="472">
        <f>ROUND([2]FTES!C54,3)</f>
        <v>25648.716</v>
      </c>
      <c r="L47" s="472">
        <f>ROUND([2]FTES!L54,3)</f>
        <v>159.63</v>
      </c>
      <c r="M47" s="472">
        <f>ROUND([2]FTES!U54,3)</f>
        <v>0</v>
      </c>
      <c r="N47" s="465">
        <f>ROUND([2]FTES!$D54,3)</f>
        <v>25648.716</v>
      </c>
      <c r="O47" s="465">
        <f>ROUND([2]FTES!$M54,3)</f>
        <v>159.63</v>
      </c>
      <c r="P47" s="465">
        <f>ROUND([2]FTES!$V54,3)</f>
        <v>0</v>
      </c>
      <c r="Q47" s="471">
        <f>'[2]FTES Adjustment'!BU54</f>
        <v>0</v>
      </c>
      <c r="R47" s="471">
        <f>'[2]FTES Adjustment'!BV54</f>
        <v>0</v>
      </c>
      <c r="S47" s="471">
        <f>'[2]FTES Adjustment'!BW54</f>
        <v>0</v>
      </c>
      <c r="T47" s="469">
        <f>ROUND('[2]Growth Deficit'!$AG54,3)</f>
        <v>0</v>
      </c>
      <c r="U47" s="469">
        <f>ROUND('[2]Growth Deficit'!$AH54,3)</f>
        <v>0</v>
      </c>
      <c r="V47" s="469">
        <f>ROUND('[2]Growth Deficit'!$AI54,3)</f>
        <v>0</v>
      </c>
      <c r="W47" s="470">
        <f>ROUND([2]FTES!I54,3)</f>
        <v>0</v>
      </c>
      <c r="X47" s="470">
        <f>ROUND([2]FTES!R54,3)</f>
        <v>0</v>
      </c>
      <c r="Y47" s="470">
        <f>ROUND([2]FTES!AA54,3)</f>
        <v>0</v>
      </c>
      <c r="Z47" s="469">
        <f>ROUND([2]FTES!E54,3)</f>
        <v>27851.59</v>
      </c>
      <c r="AA47" s="469">
        <f>ROUND([2]FTES!N54,3)</f>
        <v>201.62</v>
      </c>
      <c r="AB47" s="469">
        <f>ROUND([2]FTES!W54,3)</f>
        <v>0</v>
      </c>
      <c r="AC47" s="468">
        <f>'[2]FTES Adjustment'!CW54</f>
        <v>26920.740129999998</v>
      </c>
      <c r="AD47" s="468">
        <f>'[2]FTES Adjustment'!CX54</f>
        <v>201.62</v>
      </c>
      <c r="AE47" s="468">
        <f>'[2]FTES Adjustment'!CY54</f>
        <v>0</v>
      </c>
      <c r="AF47" s="467">
        <f>'[2]FTES Adjustment'!DQ54</f>
        <v>930.84987000000183</v>
      </c>
      <c r="AG47" s="467">
        <f>'[2]FTES Adjustment'!DR54</f>
        <v>0</v>
      </c>
      <c r="AH47" s="467">
        <f>'[2]FTES Adjustment'!DS54</f>
        <v>0</v>
      </c>
      <c r="AI47" s="340">
        <f>'[2]FTES Adjustment'!$DX54</f>
        <v>0</v>
      </c>
      <c r="AJ47" s="340">
        <v>0</v>
      </c>
      <c r="AK47" s="340">
        <v>0</v>
      </c>
      <c r="AL47" s="465">
        <f>'[2]FTES Adjustment'!CG54</f>
        <v>1272.0240229999999</v>
      </c>
      <c r="AM47" s="465">
        <f>'[2]FTES Adjustment'!CH54</f>
        <v>41.99</v>
      </c>
      <c r="AN47" s="465">
        <f>'[2]FTES Adjustment'!CI54</f>
        <v>0</v>
      </c>
      <c r="AO47" s="463">
        <f t="shared" si="27"/>
        <v>25808.346000000001</v>
      </c>
      <c r="AP47" s="463">
        <f t="shared" si="28"/>
        <v>25808.346000000001</v>
      </c>
      <c r="AQ47" s="463">
        <f t="shared" si="29"/>
        <v>0</v>
      </c>
      <c r="AR47" s="463">
        <f t="shared" si="30"/>
        <v>0</v>
      </c>
      <c r="AS47" s="463">
        <f t="shared" si="31"/>
        <v>0</v>
      </c>
      <c r="AT47" s="463">
        <f t="shared" si="32"/>
        <v>28053.21</v>
      </c>
      <c r="AU47" s="463">
        <f t="shared" si="33"/>
        <v>27122.36</v>
      </c>
      <c r="AV47" s="464">
        <f t="shared" si="34"/>
        <v>930.85</v>
      </c>
      <c r="AW47" s="464">
        <f t="shared" si="35"/>
        <v>0</v>
      </c>
      <c r="AX47" s="464">
        <f t="shared" si="36"/>
        <v>1314.0139999999999</v>
      </c>
      <c r="AY47" s="460">
        <f>'[2]PBF Run'!F54</f>
        <v>10683364</v>
      </c>
      <c r="AZ47" s="460">
        <f t="shared" si="37"/>
        <v>119365146</v>
      </c>
      <c r="BA47" s="460">
        <f>'[2]PBF Run'!J54 + '[2]PBF Run'!$L54</f>
        <v>118920089</v>
      </c>
      <c r="BB47" s="460">
        <f>'[2]PBF Run'!H54</f>
        <v>445057</v>
      </c>
      <c r="BC47" s="460">
        <f>'[2]PBF Run'!I54</f>
        <v>0</v>
      </c>
      <c r="BD47" s="462">
        <v>0</v>
      </c>
      <c r="BE47" s="461">
        <f>'[2]Restoration and Growth'!BM54</f>
        <v>0</v>
      </c>
      <c r="BF47" s="460">
        <f t="shared" si="38"/>
        <v>130048510</v>
      </c>
      <c r="BG47" s="333" t="str">
        <f t="shared" si="52"/>
        <v>0.85%</v>
      </c>
      <c r="BH47" s="459">
        <f>'[2]PBF Run'!O54</f>
        <v>1105412</v>
      </c>
      <c r="BI47" s="459">
        <f t="shared" si="39"/>
        <v>131153922</v>
      </c>
      <c r="BJ47" s="458">
        <f>'[2]PBF Run'!AC54</f>
        <v>0</v>
      </c>
      <c r="BK47" s="458">
        <f>'[2]PBF Run'!$AD54</f>
        <v>0</v>
      </c>
      <c r="BL47" s="458">
        <f>'[2]PBF Run'!$T54</f>
        <v>0</v>
      </c>
      <c r="BM47" s="458">
        <f>'[2]PBF Run'!$S54</f>
        <v>6065926</v>
      </c>
      <c r="BN47" s="458">
        <f>'[2]13-14 $86M Workload Restore'!$P52</f>
        <v>0</v>
      </c>
      <c r="BO47" s="458">
        <f t="shared" si="40"/>
        <v>6065926</v>
      </c>
      <c r="BP47" s="478">
        <f>'[2]Restoration and Growth'!AA54</f>
        <v>0</v>
      </c>
      <c r="BQ47" s="478">
        <f>'[2]Restoration and Growth'!AB54</f>
        <v>0</v>
      </c>
      <c r="BR47" s="453">
        <f>'[2]Restoration and Growth'!BT54</f>
        <v>0</v>
      </c>
      <c r="BS47" s="453">
        <f>'[2]Growth Deficit'!$AO54</f>
        <v>0</v>
      </c>
      <c r="BT47" s="453">
        <f>'[2]Growth Deficit'!AO54</f>
        <v>0</v>
      </c>
      <c r="BU47" s="453">
        <f>'[2]Growth Deficit'!AL54</f>
        <v>0</v>
      </c>
      <c r="BV47" s="453">
        <f>'[2]Growth Deficit'!AM54</f>
        <v>0</v>
      </c>
      <c r="BW47" s="453">
        <f>'[2]Growth Deficit'!AN54</f>
        <v>0</v>
      </c>
      <c r="BX47" s="453">
        <f>'[2]Growth Deficit'!AO54</f>
        <v>0</v>
      </c>
      <c r="BY47" s="454">
        <f>'[2]PBF Run'!AA54</f>
        <v>0</v>
      </c>
      <c r="BZ47" s="454">
        <f>'[2]PBF Run'!AB54</f>
        <v>0</v>
      </c>
      <c r="CA47" s="454">
        <f>'[2]PBF Run'!AC54</f>
        <v>0</v>
      </c>
      <c r="CB47" s="454">
        <f t="shared" si="41"/>
        <v>0</v>
      </c>
      <c r="CC47" s="457">
        <f>'[2]PBF Run'!X54</f>
        <v>0</v>
      </c>
      <c r="CD47" s="456">
        <f>'[2]PBF Run'!AE54</f>
        <v>137219848</v>
      </c>
      <c r="CE47" s="337">
        <f t="shared" si="42"/>
        <v>0.98518541574248064</v>
      </c>
      <c r="CF47" s="455">
        <f>'[2]PBF Run'!AM54</f>
        <v>2032855</v>
      </c>
      <c r="CG47" s="455">
        <f>'[2]PBF Run'!$AN54</f>
        <v>78332386</v>
      </c>
      <c r="CH47" s="455">
        <f>'[2]PBF Run'!$AO54</f>
        <v>0</v>
      </c>
      <c r="CI47" s="455">
        <f>'[2]PBF Run'!AJ54</f>
        <v>27154911</v>
      </c>
      <c r="CJ47" s="455">
        <f>'[2]PBF Run'!AI54</f>
        <v>8637656</v>
      </c>
      <c r="CK47" s="455">
        <f>'[2]PBF Run'!$AN54</f>
        <v>78332386</v>
      </c>
      <c r="CL47" s="455">
        <f>'[2]PBF Run'!AK54</f>
        <v>21062040</v>
      </c>
      <c r="CM47" s="455">
        <f t="shared" si="43"/>
        <v>135186993</v>
      </c>
      <c r="CN47" s="454">
        <f>'[2]PBF Run'!$AN54</f>
        <v>78332386</v>
      </c>
      <c r="CO47" s="454">
        <f>'[2]PBF Run'!BI54</f>
        <v>0</v>
      </c>
      <c r="CP47" s="339">
        <f>'[2]PBF Run'!BH54</f>
        <v>0</v>
      </c>
      <c r="CQ47" s="454">
        <f t="shared" si="53"/>
        <v>69532</v>
      </c>
      <c r="CR47" s="454">
        <f t="shared" si="44"/>
        <v>78332386</v>
      </c>
      <c r="CS47" s="453">
        <f>'[2]As of 13-14 R1'!BX54</f>
        <v>0</v>
      </c>
      <c r="CT47" s="453">
        <f>'[2]As of 13-14 R1'!BY54</f>
        <v>0</v>
      </c>
      <c r="CU47" s="453">
        <f>'[2]As of 13-14 R1'!BZ54</f>
        <v>0</v>
      </c>
      <c r="CV47" s="453">
        <f t="shared" si="45"/>
        <v>0</v>
      </c>
      <c r="CW47" s="342">
        <f>'[2]Growth Deficit'!$D$2</f>
        <v>0</v>
      </c>
      <c r="CX47" s="343">
        <f>IF($DL47="S",'[2]Foundation Grant'!C54,0)</f>
        <v>0</v>
      </c>
      <c r="CY47" s="343">
        <f>IF($DL47="S",'[2]Foundation Grant'!D54,0)</f>
        <v>0</v>
      </c>
      <c r="CZ47" s="343">
        <f>IF($DL47="S",'[2]Foundation Grant'!E54,0)</f>
        <v>0</v>
      </c>
      <c r="DA47" s="343">
        <f>IF($DL47="S",'[2]Foundation Grant'!F54,0)</f>
        <v>0</v>
      </c>
      <c r="DB47" s="343">
        <f>IF($DL47="M",'[2]Foundation Grant'!C54,0)</f>
        <v>0</v>
      </c>
      <c r="DC47" s="343">
        <f>IF($DL47="M",'[2]Foundation Grant'!D54,0)</f>
        <v>1</v>
      </c>
      <c r="DD47" s="343">
        <f>IF($DL47="M",'[2]Foundation Grant'!E54,0)</f>
        <v>2</v>
      </c>
      <c r="DE47" s="343">
        <f>IF($DL47="M",'[2]Foundation Grant'!F54,0)</f>
        <v>3</v>
      </c>
      <c r="DF47" s="343">
        <f>'[2]Foundation Grant'!G54</f>
        <v>0</v>
      </c>
      <c r="DG47" s="343">
        <f>'[2]Foundation Grant'!H54</f>
        <v>0</v>
      </c>
      <c r="DH47" s="343">
        <f>'[2]Foundation Grant'!I54</f>
        <v>0</v>
      </c>
      <c r="DI47" s="343">
        <f>'[2]Foundation Grant'!J54</f>
        <v>0</v>
      </c>
      <c r="DJ47" s="343">
        <f>'[2]Foundation Grant'!K54</f>
        <v>0</v>
      </c>
      <c r="DK47" s="452">
        <f>'[2]Foundation Grant'!L54</f>
        <v>0</v>
      </c>
      <c r="DL47" s="343" t="str">
        <f>'[2]Foundation Grant'!M54</f>
        <v>M</v>
      </c>
      <c r="DM47" s="343">
        <f>'[2]Foundation Grant'!N54</f>
        <v>10683364</v>
      </c>
      <c r="DN47" s="452">
        <f>'[2]Foundation Grant'!O54</f>
        <v>0</v>
      </c>
      <c r="DO47" s="452">
        <f>'[2]Foundation Grant'!P54</f>
        <v>0</v>
      </c>
      <c r="DP47" s="344">
        <f>'[2]Foundation Grant'!$C$1</f>
        <v>5622823</v>
      </c>
      <c r="DQ47" s="344">
        <f>'[2]Foundation Grant'!$D$1</f>
        <v>4498258</v>
      </c>
      <c r="DR47" s="344">
        <f>'[2]Foundation Grant'!$E$1</f>
        <v>3373694</v>
      </c>
      <c r="DS47" s="344">
        <f>'[2]Foundation Grant'!$C$2</f>
        <v>4498258</v>
      </c>
      <c r="DT47" s="344">
        <f>'[2]Foundation Grant'!$D$2</f>
        <v>3935976</v>
      </c>
      <c r="DU47" s="344">
        <f>'[2]Foundation Grant'!$E$2</f>
        <v>3373694</v>
      </c>
      <c r="DV47" s="344">
        <f>'[2]Foundation Grant'!$G$1</f>
        <v>1124565</v>
      </c>
      <c r="DW47" s="344">
        <f>'[2]Foundation Grant'!$H$1</f>
        <v>843423</v>
      </c>
      <c r="DX47" s="344">
        <f>'[2]Foundation Grant'!$I$1</f>
        <v>562282</v>
      </c>
      <c r="DY47" s="344">
        <f>'[2]Foundation Grant'!$J$1</f>
        <v>281141</v>
      </c>
      <c r="DZ47" s="344">
        <f>'[2]Foundation Grant'!$K$1</f>
        <v>140571</v>
      </c>
      <c r="EA47" s="344">
        <f>'[2]Foundation Grant'!$O$1</f>
        <v>562282</v>
      </c>
      <c r="EB47" s="344">
        <f>'[2]Foundation Grant'!$P$1</f>
        <v>1124565</v>
      </c>
      <c r="EC47" s="345">
        <f>'[2]basic allocation'!$C$10</f>
        <v>18749</v>
      </c>
      <c r="ED47" s="345">
        <f>'[2]basic allocation'!$D$10</f>
        <v>9375</v>
      </c>
      <c r="EE47" s="345">
        <f>'[2]basic allocation'!$E$10</f>
        <v>9375</v>
      </c>
      <c r="EF47" s="345">
        <f>'[2]basic allocation'!$I$10</f>
        <v>938</v>
      </c>
      <c r="EG47" s="345">
        <f>'[2]basic allocation'!$J$10</f>
        <v>703</v>
      </c>
      <c r="EH47" s="345">
        <f>'[2]basic allocation'!$K$10</f>
        <v>469</v>
      </c>
      <c r="EI47" s="345">
        <f>'[2]basic allocation'!$L$10</f>
        <v>234</v>
      </c>
      <c r="EJ47" s="345">
        <f>'[2]basic allocation'!$M$10</f>
        <v>100</v>
      </c>
      <c r="EK47" s="345">
        <f>'[2]PBF Run'!$AT54</f>
        <v>0</v>
      </c>
      <c r="EM47" s="477"/>
    </row>
    <row r="48" spans="1:143">
      <c r="A48" s="476" t="s">
        <v>605</v>
      </c>
      <c r="B48" s="475" t="str">
        <f t="shared" si="46"/>
        <v>P1</v>
      </c>
      <c r="C48" s="346" t="s">
        <v>309</v>
      </c>
      <c r="D48" s="450" t="s">
        <v>308</v>
      </c>
      <c r="E48" s="449">
        <f>ROUND('[2]PBF Run'!N55,6)</f>
        <v>4636.4928659999996</v>
      </c>
      <c r="F48" s="340">
        <f t="shared" si="47"/>
        <v>4636.49</v>
      </c>
      <c r="G48" s="474">
        <f t="shared" si="48"/>
        <v>2788.0536374600001</v>
      </c>
      <c r="H48" s="473">
        <f t="shared" si="49"/>
        <v>2811.7520933800001</v>
      </c>
      <c r="I48" s="473">
        <f t="shared" si="50"/>
        <v>3282.8110613200001</v>
      </c>
      <c r="J48" s="473">
        <f t="shared" si="51"/>
        <v>3310.71495534</v>
      </c>
      <c r="K48" s="472">
        <f>ROUND([2]FTES!C55,3)</f>
        <v>13572.262000000001</v>
      </c>
      <c r="L48" s="472">
        <f>ROUND([2]FTES!L55,3)</f>
        <v>2.04</v>
      </c>
      <c r="M48" s="472">
        <f>ROUND([2]FTES!U55,3)</f>
        <v>0</v>
      </c>
      <c r="N48" s="465">
        <f>ROUND([2]FTES!$D55,3)</f>
        <v>13572.262000000001</v>
      </c>
      <c r="O48" s="465">
        <f>ROUND([2]FTES!$M55,3)</f>
        <v>2.04</v>
      </c>
      <c r="P48" s="465">
        <f>ROUND([2]FTES!$V55,3)</f>
        <v>0</v>
      </c>
      <c r="Q48" s="471">
        <f>'[2]FTES Adjustment'!BU55</f>
        <v>0</v>
      </c>
      <c r="R48" s="471">
        <f>'[2]FTES Adjustment'!BV55</f>
        <v>0</v>
      </c>
      <c r="S48" s="471">
        <f>'[2]FTES Adjustment'!BW55</f>
        <v>0</v>
      </c>
      <c r="T48" s="469">
        <f>ROUND('[2]Growth Deficit'!$AG55,3)</f>
        <v>0</v>
      </c>
      <c r="U48" s="469">
        <f>ROUND('[2]Growth Deficit'!$AH55,3)</f>
        <v>0</v>
      </c>
      <c r="V48" s="469">
        <f>ROUND('[2]Growth Deficit'!$AI55,3)</f>
        <v>0</v>
      </c>
      <c r="W48" s="470">
        <f>ROUND([2]FTES!I55,3)</f>
        <v>0</v>
      </c>
      <c r="X48" s="470">
        <f>ROUND([2]FTES!R55,3)</f>
        <v>0</v>
      </c>
      <c r="Y48" s="470">
        <f>ROUND([2]FTES!AA55,3)</f>
        <v>0</v>
      </c>
      <c r="Z48" s="469">
        <f>ROUND([2]FTES!E55,3)</f>
        <v>14685.11</v>
      </c>
      <c r="AA48" s="469">
        <f>ROUND([2]FTES!N55,3)</f>
        <v>65.180000000000007</v>
      </c>
      <c r="AB48" s="469">
        <f>ROUND([2]FTES!W55,3)</f>
        <v>0</v>
      </c>
      <c r="AC48" s="468">
        <f>'[2]FTES Adjustment'!CW55</f>
        <v>14217.515340000002</v>
      </c>
      <c r="AD48" s="468">
        <f>'[2]FTES Adjustment'!CX55</f>
        <v>65.180000000000007</v>
      </c>
      <c r="AE48" s="468">
        <f>'[2]FTES Adjustment'!CY55</f>
        <v>0</v>
      </c>
      <c r="AF48" s="467">
        <f>'[2]FTES Adjustment'!DQ55</f>
        <v>467.59465999999884</v>
      </c>
      <c r="AG48" s="467">
        <f>'[2]FTES Adjustment'!DR55</f>
        <v>0</v>
      </c>
      <c r="AH48" s="467">
        <f>'[2]FTES Adjustment'!DS55</f>
        <v>0</v>
      </c>
      <c r="AI48" s="340">
        <f>'[2]FTES Adjustment'!$DX55</f>
        <v>0</v>
      </c>
      <c r="AJ48" s="340">
        <v>0</v>
      </c>
      <c r="AK48" s="340">
        <v>0</v>
      </c>
      <c r="AL48" s="465">
        <f>'[2]FTES Adjustment'!CG55</f>
        <v>645.25332800000001</v>
      </c>
      <c r="AM48" s="465">
        <f>'[2]FTES Adjustment'!CH55</f>
        <v>63.14</v>
      </c>
      <c r="AN48" s="465">
        <f>'[2]FTES Adjustment'!CI55</f>
        <v>0</v>
      </c>
      <c r="AO48" s="463">
        <f t="shared" si="27"/>
        <v>13574.302</v>
      </c>
      <c r="AP48" s="463">
        <f t="shared" si="28"/>
        <v>13574.302</v>
      </c>
      <c r="AQ48" s="463">
        <f t="shared" si="29"/>
        <v>0</v>
      </c>
      <c r="AR48" s="463">
        <f t="shared" si="30"/>
        <v>0</v>
      </c>
      <c r="AS48" s="463">
        <f t="shared" si="31"/>
        <v>0</v>
      </c>
      <c r="AT48" s="463">
        <f t="shared" si="32"/>
        <v>14750.29</v>
      </c>
      <c r="AU48" s="463">
        <f t="shared" si="33"/>
        <v>14282.695</v>
      </c>
      <c r="AV48" s="464">
        <f t="shared" si="34"/>
        <v>467.59500000000003</v>
      </c>
      <c r="AW48" s="464">
        <f t="shared" si="35"/>
        <v>0</v>
      </c>
      <c r="AX48" s="464">
        <f t="shared" si="36"/>
        <v>708.39300000000003</v>
      </c>
      <c r="AY48" s="460">
        <f>'[2]PBF Run'!F55</f>
        <v>7309670</v>
      </c>
      <c r="AZ48" s="460">
        <f t="shared" si="37"/>
        <v>62933384</v>
      </c>
      <c r="BA48" s="460">
        <f>'[2]PBF Run'!J55 + '[2]PBF Run'!$L55</f>
        <v>62927696</v>
      </c>
      <c r="BB48" s="460">
        <f>'[2]PBF Run'!H55</f>
        <v>5688</v>
      </c>
      <c r="BC48" s="460">
        <f>'[2]PBF Run'!I55</f>
        <v>0</v>
      </c>
      <c r="BD48" s="462">
        <v>0</v>
      </c>
      <c r="BE48" s="461">
        <f>'[2]Restoration and Growth'!BM55</f>
        <v>0</v>
      </c>
      <c r="BF48" s="460">
        <f t="shared" si="38"/>
        <v>70243054</v>
      </c>
      <c r="BG48" s="333" t="str">
        <f t="shared" si="52"/>
        <v>0.85%</v>
      </c>
      <c r="BH48" s="459">
        <f>'[2]PBF Run'!O55</f>
        <v>597066</v>
      </c>
      <c r="BI48" s="459">
        <f t="shared" si="39"/>
        <v>70840120</v>
      </c>
      <c r="BJ48" s="458">
        <f>'[2]PBF Run'!AC55</f>
        <v>0</v>
      </c>
      <c r="BK48" s="458">
        <f>'[2]PBF Run'!$AD55</f>
        <v>0</v>
      </c>
      <c r="BL48" s="458">
        <f>'[2]PBF Run'!$T55</f>
        <v>0</v>
      </c>
      <c r="BM48" s="458">
        <f>'[2]PBF Run'!$S55</f>
        <v>3194676</v>
      </c>
      <c r="BN48" s="458">
        <f>'[2]13-14 $86M Workload Restore'!$P53</f>
        <v>0</v>
      </c>
      <c r="BO48" s="458">
        <f t="shared" si="40"/>
        <v>3194676</v>
      </c>
      <c r="BP48" s="478">
        <f>'[2]Restoration and Growth'!AA55</f>
        <v>0</v>
      </c>
      <c r="BQ48" s="478">
        <f>'[2]Restoration and Growth'!AB55</f>
        <v>0</v>
      </c>
      <c r="BR48" s="453">
        <f>'[2]Restoration and Growth'!BT55</f>
        <v>0</v>
      </c>
      <c r="BS48" s="453">
        <f>'[2]Growth Deficit'!$AO55</f>
        <v>0</v>
      </c>
      <c r="BT48" s="453">
        <f>'[2]Growth Deficit'!AO55</f>
        <v>0</v>
      </c>
      <c r="BU48" s="453">
        <f>'[2]Growth Deficit'!AL55</f>
        <v>0</v>
      </c>
      <c r="BV48" s="453">
        <f>'[2]Growth Deficit'!AM55</f>
        <v>0</v>
      </c>
      <c r="BW48" s="453">
        <f>'[2]Growth Deficit'!AN55</f>
        <v>0</v>
      </c>
      <c r="BX48" s="453">
        <f>'[2]Growth Deficit'!AO55</f>
        <v>0</v>
      </c>
      <c r="BY48" s="454">
        <f>'[2]PBF Run'!AA55</f>
        <v>0</v>
      </c>
      <c r="BZ48" s="454">
        <f>'[2]PBF Run'!AB55</f>
        <v>0</v>
      </c>
      <c r="CA48" s="454">
        <f>'[2]PBF Run'!AC55</f>
        <v>0</v>
      </c>
      <c r="CB48" s="454">
        <f t="shared" si="41"/>
        <v>0</v>
      </c>
      <c r="CC48" s="457">
        <f>'[2]PBF Run'!X55</f>
        <v>0</v>
      </c>
      <c r="CD48" s="456">
        <f>'[2]PBF Run'!AE55</f>
        <v>74034796</v>
      </c>
      <c r="CE48" s="337">
        <f t="shared" si="42"/>
        <v>0.98518541200545751</v>
      </c>
      <c r="CF48" s="455">
        <f>'[2]PBF Run'!AM55</f>
        <v>1096795</v>
      </c>
      <c r="CG48" s="455">
        <f>'[2]PBF Run'!$AN55</f>
        <v>44036977</v>
      </c>
      <c r="CH48" s="455">
        <f>'[2]PBF Run'!$AO55</f>
        <v>0</v>
      </c>
      <c r="CI48" s="455">
        <f>'[2]PBF Run'!AJ55</f>
        <v>13677173</v>
      </c>
      <c r="CJ48" s="455">
        <f>'[2]PBF Run'!AI55</f>
        <v>3703420</v>
      </c>
      <c r="CK48" s="455">
        <f>'[2]PBF Run'!$AN55</f>
        <v>44036977</v>
      </c>
      <c r="CL48" s="455">
        <f>'[2]PBF Run'!AK55</f>
        <v>11520431</v>
      </c>
      <c r="CM48" s="455">
        <f t="shared" si="43"/>
        <v>72938001</v>
      </c>
      <c r="CN48" s="454">
        <f>'[2]PBF Run'!$AN55</f>
        <v>44036977</v>
      </c>
      <c r="CO48" s="454">
        <f>'[2]PBF Run'!BI55</f>
        <v>0</v>
      </c>
      <c r="CP48" s="339">
        <f>'[2]PBF Run'!BH55</f>
        <v>0</v>
      </c>
      <c r="CQ48" s="454">
        <f t="shared" si="53"/>
        <v>69532</v>
      </c>
      <c r="CR48" s="454">
        <f t="shared" si="44"/>
        <v>44036977</v>
      </c>
      <c r="CS48" s="453">
        <f>'[2]As of 13-14 R1'!BX55</f>
        <v>0</v>
      </c>
      <c r="CT48" s="453">
        <f>'[2]As of 13-14 R1'!BY55</f>
        <v>0</v>
      </c>
      <c r="CU48" s="453">
        <f>'[2]As of 13-14 R1'!BZ55</f>
        <v>0</v>
      </c>
      <c r="CV48" s="453">
        <f t="shared" si="45"/>
        <v>0</v>
      </c>
      <c r="CW48" s="342">
        <f>'[2]Growth Deficit'!$D$2</f>
        <v>0</v>
      </c>
      <c r="CX48" s="343">
        <f>IF($DL48="S",'[2]Foundation Grant'!C55,0)</f>
        <v>0</v>
      </c>
      <c r="CY48" s="343">
        <f>IF($DL48="S",'[2]Foundation Grant'!D55,0)</f>
        <v>0</v>
      </c>
      <c r="CZ48" s="343">
        <f>IF($DL48="S",'[2]Foundation Grant'!E55,0)</f>
        <v>0</v>
      </c>
      <c r="DA48" s="343">
        <f>IF($DL48="S",'[2]Foundation Grant'!F55,0)</f>
        <v>0</v>
      </c>
      <c r="DB48" s="343">
        <f>IF($DL48="M",'[2]Foundation Grant'!C55,0)</f>
        <v>0</v>
      </c>
      <c r="DC48" s="343">
        <f>IF($DL48="M",'[2]Foundation Grant'!D55,0)</f>
        <v>1</v>
      </c>
      <c r="DD48" s="343">
        <f>IF($DL48="M",'[2]Foundation Grant'!E55,0)</f>
        <v>1</v>
      </c>
      <c r="DE48" s="343">
        <f>IF($DL48="M",'[2]Foundation Grant'!F55,0)</f>
        <v>2</v>
      </c>
      <c r="DF48" s="343">
        <f>'[2]Foundation Grant'!G55</f>
        <v>0</v>
      </c>
      <c r="DG48" s="343">
        <f>'[2]Foundation Grant'!H55</f>
        <v>0</v>
      </c>
      <c r="DH48" s="343">
        <f>'[2]Foundation Grant'!I55</f>
        <v>0</v>
      </c>
      <c r="DI48" s="343">
        <f>'[2]Foundation Grant'!J55</f>
        <v>0</v>
      </c>
      <c r="DJ48" s="343">
        <f>'[2]Foundation Grant'!K55</f>
        <v>0</v>
      </c>
      <c r="DK48" s="452">
        <f>'[2]Foundation Grant'!L55</f>
        <v>0</v>
      </c>
      <c r="DL48" s="343" t="str">
        <f>'[2]Foundation Grant'!M55</f>
        <v>M</v>
      </c>
      <c r="DM48" s="343">
        <f>'[2]Foundation Grant'!N55</f>
        <v>7309670</v>
      </c>
      <c r="DN48" s="452">
        <f>'[2]Foundation Grant'!O55</f>
        <v>0</v>
      </c>
      <c r="DO48" s="452">
        <f>'[2]Foundation Grant'!P55</f>
        <v>0</v>
      </c>
      <c r="DP48" s="344">
        <f>'[2]Foundation Grant'!$C$1</f>
        <v>5622823</v>
      </c>
      <c r="DQ48" s="344">
        <f>'[2]Foundation Grant'!$D$1</f>
        <v>4498258</v>
      </c>
      <c r="DR48" s="344">
        <f>'[2]Foundation Grant'!$E$1</f>
        <v>3373694</v>
      </c>
      <c r="DS48" s="344">
        <f>'[2]Foundation Grant'!$C$2</f>
        <v>4498258</v>
      </c>
      <c r="DT48" s="344">
        <f>'[2]Foundation Grant'!$D$2</f>
        <v>3935976</v>
      </c>
      <c r="DU48" s="344">
        <f>'[2]Foundation Grant'!$E$2</f>
        <v>3373694</v>
      </c>
      <c r="DV48" s="344">
        <f>'[2]Foundation Grant'!$G$1</f>
        <v>1124565</v>
      </c>
      <c r="DW48" s="344">
        <f>'[2]Foundation Grant'!$H$1</f>
        <v>843423</v>
      </c>
      <c r="DX48" s="344">
        <f>'[2]Foundation Grant'!$I$1</f>
        <v>562282</v>
      </c>
      <c r="DY48" s="344">
        <f>'[2]Foundation Grant'!$J$1</f>
        <v>281141</v>
      </c>
      <c r="DZ48" s="344">
        <f>'[2]Foundation Grant'!$K$1</f>
        <v>140571</v>
      </c>
      <c r="EA48" s="344">
        <f>'[2]Foundation Grant'!$O$1</f>
        <v>562282</v>
      </c>
      <c r="EB48" s="344">
        <f>'[2]Foundation Grant'!$P$1</f>
        <v>1124565</v>
      </c>
      <c r="EC48" s="345">
        <f>'[2]basic allocation'!$C$10</f>
        <v>18749</v>
      </c>
      <c r="ED48" s="345">
        <f>'[2]basic allocation'!$D$10</f>
        <v>9375</v>
      </c>
      <c r="EE48" s="345">
        <f>'[2]basic allocation'!$E$10</f>
        <v>9375</v>
      </c>
      <c r="EF48" s="345">
        <f>'[2]basic allocation'!$I$10</f>
        <v>938</v>
      </c>
      <c r="EG48" s="345">
        <f>'[2]basic allocation'!$J$10</f>
        <v>703</v>
      </c>
      <c r="EH48" s="345">
        <f>'[2]basic allocation'!$K$10</f>
        <v>469</v>
      </c>
      <c r="EI48" s="345">
        <f>'[2]basic allocation'!$L$10</f>
        <v>234</v>
      </c>
      <c r="EJ48" s="345">
        <f>'[2]basic allocation'!$M$10</f>
        <v>100</v>
      </c>
      <c r="EK48" s="345">
        <f>'[2]PBF Run'!$AT55</f>
        <v>0</v>
      </c>
      <c r="EM48" s="477"/>
    </row>
    <row r="49" spans="1:143">
      <c r="A49" s="476" t="s">
        <v>605</v>
      </c>
      <c r="B49" s="475" t="str">
        <f t="shared" si="46"/>
        <v>P1</v>
      </c>
      <c r="C49" s="346" t="s">
        <v>307</v>
      </c>
      <c r="D49" s="450" t="s">
        <v>306</v>
      </c>
      <c r="E49" s="449">
        <f>ROUND('[2]PBF Run'!N56,6)</f>
        <v>4636.4928639999998</v>
      </c>
      <c r="F49" s="340">
        <f t="shared" si="47"/>
        <v>4636.49</v>
      </c>
      <c r="G49" s="474">
        <f t="shared" si="48"/>
        <v>2788.0536374600001</v>
      </c>
      <c r="H49" s="473">
        <f t="shared" si="49"/>
        <v>2811.7520933800001</v>
      </c>
      <c r="I49" s="473">
        <f t="shared" si="50"/>
        <v>3282.8110613200001</v>
      </c>
      <c r="J49" s="473">
        <f t="shared" si="51"/>
        <v>3310.71495534</v>
      </c>
      <c r="K49" s="472">
        <f>ROUND([2]FTES!C56,3)</f>
        <v>31883.357</v>
      </c>
      <c r="L49" s="472">
        <f>ROUND([2]FTES!L56,3)</f>
        <v>2020.11</v>
      </c>
      <c r="M49" s="472">
        <f>ROUND([2]FTES!U56,3)</f>
        <v>6148.03</v>
      </c>
      <c r="N49" s="465">
        <f>ROUND([2]FTES!$D56,3)</f>
        <v>31883.357</v>
      </c>
      <c r="O49" s="465">
        <f>ROUND([2]FTES!$M56,3)</f>
        <v>2020.11</v>
      </c>
      <c r="P49" s="465">
        <f>ROUND([2]FTES!$V56,3)</f>
        <v>6148.03</v>
      </c>
      <c r="Q49" s="471">
        <f>'[2]FTES Adjustment'!BU56</f>
        <v>0</v>
      </c>
      <c r="R49" s="471">
        <f>'[2]FTES Adjustment'!BV56</f>
        <v>0</v>
      </c>
      <c r="S49" s="471">
        <f>'[2]FTES Adjustment'!BW56</f>
        <v>0</v>
      </c>
      <c r="T49" s="469">
        <f>ROUND('[2]Growth Deficit'!$AG56,3)</f>
        <v>0</v>
      </c>
      <c r="U49" s="469">
        <f>ROUND('[2]Growth Deficit'!$AH56,3)</f>
        <v>0</v>
      </c>
      <c r="V49" s="469">
        <f>ROUND('[2]Growth Deficit'!$AI56,3)</f>
        <v>0</v>
      </c>
      <c r="W49" s="470">
        <f>ROUND([2]FTES!I56,3)</f>
        <v>0</v>
      </c>
      <c r="X49" s="470">
        <f>ROUND([2]FTES!R56,3)</f>
        <v>0</v>
      </c>
      <c r="Y49" s="470">
        <f>ROUND([2]FTES!AA56,3)</f>
        <v>0</v>
      </c>
      <c r="Z49" s="469">
        <f>ROUND([2]FTES!E56,3)</f>
        <v>33624.39</v>
      </c>
      <c r="AA49" s="469">
        <f>ROUND([2]FTES!N56,3)</f>
        <v>2206.9899999999998</v>
      </c>
      <c r="AB49" s="469">
        <f>ROUND([2]FTES!W56,3)</f>
        <v>6208.41</v>
      </c>
      <c r="AC49" s="468">
        <f>'[2]FTES Adjustment'!CW56</f>
        <v>33613.700787000002</v>
      </c>
      <c r="AD49" s="468">
        <f>'[2]FTES Adjustment'!CX56</f>
        <v>2206.9900000000007</v>
      </c>
      <c r="AE49" s="468">
        <f>'[2]FTES Adjustment'!CY56</f>
        <v>6208.41</v>
      </c>
      <c r="AF49" s="467">
        <f>'[2]FTES Adjustment'!DQ56</f>
        <v>10.689212999997835</v>
      </c>
      <c r="AG49" s="467">
        <f>'[2]FTES Adjustment'!DR56</f>
        <v>0</v>
      </c>
      <c r="AH49" s="467">
        <f>'[2]FTES Adjustment'!DS56</f>
        <v>0</v>
      </c>
      <c r="AI49" s="340">
        <f>'[2]FTES Adjustment'!$DX56</f>
        <v>0</v>
      </c>
      <c r="AJ49" s="340">
        <v>0</v>
      </c>
      <c r="AK49" s="340">
        <v>0</v>
      </c>
      <c r="AL49" s="465">
        <f>'[2]FTES Adjustment'!CG56</f>
        <v>1730.3436200000001</v>
      </c>
      <c r="AM49" s="465">
        <f>'[2]FTES Adjustment'!CH56</f>
        <v>186.88</v>
      </c>
      <c r="AN49" s="465">
        <f>'[2]FTES Adjustment'!CI56</f>
        <v>60.38</v>
      </c>
      <c r="AO49" s="463">
        <f t="shared" si="27"/>
        <v>40051.497000000003</v>
      </c>
      <c r="AP49" s="463">
        <f t="shared" si="28"/>
        <v>40051.497000000003</v>
      </c>
      <c r="AQ49" s="463">
        <f t="shared" si="29"/>
        <v>0</v>
      </c>
      <c r="AR49" s="463">
        <f t="shared" si="30"/>
        <v>0</v>
      </c>
      <c r="AS49" s="463">
        <f t="shared" si="31"/>
        <v>0</v>
      </c>
      <c r="AT49" s="463">
        <f t="shared" si="32"/>
        <v>42039.79</v>
      </c>
      <c r="AU49" s="463">
        <f t="shared" si="33"/>
        <v>42029.101000000002</v>
      </c>
      <c r="AV49" s="464">
        <f t="shared" si="34"/>
        <v>10.689</v>
      </c>
      <c r="AW49" s="464">
        <f t="shared" si="35"/>
        <v>0</v>
      </c>
      <c r="AX49" s="464">
        <f t="shared" si="36"/>
        <v>1977.604</v>
      </c>
      <c r="AY49" s="460">
        <f>'[2]PBF Run'!F56</f>
        <v>16868471</v>
      </c>
      <c r="AZ49" s="460">
        <f t="shared" si="37"/>
        <v>173641954</v>
      </c>
      <c r="BA49" s="460">
        <f>'[2]PBF Run'!J56 + '[2]PBF Run'!$L56</f>
        <v>147826958</v>
      </c>
      <c r="BB49" s="460">
        <f>'[2]PBF Run'!H56</f>
        <v>5632175</v>
      </c>
      <c r="BC49" s="460">
        <f>'[2]PBF Run'!I56</f>
        <v>20182821</v>
      </c>
      <c r="BD49" s="462">
        <v>0</v>
      </c>
      <c r="BE49" s="461">
        <f>'[2]Restoration and Growth'!BM56</f>
        <v>0</v>
      </c>
      <c r="BF49" s="460">
        <f t="shared" si="38"/>
        <v>190510425</v>
      </c>
      <c r="BG49" s="333" t="str">
        <f t="shared" si="52"/>
        <v>0.85%</v>
      </c>
      <c r="BH49" s="459">
        <f>'[2]PBF Run'!O56</f>
        <v>1619339</v>
      </c>
      <c r="BI49" s="459">
        <f t="shared" si="39"/>
        <v>192129764</v>
      </c>
      <c r="BJ49" s="458">
        <f>'[2]PBF Run'!AC56</f>
        <v>0</v>
      </c>
      <c r="BK49" s="458">
        <f>'[2]PBF Run'!$AD56</f>
        <v>0</v>
      </c>
      <c r="BL49" s="458">
        <f>'[2]PBF Run'!$T56</f>
        <v>0</v>
      </c>
      <c r="BM49" s="458">
        <f>'[2]PBF Run'!$S56</f>
        <v>8816280</v>
      </c>
      <c r="BN49" s="458">
        <f>'[2]13-14 $86M Workload Restore'!$P54</f>
        <v>0</v>
      </c>
      <c r="BO49" s="458">
        <f t="shared" si="40"/>
        <v>8816280</v>
      </c>
      <c r="BP49" s="478">
        <f>'[2]Restoration and Growth'!AA56</f>
        <v>0</v>
      </c>
      <c r="BQ49" s="478">
        <f>'[2]Restoration and Growth'!AB56</f>
        <v>0</v>
      </c>
      <c r="BR49" s="453">
        <f>'[2]Restoration and Growth'!BT56</f>
        <v>0</v>
      </c>
      <c r="BS49" s="453">
        <f>'[2]Growth Deficit'!$AO56</f>
        <v>0</v>
      </c>
      <c r="BT49" s="453">
        <f>'[2]Growth Deficit'!AO56</f>
        <v>0</v>
      </c>
      <c r="BU49" s="453">
        <f>'[2]Growth Deficit'!AL56</f>
        <v>0</v>
      </c>
      <c r="BV49" s="453">
        <f>'[2]Growth Deficit'!AM56</f>
        <v>0</v>
      </c>
      <c r="BW49" s="453">
        <f>'[2]Growth Deficit'!AN56</f>
        <v>0</v>
      </c>
      <c r="BX49" s="453">
        <f>'[2]Growth Deficit'!AO56</f>
        <v>0</v>
      </c>
      <c r="BY49" s="454">
        <f>'[2]PBF Run'!AA56</f>
        <v>0</v>
      </c>
      <c r="BZ49" s="454">
        <f>'[2]PBF Run'!AB56</f>
        <v>0</v>
      </c>
      <c r="CA49" s="454">
        <f>'[2]PBF Run'!AC56</f>
        <v>0</v>
      </c>
      <c r="CB49" s="454">
        <f t="shared" si="41"/>
        <v>0</v>
      </c>
      <c r="CC49" s="457">
        <f>'[2]PBF Run'!X56</f>
        <v>0</v>
      </c>
      <c r="CD49" s="456">
        <f>'[2]PBF Run'!AE56</f>
        <v>200946044</v>
      </c>
      <c r="CE49" s="337">
        <f t="shared" si="42"/>
        <v>0.98518541624039135</v>
      </c>
      <c r="CF49" s="455">
        <f>'[2]PBF Run'!AM56</f>
        <v>2976932</v>
      </c>
      <c r="CG49" s="455">
        <f>'[2]PBF Run'!$AN56</f>
        <v>77171625</v>
      </c>
      <c r="CH49" s="455">
        <f>'[2]PBF Run'!$AO56</f>
        <v>0</v>
      </c>
      <c r="CI49" s="455">
        <f>'[2]PBF Run'!AJ56</f>
        <v>78991255</v>
      </c>
      <c r="CJ49" s="455">
        <f>'[2]PBF Run'!AI56</f>
        <v>10632456</v>
      </c>
      <c r="CK49" s="455">
        <f>'[2]PBF Run'!$AN56</f>
        <v>77171625</v>
      </c>
      <c r="CL49" s="455">
        <f>'[2]PBF Run'!AK56</f>
        <v>31173776</v>
      </c>
      <c r="CM49" s="455">
        <f t="shared" si="43"/>
        <v>197969112</v>
      </c>
      <c r="CN49" s="454">
        <f>'[2]PBF Run'!$AN56</f>
        <v>77171625</v>
      </c>
      <c r="CO49" s="454">
        <f>'[2]PBF Run'!BI56</f>
        <v>0</v>
      </c>
      <c r="CP49" s="339">
        <f>'[2]PBF Run'!BH56</f>
        <v>0</v>
      </c>
      <c r="CQ49" s="454">
        <f t="shared" si="53"/>
        <v>69532</v>
      </c>
      <c r="CR49" s="454">
        <f t="shared" si="44"/>
        <v>77171625</v>
      </c>
      <c r="CS49" s="453">
        <f>'[2]As of 13-14 R1'!BX56</f>
        <v>0</v>
      </c>
      <c r="CT49" s="453">
        <f>'[2]As of 13-14 R1'!BY56</f>
        <v>0</v>
      </c>
      <c r="CU49" s="453">
        <f>'[2]As of 13-14 R1'!BZ56</f>
        <v>0</v>
      </c>
      <c r="CV49" s="453">
        <f t="shared" si="45"/>
        <v>0</v>
      </c>
      <c r="CW49" s="342">
        <f>'[2]Growth Deficit'!$D$2</f>
        <v>0</v>
      </c>
      <c r="CX49" s="343">
        <f>IF($DL49="S",'[2]Foundation Grant'!C56,0)</f>
        <v>0</v>
      </c>
      <c r="CY49" s="343">
        <f>IF($DL49="S",'[2]Foundation Grant'!D56,0)</f>
        <v>0</v>
      </c>
      <c r="CZ49" s="343">
        <f>IF($DL49="S",'[2]Foundation Grant'!E56,0)</f>
        <v>0</v>
      </c>
      <c r="DA49" s="343">
        <f>IF($DL49="S",'[2]Foundation Grant'!F56,0)</f>
        <v>0</v>
      </c>
      <c r="DB49" s="343">
        <f>IF($DL49="M",'[2]Foundation Grant'!C56,0)</f>
        <v>0</v>
      </c>
      <c r="DC49" s="343">
        <f>IF($DL49="M",'[2]Foundation Grant'!D56,0)</f>
        <v>2</v>
      </c>
      <c r="DD49" s="343">
        <f>IF($DL49="M",'[2]Foundation Grant'!E56,0)</f>
        <v>1</v>
      </c>
      <c r="DE49" s="343">
        <f>IF($DL49="M",'[2]Foundation Grant'!F56,0)</f>
        <v>3</v>
      </c>
      <c r="DF49" s="343">
        <f>'[2]Foundation Grant'!G56</f>
        <v>5</v>
      </c>
      <c r="DG49" s="343">
        <f>'[2]Foundation Grant'!H56</f>
        <v>0</v>
      </c>
      <c r="DH49" s="343">
        <f>'[2]Foundation Grant'!I56</f>
        <v>0</v>
      </c>
      <c r="DI49" s="343">
        <f>'[2]Foundation Grant'!J56</f>
        <v>0</v>
      </c>
      <c r="DJ49" s="343">
        <f>'[2]Foundation Grant'!K56</f>
        <v>0</v>
      </c>
      <c r="DK49" s="452">
        <f>'[2]Foundation Grant'!L56</f>
        <v>5</v>
      </c>
      <c r="DL49" s="343" t="str">
        <f>'[2]Foundation Grant'!M56</f>
        <v>M</v>
      </c>
      <c r="DM49" s="343">
        <f>'[2]Foundation Grant'!N56</f>
        <v>16868471</v>
      </c>
      <c r="DN49" s="452">
        <f>'[2]Foundation Grant'!O56</f>
        <v>0</v>
      </c>
      <c r="DO49" s="452">
        <f>'[2]Foundation Grant'!P56</f>
        <v>0</v>
      </c>
      <c r="DP49" s="344">
        <f>'[2]Foundation Grant'!$C$1</f>
        <v>5622823</v>
      </c>
      <c r="DQ49" s="344">
        <f>'[2]Foundation Grant'!$D$1</f>
        <v>4498258</v>
      </c>
      <c r="DR49" s="344">
        <f>'[2]Foundation Grant'!$E$1</f>
        <v>3373694</v>
      </c>
      <c r="DS49" s="344">
        <f>'[2]Foundation Grant'!$C$2</f>
        <v>4498258</v>
      </c>
      <c r="DT49" s="344">
        <f>'[2]Foundation Grant'!$D$2</f>
        <v>3935976</v>
      </c>
      <c r="DU49" s="344">
        <f>'[2]Foundation Grant'!$E$2</f>
        <v>3373694</v>
      </c>
      <c r="DV49" s="344">
        <f>'[2]Foundation Grant'!$G$1</f>
        <v>1124565</v>
      </c>
      <c r="DW49" s="344">
        <f>'[2]Foundation Grant'!$H$1</f>
        <v>843423</v>
      </c>
      <c r="DX49" s="344">
        <f>'[2]Foundation Grant'!$I$1</f>
        <v>562282</v>
      </c>
      <c r="DY49" s="344">
        <f>'[2]Foundation Grant'!$J$1</f>
        <v>281141</v>
      </c>
      <c r="DZ49" s="344">
        <f>'[2]Foundation Grant'!$K$1</f>
        <v>140571</v>
      </c>
      <c r="EA49" s="344">
        <f>'[2]Foundation Grant'!$O$1</f>
        <v>562282</v>
      </c>
      <c r="EB49" s="344">
        <f>'[2]Foundation Grant'!$P$1</f>
        <v>1124565</v>
      </c>
      <c r="EC49" s="345">
        <f>'[2]basic allocation'!$C$10</f>
        <v>18749</v>
      </c>
      <c r="ED49" s="345">
        <f>'[2]basic allocation'!$D$10</f>
        <v>9375</v>
      </c>
      <c r="EE49" s="345">
        <f>'[2]basic allocation'!$E$10</f>
        <v>9375</v>
      </c>
      <c r="EF49" s="345">
        <f>'[2]basic allocation'!$I$10</f>
        <v>938</v>
      </c>
      <c r="EG49" s="345">
        <f>'[2]basic allocation'!$J$10</f>
        <v>703</v>
      </c>
      <c r="EH49" s="345">
        <f>'[2]basic allocation'!$K$10</f>
        <v>469</v>
      </c>
      <c r="EI49" s="345">
        <f>'[2]basic allocation'!$L$10</f>
        <v>234</v>
      </c>
      <c r="EJ49" s="345">
        <f>'[2]basic allocation'!$M$10</f>
        <v>100</v>
      </c>
      <c r="EK49" s="345">
        <f>'[2]PBF Run'!$AT56</f>
        <v>0</v>
      </c>
      <c r="EM49" s="477"/>
    </row>
    <row r="50" spans="1:143">
      <c r="A50" s="476" t="s">
        <v>605</v>
      </c>
      <c r="B50" s="475" t="str">
        <f t="shared" si="46"/>
        <v>P1</v>
      </c>
      <c r="C50" s="346" t="s">
        <v>305</v>
      </c>
      <c r="D50" s="450" t="s">
        <v>304</v>
      </c>
      <c r="E50" s="449">
        <f>ROUND('[2]PBF Run'!N57,6)</f>
        <v>4704.1546200000003</v>
      </c>
      <c r="F50" s="340">
        <f t="shared" si="47"/>
        <v>4636.49</v>
      </c>
      <c r="G50" s="474">
        <f t="shared" si="48"/>
        <v>2788.0536374600001</v>
      </c>
      <c r="H50" s="473">
        <f t="shared" si="49"/>
        <v>2811.7520933800001</v>
      </c>
      <c r="I50" s="473">
        <f t="shared" si="50"/>
        <v>3282.8110613200001</v>
      </c>
      <c r="J50" s="473">
        <f t="shared" si="51"/>
        <v>3310.71495534</v>
      </c>
      <c r="K50" s="472">
        <f>ROUND([2]FTES!C57,3)</f>
        <v>22887.040000000001</v>
      </c>
      <c r="L50" s="472">
        <f>ROUND([2]FTES!L57,3)</f>
        <v>2660.35</v>
      </c>
      <c r="M50" s="472">
        <f>ROUND([2]FTES!U57,3)</f>
        <v>7073.91</v>
      </c>
      <c r="N50" s="465">
        <f>ROUND([2]FTES!$D57,3)</f>
        <v>22887.040000000001</v>
      </c>
      <c r="O50" s="465">
        <f>ROUND([2]FTES!$M57,3)</f>
        <v>2660.35</v>
      </c>
      <c r="P50" s="465">
        <f>ROUND([2]FTES!$V57,3)</f>
        <v>7073.91</v>
      </c>
      <c r="Q50" s="471">
        <f>'[2]FTES Adjustment'!BU57</f>
        <v>0</v>
      </c>
      <c r="R50" s="471">
        <f>'[2]FTES Adjustment'!BV57</f>
        <v>0</v>
      </c>
      <c r="S50" s="471">
        <f>'[2]FTES Adjustment'!BW57</f>
        <v>0</v>
      </c>
      <c r="T50" s="469">
        <f>ROUND('[2]Growth Deficit'!$AG57,3)</f>
        <v>0</v>
      </c>
      <c r="U50" s="469">
        <f>ROUND('[2]Growth Deficit'!$AH57,3)</f>
        <v>0</v>
      </c>
      <c r="V50" s="469">
        <f>ROUND('[2]Growth Deficit'!$AI57,3)</f>
        <v>0</v>
      </c>
      <c r="W50" s="470">
        <f>ROUND([2]FTES!I57,3)</f>
        <v>-6577.36</v>
      </c>
      <c r="X50" s="470">
        <f>ROUND([2]FTES!R57,3)</f>
        <v>-1043.99</v>
      </c>
      <c r="Y50" s="470">
        <f>ROUND([2]FTES!AA57,3)</f>
        <v>-1455.32</v>
      </c>
      <c r="Z50" s="469">
        <f>ROUND([2]FTES!E57,3)</f>
        <v>16309.68</v>
      </c>
      <c r="AA50" s="469">
        <f>ROUND([2]FTES!N57,3)</f>
        <v>1616.36</v>
      </c>
      <c r="AB50" s="469">
        <f>ROUND([2]FTES!W57,3)</f>
        <v>5618.59</v>
      </c>
      <c r="AC50" s="468">
        <f>'[2]FTES Adjustment'!CW57</f>
        <v>16309.68</v>
      </c>
      <c r="AD50" s="468">
        <f>'[2]FTES Adjustment'!CX57</f>
        <v>1616.3600000000004</v>
      </c>
      <c r="AE50" s="468">
        <f>'[2]FTES Adjustment'!CY57</f>
        <v>5618.59</v>
      </c>
      <c r="AF50" s="467">
        <f>'[2]FTES Adjustment'!DQ57</f>
        <v>0</v>
      </c>
      <c r="AG50" s="467">
        <f>'[2]FTES Adjustment'!DR57</f>
        <v>0</v>
      </c>
      <c r="AH50" s="467">
        <f>'[2]FTES Adjustment'!DS57</f>
        <v>0</v>
      </c>
      <c r="AI50" s="340">
        <f>'[2]FTES Adjustment'!$DX57</f>
        <v>0</v>
      </c>
      <c r="AJ50" s="340">
        <v>0</v>
      </c>
      <c r="AK50" s="340">
        <v>0</v>
      </c>
      <c r="AL50" s="465">
        <f>'[2]FTES Adjustment'!CG57</f>
        <v>0</v>
      </c>
      <c r="AM50" s="465">
        <f>'[2]FTES Adjustment'!CH57</f>
        <v>0</v>
      </c>
      <c r="AN50" s="465">
        <f>'[2]FTES Adjustment'!CI57</f>
        <v>0</v>
      </c>
      <c r="AO50" s="463">
        <f t="shared" si="27"/>
        <v>32621.3</v>
      </c>
      <c r="AP50" s="463">
        <f t="shared" si="28"/>
        <v>32621.3</v>
      </c>
      <c r="AQ50" s="463">
        <f t="shared" si="29"/>
        <v>0</v>
      </c>
      <c r="AR50" s="463">
        <f t="shared" si="30"/>
        <v>0</v>
      </c>
      <c r="AS50" s="463">
        <f t="shared" si="31"/>
        <v>-9076.67</v>
      </c>
      <c r="AT50" s="463">
        <f t="shared" si="32"/>
        <v>23544.63</v>
      </c>
      <c r="AU50" s="463">
        <f t="shared" si="33"/>
        <v>23544.63</v>
      </c>
      <c r="AV50" s="464">
        <f t="shared" si="34"/>
        <v>0</v>
      </c>
      <c r="AW50" s="464">
        <f t="shared" si="35"/>
        <v>0</v>
      </c>
      <c r="AX50" s="464">
        <f t="shared" si="36"/>
        <v>0</v>
      </c>
      <c r="AY50" s="460">
        <f>'[2]PBF Run'!F57</f>
        <v>12651354</v>
      </c>
      <c r="AZ50" s="460">
        <f t="shared" si="37"/>
        <v>138303683</v>
      </c>
      <c r="BA50" s="460">
        <f>'[2]PBF Run'!J57 + '[2]PBF Run'!$L57</f>
        <v>107664175</v>
      </c>
      <c r="BB50" s="460">
        <f>'[2]PBF Run'!H57</f>
        <v>7417198</v>
      </c>
      <c r="BC50" s="460">
        <f>'[2]PBF Run'!I57</f>
        <v>23222310</v>
      </c>
      <c r="BD50" s="462">
        <v>0</v>
      </c>
      <c r="BE50" s="461">
        <f>'[2]Restoration and Growth'!BM57</f>
        <v>-38184123.946455136</v>
      </c>
      <c r="BF50" s="460">
        <f t="shared" si="38"/>
        <v>112770913.05354486</v>
      </c>
      <c r="BG50" s="333" t="str">
        <f t="shared" si="52"/>
        <v>0.85%</v>
      </c>
      <c r="BH50" s="459">
        <f>'[2]PBF Run'!O57</f>
        <v>958553</v>
      </c>
      <c r="BI50" s="459">
        <f t="shared" si="39"/>
        <v>113729466.05354486</v>
      </c>
      <c r="BJ50" s="458">
        <f>'[2]PBF Run'!AC57</f>
        <v>0</v>
      </c>
      <c r="BK50" s="458">
        <f>'[2]PBF Run'!$AD57</f>
        <v>0</v>
      </c>
      <c r="BL50" s="458">
        <f>'[2]PBF Run'!$T57</f>
        <v>0</v>
      </c>
      <c r="BM50" s="458">
        <f>'[2]PBF Run'!$S57</f>
        <v>0</v>
      </c>
      <c r="BN50" s="458">
        <f>'[2]13-14 $86M Workload Restore'!$P55</f>
        <v>0</v>
      </c>
      <c r="BO50" s="458">
        <f t="shared" si="40"/>
        <v>0</v>
      </c>
      <c r="BP50" s="478">
        <f>'[2]Restoration and Growth'!AA57</f>
        <v>0</v>
      </c>
      <c r="BQ50" s="478">
        <f>'[2]Restoration and Growth'!AB57</f>
        <v>0</v>
      </c>
      <c r="BR50" s="453">
        <f>'[2]Restoration and Growth'!BT57</f>
        <v>0</v>
      </c>
      <c r="BS50" s="453">
        <f>'[2]Growth Deficit'!$AO57</f>
        <v>0</v>
      </c>
      <c r="BT50" s="453">
        <f>'[2]Growth Deficit'!AO57</f>
        <v>0</v>
      </c>
      <c r="BU50" s="453">
        <f>'[2]Growth Deficit'!AL57</f>
        <v>0</v>
      </c>
      <c r="BV50" s="453">
        <f>'[2]Growth Deficit'!AM57</f>
        <v>0</v>
      </c>
      <c r="BW50" s="453">
        <f>'[2]Growth Deficit'!AN57</f>
        <v>0</v>
      </c>
      <c r="BX50" s="453">
        <f>'[2]Growth Deficit'!AO57</f>
        <v>0</v>
      </c>
      <c r="BY50" s="454">
        <f>'[2]PBF Run'!AA57</f>
        <v>0</v>
      </c>
      <c r="BZ50" s="454">
        <f>'[2]PBF Run'!AB57</f>
        <v>0</v>
      </c>
      <c r="CA50" s="454">
        <f>'[2]PBF Run'!AC57</f>
        <v>0</v>
      </c>
      <c r="CB50" s="454">
        <f t="shared" si="41"/>
        <v>0</v>
      </c>
      <c r="CC50" s="457">
        <f>'[2]PBF Run'!X57</f>
        <v>38508689</v>
      </c>
      <c r="CD50" s="456">
        <f>'[2]PBF Run'!AE57</f>
        <v>152238155</v>
      </c>
      <c r="CE50" s="337">
        <f t="shared" si="42"/>
        <v>0.98518541557469608</v>
      </c>
      <c r="CF50" s="455">
        <f>'[2]PBF Run'!AM57</f>
        <v>2255345</v>
      </c>
      <c r="CG50" s="455">
        <f>'[2]PBF Run'!$AN57</f>
        <v>54792299</v>
      </c>
      <c r="CH50" s="455">
        <f>'[2]PBF Run'!$AO57</f>
        <v>0</v>
      </c>
      <c r="CI50" s="455">
        <f>'[2]PBF Run'!AJ57</f>
        <v>63689669</v>
      </c>
      <c r="CJ50" s="455">
        <f>'[2]PBF Run'!AI57</f>
        <v>7849702</v>
      </c>
      <c r="CK50" s="455">
        <f>'[2]PBF Run'!$AN57</f>
        <v>54792299</v>
      </c>
      <c r="CL50" s="455">
        <f>'[2]PBF Run'!AK57</f>
        <v>23651140</v>
      </c>
      <c r="CM50" s="455">
        <f t="shared" si="43"/>
        <v>149982810</v>
      </c>
      <c r="CN50" s="454">
        <f>'[2]PBF Run'!$AN57</f>
        <v>54792299</v>
      </c>
      <c r="CO50" s="454">
        <f>'[2]PBF Run'!BI57</f>
        <v>0</v>
      </c>
      <c r="CP50" s="339">
        <f>'[2]PBF Run'!BH57</f>
        <v>0</v>
      </c>
      <c r="CQ50" s="454">
        <f t="shared" si="53"/>
        <v>69532</v>
      </c>
      <c r="CR50" s="454">
        <f t="shared" si="44"/>
        <v>54792299</v>
      </c>
      <c r="CS50" s="453">
        <f>'[2]As of 13-14 R1'!BX57</f>
        <v>6151276</v>
      </c>
      <c r="CT50" s="453">
        <f>'[2]As of 13-14 R1'!BY57</f>
        <v>0</v>
      </c>
      <c r="CU50" s="453">
        <f>'[2]As of 13-14 R1'!BZ57</f>
        <v>0</v>
      </c>
      <c r="CV50" s="453">
        <f t="shared" si="45"/>
        <v>6151276</v>
      </c>
      <c r="CW50" s="342">
        <f>'[2]Growth Deficit'!$D$2</f>
        <v>0</v>
      </c>
      <c r="CX50" s="343">
        <f>IF($DL50="S",'[2]Foundation Grant'!C57,0)</f>
        <v>1</v>
      </c>
      <c r="CY50" s="343">
        <f>IF($DL50="S",'[2]Foundation Grant'!D57,0)</f>
        <v>0</v>
      </c>
      <c r="CZ50" s="343">
        <f>IF($DL50="S",'[2]Foundation Grant'!E57,0)</f>
        <v>0</v>
      </c>
      <c r="DA50" s="343">
        <f>IF($DL50="S",'[2]Foundation Grant'!F57,0)</f>
        <v>1</v>
      </c>
      <c r="DB50" s="343">
        <f>IF($DL50="M",'[2]Foundation Grant'!C57,0)</f>
        <v>0</v>
      </c>
      <c r="DC50" s="343">
        <f>IF($DL50="M",'[2]Foundation Grant'!D57,0)</f>
        <v>0</v>
      </c>
      <c r="DD50" s="343">
        <f>IF($DL50="M",'[2]Foundation Grant'!E57,0)</f>
        <v>0</v>
      </c>
      <c r="DE50" s="343">
        <f>IF($DL50="M",'[2]Foundation Grant'!F57,0)</f>
        <v>0</v>
      </c>
      <c r="DF50" s="343">
        <f>'[2]Foundation Grant'!G57</f>
        <v>5</v>
      </c>
      <c r="DG50" s="343">
        <f>'[2]Foundation Grant'!H57</f>
        <v>0</v>
      </c>
      <c r="DH50" s="343">
        <f>'[2]Foundation Grant'!I57</f>
        <v>0</v>
      </c>
      <c r="DI50" s="343">
        <f>'[2]Foundation Grant'!J57</f>
        <v>1</v>
      </c>
      <c r="DJ50" s="343">
        <f>'[2]Foundation Grant'!K57</f>
        <v>0</v>
      </c>
      <c r="DK50" s="452">
        <f>'[2]Foundation Grant'!L57</f>
        <v>6</v>
      </c>
      <c r="DL50" s="343" t="str">
        <f>'[2]Foundation Grant'!M57</f>
        <v>S</v>
      </c>
      <c r="DM50" s="343">
        <f>'[2]Foundation Grant'!N57</f>
        <v>12651354</v>
      </c>
      <c r="DN50" s="452">
        <f>'[2]Foundation Grant'!O57</f>
        <v>0</v>
      </c>
      <c r="DO50" s="452">
        <f>'[2]Foundation Grant'!P57</f>
        <v>1</v>
      </c>
      <c r="DP50" s="344">
        <f>'[2]Foundation Grant'!$C$1</f>
        <v>5622823</v>
      </c>
      <c r="DQ50" s="344">
        <f>'[2]Foundation Grant'!$D$1</f>
        <v>4498258</v>
      </c>
      <c r="DR50" s="344">
        <f>'[2]Foundation Grant'!$E$1</f>
        <v>3373694</v>
      </c>
      <c r="DS50" s="344">
        <f>'[2]Foundation Grant'!$C$2</f>
        <v>4498258</v>
      </c>
      <c r="DT50" s="344">
        <f>'[2]Foundation Grant'!$D$2</f>
        <v>3935976</v>
      </c>
      <c r="DU50" s="344">
        <f>'[2]Foundation Grant'!$E$2</f>
        <v>3373694</v>
      </c>
      <c r="DV50" s="344">
        <f>'[2]Foundation Grant'!$G$1</f>
        <v>1124565</v>
      </c>
      <c r="DW50" s="344">
        <f>'[2]Foundation Grant'!$H$1</f>
        <v>843423</v>
      </c>
      <c r="DX50" s="344">
        <f>'[2]Foundation Grant'!$I$1</f>
        <v>562282</v>
      </c>
      <c r="DY50" s="344">
        <f>'[2]Foundation Grant'!$J$1</f>
        <v>281141</v>
      </c>
      <c r="DZ50" s="344">
        <f>'[2]Foundation Grant'!$K$1</f>
        <v>140571</v>
      </c>
      <c r="EA50" s="344">
        <f>'[2]Foundation Grant'!$O$1</f>
        <v>562282</v>
      </c>
      <c r="EB50" s="344">
        <f>'[2]Foundation Grant'!$P$1</f>
        <v>1124565</v>
      </c>
      <c r="EC50" s="345">
        <f>'[2]basic allocation'!$C$10</f>
        <v>18749</v>
      </c>
      <c r="ED50" s="345">
        <f>'[2]basic allocation'!$D$10</f>
        <v>9375</v>
      </c>
      <c r="EE50" s="345">
        <f>'[2]basic allocation'!$E$10</f>
        <v>9375</v>
      </c>
      <c r="EF50" s="345">
        <f>'[2]basic allocation'!$I$10</f>
        <v>938</v>
      </c>
      <c r="EG50" s="345">
        <f>'[2]basic allocation'!$J$10</f>
        <v>703</v>
      </c>
      <c r="EH50" s="345">
        <f>'[2]basic allocation'!$K$10</f>
        <v>469</v>
      </c>
      <c r="EI50" s="345">
        <f>'[2]basic allocation'!$L$10</f>
        <v>234</v>
      </c>
      <c r="EJ50" s="345">
        <f>'[2]basic allocation'!$M$10</f>
        <v>100</v>
      </c>
      <c r="EK50" s="345">
        <f>'[2]PBF Run'!$AT57</f>
        <v>0</v>
      </c>
      <c r="EM50" s="477"/>
    </row>
    <row r="51" spans="1:143">
      <c r="A51" s="476" t="s">
        <v>605</v>
      </c>
      <c r="B51" s="475" t="str">
        <f t="shared" si="46"/>
        <v>P1</v>
      </c>
      <c r="C51" s="346" t="s">
        <v>303</v>
      </c>
      <c r="D51" s="450" t="s">
        <v>302</v>
      </c>
      <c r="E51" s="449">
        <f>ROUND('[2]PBF Run'!N58,6)</f>
        <v>4636.4928309999996</v>
      </c>
      <c r="F51" s="340">
        <f t="shared" si="47"/>
        <v>4636.49</v>
      </c>
      <c r="G51" s="474">
        <f t="shared" si="48"/>
        <v>2788.0536374600001</v>
      </c>
      <c r="H51" s="473">
        <f t="shared" si="49"/>
        <v>2811.7520933800001</v>
      </c>
      <c r="I51" s="473">
        <f t="shared" si="50"/>
        <v>3282.8110613200001</v>
      </c>
      <c r="J51" s="473">
        <f t="shared" si="51"/>
        <v>3310.71495534</v>
      </c>
      <c r="K51" s="472">
        <f>ROUND([2]FTES!C58,3)</f>
        <v>15297.74</v>
      </c>
      <c r="L51" s="472">
        <f>ROUND([2]FTES!L58,3)</f>
        <v>162.66999999999999</v>
      </c>
      <c r="M51" s="472">
        <f>ROUND([2]FTES!U58,3)</f>
        <v>0</v>
      </c>
      <c r="N51" s="465">
        <f>ROUND([2]FTES!$D58,3)</f>
        <v>15297.74</v>
      </c>
      <c r="O51" s="465">
        <f>ROUND([2]FTES!$M58,3)</f>
        <v>162.66999999999999</v>
      </c>
      <c r="P51" s="465">
        <f>ROUND([2]FTES!$V58,3)</f>
        <v>0</v>
      </c>
      <c r="Q51" s="471">
        <f>'[2]FTES Adjustment'!BU58</f>
        <v>0</v>
      </c>
      <c r="R51" s="471">
        <f>'[2]FTES Adjustment'!BV58</f>
        <v>0</v>
      </c>
      <c r="S51" s="471">
        <f>'[2]FTES Adjustment'!BW58</f>
        <v>0</v>
      </c>
      <c r="T51" s="469">
        <f>ROUND('[2]Growth Deficit'!$AG58,3)</f>
        <v>0</v>
      </c>
      <c r="U51" s="469">
        <f>ROUND('[2]Growth Deficit'!$AH58,3)</f>
        <v>0</v>
      </c>
      <c r="V51" s="469">
        <f>ROUND('[2]Growth Deficit'!$AI58,3)</f>
        <v>0</v>
      </c>
      <c r="W51" s="470">
        <f>ROUND([2]FTES!I58,3)</f>
        <v>0</v>
      </c>
      <c r="X51" s="470">
        <f>ROUND([2]FTES!R58,3)</f>
        <v>0</v>
      </c>
      <c r="Y51" s="470">
        <f>ROUND([2]FTES!AA58,3)</f>
        <v>0</v>
      </c>
      <c r="Z51" s="469">
        <f>ROUND([2]FTES!E58,3)</f>
        <v>15697.33</v>
      </c>
      <c r="AA51" s="469">
        <f>ROUND([2]FTES!N58,3)</f>
        <v>162.74</v>
      </c>
      <c r="AB51" s="469">
        <f>ROUND([2]FTES!W58,3)</f>
        <v>0</v>
      </c>
      <c r="AC51" s="468">
        <f>'[2]FTES Adjustment'!CW58</f>
        <v>15697.330015</v>
      </c>
      <c r="AD51" s="468">
        <f>'[2]FTES Adjustment'!CX58</f>
        <v>162.73999999999998</v>
      </c>
      <c r="AE51" s="468">
        <f>'[2]FTES Adjustment'!CY58</f>
        <v>0</v>
      </c>
      <c r="AF51" s="467">
        <f>'[2]FTES Adjustment'!DQ58</f>
        <v>-1.4999999621068127E-5</v>
      </c>
      <c r="AG51" s="467">
        <f>'[2]FTES Adjustment'!DR58</f>
        <v>0</v>
      </c>
      <c r="AH51" s="467">
        <f>'[2]FTES Adjustment'!DS58</f>
        <v>0</v>
      </c>
      <c r="AI51" s="340">
        <f>'[2]FTES Adjustment'!$DX58</f>
        <v>0</v>
      </c>
      <c r="AJ51" s="340">
        <v>0</v>
      </c>
      <c r="AK51" s="340">
        <v>0</v>
      </c>
      <c r="AL51" s="465">
        <f>'[2]FTES Adjustment'!CG58</f>
        <v>399.58997900000003</v>
      </c>
      <c r="AM51" s="465">
        <f>'[2]FTES Adjustment'!CH58</f>
        <v>7.0000000000000007E-2</v>
      </c>
      <c r="AN51" s="465">
        <f>'[2]FTES Adjustment'!CI58</f>
        <v>0</v>
      </c>
      <c r="AO51" s="463">
        <f t="shared" si="27"/>
        <v>15460.41</v>
      </c>
      <c r="AP51" s="463">
        <f t="shared" si="28"/>
        <v>15460.41</v>
      </c>
      <c r="AQ51" s="463">
        <f t="shared" si="29"/>
        <v>0</v>
      </c>
      <c r="AR51" s="463">
        <f t="shared" si="30"/>
        <v>0</v>
      </c>
      <c r="AS51" s="463">
        <f t="shared" si="31"/>
        <v>0</v>
      </c>
      <c r="AT51" s="463">
        <f t="shared" si="32"/>
        <v>15860.07</v>
      </c>
      <c r="AU51" s="463">
        <f t="shared" si="33"/>
        <v>15860.07</v>
      </c>
      <c r="AV51" s="464">
        <f t="shared" si="34"/>
        <v>0</v>
      </c>
      <c r="AW51" s="464">
        <f t="shared" si="35"/>
        <v>0</v>
      </c>
      <c r="AX51" s="464">
        <f t="shared" si="36"/>
        <v>399.66</v>
      </c>
      <c r="AY51" s="460">
        <f>'[2]PBF Run'!F58</f>
        <v>5622823</v>
      </c>
      <c r="AZ51" s="460">
        <f t="shared" si="37"/>
        <v>71381395</v>
      </c>
      <c r="BA51" s="460">
        <f>'[2]PBF Run'!J58 + '[2]PBF Run'!$L58</f>
        <v>70927862</v>
      </c>
      <c r="BB51" s="460">
        <f>'[2]PBF Run'!H58</f>
        <v>453533</v>
      </c>
      <c r="BC51" s="460">
        <f>'[2]PBF Run'!I58</f>
        <v>0</v>
      </c>
      <c r="BD51" s="462">
        <v>0</v>
      </c>
      <c r="BE51" s="461">
        <f>'[2]Restoration and Growth'!BM58</f>
        <v>0</v>
      </c>
      <c r="BF51" s="460">
        <f t="shared" si="38"/>
        <v>77004218</v>
      </c>
      <c r="BG51" s="333" t="str">
        <f t="shared" si="52"/>
        <v>0.85%</v>
      </c>
      <c r="BH51" s="459">
        <f>'[2]PBF Run'!O58</f>
        <v>654536</v>
      </c>
      <c r="BI51" s="459">
        <f t="shared" si="39"/>
        <v>77658754</v>
      </c>
      <c r="BJ51" s="458">
        <f>'[2]PBF Run'!AC58</f>
        <v>0</v>
      </c>
      <c r="BK51" s="458">
        <f>'[2]PBF Run'!$AD58</f>
        <v>0</v>
      </c>
      <c r="BL51" s="458">
        <f>'[2]PBF Run'!$T58</f>
        <v>0</v>
      </c>
      <c r="BM51" s="458">
        <f>'[2]PBF Run'!$S58</f>
        <v>1868641</v>
      </c>
      <c r="BN51" s="458">
        <f>'[2]13-14 $86M Workload Restore'!$P56</f>
        <v>0</v>
      </c>
      <c r="BO51" s="458">
        <f t="shared" si="40"/>
        <v>1868641</v>
      </c>
      <c r="BP51" s="478">
        <f>'[2]Restoration and Growth'!AA58</f>
        <v>0</v>
      </c>
      <c r="BQ51" s="478">
        <f>'[2]Restoration and Growth'!AB58</f>
        <v>0</v>
      </c>
      <c r="BR51" s="453">
        <f>'[2]Restoration and Growth'!BT58</f>
        <v>0</v>
      </c>
      <c r="BS51" s="453">
        <f>'[2]Growth Deficit'!$AO58</f>
        <v>0</v>
      </c>
      <c r="BT51" s="453">
        <f>'[2]Growth Deficit'!AO58</f>
        <v>0</v>
      </c>
      <c r="BU51" s="453">
        <f>'[2]Growth Deficit'!AL58</f>
        <v>0</v>
      </c>
      <c r="BV51" s="453">
        <f>'[2]Growth Deficit'!AM58</f>
        <v>0</v>
      </c>
      <c r="BW51" s="453">
        <f>'[2]Growth Deficit'!AN58</f>
        <v>0</v>
      </c>
      <c r="BX51" s="453">
        <f>'[2]Growth Deficit'!AO58</f>
        <v>0</v>
      </c>
      <c r="BY51" s="454">
        <f>'[2]PBF Run'!AA58</f>
        <v>0</v>
      </c>
      <c r="BZ51" s="454">
        <f>'[2]PBF Run'!AB58</f>
        <v>0</v>
      </c>
      <c r="CA51" s="454">
        <f>'[2]PBF Run'!AC58</f>
        <v>0</v>
      </c>
      <c r="CB51" s="454">
        <f t="shared" si="41"/>
        <v>0</v>
      </c>
      <c r="CC51" s="457">
        <f>'[2]PBF Run'!X58</f>
        <v>0</v>
      </c>
      <c r="CD51" s="456">
        <f>'[2]PBF Run'!AE58</f>
        <v>79527395</v>
      </c>
      <c r="CE51" s="337">
        <f t="shared" si="42"/>
        <v>0.98518541943942717</v>
      </c>
      <c r="CF51" s="455">
        <f>'[2]PBF Run'!AM58</f>
        <v>1178165</v>
      </c>
      <c r="CG51" s="455">
        <f>'[2]PBF Run'!$AN58</f>
        <v>36384131</v>
      </c>
      <c r="CH51" s="455">
        <f>'[2]PBF Run'!$AO58</f>
        <v>0</v>
      </c>
      <c r="CI51" s="455">
        <f>'[2]PBF Run'!AJ58</f>
        <v>25928108</v>
      </c>
      <c r="CJ51" s="455">
        <f>'[2]PBF Run'!AI58</f>
        <v>3599904</v>
      </c>
      <c r="CK51" s="455">
        <f>'[2]PBF Run'!$AN58</f>
        <v>36384131</v>
      </c>
      <c r="CL51" s="455">
        <f>'[2]PBF Run'!AK58</f>
        <v>12437087</v>
      </c>
      <c r="CM51" s="455">
        <f t="shared" si="43"/>
        <v>78349230</v>
      </c>
      <c r="CN51" s="454">
        <f>'[2]PBF Run'!$AN58</f>
        <v>36384131</v>
      </c>
      <c r="CO51" s="454">
        <f>'[2]PBF Run'!BI58</f>
        <v>0</v>
      </c>
      <c r="CP51" s="339">
        <f>'[2]PBF Run'!BH58</f>
        <v>0</v>
      </c>
      <c r="CQ51" s="454">
        <f t="shared" si="53"/>
        <v>69532</v>
      </c>
      <c r="CR51" s="454">
        <f t="shared" si="44"/>
        <v>36384131</v>
      </c>
      <c r="CS51" s="453">
        <f>'[2]As of 13-14 R1'!BX58</f>
        <v>0</v>
      </c>
      <c r="CT51" s="453">
        <f>'[2]As of 13-14 R1'!BY58</f>
        <v>0</v>
      </c>
      <c r="CU51" s="453">
        <f>'[2]As of 13-14 R1'!BZ58</f>
        <v>0</v>
      </c>
      <c r="CV51" s="453">
        <f t="shared" si="45"/>
        <v>0</v>
      </c>
      <c r="CW51" s="342">
        <f>'[2]Growth Deficit'!$D$2</f>
        <v>0</v>
      </c>
      <c r="CX51" s="343">
        <f>IF($DL51="S",'[2]Foundation Grant'!C58,0)</f>
        <v>0</v>
      </c>
      <c r="CY51" s="343">
        <f>IF($DL51="S",'[2]Foundation Grant'!D58,0)</f>
        <v>1</v>
      </c>
      <c r="CZ51" s="343">
        <f>IF($DL51="S",'[2]Foundation Grant'!E58,0)</f>
        <v>0</v>
      </c>
      <c r="DA51" s="343">
        <f>IF($DL51="S",'[2]Foundation Grant'!F58,0)</f>
        <v>1</v>
      </c>
      <c r="DB51" s="343">
        <f>IF($DL51="M",'[2]Foundation Grant'!C58,0)</f>
        <v>0</v>
      </c>
      <c r="DC51" s="343">
        <f>IF($DL51="M",'[2]Foundation Grant'!D58,0)</f>
        <v>0</v>
      </c>
      <c r="DD51" s="343">
        <f>IF($DL51="M",'[2]Foundation Grant'!E58,0)</f>
        <v>0</v>
      </c>
      <c r="DE51" s="343">
        <f>IF($DL51="M",'[2]Foundation Grant'!F58,0)</f>
        <v>0</v>
      </c>
      <c r="DF51" s="343">
        <f>'[2]Foundation Grant'!G58</f>
        <v>1</v>
      </c>
      <c r="DG51" s="343">
        <f>'[2]Foundation Grant'!H58</f>
        <v>0</v>
      </c>
      <c r="DH51" s="343">
        <f>'[2]Foundation Grant'!I58</f>
        <v>0</v>
      </c>
      <c r="DI51" s="343">
        <f>'[2]Foundation Grant'!J58</f>
        <v>0</v>
      </c>
      <c r="DJ51" s="343">
        <f>'[2]Foundation Grant'!K58</f>
        <v>0</v>
      </c>
      <c r="DK51" s="452">
        <f>'[2]Foundation Grant'!L58</f>
        <v>1</v>
      </c>
      <c r="DL51" s="343" t="str">
        <f>'[2]Foundation Grant'!M58</f>
        <v>S</v>
      </c>
      <c r="DM51" s="343">
        <f>'[2]Foundation Grant'!N58</f>
        <v>5622823</v>
      </c>
      <c r="DN51" s="452">
        <f>'[2]Foundation Grant'!O58</f>
        <v>0</v>
      </c>
      <c r="DO51" s="452">
        <f>'[2]Foundation Grant'!P58</f>
        <v>0</v>
      </c>
      <c r="DP51" s="344">
        <f>'[2]Foundation Grant'!$C$1</f>
        <v>5622823</v>
      </c>
      <c r="DQ51" s="344">
        <f>'[2]Foundation Grant'!$D$1</f>
        <v>4498258</v>
      </c>
      <c r="DR51" s="344">
        <f>'[2]Foundation Grant'!$E$1</f>
        <v>3373694</v>
      </c>
      <c r="DS51" s="344">
        <f>'[2]Foundation Grant'!$C$2</f>
        <v>4498258</v>
      </c>
      <c r="DT51" s="344">
        <f>'[2]Foundation Grant'!$D$2</f>
        <v>3935976</v>
      </c>
      <c r="DU51" s="344">
        <f>'[2]Foundation Grant'!$E$2</f>
        <v>3373694</v>
      </c>
      <c r="DV51" s="344">
        <f>'[2]Foundation Grant'!$G$1</f>
        <v>1124565</v>
      </c>
      <c r="DW51" s="344">
        <f>'[2]Foundation Grant'!$H$1</f>
        <v>843423</v>
      </c>
      <c r="DX51" s="344">
        <f>'[2]Foundation Grant'!$I$1</f>
        <v>562282</v>
      </c>
      <c r="DY51" s="344">
        <f>'[2]Foundation Grant'!$J$1</f>
        <v>281141</v>
      </c>
      <c r="DZ51" s="344">
        <f>'[2]Foundation Grant'!$K$1</f>
        <v>140571</v>
      </c>
      <c r="EA51" s="344">
        <f>'[2]Foundation Grant'!$O$1</f>
        <v>562282</v>
      </c>
      <c r="EB51" s="344">
        <f>'[2]Foundation Grant'!$P$1</f>
        <v>1124565</v>
      </c>
      <c r="EC51" s="345">
        <f>'[2]basic allocation'!$C$10</f>
        <v>18749</v>
      </c>
      <c r="ED51" s="345">
        <f>'[2]basic allocation'!$D$10</f>
        <v>9375</v>
      </c>
      <c r="EE51" s="345">
        <f>'[2]basic allocation'!$E$10</f>
        <v>9375</v>
      </c>
      <c r="EF51" s="345">
        <f>'[2]basic allocation'!$I$10</f>
        <v>938</v>
      </c>
      <c r="EG51" s="345">
        <f>'[2]basic allocation'!$J$10</f>
        <v>703</v>
      </c>
      <c r="EH51" s="345">
        <f>'[2]basic allocation'!$K$10</f>
        <v>469</v>
      </c>
      <c r="EI51" s="345">
        <f>'[2]basic allocation'!$L$10</f>
        <v>234</v>
      </c>
      <c r="EJ51" s="345">
        <f>'[2]basic allocation'!$M$10</f>
        <v>100</v>
      </c>
      <c r="EK51" s="345">
        <f>'[2]PBF Run'!$AT58</f>
        <v>0</v>
      </c>
      <c r="EM51" s="477"/>
    </row>
    <row r="52" spans="1:143">
      <c r="A52" s="476" t="s">
        <v>605</v>
      </c>
      <c r="B52" s="475" t="str">
        <f t="shared" si="46"/>
        <v>P1</v>
      </c>
      <c r="C52" s="346" t="s">
        <v>301</v>
      </c>
      <c r="D52" s="450" t="s">
        <v>300</v>
      </c>
      <c r="E52" s="449">
        <f>ROUND('[2]PBF Run'!N59,6)</f>
        <v>4656.0166019999997</v>
      </c>
      <c r="F52" s="340">
        <f t="shared" si="47"/>
        <v>4636.49</v>
      </c>
      <c r="G52" s="474">
        <f t="shared" si="48"/>
        <v>2788.0536374600001</v>
      </c>
      <c r="H52" s="473">
        <f t="shared" si="49"/>
        <v>2811.7520933800001</v>
      </c>
      <c r="I52" s="473">
        <f t="shared" si="50"/>
        <v>3282.8110613200001</v>
      </c>
      <c r="J52" s="473">
        <f t="shared" si="51"/>
        <v>3310.71495534</v>
      </c>
      <c r="K52" s="472">
        <f>ROUND([2]FTES!C59,3)</f>
        <v>12945.68</v>
      </c>
      <c r="L52" s="472">
        <f>ROUND([2]FTES!L59,3)</f>
        <v>106.48</v>
      </c>
      <c r="M52" s="472">
        <f>ROUND([2]FTES!U59,3)</f>
        <v>0</v>
      </c>
      <c r="N52" s="465">
        <f>ROUND([2]FTES!$D59,3)</f>
        <v>12945.68</v>
      </c>
      <c r="O52" s="465">
        <f>ROUND([2]FTES!$M59,3)</f>
        <v>106.48</v>
      </c>
      <c r="P52" s="465">
        <f>ROUND([2]FTES!$V59,3)</f>
        <v>0</v>
      </c>
      <c r="Q52" s="471">
        <f>'[2]FTES Adjustment'!BU59</f>
        <v>0</v>
      </c>
      <c r="R52" s="471">
        <f>'[2]FTES Adjustment'!BV59</f>
        <v>0</v>
      </c>
      <c r="S52" s="471">
        <f>'[2]FTES Adjustment'!BW59</f>
        <v>0</v>
      </c>
      <c r="T52" s="469">
        <f>ROUND('[2]Growth Deficit'!$AG59,3)</f>
        <v>0</v>
      </c>
      <c r="U52" s="469">
        <f>ROUND('[2]Growth Deficit'!$AH59,3)</f>
        <v>0</v>
      </c>
      <c r="V52" s="469">
        <f>ROUND('[2]Growth Deficit'!$AI59,3)</f>
        <v>0</v>
      </c>
      <c r="W52" s="470">
        <f>ROUND([2]FTES!I59,3)</f>
        <v>-687.29</v>
      </c>
      <c r="X52" s="470">
        <f>ROUND([2]FTES!R59,3)</f>
        <v>0.97</v>
      </c>
      <c r="Y52" s="470">
        <f>ROUND([2]FTES!AA59,3)</f>
        <v>0</v>
      </c>
      <c r="Z52" s="469">
        <f>ROUND([2]FTES!E59,3)</f>
        <v>12258.39</v>
      </c>
      <c r="AA52" s="469">
        <f>ROUND([2]FTES!N59,3)</f>
        <v>107.45</v>
      </c>
      <c r="AB52" s="469">
        <f>ROUND([2]FTES!W59,3)</f>
        <v>0</v>
      </c>
      <c r="AC52" s="468">
        <f>'[2]FTES Adjustment'!CW59</f>
        <v>12258.39</v>
      </c>
      <c r="AD52" s="468">
        <f>'[2]FTES Adjustment'!CX59</f>
        <v>107.44999999999999</v>
      </c>
      <c r="AE52" s="468">
        <f>'[2]FTES Adjustment'!CY59</f>
        <v>0</v>
      </c>
      <c r="AF52" s="467">
        <f>'[2]FTES Adjustment'!DQ59</f>
        <v>0</v>
      </c>
      <c r="AG52" s="467">
        <f>'[2]FTES Adjustment'!DR59</f>
        <v>0</v>
      </c>
      <c r="AH52" s="467">
        <f>'[2]FTES Adjustment'!DS59</f>
        <v>0</v>
      </c>
      <c r="AI52" s="340">
        <f>'[2]FTES Adjustment'!$DX59</f>
        <v>0</v>
      </c>
      <c r="AJ52" s="340">
        <v>0</v>
      </c>
      <c r="AK52" s="340">
        <v>0</v>
      </c>
      <c r="AL52" s="465">
        <f>'[2]FTES Adjustment'!CG59</f>
        <v>0</v>
      </c>
      <c r="AM52" s="465">
        <f>'[2]FTES Adjustment'!CH59</f>
        <v>0</v>
      </c>
      <c r="AN52" s="465">
        <f>'[2]FTES Adjustment'!CI59</f>
        <v>0</v>
      </c>
      <c r="AO52" s="463">
        <f t="shared" si="27"/>
        <v>13052.16</v>
      </c>
      <c r="AP52" s="463">
        <f t="shared" si="28"/>
        <v>13052.16</v>
      </c>
      <c r="AQ52" s="463">
        <f t="shared" si="29"/>
        <v>0</v>
      </c>
      <c r="AR52" s="463">
        <f t="shared" si="30"/>
        <v>0</v>
      </c>
      <c r="AS52" s="463">
        <f t="shared" si="31"/>
        <v>-686.32</v>
      </c>
      <c r="AT52" s="463">
        <f t="shared" si="32"/>
        <v>12365.84</v>
      </c>
      <c r="AU52" s="463">
        <f t="shared" si="33"/>
        <v>12365.84</v>
      </c>
      <c r="AV52" s="464">
        <f t="shared" si="34"/>
        <v>0</v>
      </c>
      <c r="AW52" s="464">
        <f t="shared" si="35"/>
        <v>0</v>
      </c>
      <c r="AX52" s="464">
        <f t="shared" si="36"/>
        <v>0</v>
      </c>
      <c r="AY52" s="460">
        <f>'[2]PBF Run'!F59</f>
        <v>6747388</v>
      </c>
      <c r="AZ52" s="460">
        <f t="shared" si="37"/>
        <v>60572173</v>
      </c>
      <c r="BA52" s="460">
        <f>'[2]PBF Run'!J59 + '[2]PBF Run'!$L59</f>
        <v>60275301</v>
      </c>
      <c r="BB52" s="460">
        <f>'[2]PBF Run'!H59</f>
        <v>296872</v>
      </c>
      <c r="BC52" s="460">
        <f>'[2]PBF Run'!I59</f>
        <v>0</v>
      </c>
      <c r="BD52" s="462">
        <v>0</v>
      </c>
      <c r="BE52" s="461">
        <f>'[2]Restoration and Growth'!BM59</f>
        <v>-3183910.7585523054</v>
      </c>
      <c r="BF52" s="460">
        <f t="shared" si="38"/>
        <v>64135650.241447695</v>
      </c>
      <c r="BG52" s="333" t="str">
        <f t="shared" si="52"/>
        <v>0.85%</v>
      </c>
      <c r="BH52" s="459">
        <f>'[2]PBF Run'!O59</f>
        <v>545153</v>
      </c>
      <c r="BI52" s="459">
        <f t="shared" si="39"/>
        <v>64680803.241447695</v>
      </c>
      <c r="BJ52" s="458">
        <f>'[2]PBF Run'!AC59</f>
        <v>0</v>
      </c>
      <c r="BK52" s="458">
        <f>'[2]PBF Run'!$AD59</f>
        <v>0</v>
      </c>
      <c r="BL52" s="458">
        <f>'[2]PBF Run'!$T59</f>
        <v>0</v>
      </c>
      <c r="BM52" s="458">
        <f>'[2]PBF Run'!$S59</f>
        <v>0</v>
      </c>
      <c r="BN52" s="458">
        <f>'[2]13-14 $86M Workload Restore'!$P57</f>
        <v>0</v>
      </c>
      <c r="BO52" s="458">
        <f t="shared" si="40"/>
        <v>0</v>
      </c>
      <c r="BP52" s="478">
        <f>'[2]Restoration and Growth'!AA59</f>
        <v>0</v>
      </c>
      <c r="BQ52" s="478">
        <f>'[2]Restoration and Growth'!AB59</f>
        <v>0</v>
      </c>
      <c r="BR52" s="453">
        <f>'[2]Restoration and Growth'!BT59</f>
        <v>0</v>
      </c>
      <c r="BS52" s="453">
        <f>'[2]Growth Deficit'!$AO59</f>
        <v>0</v>
      </c>
      <c r="BT52" s="453">
        <f>'[2]Growth Deficit'!AO59</f>
        <v>0</v>
      </c>
      <c r="BU52" s="453">
        <f>'[2]Growth Deficit'!AL59</f>
        <v>0</v>
      </c>
      <c r="BV52" s="453">
        <f>'[2]Growth Deficit'!AM59</f>
        <v>0</v>
      </c>
      <c r="BW52" s="453">
        <f>'[2]Growth Deficit'!AN59</f>
        <v>0</v>
      </c>
      <c r="BX52" s="453">
        <f>'[2]Growth Deficit'!AO59</f>
        <v>0</v>
      </c>
      <c r="BY52" s="454">
        <f>'[2]PBF Run'!AA59</f>
        <v>0</v>
      </c>
      <c r="BZ52" s="454">
        <f>'[2]PBF Run'!AB59</f>
        <v>0</v>
      </c>
      <c r="CA52" s="454">
        <f>'[2]PBF Run'!AC59</f>
        <v>0</v>
      </c>
      <c r="CB52" s="454">
        <f t="shared" si="41"/>
        <v>0</v>
      </c>
      <c r="CC52" s="457">
        <f>'[2]PBF Run'!X59</f>
        <v>3210974</v>
      </c>
      <c r="CD52" s="456">
        <f>'[2]PBF Run'!AE59</f>
        <v>67891777</v>
      </c>
      <c r="CE52" s="337">
        <f t="shared" si="42"/>
        <v>1</v>
      </c>
      <c r="CF52" s="455">
        <f>'[2]PBF Run'!AM59</f>
        <v>0</v>
      </c>
      <c r="CG52" s="455">
        <f>'[2]PBF Run'!$AN59</f>
        <v>0</v>
      </c>
      <c r="CH52" s="455">
        <f>'[2]PBF Run'!$AO59</f>
        <v>14471315</v>
      </c>
      <c r="CI52" s="455">
        <f>'[2]PBF Run'!AJ59</f>
        <v>76610819</v>
      </c>
      <c r="CJ52" s="455">
        <f>'[2]PBF Run'!AI59</f>
        <v>4515689</v>
      </c>
      <c r="CK52" s="455">
        <f>'[2]PBF Run'!$AN59</f>
        <v>0</v>
      </c>
      <c r="CL52" s="455">
        <f>'[2]PBF Run'!AK59</f>
        <v>1236584</v>
      </c>
      <c r="CM52" s="455">
        <f t="shared" si="43"/>
        <v>67891777</v>
      </c>
      <c r="CN52" s="454">
        <f>'[2]PBF Run'!$AN59</f>
        <v>0</v>
      </c>
      <c r="CO52" s="454">
        <f>'[2]PBF Run'!BI59</f>
        <v>0</v>
      </c>
      <c r="CP52" s="339">
        <f>'[2]PBF Run'!BH59</f>
        <v>0</v>
      </c>
      <c r="CQ52" s="454">
        <f t="shared" si="53"/>
        <v>69532</v>
      </c>
      <c r="CR52" s="454">
        <f t="shared" si="44"/>
        <v>0</v>
      </c>
      <c r="CS52" s="453">
        <f>'[2]As of 13-14 R1'!BX59</f>
        <v>0</v>
      </c>
      <c r="CT52" s="453">
        <f>'[2]As of 13-14 R1'!BY59</f>
        <v>1688671</v>
      </c>
      <c r="CU52" s="453">
        <f>'[2]As of 13-14 R1'!BZ59</f>
        <v>2263093</v>
      </c>
      <c r="CV52" s="453">
        <f t="shared" si="45"/>
        <v>3951764</v>
      </c>
      <c r="CW52" s="342">
        <f>'[2]Growth Deficit'!$D$2</f>
        <v>0</v>
      </c>
      <c r="CX52" s="343">
        <f>IF($DL52="S",'[2]Foundation Grant'!C59,0)</f>
        <v>0</v>
      </c>
      <c r="CY52" s="343">
        <f>IF($DL52="S",'[2]Foundation Grant'!D59,0)</f>
        <v>0</v>
      </c>
      <c r="CZ52" s="343">
        <f>IF($DL52="S",'[2]Foundation Grant'!E59,0)</f>
        <v>0</v>
      </c>
      <c r="DA52" s="343">
        <f>IF($DL52="S",'[2]Foundation Grant'!F59,0)</f>
        <v>0</v>
      </c>
      <c r="DB52" s="343">
        <f>IF($DL52="M",'[2]Foundation Grant'!C59,0)</f>
        <v>0</v>
      </c>
      <c r="DC52" s="343">
        <f>IF($DL52="M",'[2]Foundation Grant'!D59,0)</f>
        <v>0</v>
      </c>
      <c r="DD52" s="343">
        <f>IF($DL52="M",'[2]Foundation Grant'!E59,0)</f>
        <v>2</v>
      </c>
      <c r="DE52" s="343">
        <f>IF($DL52="M",'[2]Foundation Grant'!F59,0)</f>
        <v>2</v>
      </c>
      <c r="DF52" s="343">
        <f>'[2]Foundation Grant'!G59</f>
        <v>0</v>
      </c>
      <c r="DG52" s="343">
        <f>'[2]Foundation Grant'!H59</f>
        <v>0</v>
      </c>
      <c r="DH52" s="343">
        <f>'[2]Foundation Grant'!I59</f>
        <v>0</v>
      </c>
      <c r="DI52" s="343">
        <f>'[2]Foundation Grant'!J59</f>
        <v>0</v>
      </c>
      <c r="DJ52" s="343">
        <f>'[2]Foundation Grant'!K59</f>
        <v>0</v>
      </c>
      <c r="DK52" s="452">
        <f>'[2]Foundation Grant'!L59</f>
        <v>0</v>
      </c>
      <c r="DL52" s="343" t="str">
        <f>'[2]Foundation Grant'!M59</f>
        <v>M</v>
      </c>
      <c r="DM52" s="343">
        <f>'[2]Foundation Grant'!N59</f>
        <v>6747388</v>
      </c>
      <c r="DN52" s="452">
        <f>'[2]Foundation Grant'!O59</f>
        <v>0</v>
      </c>
      <c r="DO52" s="452">
        <f>'[2]Foundation Grant'!P59</f>
        <v>0</v>
      </c>
      <c r="DP52" s="344">
        <f>'[2]Foundation Grant'!$C$1</f>
        <v>5622823</v>
      </c>
      <c r="DQ52" s="344">
        <f>'[2]Foundation Grant'!$D$1</f>
        <v>4498258</v>
      </c>
      <c r="DR52" s="344">
        <f>'[2]Foundation Grant'!$E$1</f>
        <v>3373694</v>
      </c>
      <c r="DS52" s="344">
        <f>'[2]Foundation Grant'!$C$2</f>
        <v>4498258</v>
      </c>
      <c r="DT52" s="344">
        <f>'[2]Foundation Grant'!$D$2</f>
        <v>3935976</v>
      </c>
      <c r="DU52" s="344">
        <f>'[2]Foundation Grant'!$E$2</f>
        <v>3373694</v>
      </c>
      <c r="DV52" s="344">
        <f>'[2]Foundation Grant'!$G$1</f>
        <v>1124565</v>
      </c>
      <c r="DW52" s="344">
        <f>'[2]Foundation Grant'!$H$1</f>
        <v>843423</v>
      </c>
      <c r="DX52" s="344">
        <f>'[2]Foundation Grant'!$I$1</f>
        <v>562282</v>
      </c>
      <c r="DY52" s="344">
        <f>'[2]Foundation Grant'!$J$1</f>
        <v>281141</v>
      </c>
      <c r="DZ52" s="344">
        <f>'[2]Foundation Grant'!$K$1</f>
        <v>140571</v>
      </c>
      <c r="EA52" s="344">
        <f>'[2]Foundation Grant'!$O$1</f>
        <v>562282</v>
      </c>
      <c r="EB52" s="344">
        <f>'[2]Foundation Grant'!$P$1</f>
        <v>1124565</v>
      </c>
      <c r="EC52" s="345">
        <f>'[2]basic allocation'!$C$10</f>
        <v>18749</v>
      </c>
      <c r="ED52" s="345">
        <f>'[2]basic allocation'!$D$10</f>
        <v>9375</v>
      </c>
      <c r="EE52" s="345">
        <f>'[2]basic allocation'!$E$10</f>
        <v>9375</v>
      </c>
      <c r="EF52" s="345">
        <f>'[2]basic allocation'!$I$10</f>
        <v>938</v>
      </c>
      <c r="EG52" s="345">
        <f>'[2]basic allocation'!$J$10</f>
        <v>703</v>
      </c>
      <c r="EH52" s="345">
        <f>'[2]basic allocation'!$K$10</f>
        <v>469</v>
      </c>
      <c r="EI52" s="345">
        <f>'[2]basic allocation'!$L$10</f>
        <v>234</v>
      </c>
      <c r="EJ52" s="345">
        <f>'[2]basic allocation'!$M$10</f>
        <v>100</v>
      </c>
      <c r="EK52" s="345">
        <f>'[2]PBF Run'!$AT59</f>
        <v>0</v>
      </c>
      <c r="EM52" s="477"/>
    </row>
    <row r="53" spans="1:143">
      <c r="A53" s="476" t="s">
        <v>605</v>
      </c>
      <c r="B53" s="475" t="str">
        <f t="shared" si="46"/>
        <v>P1</v>
      </c>
      <c r="C53" s="346" t="s">
        <v>299</v>
      </c>
      <c r="D53" s="450" t="s">
        <v>298</v>
      </c>
      <c r="E53" s="449">
        <f>ROUND('[2]PBF Run'!N60,6)</f>
        <v>4636.4927950000001</v>
      </c>
      <c r="F53" s="340">
        <f t="shared" si="47"/>
        <v>4636.49</v>
      </c>
      <c r="G53" s="474">
        <f t="shared" si="48"/>
        <v>2788.0536374600001</v>
      </c>
      <c r="H53" s="473">
        <f t="shared" si="49"/>
        <v>2811.7520933800001</v>
      </c>
      <c r="I53" s="473">
        <f t="shared" si="50"/>
        <v>3282.8110613200001</v>
      </c>
      <c r="J53" s="473">
        <f t="shared" si="51"/>
        <v>3310.71495534</v>
      </c>
      <c r="K53" s="472">
        <f>ROUND([2]FTES!C60,3)</f>
        <v>8166.16</v>
      </c>
      <c r="L53" s="472">
        <f>ROUND([2]FTES!L60,3)</f>
        <v>67.91</v>
      </c>
      <c r="M53" s="472">
        <f>ROUND([2]FTES!U60,3)</f>
        <v>145.86000000000001</v>
      </c>
      <c r="N53" s="465">
        <f>ROUND([2]FTES!$D60,3)</f>
        <v>8166.16</v>
      </c>
      <c r="O53" s="465">
        <f>ROUND([2]FTES!$M60,3)</f>
        <v>67.91</v>
      </c>
      <c r="P53" s="465">
        <f>ROUND([2]FTES!$V60,3)</f>
        <v>145.86000000000001</v>
      </c>
      <c r="Q53" s="471">
        <f>'[2]FTES Adjustment'!BU60</f>
        <v>0</v>
      </c>
      <c r="R53" s="471">
        <f>'[2]FTES Adjustment'!BV60</f>
        <v>0</v>
      </c>
      <c r="S53" s="471">
        <f>'[2]FTES Adjustment'!BW60</f>
        <v>0</v>
      </c>
      <c r="T53" s="469">
        <f>ROUND('[2]Growth Deficit'!$AG60,3)</f>
        <v>0</v>
      </c>
      <c r="U53" s="469">
        <f>ROUND('[2]Growth Deficit'!$AH60,3)</f>
        <v>0</v>
      </c>
      <c r="V53" s="469">
        <f>ROUND('[2]Growth Deficit'!$AI60,3)</f>
        <v>0</v>
      </c>
      <c r="W53" s="470">
        <f>ROUND([2]FTES!I60,3)</f>
        <v>-1261.97</v>
      </c>
      <c r="X53" s="470">
        <f>ROUND([2]FTES!R60,3)</f>
        <v>24.98</v>
      </c>
      <c r="Y53" s="470">
        <f>ROUND([2]FTES!AA60,3)</f>
        <v>19.43</v>
      </c>
      <c r="Z53" s="469">
        <f>ROUND([2]FTES!E60,3)</f>
        <v>6904.19</v>
      </c>
      <c r="AA53" s="469">
        <f>ROUND([2]FTES!N60,3)</f>
        <v>92.89</v>
      </c>
      <c r="AB53" s="469">
        <f>ROUND([2]FTES!W60,3)</f>
        <v>165.29</v>
      </c>
      <c r="AC53" s="468">
        <f>'[2]FTES Adjustment'!CW60</f>
        <v>6904.1899999999987</v>
      </c>
      <c r="AD53" s="468">
        <f>'[2]FTES Adjustment'!CX60</f>
        <v>92.89</v>
      </c>
      <c r="AE53" s="468">
        <f>'[2]FTES Adjustment'!CY60</f>
        <v>165.29000000000002</v>
      </c>
      <c r="AF53" s="467">
        <f>'[2]FTES Adjustment'!DQ60</f>
        <v>0</v>
      </c>
      <c r="AG53" s="467">
        <f>'[2]FTES Adjustment'!DR60</f>
        <v>0</v>
      </c>
      <c r="AH53" s="467">
        <f>'[2]FTES Adjustment'!DS60</f>
        <v>0</v>
      </c>
      <c r="AI53" s="340">
        <f>'[2]FTES Adjustment'!$DX60</f>
        <v>0</v>
      </c>
      <c r="AJ53" s="340">
        <v>0</v>
      </c>
      <c r="AK53" s="340">
        <v>0</v>
      </c>
      <c r="AL53" s="465">
        <f>'[2]FTES Adjustment'!CG60</f>
        <v>0</v>
      </c>
      <c r="AM53" s="465">
        <f>'[2]FTES Adjustment'!CH60</f>
        <v>0</v>
      </c>
      <c r="AN53" s="465">
        <f>'[2]FTES Adjustment'!CI60</f>
        <v>0</v>
      </c>
      <c r="AO53" s="463">
        <f t="shared" si="27"/>
        <v>8379.93</v>
      </c>
      <c r="AP53" s="463">
        <f t="shared" si="28"/>
        <v>8379.93</v>
      </c>
      <c r="AQ53" s="463">
        <f t="shared" si="29"/>
        <v>0</v>
      </c>
      <c r="AR53" s="463">
        <f t="shared" si="30"/>
        <v>0</v>
      </c>
      <c r="AS53" s="463">
        <f t="shared" si="31"/>
        <v>-1217.56</v>
      </c>
      <c r="AT53" s="463">
        <f t="shared" si="32"/>
        <v>7162.37</v>
      </c>
      <c r="AU53" s="463">
        <f t="shared" si="33"/>
        <v>7162.37</v>
      </c>
      <c r="AV53" s="464">
        <f t="shared" si="34"/>
        <v>0</v>
      </c>
      <c r="AW53" s="464">
        <f t="shared" si="35"/>
        <v>0</v>
      </c>
      <c r="AX53" s="464">
        <f t="shared" si="36"/>
        <v>0</v>
      </c>
      <c r="AY53" s="460">
        <f>'[2]PBF Run'!F60</f>
        <v>4498259</v>
      </c>
      <c r="AZ53" s="460">
        <f t="shared" si="37"/>
        <v>38530510</v>
      </c>
      <c r="BA53" s="460">
        <f>'[2]PBF Run'!J60 + '[2]PBF Run'!$L60</f>
        <v>37862342</v>
      </c>
      <c r="BB53" s="460">
        <f>'[2]PBF Run'!H60</f>
        <v>189337</v>
      </c>
      <c r="BC53" s="460">
        <f>'[2]PBF Run'!I60</f>
        <v>478831</v>
      </c>
      <c r="BD53" s="462">
        <v>0</v>
      </c>
      <c r="BE53" s="461">
        <f>'[2]Restoration and Growth'!BM60</f>
        <v>-5717684.6802181462</v>
      </c>
      <c r="BF53" s="460">
        <f t="shared" si="38"/>
        <v>37311084.319781855</v>
      </c>
      <c r="BG53" s="333" t="str">
        <f t="shared" si="52"/>
        <v>0.85%</v>
      </c>
      <c r="BH53" s="459">
        <f>'[2]PBF Run'!O60</f>
        <v>317144</v>
      </c>
      <c r="BI53" s="459">
        <f t="shared" si="39"/>
        <v>37628228.319781855</v>
      </c>
      <c r="BJ53" s="458">
        <f>'[2]PBF Run'!AC60</f>
        <v>0</v>
      </c>
      <c r="BK53" s="458">
        <f>'[2]PBF Run'!$AD60</f>
        <v>0</v>
      </c>
      <c r="BL53" s="458">
        <f>'[2]PBF Run'!$T60</f>
        <v>0</v>
      </c>
      <c r="BM53" s="458">
        <f>'[2]PBF Run'!$S60</f>
        <v>0</v>
      </c>
      <c r="BN53" s="458">
        <f>'[2]13-14 $86M Workload Restore'!$P58</f>
        <v>0</v>
      </c>
      <c r="BO53" s="458">
        <f t="shared" si="40"/>
        <v>0</v>
      </c>
      <c r="BP53" s="478">
        <f>'[2]Restoration and Growth'!AA60</f>
        <v>0</v>
      </c>
      <c r="BQ53" s="478">
        <f>'[2]Restoration and Growth'!AB60</f>
        <v>0</v>
      </c>
      <c r="BR53" s="453">
        <f>'[2]Restoration and Growth'!BT60</f>
        <v>0</v>
      </c>
      <c r="BS53" s="453">
        <f>'[2]Growth Deficit'!$AO60</f>
        <v>0</v>
      </c>
      <c r="BT53" s="453">
        <f>'[2]Growth Deficit'!AO60</f>
        <v>0</v>
      </c>
      <c r="BU53" s="453">
        <f>'[2]Growth Deficit'!AL60</f>
        <v>0</v>
      </c>
      <c r="BV53" s="453">
        <f>'[2]Growth Deficit'!AM60</f>
        <v>0</v>
      </c>
      <c r="BW53" s="453">
        <f>'[2]Growth Deficit'!AN60</f>
        <v>0</v>
      </c>
      <c r="BX53" s="453">
        <f>'[2]Growth Deficit'!AO60</f>
        <v>0</v>
      </c>
      <c r="BY53" s="454">
        <f>'[2]PBF Run'!AA60</f>
        <v>0</v>
      </c>
      <c r="BZ53" s="454">
        <f>'[2]PBF Run'!AB60</f>
        <v>0</v>
      </c>
      <c r="CA53" s="454">
        <f>'[2]PBF Run'!AC60</f>
        <v>0</v>
      </c>
      <c r="CB53" s="454">
        <f t="shared" si="41"/>
        <v>0</v>
      </c>
      <c r="CC53" s="457">
        <f>'[2]PBF Run'!X60</f>
        <v>5766285</v>
      </c>
      <c r="CD53" s="456">
        <f>'[2]PBF Run'!AE60</f>
        <v>43394513</v>
      </c>
      <c r="CE53" s="337">
        <f t="shared" si="42"/>
        <v>0.98518540811830291</v>
      </c>
      <c r="CF53" s="455">
        <f>'[2]PBF Run'!AM60</f>
        <v>642872</v>
      </c>
      <c r="CG53" s="455">
        <f>'[2]PBF Run'!$AN60</f>
        <v>0</v>
      </c>
      <c r="CH53" s="455">
        <f>'[2]PBF Run'!$AO60</f>
        <v>0</v>
      </c>
      <c r="CI53" s="455">
        <f>'[2]PBF Run'!AJ60</f>
        <v>32427117</v>
      </c>
      <c r="CJ53" s="455">
        <f>'[2]PBF Run'!AI60</f>
        <v>3949549</v>
      </c>
      <c r="CK53" s="455">
        <f>'[2]PBF Run'!$AN60</f>
        <v>0</v>
      </c>
      <c r="CL53" s="455">
        <f>'[2]PBF Run'!AK60</f>
        <v>6374975</v>
      </c>
      <c r="CM53" s="455">
        <f t="shared" si="43"/>
        <v>42751641</v>
      </c>
      <c r="CN53" s="454">
        <f>'[2]PBF Run'!$AN60</f>
        <v>0</v>
      </c>
      <c r="CO53" s="454">
        <f>'[2]PBF Run'!BI60</f>
        <v>0</v>
      </c>
      <c r="CP53" s="339">
        <f>'[2]PBF Run'!BH60</f>
        <v>0</v>
      </c>
      <c r="CQ53" s="454">
        <f t="shared" si="53"/>
        <v>69532</v>
      </c>
      <c r="CR53" s="454">
        <f t="shared" si="44"/>
        <v>0</v>
      </c>
      <c r="CS53" s="453">
        <f>'[2]As of 13-14 R1'!BX60</f>
        <v>0</v>
      </c>
      <c r="CT53" s="453">
        <f>'[2]As of 13-14 R1'!BY60</f>
        <v>1233659</v>
      </c>
      <c r="CU53" s="453">
        <f>'[2]As of 13-14 R1'!BZ60</f>
        <v>0</v>
      </c>
      <c r="CV53" s="453">
        <f t="shared" si="45"/>
        <v>1233659</v>
      </c>
      <c r="CW53" s="342">
        <f>'[2]Growth Deficit'!$D$2</f>
        <v>0</v>
      </c>
      <c r="CX53" s="343">
        <f>IF($DL53="S",'[2]Foundation Grant'!C60,0)</f>
        <v>0</v>
      </c>
      <c r="CY53" s="343">
        <f>IF($DL53="S",'[2]Foundation Grant'!D60,0)</f>
        <v>0</v>
      </c>
      <c r="CZ53" s="343">
        <f>IF($DL53="S",'[2]Foundation Grant'!E60,0)</f>
        <v>1</v>
      </c>
      <c r="DA53" s="343">
        <f>IF($DL53="S",'[2]Foundation Grant'!F60,0)</f>
        <v>1</v>
      </c>
      <c r="DB53" s="343">
        <f>IF($DL53="M",'[2]Foundation Grant'!C60,0)</f>
        <v>0</v>
      </c>
      <c r="DC53" s="343">
        <f>IF($DL53="M",'[2]Foundation Grant'!D60,0)</f>
        <v>0</v>
      </c>
      <c r="DD53" s="343">
        <f>IF($DL53="M",'[2]Foundation Grant'!E60,0)</f>
        <v>0</v>
      </c>
      <c r="DE53" s="343">
        <f>IF($DL53="M",'[2]Foundation Grant'!F60,0)</f>
        <v>0</v>
      </c>
      <c r="DF53" s="343">
        <f>'[2]Foundation Grant'!G60</f>
        <v>0</v>
      </c>
      <c r="DG53" s="343">
        <f>'[2]Foundation Grant'!H60</f>
        <v>0</v>
      </c>
      <c r="DH53" s="343">
        <f>'[2]Foundation Grant'!I60</f>
        <v>0</v>
      </c>
      <c r="DI53" s="343">
        <f>'[2]Foundation Grant'!J60</f>
        <v>0</v>
      </c>
      <c r="DJ53" s="343">
        <f>'[2]Foundation Grant'!K60</f>
        <v>0</v>
      </c>
      <c r="DK53" s="452">
        <f>'[2]Foundation Grant'!L60</f>
        <v>0</v>
      </c>
      <c r="DL53" s="343" t="str">
        <f>'[2]Foundation Grant'!M60</f>
        <v>S</v>
      </c>
      <c r="DM53" s="343">
        <f>'[2]Foundation Grant'!N60</f>
        <v>4498259</v>
      </c>
      <c r="DN53" s="452">
        <f>'[2]Foundation Grant'!O60</f>
        <v>0</v>
      </c>
      <c r="DO53" s="452">
        <f>'[2]Foundation Grant'!P60</f>
        <v>1</v>
      </c>
      <c r="DP53" s="344">
        <f>'[2]Foundation Grant'!$C$1</f>
        <v>5622823</v>
      </c>
      <c r="DQ53" s="344">
        <f>'[2]Foundation Grant'!$D$1</f>
        <v>4498258</v>
      </c>
      <c r="DR53" s="344">
        <f>'[2]Foundation Grant'!$E$1</f>
        <v>3373694</v>
      </c>
      <c r="DS53" s="344">
        <f>'[2]Foundation Grant'!$C$2</f>
        <v>4498258</v>
      </c>
      <c r="DT53" s="344">
        <f>'[2]Foundation Grant'!$D$2</f>
        <v>3935976</v>
      </c>
      <c r="DU53" s="344">
        <f>'[2]Foundation Grant'!$E$2</f>
        <v>3373694</v>
      </c>
      <c r="DV53" s="344">
        <f>'[2]Foundation Grant'!$G$1</f>
        <v>1124565</v>
      </c>
      <c r="DW53" s="344">
        <f>'[2]Foundation Grant'!$H$1</f>
        <v>843423</v>
      </c>
      <c r="DX53" s="344">
        <f>'[2]Foundation Grant'!$I$1</f>
        <v>562282</v>
      </c>
      <c r="DY53" s="344">
        <f>'[2]Foundation Grant'!$J$1</f>
        <v>281141</v>
      </c>
      <c r="DZ53" s="344">
        <f>'[2]Foundation Grant'!$K$1</f>
        <v>140571</v>
      </c>
      <c r="EA53" s="344">
        <f>'[2]Foundation Grant'!$O$1</f>
        <v>562282</v>
      </c>
      <c r="EB53" s="344">
        <f>'[2]Foundation Grant'!$P$1</f>
        <v>1124565</v>
      </c>
      <c r="EC53" s="345">
        <f>'[2]basic allocation'!$C$10</f>
        <v>18749</v>
      </c>
      <c r="ED53" s="345">
        <f>'[2]basic allocation'!$D$10</f>
        <v>9375</v>
      </c>
      <c r="EE53" s="345">
        <f>'[2]basic allocation'!$E$10</f>
        <v>9375</v>
      </c>
      <c r="EF53" s="345">
        <f>'[2]basic allocation'!$I$10</f>
        <v>938</v>
      </c>
      <c r="EG53" s="345">
        <f>'[2]basic allocation'!$J$10</f>
        <v>703</v>
      </c>
      <c r="EH53" s="345">
        <f>'[2]basic allocation'!$K$10</f>
        <v>469</v>
      </c>
      <c r="EI53" s="345">
        <f>'[2]basic allocation'!$L$10</f>
        <v>234</v>
      </c>
      <c r="EJ53" s="345">
        <f>'[2]basic allocation'!$M$10</f>
        <v>100</v>
      </c>
      <c r="EK53" s="345">
        <f>'[2]PBF Run'!$AT60</f>
        <v>0</v>
      </c>
      <c r="EM53" s="477"/>
    </row>
    <row r="54" spans="1:143">
      <c r="A54" s="476" t="s">
        <v>605</v>
      </c>
      <c r="B54" s="475" t="str">
        <f t="shared" si="46"/>
        <v>P1</v>
      </c>
      <c r="C54" s="346" t="s">
        <v>297</v>
      </c>
      <c r="D54" s="450" t="s">
        <v>296</v>
      </c>
      <c r="E54" s="449">
        <f>ROUND('[2]PBF Run'!N61,6)</f>
        <v>4636.4928319999999</v>
      </c>
      <c r="F54" s="340">
        <f t="shared" si="47"/>
        <v>4636.49</v>
      </c>
      <c r="G54" s="474">
        <f t="shared" si="48"/>
        <v>2788.0536374600001</v>
      </c>
      <c r="H54" s="473">
        <f t="shared" si="49"/>
        <v>2811.7520933800001</v>
      </c>
      <c r="I54" s="473">
        <f t="shared" si="50"/>
        <v>3282.8110613200001</v>
      </c>
      <c r="J54" s="473">
        <f t="shared" si="51"/>
        <v>3310.71495534</v>
      </c>
      <c r="K54" s="472">
        <f>ROUND([2]FTES!C61,3)</f>
        <v>18418.11</v>
      </c>
      <c r="L54" s="472">
        <f>ROUND([2]FTES!L61,3)</f>
        <v>75.17</v>
      </c>
      <c r="M54" s="472">
        <f>ROUND([2]FTES!U61,3)</f>
        <v>0</v>
      </c>
      <c r="N54" s="465">
        <f>ROUND([2]FTES!$D61,3)</f>
        <v>18418.11</v>
      </c>
      <c r="O54" s="465">
        <f>ROUND([2]FTES!$M61,3)</f>
        <v>75.17</v>
      </c>
      <c r="P54" s="465">
        <f>ROUND([2]FTES!$V61,3)</f>
        <v>0</v>
      </c>
      <c r="Q54" s="471">
        <f>'[2]FTES Adjustment'!BU61</f>
        <v>0</v>
      </c>
      <c r="R54" s="471">
        <f>'[2]FTES Adjustment'!BV61</f>
        <v>0</v>
      </c>
      <c r="S54" s="471">
        <f>'[2]FTES Adjustment'!BW61</f>
        <v>0</v>
      </c>
      <c r="T54" s="469">
        <f>ROUND('[2]Growth Deficit'!$AG61,3)</f>
        <v>0</v>
      </c>
      <c r="U54" s="469">
        <f>ROUND('[2]Growth Deficit'!$AH61,3)</f>
        <v>0</v>
      </c>
      <c r="V54" s="469">
        <f>ROUND('[2]Growth Deficit'!$AI61,3)</f>
        <v>0</v>
      </c>
      <c r="W54" s="470">
        <f>ROUND([2]FTES!I61,3)</f>
        <v>-893.58</v>
      </c>
      <c r="X54" s="470">
        <f>ROUND([2]FTES!R61,3)</f>
        <v>83.92</v>
      </c>
      <c r="Y54" s="470">
        <f>ROUND([2]FTES!AA61,3)</f>
        <v>0</v>
      </c>
      <c r="Z54" s="469">
        <f>ROUND([2]FTES!E61,3)</f>
        <v>17524.53</v>
      </c>
      <c r="AA54" s="469">
        <f>ROUND([2]FTES!N61,3)</f>
        <v>159.09</v>
      </c>
      <c r="AB54" s="469">
        <f>ROUND([2]FTES!W61,3)</f>
        <v>0</v>
      </c>
      <c r="AC54" s="468">
        <f>'[2]FTES Adjustment'!CW61</f>
        <v>17524.529999999995</v>
      </c>
      <c r="AD54" s="468">
        <f>'[2]FTES Adjustment'!CX61</f>
        <v>159.09000000000003</v>
      </c>
      <c r="AE54" s="468">
        <f>'[2]FTES Adjustment'!CY61</f>
        <v>0</v>
      </c>
      <c r="AF54" s="467">
        <f>'[2]FTES Adjustment'!DQ61</f>
        <v>0</v>
      </c>
      <c r="AG54" s="467">
        <f>'[2]FTES Adjustment'!DR61</f>
        <v>0</v>
      </c>
      <c r="AH54" s="467">
        <f>'[2]FTES Adjustment'!DS61</f>
        <v>0</v>
      </c>
      <c r="AI54" s="340">
        <f>'[2]FTES Adjustment'!$DX61</f>
        <v>0</v>
      </c>
      <c r="AJ54" s="340">
        <v>0</v>
      </c>
      <c r="AK54" s="340">
        <v>0</v>
      </c>
      <c r="AL54" s="465">
        <f>'[2]FTES Adjustment'!CG61</f>
        <v>0</v>
      </c>
      <c r="AM54" s="465">
        <f>'[2]FTES Adjustment'!CH61</f>
        <v>0</v>
      </c>
      <c r="AN54" s="465">
        <f>'[2]FTES Adjustment'!CI61</f>
        <v>0</v>
      </c>
      <c r="AO54" s="463">
        <f t="shared" si="27"/>
        <v>18493.28</v>
      </c>
      <c r="AP54" s="463">
        <f t="shared" si="28"/>
        <v>18493.28</v>
      </c>
      <c r="AQ54" s="463">
        <f t="shared" si="29"/>
        <v>0</v>
      </c>
      <c r="AR54" s="463">
        <f t="shared" si="30"/>
        <v>0</v>
      </c>
      <c r="AS54" s="463">
        <f t="shared" si="31"/>
        <v>-809.66</v>
      </c>
      <c r="AT54" s="463">
        <f t="shared" si="32"/>
        <v>17683.62</v>
      </c>
      <c r="AU54" s="463">
        <f t="shared" si="33"/>
        <v>17683.62</v>
      </c>
      <c r="AV54" s="464">
        <f t="shared" si="34"/>
        <v>0</v>
      </c>
      <c r="AW54" s="464">
        <f t="shared" si="35"/>
        <v>0</v>
      </c>
      <c r="AX54" s="464">
        <f t="shared" si="36"/>
        <v>0</v>
      </c>
      <c r="AY54" s="460">
        <f>'[2]PBF Run'!F61</f>
        <v>10121082</v>
      </c>
      <c r="AZ54" s="460">
        <f t="shared" si="37"/>
        <v>85605013</v>
      </c>
      <c r="BA54" s="460">
        <f>'[2]PBF Run'!J61 + '[2]PBF Run'!$L61</f>
        <v>85395435</v>
      </c>
      <c r="BB54" s="460">
        <f>'[2]PBF Run'!H61</f>
        <v>209578</v>
      </c>
      <c r="BC54" s="460">
        <f>'[2]PBF Run'!I61</f>
        <v>0</v>
      </c>
      <c r="BD54" s="462">
        <v>0</v>
      </c>
      <c r="BE54" s="461">
        <f>'[2]Restoration and Growth'!BM61</f>
        <v>-3909103.6192364902</v>
      </c>
      <c r="BF54" s="460">
        <f t="shared" si="38"/>
        <v>91816991.380763516</v>
      </c>
      <c r="BG54" s="333" t="str">
        <f t="shared" si="52"/>
        <v>0.85%</v>
      </c>
      <c r="BH54" s="459">
        <f>'[2]PBF Run'!O61</f>
        <v>780444</v>
      </c>
      <c r="BI54" s="459">
        <f t="shared" si="39"/>
        <v>92597435.380763516</v>
      </c>
      <c r="BJ54" s="458">
        <f>'[2]PBF Run'!AC61</f>
        <v>0</v>
      </c>
      <c r="BK54" s="458">
        <f>'[2]PBF Run'!$AD61</f>
        <v>0</v>
      </c>
      <c r="BL54" s="458">
        <f>'[2]PBF Run'!$T61</f>
        <v>0</v>
      </c>
      <c r="BM54" s="458">
        <f>'[2]PBF Run'!$S61</f>
        <v>0</v>
      </c>
      <c r="BN54" s="458">
        <f>'[2]13-14 $86M Workload Restore'!$P59</f>
        <v>0</v>
      </c>
      <c r="BO54" s="458">
        <f t="shared" si="40"/>
        <v>0</v>
      </c>
      <c r="BP54" s="478">
        <f>'[2]Restoration and Growth'!AA61</f>
        <v>0</v>
      </c>
      <c r="BQ54" s="478">
        <f>'[2]Restoration and Growth'!AB61</f>
        <v>0</v>
      </c>
      <c r="BR54" s="453">
        <f>'[2]Restoration and Growth'!BT61</f>
        <v>0</v>
      </c>
      <c r="BS54" s="453">
        <f>'[2]Growth Deficit'!$AO61</f>
        <v>0</v>
      </c>
      <c r="BT54" s="453">
        <f>'[2]Growth Deficit'!AO61</f>
        <v>0</v>
      </c>
      <c r="BU54" s="453">
        <f>'[2]Growth Deficit'!AL61</f>
        <v>0</v>
      </c>
      <c r="BV54" s="453">
        <f>'[2]Growth Deficit'!AM61</f>
        <v>0</v>
      </c>
      <c r="BW54" s="453">
        <f>'[2]Growth Deficit'!AN61</f>
        <v>0</v>
      </c>
      <c r="BX54" s="453">
        <f>'[2]Growth Deficit'!AO61</f>
        <v>0</v>
      </c>
      <c r="BY54" s="454">
        <f>'[2]PBF Run'!AA61</f>
        <v>0</v>
      </c>
      <c r="BZ54" s="454">
        <f>'[2]PBF Run'!AB61</f>
        <v>0</v>
      </c>
      <c r="CA54" s="454">
        <f>'[2]PBF Run'!AC61</f>
        <v>0</v>
      </c>
      <c r="CB54" s="454">
        <f t="shared" si="41"/>
        <v>0</v>
      </c>
      <c r="CC54" s="457">
        <f>'[2]PBF Run'!X61</f>
        <v>3942331</v>
      </c>
      <c r="CD54" s="456">
        <f>'[2]PBF Run'!AE61</f>
        <v>96539766</v>
      </c>
      <c r="CE54" s="337">
        <f t="shared" si="42"/>
        <v>1</v>
      </c>
      <c r="CF54" s="455">
        <f>'[2]PBF Run'!AM61</f>
        <v>0</v>
      </c>
      <c r="CG54" s="455">
        <f>'[2]PBF Run'!$AN61</f>
        <v>0</v>
      </c>
      <c r="CH54" s="455">
        <f>'[2]PBF Run'!$AO61</f>
        <v>27859714</v>
      </c>
      <c r="CI54" s="455">
        <f>'[2]PBF Run'!AJ61</f>
        <v>113280563</v>
      </c>
      <c r="CJ54" s="455">
        <f>'[2]PBF Run'!AI61</f>
        <v>9350555</v>
      </c>
      <c r="CK54" s="455">
        <f>'[2]PBF Run'!$AN61</f>
        <v>0</v>
      </c>
      <c r="CL54" s="455">
        <f>'[2]PBF Run'!AK61</f>
        <v>1768362</v>
      </c>
      <c r="CM54" s="455">
        <f t="shared" si="43"/>
        <v>96539766</v>
      </c>
      <c r="CN54" s="454">
        <f>'[2]PBF Run'!$AN61</f>
        <v>0</v>
      </c>
      <c r="CO54" s="454">
        <f>'[2]PBF Run'!BI61</f>
        <v>0</v>
      </c>
      <c r="CP54" s="339">
        <f>'[2]PBF Run'!BH61</f>
        <v>0</v>
      </c>
      <c r="CQ54" s="454">
        <f t="shared" si="53"/>
        <v>69532</v>
      </c>
      <c r="CR54" s="454">
        <f t="shared" si="44"/>
        <v>0</v>
      </c>
      <c r="CS54" s="453">
        <f>'[2]As of 13-14 R1'!BX61</f>
        <v>2216582</v>
      </c>
      <c r="CT54" s="453">
        <f>'[2]As of 13-14 R1'!BY61</f>
        <v>1048176</v>
      </c>
      <c r="CU54" s="453">
        <f>'[2]As of 13-14 R1'!BZ61</f>
        <v>3462110</v>
      </c>
      <c r="CV54" s="453">
        <f t="shared" si="45"/>
        <v>6726868</v>
      </c>
      <c r="CW54" s="342">
        <f>'[2]Growth Deficit'!$D$2</f>
        <v>0</v>
      </c>
      <c r="CX54" s="343">
        <f>IF($DL54="S",'[2]Foundation Grant'!C61,0)</f>
        <v>0</v>
      </c>
      <c r="CY54" s="343">
        <f>IF($DL54="S",'[2]Foundation Grant'!D61,0)</f>
        <v>0</v>
      </c>
      <c r="CZ54" s="343">
        <f>IF($DL54="S",'[2]Foundation Grant'!E61,0)</f>
        <v>0</v>
      </c>
      <c r="DA54" s="343">
        <f>IF($DL54="S",'[2]Foundation Grant'!F61,0)</f>
        <v>0</v>
      </c>
      <c r="DB54" s="343">
        <f>IF($DL54="M",'[2]Foundation Grant'!C61,0)</f>
        <v>0</v>
      </c>
      <c r="DC54" s="343">
        <f>IF($DL54="M",'[2]Foundation Grant'!D61,0)</f>
        <v>0</v>
      </c>
      <c r="DD54" s="343">
        <f>IF($DL54="M",'[2]Foundation Grant'!E61,0)</f>
        <v>3</v>
      </c>
      <c r="DE54" s="343">
        <f>IF($DL54="M",'[2]Foundation Grant'!F61,0)</f>
        <v>3</v>
      </c>
      <c r="DF54" s="343">
        <f>'[2]Foundation Grant'!G61</f>
        <v>0</v>
      </c>
      <c r="DG54" s="343">
        <f>'[2]Foundation Grant'!H61</f>
        <v>0</v>
      </c>
      <c r="DH54" s="343">
        <f>'[2]Foundation Grant'!I61</f>
        <v>0</v>
      </c>
      <c r="DI54" s="343">
        <f>'[2]Foundation Grant'!J61</f>
        <v>0</v>
      </c>
      <c r="DJ54" s="343">
        <f>'[2]Foundation Grant'!K61</f>
        <v>0</v>
      </c>
      <c r="DK54" s="452">
        <f>'[2]Foundation Grant'!L61</f>
        <v>0</v>
      </c>
      <c r="DL54" s="343" t="str">
        <f>'[2]Foundation Grant'!M61</f>
        <v>M</v>
      </c>
      <c r="DM54" s="343">
        <f>'[2]Foundation Grant'!N61</f>
        <v>10121082</v>
      </c>
      <c r="DN54" s="452">
        <f>'[2]Foundation Grant'!O61</f>
        <v>0</v>
      </c>
      <c r="DO54" s="452">
        <f>'[2]Foundation Grant'!P61</f>
        <v>0</v>
      </c>
      <c r="DP54" s="344">
        <f>'[2]Foundation Grant'!$C$1</f>
        <v>5622823</v>
      </c>
      <c r="DQ54" s="344">
        <f>'[2]Foundation Grant'!$D$1</f>
        <v>4498258</v>
      </c>
      <c r="DR54" s="344">
        <f>'[2]Foundation Grant'!$E$1</f>
        <v>3373694</v>
      </c>
      <c r="DS54" s="344">
        <f>'[2]Foundation Grant'!$C$2</f>
        <v>4498258</v>
      </c>
      <c r="DT54" s="344">
        <f>'[2]Foundation Grant'!$D$2</f>
        <v>3935976</v>
      </c>
      <c r="DU54" s="344">
        <f>'[2]Foundation Grant'!$E$2</f>
        <v>3373694</v>
      </c>
      <c r="DV54" s="344">
        <f>'[2]Foundation Grant'!$G$1</f>
        <v>1124565</v>
      </c>
      <c r="DW54" s="344">
        <f>'[2]Foundation Grant'!$H$1</f>
        <v>843423</v>
      </c>
      <c r="DX54" s="344">
        <f>'[2]Foundation Grant'!$I$1</f>
        <v>562282</v>
      </c>
      <c r="DY54" s="344">
        <f>'[2]Foundation Grant'!$J$1</f>
        <v>281141</v>
      </c>
      <c r="DZ54" s="344">
        <f>'[2]Foundation Grant'!$K$1</f>
        <v>140571</v>
      </c>
      <c r="EA54" s="344">
        <f>'[2]Foundation Grant'!$O$1</f>
        <v>562282</v>
      </c>
      <c r="EB54" s="344">
        <f>'[2]Foundation Grant'!$P$1</f>
        <v>1124565</v>
      </c>
      <c r="EC54" s="345">
        <f>'[2]basic allocation'!$C$10</f>
        <v>18749</v>
      </c>
      <c r="ED54" s="345">
        <f>'[2]basic allocation'!$D$10</f>
        <v>9375</v>
      </c>
      <c r="EE54" s="345">
        <f>'[2]basic allocation'!$E$10</f>
        <v>9375</v>
      </c>
      <c r="EF54" s="345">
        <f>'[2]basic allocation'!$I$10</f>
        <v>938</v>
      </c>
      <c r="EG54" s="345">
        <f>'[2]basic allocation'!$J$10</f>
        <v>703</v>
      </c>
      <c r="EH54" s="345">
        <f>'[2]basic allocation'!$K$10</f>
        <v>469</v>
      </c>
      <c r="EI54" s="345">
        <f>'[2]basic allocation'!$L$10</f>
        <v>234</v>
      </c>
      <c r="EJ54" s="345">
        <f>'[2]basic allocation'!$M$10</f>
        <v>100</v>
      </c>
      <c r="EK54" s="345">
        <f>'[2]PBF Run'!$AT61</f>
        <v>0</v>
      </c>
      <c r="EM54" s="477"/>
    </row>
    <row r="55" spans="1:143">
      <c r="A55" s="476" t="s">
        <v>605</v>
      </c>
      <c r="B55" s="475" t="str">
        <f t="shared" si="46"/>
        <v>P1</v>
      </c>
      <c r="C55" s="346" t="s">
        <v>295</v>
      </c>
      <c r="D55" s="450" t="s">
        <v>294</v>
      </c>
      <c r="E55" s="449">
        <f>ROUND('[2]PBF Run'!N62,6)</f>
        <v>4636.4928900000004</v>
      </c>
      <c r="F55" s="340">
        <f t="shared" si="47"/>
        <v>4636.49</v>
      </c>
      <c r="G55" s="474">
        <f t="shared" si="48"/>
        <v>2788.0536374600001</v>
      </c>
      <c r="H55" s="473">
        <f t="shared" si="49"/>
        <v>2811.7520933800001</v>
      </c>
      <c r="I55" s="473">
        <f t="shared" si="50"/>
        <v>3282.8110613200001</v>
      </c>
      <c r="J55" s="473">
        <f t="shared" si="51"/>
        <v>3310.71495534</v>
      </c>
      <c r="K55" s="472">
        <f>ROUND([2]FTES!C62,3)</f>
        <v>12734.7</v>
      </c>
      <c r="L55" s="472">
        <f>ROUND([2]FTES!L62,3)</f>
        <v>327.93</v>
      </c>
      <c r="M55" s="472">
        <f>ROUND([2]FTES!U62,3)</f>
        <v>515.61</v>
      </c>
      <c r="N55" s="465">
        <f>ROUND([2]FTES!$D62,3)</f>
        <v>12734.7</v>
      </c>
      <c r="O55" s="465">
        <f>ROUND([2]FTES!$M62,3)</f>
        <v>327.93</v>
      </c>
      <c r="P55" s="465">
        <f>ROUND([2]FTES!$V62,3)</f>
        <v>515.61</v>
      </c>
      <c r="Q55" s="471">
        <f>'[2]FTES Adjustment'!BU62</f>
        <v>709.82074899999998</v>
      </c>
      <c r="R55" s="471">
        <f>'[2]FTES Adjustment'!BV62</f>
        <v>0</v>
      </c>
      <c r="S55" s="471">
        <f>'[2]FTES Adjustment'!BW62</f>
        <v>0</v>
      </c>
      <c r="T55" s="469">
        <f>ROUND('[2]Growth Deficit'!$AG62,3)</f>
        <v>0</v>
      </c>
      <c r="U55" s="469">
        <f>ROUND('[2]Growth Deficit'!$AH62,3)</f>
        <v>0</v>
      </c>
      <c r="V55" s="469">
        <f>ROUND('[2]Growth Deficit'!$AI62,3)</f>
        <v>0</v>
      </c>
      <c r="W55" s="470">
        <f>ROUND([2]FTES!I62,3)</f>
        <v>0</v>
      </c>
      <c r="X55" s="470">
        <f>ROUND([2]FTES!R62,3)</f>
        <v>0</v>
      </c>
      <c r="Y55" s="470">
        <f>ROUND([2]FTES!AA62,3)</f>
        <v>0</v>
      </c>
      <c r="Z55" s="469">
        <f>ROUND([2]FTES!E62,3)</f>
        <v>13600.17</v>
      </c>
      <c r="AA55" s="469">
        <f>ROUND([2]FTES!N62,3)</f>
        <v>311.27</v>
      </c>
      <c r="AB55" s="469">
        <f>ROUND([2]FTES!W62,3)</f>
        <v>628.37</v>
      </c>
      <c r="AC55" s="468">
        <f>'[2]FTES Adjustment'!CW62</f>
        <v>13600.170041000001</v>
      </c>
      <c r="AD55" s="468">
        <f>'[2]FTES Adjustment'!CX62</f>
        <v>311.27</v>
      </c>
      <c r="AE55" s="468">
        <f>'[2]FTES Adjustment'!CY62</f>
        <v>628.37</v>
      </c>
      <c r="AF55" s="467">
        <f>'[2]FTES Adjustment'!DQ62</f>
        <v>-4.1000001147040166E-5</v>
      </c>
      <c r="AG55" s="467">
        <f>'[2]FTES Adjustment'!DR62</f>
        <v>0</v>
      </c>
      <c r="AH55" s="467">
        <f>'[2]FTES Adjustment'!DS62</f>
        <v>0</v>
      </c>
      <c r="AI55" s="340">
        <f>'[2]FTES Adjustment'!$DX62</f>
        <v>0</v>
      </c>
      <c r="AJ55" s="340">
        <v>0</v>
      </c>
      <c r="AK55" s="340">
        <v>0</v>
      </c>
      <c r="AL55" s="465">
        <f>'[2]FTES Adjustment'!CG62</f>
        <v>155.649292</v>
      </c>
      <c r="AM55" s="465">
        <f>'[2]FTES Adjustment'!CH62</f>
        <v>-16.660000000000082</v>
      </c>
      <c r="AN55" s="465">
        <f>'[2]FTES Adjustment'!CI62</f>
        <v>112.76</v>
      </c>
      <c r="AO55" s="463">
        <f t="shared" si="27"/>
        <v>13578.24</v>
      </c>
      <c r="AP55" s="463">
        <f t="shared" si="28"/>
        <v>13578.24</v>
      </c>
      <c r="AQ55" s="463">
        <f t="shared" si="29"/>
        <v>709.82100000000003</v>
      </c>
      <c r="AR55" s="463">
        <f t="shared" si="30"/>
        <v>0</v>
      </c>
      <c r="AS55" s="463">
        <f t="shared" si="31"/>
        <v>0</v>
      </c>
      <c r="AT55" s="463">
        <f t="shared" si="32"/>
        <v>14539.81</v>
      </c>
      <c r="AU55" s="463">
        <f t="shared" si="33"/>
        <v>14539.81</v>
      </c>
      <c r="AV55" s="464">
        <f t="shared" si="34"/>
        <v>0</v>
      </c>
      <c r="AW55" s="464">
        <f t="shared" si="35"/>
        <v>0</v>
      </c>
      <c r="AX55" s="464">
        <f t="shared" si="36"/>
        <v>251.749</v>
      </c>
      <c r="AY55" s="460">
        <f>'[2]PBF Run'!F62</f>
        <v>6747388</v>
      </c>
      <c r="AZ55" s="460">
        <f t="shared" si="37"/>
        <v>61651282</v>
      </c>
      <c r="BA55" s="460">
        <f>'[2]PBF Run'!J62 + '[2]PBF Run'!$L62</f>
        <v>59044346</v>
      </c>
      <c r="BB55" s="460">
        <f>'[2]PBF Run'!H62</f>
        <v>914286</v>
      </c>
      <c r="BC55" s="460">
        <f>'[2]PBF Run'!I62</f>
        <v>1692650</v>
      </c>
      <c r="BD55" s="462">
        <v>0</v>
      </c>
      <c r="BE55" s="461">
        <f>'[2]Restoration and Growth'!BM62</f>
        <v>0</v>
      </c>
      <c r="BF55" s="460">
        <f t="shared" si="38"/>
        <v>68398670</v>
      </c>
      <c r="BG55" s="333" t="str">
        <f t="shared" si="52"/>
        <v>0.85%</v>
      </c>
      <c r="BH55" s="459">
        <f>'[2]PBF Run'!O62</f>
        <v>581389</v>
      </c>
      <c r="BI55" s="459">
        <f t="shared" si="39"/>
        <v>68980059</v>
      </c>
      <c r="BJ55" s="458">
        <f>'[2]PBF Run'!AC62</f>
        <v>0</v>
      </c>
      <c r="BK55" s="458">
        <f>'[2]PBF Run'!$AD62</f>
        <v>0</v>
      </c>
      <c r="BL55" s="458">
        <f>'[2]PBF Run'!$T62</f>
        <v>3319053</v>
      </c>
      <c r="BM55" s="458">
        <f>'[2]PBF Run'!$S62</f>
        <v>1054273</v>
      </c>
      <c r="BN55" s="458">
        <f>'[2]13-14 $86M Workload Restore'!$P60</f>
        <v>0</v>
      </c>
      <c r="BO55" s="458">
        <f t="shared" si="40"/>
        <v>4373326</v>
      </c>
      <c r="BP55" s="478">
        <f>'[2]Restoration and Growth'!AA62</f>
        <v>0</v>
      </c>
      <c r="BQ55" s="478">
        <f>'[2]Restoration and Growth'!AB62</f>
        <v>0</v>
      </c>
      <c r="BR55" s="453">
        <f>'[2]Restoration and Growth'!BT62</f>
        <v>0</v>
      </c>
      <c r="BS55" s="453">
        <f>'[2]Growth Deficit'!$AO62</f>
        <v>0</v>
      </c>
      <c r="BT55" s="453">
        <f>'[2]Growth Deficit'!AO62</f>
        <v>0</v>
      </c>
      <c r="BU55" s="453">
        <f>'[2]Growth Deficit'!AL62</f>
        <v>0</v>
      </c>
      <c r="BV55" s="453">
        <f>'[2]Growth Deficit'!AM62</f>
        <v>0</v>
      </c>
      <c r="BW55" s="453">
        <f>'[2]Growth Deficit'!AN62</f>
        <v>0</v>
      </c>
      <c r="BX55" s="453">
        <f>'[2]Growth Deficit'!AO62</f>
        <v>0</v>
      </c>
      <c r="BY55" s="454">
        <f>'[2]PBF Run'!AA62</f>
        <v>0</v>
      </c>
      <c r="BZ55" s="454">
        <f>'[2]PBF Run'!AB62</f>
        <v>0</v>
      </c>
      <c r="CA55" s="454">
        <f>'[2]PBF Run'!AC62</f>
        <v>0</v>
      </c>
      <c r="CB55" s="454">
        <f t="shared" si="41"/>
        <v>0</v>
      </c>
      <c r="CC55" s="457">
        <f>'[2]PBF Run'!X62</f>
        <v>0</v>
      </c>
      <c r="CD55" s="456">
        <f>'[2]PBF Run'!AE62</f>
        <v>73353385</v>
      </c>
      <c r="CE55" s="337">
        <f t="shared" si="42"/>
        <v>0.98518541441543561</v>
      </c>
      <c r="CF55" s="455">
        <f>'[2]PBF Run'!AM62</f>
        <v>1086700</v>
      </c>
      <c r="CG55" s="455">
        <f>'[2]PBF Run'!$AN62</f>
        <v>27189063</v>
      </c>
      <c r="CH55" s="455">
        <f>'[2]PBF Run'!$AO62</f>
        <v>0</v>
      </c>
      <c r="CI55" s="455">
        <f>'[2]PBF Run'!AJ62</f>
        <v>26203585</v>
      </c>
      <c r="CJ55" s="455">
        <f>'[2]PBF Run'!AI62</f>
        <v>8202119</v>
      </c>
      <c r="CK55" s="455">
        <f>'[2]PBF Run'!$AN62</f>
        <v>27189063</v>
      </c>
      <c r="CL55" s="455">
        <f>'[2]PBF Run'!AK62</f>
        <v>10671918</v>
      </c>
      <c r="CM55" s="455">
        <f t="shared" si="43"/>
        <v>72266685</v>
      </c>
      <c r="CN55" s="454">
        <f>'[2]PBF Run'!$AN62</f>
        <v>27189063</v>
      </c>
      <c r="CO55" s="454">
        <f>'[2]PBF Run'!BI62</f>
        <v>0</v>
      </c>
      <c r="CP55" s="339">
        <f>'[2]PBF Run'!BH62</f>
        <v>0</v>
      </c>
      <c r="CQ55" s="454">
        <f t="shared" si="53"/>
        <v>69532</v>
      </c>
      <c r="CR55" s="454">
        <f t="shared" si="44"/>
        <v>27189063</v>
      </c>
      <c r="CS55" s="453">
        <f>'[2]As of 13-14 R1'!BX62</f>
        <v>0</v>
      </c>
      <c r="CT55" s="453">
        <f>'[2]As of 13-14 R1'!BY62</f>
        <v>0</v>
      </c>
      <c r="CU55" s="453">
        <f>'[2]As of 13-14 R1'!BZ62</f>
        <v>3291079</v>
      </c>
      <c r="CV55" s="453">
        <f t="shared" si="45"/>
        <v>3291079</v>
      </c>
      <c r="CW55" s="342">
        <f>'[2]Growth Deficit'!$D$2</f>
        <v>0</v>
      </c>
      <c r="CX55" s="343">
        <f>IF($DL55="S",'[2]Foundation Grant'!C62,0)</f>
        <v>0</v>
      </c>
      <c r="CY55" s="343">
        <f>IF($DL55="S",'[2]Foundation Grant'!D62,0)</f>
        <v>1</v>
      </c>
      <c r="CZ55" s="343">
        <f>IF($DL55="S",'[2]Foundation Grant'!E62,0)</f>
        <v>0</v>
      </c>
      <c r="DA55" s="343">
        <f>IF($DL55="S",'[2]Foundation Grant'!F62,0)</f>
        <v>1</v>
      </c>
      <c r="DB55" s="343">
        <f>IF($DL55="M",'[2]Foundation Grant'!C62,0)</f>
        <v>0</v>
      </c>
      <c r="DC55" s="343">
        <f>IF($DL55="M",'[2]Foundation Grant'!D62,0)</f>
        <v>0</v>
      </c>
      <c r="DD55" s="343">
        <f>IF($DL55="M",'[2]Foundation Grant'!E62,0)</f>
        <v>0</v>
      </c>
      <c r="DE55" s="343">
        <f>IF($DL55="M",'[2]Foundation Grant'!F62,0)</f>
        <v>0</v>
      </c>
      <c r="DF55" s="343">
        <f>'[2]Foundation Grant'!G62</f>
        <v>2</v>
      </c>
      <c r="DG55" s="343">
        <f>'[2]Foundation Grant'!H62</f>
        <v>0</v>
      </c>
      <c r="DH55" s="343">
        <f>'[2]Foundation Grant'!I62</f>
        <v>0</v>
      </c>
      <c r="DI55" s="343">
        <f>'[2]Foundation Grant'!J62</f>
        <v>0</v>
      </c>
      <c r="DJ55" s="343">
        <f>'[2]Foundation Grant'!K62</f>
        <v>0</v>
      </c>
      <c r="DK55" s="452">
        <f>'[2]Foundation Grant'!L62</f>
        <v>2</v>
      </c>
      <c r="DL55" s="343" t="str">
        <f>'[2]Foundation Grant'!M62</f>
        <v>S</v>
      </c>
      <c r="DM55" s="343">
        <f>'[2]Foundation Grant'!N62</f>
        <v>6747388</v>
      </c>
      <c r="DN55" s="452">
        <f>'[2]Foundation Grant'!O62</f>
        <v>0</v>
      </c>
      <c r="DO55" s="452">
        <f>'[2]Foundation Grant'!P62</f>
        <v>0</v>
      </c>
      <c r="DP55" s="344">
        <f>'[2]Foundation Grant'!$C$1</f>
        <v>5622823</v>
      </c>
      <c r="DQ55" s="344">
        <f>'[2]Foundation Grant'!$D$1</f>
        <v>4498258</v>
      </c>
      <c r="DR55" s="344">
        <f>'[2]Foundation Grant'!$E$1</f>
        <v>3373694</v>
      </c>
      <c r="DS55" s="344">
        <f>'[2]Foundation Grant'!$C$2</f>
        <v>4498258</v>
      </c>
      <c r="DT55" s="344">
        <f>'[2]Foundation Grant'!$D$2</f>
        <v>3935976</v>
      </c>
      <c r="DU55" s="344">
        <f>'[2]Foundation Grant'!$E$2</f>
        <v>3373694</v>
      </c>
      <c r="DV55" s="344">
        <f>'[2]Foundation Grant'!$G$1</f>
        <v>1124565</v>
      </c>
      <c r="DW55" s="344">
        <f>'[2]Foundation Grant'!$H$1</f>
        <v>843423</v>
      </c>
      <c r="DX55" s="344">
        <f>'[2]Foundation Grant'!$I$1</f>
        <v>562282</v>
      </c>
      <c r="DY55" s="344">
        <f>'[2]Foundation Grant'!$J$1</f>
        <v>281141</v>
      </c>
      <c r="DZ55" s="344">
        <f>'[2]Foundation Grant'!$K$1</f>
        <v>140571</v>
      </c>
      <c r="EA55" s="344">
        <f>'[2]Foundation Grant'!$O$1</f>
        <v>562282</v>
      </c>
      <c r="EB55" s="344">
        <f>'[2]Foundation Grant'!$P$1</f>
        <v>1124565</v>
      </c>
      <c r="EC55" s="345">
        <f>'[2]basic allocation'!$C$10</f>
        <v>18749</v>
      </c>
      <c r="ED55" s="345">
        <f>'[2]basic allocation'!$D$10</f>
        <v>9375</v>
      </c>
      <c r="EE55" s="345">
        <f>'[2]basic allocation'!$E$10</f>
        <v>9375</v>
      </c>
      <c r="EF55" s="345">
        <f>'[2]basic allocation'!$I$10</f>
        <v>938</v>
      </c>
      <c r="EG55" s="345">
        <f>'[2]basic allocation'!$J$10</f>
        <v>703</v>
      </c>
      <c r="EH55" s="345">
        <f>'[2]basic allocation'!$K$10</f>
        <v>469</v>
      </c>
      <c r="EI55" s="345">
        <f>'[2]basic allocation'!$L$10</f>
        <v>234</v>
      </c>
      <c r="EJ55" s="345">
        <f>'[2]basic allocation'!$M$10</f>
        <v>100</v>
      </c>
      <c r="EK55" s="345">
        <f>'[2]PBF Run'!$AT62</f>
        <v>0</v>
      </c>
      <c r="EM55" s="477"/>
    </row>
    <row r="56" spans="1:143">
      <c r="A56" s="476" t="s">
        <v>605</v>
      </c>
      <c r="B56" s="475" t="str">
        <f t="shared" si="46"/>
        <v>P1</v>
      </c>
      <c r="C56" s="346" t="s">
        <v>293</v>
      </c>
      <c r="D56" s="450" t="s">
        <v>292</v>
      </c>
      <c r="E56" s="449">
        <f>ROUND('[2]PBF Run'!N63,6)</f>
        <v>4636.4928840000002</v>
      </c>
      <c r="F56" s="340">
        <f t="shared" si="47"/>
        <v>4636.49</v>
      </c>
      <c r="G56" s="474">
        <f t="shared" si="48"/>
        <v>2788.0536374600001</v>
      </c>
      <c r="H56" s="473">
        <f t="shared" si="49"/>
        <v>2811.7520933800001</v>
      </c>
      <c r="I56" s="473">
        <f t="shared" si="50"/>
        <v>3282.8110613200001</v>
      </c>
      <c r="J56" s="473">
        <f t="shared" si="51"/>
        <v>3310.71495534</v>
      </c>
      <c r="K56" s="472">
        <f>ROUND([2]FTES!C63,3)</f>
        <v>14153.683999999999</v>
      </c>
      <c r="L56" s="472">
        <f>ROUND([2]FTES!L63,3)</f>
        <v>265.20999999999998</v>
      </c>
      <c r="M56" s="472">
        <f>ROUND([2]FTES!U63,3)</f>
        <v>86.99</v>
      </c>
      <c r="N56" s="465">
        <f>ROUND([2]FTES!$D63,3)</f>
        <v>14153.683999999999</v>
      </c>
      <c r="O56" s="465">
        <f>ROUND([2]FTES!$M63,3)</f>
        <v>265.20999999999998</v>
      </c>
      <c r="P56" s="465">
        <f>ROUND([2]FTES!$V63,3)</f>
        <v>86.99</v>
      </c>
      <c r="Q56" s="471">
        <f>'[2]FTES Adjustment'!BU63</f>
        <v>0</v>
      </c>
      <c r="R56" s="471">
        <f>'[2]FTES Adjustment'!BV63</f>
        <v>0</v>
      </c>
      <c r="S56" s="471">
        <f>'[2]FTES Adjustment'!BW63</f>
        <v>0</v>
      </c>
      <c r="T56" s="469">
        <f>ROUND('[2]Growth Deficit'!$AG63,3)</f>
        <v>0</v>
      </c>
      <c r="U56" s="469">
        <f>ROUND('[2]Growth Deficit'!$AH63,3)</f>
        <v>0</v>
      </c>
      <c r="V56" s="469">
        <f>ROUND('[2]Growth Deficit'!$AI63,3)</f>
        <v>0</v>
      </c>
      <c r="W56" s="470">
        <f>ROUND([2]FTES!I63,3)</f>
        <v>0</v>
      </c>
      <c r="X56" s="470">
        <f>ROUND([2]FTES!R63,3)</f>
        <v>0</v>
      </c>
      <c r="Y56" s="470">
        <f>ROUND([2]FTES!AA63,3)</f>
        <v>0</v>
      </c>
      <c r="Z56" s="469">
        <f>ROUND([2]FTES!E63,3)</f>
        <v>14912.17</v>
      </c>
      <c r="AA56" s="469">
        <f>ROUND([2]FTES!N63,3)</f>
        <v>261.83999999999997</v>
      </c>
      <c r="AB56" s="469">
        <f>ROUND([2]FTES!W63,3)</f>
        <v>77.239999999999995</v>
      </c>
      <c r="AC56" s="468">
        <f>'[2]FTES Adjustment'!CW63</f>
        <v>14838.954378999999</v>
      </c>
      <c r="AD56" s="468">
        <f>'[2]FTES Adjustment'!CX63</f>
        <v>261.83999999999997</v>
      </c>
      <c r="AE56" s="468">
        <f>'[2]FTES Adjustment'!CY63</f>
        <v>77.239999999999995</v>
      </c>
      <c r="AF56" s="467">
        <f>'[2]FTES Adjustment'!DQ63</f>
        <v>73.215621000001192</v>
      </c>
      <c r="AG56" s="467">
        <f>'[2]FTES Adjustment'!DR63</f>
        <v>0</v>
      </c>
      <c r="AH56" s="467">
        <f>'[2]FTES Adjustment'!DS63</f>
        <v>0</v>
      </c>
      <c r="AI56" s="340">
        <f>'[2]FTES Adjustment'!$DX63</f>
        <v>0</v>
      </c>
      <c r="AJ56" s="340">
        <v>0</v>
      </c>
      <c r="AK56" s="340">
        <v>0</v>
      </c>
      <c r="AL56" s="465">
        <f>'[2]FTES Adjustment'!CG63</f>
        <v>685.27041099999997</v>
      </c>
      <c r="AM56" s="465">
        <f>'[2]FTES Adjustment'!CH63</f>
        <v>-3.3700000000000045</v>
      </c>
      <c r="AN56" s="465">
        <f>'[2]FTES Adjustment'!CI63</f>
        <v>-9.75</v>
      </c>
      <c r="AO56" s="463">
        <f t="shared" si="27"/>
        <v>14505.884</v>
      </c>
      <c r="AP56" s="463">
        <f t="shared" si="28"/>
        <v>14505.884</v>
      </c>
      <c r="AQ56" s="463">
        <f t="shared" si="29"/>
        <v>0</v>
      </c>
      <c r="AR56" s="463">
        <f t="shared" si="30"/>
        <v>0</v>
      </c>
      <c r="AS56" s="463">
        <f t="shared" si="31"/>
        <v>0</v>
      </c>
      <c r="AT56" s="463">
        <f t="shared" si="32"/>
        <v>15251.25</v>
      </c>
      <c r="AU56" s="463">
        <f t="shared" si="33"/>
        <v>15178.034</v>
      </c>
      <c r="AV56" s="464">
        <f t="shared" si="34"/>
        <v>73.215999999999994</v>
      </c>
      <c r="AW56" s="464">
        <f t="shared" si="35"/>
        <v>0</v>
      </c>
      <c r="AX56" s="464">
        <f t="shared" si="36"/>
        <v>672.15</v>
      </c>
      <c r="AY56" s="460">
        <f>'[2]PBF Run'!F63</f>
        <v>5622823</v>
      </c>
      <c r="AZ56" s="460">
        <f t="shared" si="37"/>
        <v>66648447</v>
      </c>
      <c r="BA56" s="460">
        <f>'[2]PBF Run'!J63 + '[2]PBF Run'!$L63</f>
        <v>65623455</v>
      </c>
      <c r="BB56" s="460">
        <f>'[2]PBF Run'!H63</f>
        <v>739420</v>
      </c>
      <c r="BC56" s="460">
        <f>'[2]PBF Run'!I63</f>
        <v>285572</v>
      </c>
      <c r="BD56" s="462">
        <v>0</v>
      </c>
      <c r="BE56" s="461">
        <f>'[2]Restoration and Growth'!BM63</f>
        <v>0</v>
      </c>
      <c r="BF56" s="460">
        <f t="shared" si="38"/>
        <v>72271270</v>
      </c>
      <c r="BG56" s="333" t="str">
        <f t="shared" si="52"/>
        <v>0.85%</v>
      </c>
      <c r="BH56" s="459">
        <f>'[2]PBF Run'!O63</f>
        <v>614306</v>
      </c>
      <c r="BI56" s="459">
        <f t="shared" si="39"/>
        <v>72885576</v>
      </c>
      <c r="BJ56" s="458">
        <f>'[2]PBF Run'!AC63</f>
        <v>0</v>
      </c>
      <c r="BK56" s="458">
        <f>'[2]PBF Run'!$AD63</f>
        <v>0</v>
      </c>
      <c r="BL56" s="458">
        <f>'[2]PBF Run'!$T63</f>
        <v>0</v>
      </c>
      <c r="BM56" s="458">
        <f>'[2]PBF Run'!$S63</f>
        <v>3162503</v>
      </c>
      <c r="BN56" s="458">
        <f>'[2]13-14 $86M Workload Restore'!$P61</f>
        <v>0</v>
      </c>
      <c r="BO56" s="458">
        <f t="shared" si="40"/>
        <v>3162503</v>
      </c>
      <c r="BP56" s="478">
        <f>'[2]Restoration and Growth'!AA63</f>
        <v>0</v>
      </c>
      <c r="BQ56" s="478">
        <f>'[2]Restoration and Growth'!AB63</f>
        <v>0</v>
      </c>
      <c r="BR56" s="453">
        <f>'[2]Restoration and Growth'!BT63</f>
        <v>0</v>
      </c>
      <c r="BS56" s="453">
        <f>'[2]Growth Deficit'!$AO63</f>
        <v>0</v>
      </c>
      <c r="BT56" s="453">
        <f>'[2]Growth Deficit'!AO63</f>
        <v>0</v>
      </c>
      <c r="BU56" s="453">
        <f>'[2]Growth Deficit'!AL63</f>
        <v>0</v>
      </c>
      <c r="BV56" s="453">
        <f>'[2]Growth Deficit'!AM63</f>
        <v>0</v>
      </c>
      <c r="BW56" s="453">
        <f>'[2]Growth Deficit'!AN63</f>
        <v>0</v>
      </c>
      <c r="BX56" s="453">
        <f>'[2]Growth Deficit'!AO63</f>
        <v>0</v>
      </c>
      <c r="BY56" s="454">
        <f>'[2]PBF Run'!AA63</f>
        <v>0</v>
      </c>
      <c r="BZ56" s="454">
        <f>'[2]PBF Run'!AB63</f>
        <v>0</v>
      </c>
      <c r="CA56" s="454">
        <f>'[2]PBF Run'!AC63</f>
        <v>0</v>
      </c>
      <c r="CB56" s="454">
        <f t="shared" si="41"/>
        <v>0</v>
      </c>
      <c r="CC56" s="457">
        <f>'[2]PBF Run'!X63</f>
        <v>0</v>
      </c>
      <c r="CD56" s="456">
        <f>'[2]PBF Run'!AE63</f>
        <v>76048079</v>
      </c>
      <c r="CE56" s="337">
        <f t="shared" si="42"/>
        <v>0.98518541145529792</v>
      </c>
      <c r="CF56" s="455">
        <f>'[2]PBF Run'!AM63</f>
        <v>1126621</v>
      </c>
      <c r="CG56" s="455">
        <f>'[2]PBF Run'!$AN63</f>
        <v>41039748</v>
      </c>
      <c r="CH56" s="455">
        <f>'[2]PBF Run'!$AO63</f>
        <v>0</v>
      </c>
      <c r="CI56" s="455">
        <f>'[2]PBF Run'!AJ63</f>
        <v>15032975</v>
      </c>
      <c r="CJ56" s="455">
        <f>'[2]PBF Run'!AI63</f>
        <v>7644000</v>
      </c>
      <c r="CK56" s="455">
        <f>'[2]PBF Run'!$AN63</f>
        <v>41039748</v>
      </c>
      <c r="CL56" s="455">
        <f>'[2]PBF Run'!AK63</f>
        <v>11204735</v>
      </c>
      <c r="CM56" s="455">
        <f t="shared" si="43"/>
        <v>74921458</v>
      </c>
      <c r="CN56" s="454">
        <f>'[2]PBF Run'!$AN63</f>
        <v>41039748</v>
      </c>
      <c r="CO56" s="454">
        <f>'[2]PBF Run'!BI63</f>
        <v>0</v>
      </c>
      <c r="CP56" s="339">
        <f>'[2]PBF Run'!BH63</f>
        <v>0</v>
      </c>
      <c r="CQ56" s="454">
        <f t="shared" si="53"/>
        <v>69532</v>
      </c>
      <c r="CR56" s="454">
        <f t="shared" si="44"/>
        <v>41039748</v>
      </c>
      <c r="CS56" s="453">
        <f>'[2]As of 13-14 R1'!BX63</f>
        <v>0</v>
      </c>
      <c r="CT56" s="453">
        <f>'[2]As of 13-14 R1'!BY63</f>
        <v>0</v>
      </c>
      <c r="CU56" s="453">
        <f>'[2]As of 13-14 R1'!BZ63</f>
        <v>0</v>
      </c>
      <c r="CV56" s="453">
        <f t="shared" si="45"/>
        <v>0</v>
      </c>
      <c r="CW56" s="342">
        <f>'[2]Growth Deficit'!$D$2</f>
        <v>0</v>
      </c>
      <c r="CX56" s="343">
        <f>IF($DL56="S",'[2]Foundation Grant'!C63,0)</f>
        <v>0</v>
      </c>
      <c r="CY56" s="343">
        <f>IF($DL56="S",'[2]Foundation Grant'!D63,0)</f>
        <v>1</v>
      </c>
      <c r="CZ56" s="343">
        <f>IF($DL56="S",'[2]Foundation Grant'!E63,0)</f>
        <v>0</v>
      </c>
      <c r="DA56" s="343">
        <f>IF($DL56="S",'[2]Foundation Grant'!F63,0)</f>
        <v>1</v>
      </c>
      <c r="DB56" s="343">
        <f>IF($DL56="M",'[2]Foundation Grant'!C63,0)</f>
        <v>0</v>
      </c>
      <c r="DC56" s="343">
        <f>IF($DL56="M",'[2]Foundation Grant'!D63,0)</f>
        <v>0</v>
      </c>
      <c r="DD56" s="343">
        <f>IF($DL56="M",'[2]Foundation Grant'!E63,0)</f>
        <v>0</v>
      </c>
      <c r="DE56" s="343">
        <f>IF($DL56="M",'[2]Foundation Grant'!F63,0)</f>
        <v>0</v>
      </c>
      <c r="DF56" s="343">
        <f>'[2]Foundation Grant'!G63</f>
        <v>0</v>
      </c>
      <c r="DG56" s="343">
        <f>'[2]Foundation Grant'!H63</f>
        <v>0</v>
      </c>
      <c r="DH56" s="343">
        <f>'[2]Foundation Grant'!I63</f>
        <v>0</v>
      </c>
      <c r="DI56" s="343">
        <f>'[2]Foundation Grant'!J63</f>
        <v>0</v>
      </c>
      <c r="DJ56" s="343">
        <f>'[2]Foundation Grant'!K63</f>
        <v>0</v>
      </c>
      <c r="DK56" s="452">
        <f>'[2]Foundation Grant'!L63</f>
        <v>0</v>
      </c>
      <c r="DL56" s="343" t="str">
        <f>'[2]Foundation Grant'!M63</f>
        <v>S</v>
      </c>
      <c r="DM56" s="343">
        <f>'[2]Foundation Grant'!N63</f>
        <v>5622823</v>
      </c>
      <c r="DN56" s="452">
        <f>'[2]Foundation Grant'!O63</f>
        <v>0</v>
      </c>
      <c r="DO56" s="452">
        <f>'[2]Foundation Grant'!P63</f>
        <v>1</v>
      </c>
      <c r="DP56" s="344">
        <f>'[2]Foundation Grant'!$C$1</f>
        <v>5622823</v>
      </c>
      <c r="DQ56" s="344">
        <f>'[2]Foundation Grant'!$D$1</f>
        <v>4498258</v>
      </c>
      <c r="DR56" s="344">
        <f>'[2]Foundation Grant'!$E$1</f>
        <v>3373694</v>
      </c>
      <c r="DS56" s="344">
        <f>'[2]Foundation Grant'!$C$2</f>
        <v>4498258</v>
      </c>
      <c r="DT56" s="344">
        <f>'[2]Foundation Grant'!$D$2</f>
        <v>3935976</v>
      </c>
      <c r="DU56" s="344">
        <f>'[2]Foundation Grant'!$E$2</f>
        <v>3373694</v>
      </c>
      <c r="DV56" s="344">
        <f>'[2]Foundation Grant'!$G$1</f>
        <v>1124565</v>
      </c>
      <c r="DW56" s="344">
        <f>'[2]Foundation Grant'!$H$1</f>
        <v>843423</v>
      </c>
      <c r="DX56" s="344">
        <f>'[2]Foundation Grant'!$I$1</f>
        <v>562282</v>
      </c>
      <c r="DY56" s="344">
        <f>'[2]Foundation Grant'!$J$1</f>
        <v>281141</v>
      </c>
      <c r="DZ56" s="344">
        <f>'[2]Foundation Grant'!$K$1</f>
        <v>140571</v>
      </c>
      <c r="EA56" s="344">
        <f>'[2]Foundation Grant'!$O$1</f>
        <v>562282</v>
      </c>
      <c r="EB56" s="344">
        <f>'[2]Foundation Grant'!$P$1</f>
        <v>1124565</v>
      </c>
      <c r="EC56" s="345">
        <f>'[2]basic allocation'!$C$10</f>
        <v>18749</v>
      </c>
      <c r="ED56" s="345">
        <f>'[2]basic allocation'!$D$10</f>
        <v>9375</v>
      </c>
      <c r="EE56" s="345">
        <f>'[2]basic allocation'!$E$10</f>
        <v>9375</v>
      </c>
      <c r="EF56" s="345">
        <f>'[2]basic allocation'!$I$10</f>
        <v>938</v>
      </c>
      <c r="EG56" s="345">
        <f>'[2]basic allocation'!$J$10</f>
        <v>703</v>
      </c>
      <c r="EH56" s="345">
        <f>'[2]basic allocation'!$K$10</f>
        <v>469</v>
      </c>
      <c r="EI56" s="345">
        <f>'[2]basic allocation'!$L$10</f>
        <v>234</v>
      </c>
      <c r="EJ56" s="345">
        <f>'[2]basic allocation'!$M$10</f>
        <v>100</v>
      </c>
      <c r="EK56" s="345">
        <f>'[2]PBF Run'!$AT63</f>
        <v>0</v>
      </c>
      <c r="EM56" s="477"/>
    </row>
    <row r="57" spans="1:143">
      <c r="A57" s="476" t="s">
        <v>605</v>
      </c>
      <c r="B57" s="475" t="str">
        <f t="shared" si="46"/>
        <v>P1</v>
      </c>
      <c r="C57" s="346" t="s">
        <v>291</v>
      </c>
      <c r="D57" s="450" t="s">
        <v>290</v>
      </c>
      <c r="E57" s="449">
        <f>ROUND('[2]PBF Run'!N64,6)</f>
        <v>4709.7538670000004</v>
      </c>
      <c r="F57" s="340">
        <f t="shared" si="47"/>
        <v>4636.49</v>
      </c>
      <c r="G57" s="474">
        <f t="shared" si="48"/>
        <v>2788.0536374600001</v>
      </c>
      <c r="H57" s="473">
        <f t="shared" si="49"/>
        <v>2811.7520933800001</v>
      </c>
      <c r="I57" s="473">
        <f t="shared" si="50"/>
        <v>3282.8110613200001</v>
      </c>
      <c r="J57" s="473">
        <f t="shared" si="51"/>
        <v>3310.71495534</v>
      </c>
      <c r="K57" s="472">
        <f>ROUND([2]FTES!C64,3)</f>
        <v>20505.631000000001</v>
      </c>
      <c r="L57" s="472">
        <f>ROUND([2]FTES!L64,3)</f>
        <v>537.35</v>
      </c>
      <c r="M57" s="472">
        <f>ROUND([2]FTES!U64,3)</f>
        <v>155.18</v>
      </c>
      <c r="N57" s="465">
        <f>ROUND([2]FTES!$D64,3)</f>
        <v>20505.631000000001</v>
      </c>
      <c r="O57" s="465">
        <f>ROUND([2]FTES!$M64,3)</f>
        <v>537.35</v>
      </c>
      <c r="P57" s="465">
        <f>ROUND([2]FTES!$V64,3)</f>
        <v>155.18</v>
      </c>
      <c r="Q57" s="471">
        <f>'[2]FTES Adjustment'!BU64</f>
        <v>0</v>
      </c>
      <c r="R57" s="471">
        <f>'[2]FTES Adjustment'!BV64</f>
        <v>0</v>
      </c>
      <c r="S57" s="471">
        <f>'[2]FTES Adjustment'!BW64</f>
        <v>0</v>
      </c>
      <c r="T57" s="469">
        <f>ROUND('[2]Growth Deficit'!$AG64,3)</f>
        <v>0</v>
      </c>
      <c r="U57" s="469">
        <f>ROUND('[2]Growth Deficit'!$AH64,3)</f>
        <v>0</v>
      </c>
      <c r="V57" s="469">
        <f>ROUND('[2]Growth Deficit'!$AI64,3)</f>
        <v>0</v>
      </c>
      <c r="W57" s="470">
        <f>ROUND([2]FTES!I64,3)</f>
        <v>0</v>
      </c>
      <c r="X57" s="470">
        <f>ROUND([2]FTES!R64,3)</f>
        <v>0</v>
      </c>
      <c r="Y57" s="470">
        <f>ROUND([2]FTES!AA64,3)</f>
        <v>0</v>
      </c>
      <c r="Z57" s="469">
        <f>ROUND([2]FTES!E64,3)</f>
        <v>21431.5</v>
      </c>
      <c r="AA57" s="469">
        <f>ROUND([2]FTES!N64,3)</f>
        <v>727.16</v>
      </c>
      <c r="AB57" s="469">
        <f>ROUND([2]FTES!W64,3)</f>
        <v>83.42</v>
      </c>
      <c r="AC57" s="468">
        <f>'[2]FTES Adjustment'!CW64</f>
        <v>21431.500091999998</v>
      </c>
      <c r="AD57" s="468">
        <f>'[2]FTES Adjustment'!CX64</f>
        <v>727.15999999999985</v>
      </c>
      <c r="AE57" s="468">
        <f>'[2]FTES Adjustment'!CY64</f>
        <v>83.42</v>
      </c>
      <c r="AF57" s="467">
        <f>'[2]FTES Adjustment'!DQ64</f>
        <v>-9.1999998403480276E-5</v>
      </c>
      <c r="AG57" s="467">
        <f>'[2]FTES Adjustment'!DR64</f>
        <v>0</v>
      </c>
      <c r="AH57" s="467">
        <f>'[2]FTES Adjustment'!DS64</f>
        <v>0</v>
      </c>
      <c r="AI57" s="340">
        <f>'[2]FTES Adjustment'!$DX64</f>
        <v>0</v>
      </c>
      <c r="AJ57" s="340">
        <v>0</v>
      </c>
      <c r="AK57" s="340">
        <v>0</v>
      </c>
      <c r="AL57" s="465">
        <f>'[2]FTES Adjustment'!CG64</f>
        <v>925.86885600000005</v>
      </c>
      <c r="AM57" s="465">
        <f>'[2]FTES Adjustment'!CH64</f>
        <v>189.81</v>
      </c>
      <c r="AN57" s="465">
        <f>'[2]FTES Adjustment'!CI64</f>
        <v>-71.760000000000005</v>
      </c>
      <c r="AO57" s="463">
        <f t="shared" si="27"/>
        <v>21198.161</v>
      </c>
      <c r="AP57" s="463">
        <f t="shared" si="28"/>
        <v>21198.161</v>
      </c>
      <c r="AQ57" s="463">
        <f t="shared" si="29"/>
        <v>0</v>
      </c>
      <c r="AR57" s="463">
        <f t="shared" si="30"/>
        <v>0</v>
      </c>
      <c r="AS57" s="463">
        <f t="shared" si="31"/>
        <v>0</v>
      </c>
      <c r="AT57" s="463">
        <f t="shared" si="32"/>
        <v>22242.080000000002</v>
      </c>
      <c r="AU57" s="463">
        <f t="shared" si="33"/>
        <v>22242.080000000002</v>
      </c>
      <c r="AV57" s="464">
        <f t="shared" si="34"/>
        <v>0</v>
      </c>
      <c r="AW57" s="464">
        <f t="shared" si="35"/>
        <v>0</v>
      </c>
      <c r="AX57" s="464">
        <f t="shared" si="36"/>
        <v>1043.9190000000001</v>
      </c>
      <c r="AY57" s="460">
        <f>'[2]PBF Run'!F64</f>
        <v>6747388</v>
      </c>
      <c r="AZ57" s="460">
        <f t="shared" si="37"/>
        <v>98584064</v>
      </c>
      <c r="BA57" s="460">
        <f>'[2]PBF Run'!J64 + '[2]PBF Run'!$L64</f>
        <v>96576476</v>
      </c>
      <c r="BB57" s="460">
        <f>'[2]PBF Run'!H64</f>
        <v>1498161</v>
      </c>
      <c r="BC57" s="460">
        <f>'[2]PBF Run'!I64</f>
        <v>509427</v>
      </c>
      <c r="BD57" s="462">
        <v>0</v>
      </c>
      <c r="BE57" s="461">
        <f>'[2]Restoration and Growth'!BM64</f>
        <v>0</v>
      </c>
      <c r="BF57" s="460">
        <f t="shared" si="38"/>
        <v>105331452</v>
      </c>
      <c r="BG57" s="333" t="str">
        <f t="shared" si="52"/>
        <v>0.85%</v>
      </c>
      <c r="BH57" s="459">
        <f>'[2]PBF Run'!O64</f>
        <v>895317</v>
      </c>
      <c r="BI57" s="459">
        <f t="shared" si="39"/>
        <v>106226769</v>
      </c>
      <c r="BJ57" s="458">
        <f>'[2]PBF Run'!AC64</f>
        <v>0</v>
      </c>
      <c r="BK57" s="458">
        <f>'[2]PBF Run'!$AD64</f>
        <v>0</v>
      </c>
      <c r="BL57" s="458">
        <f>'[2]PBF Run'!$T64</f>
        <v>0</v>
      </c>
      <c r="BM57" s="458">
        <f>'[2]PBF Run'!$S64</f>
        <v>4625395</v>
      </c>
      <c r="BN57" s="458">
        <f>'[2]13-14 $86M Workload Restore'!$P62</f>
        <v>0</v>
      </c>
      <c r="BO57" s="458">
        <f t="shared" si="40"/>
        <v>4625395</v>
      </c>
      <c r="BP57" s="478">
        <f>'[2]Restoration and Growth'!AA64</f>
        <v>0</v>
      </c>
      <c r="BQ57" s="478">
        <f>'[2]Restoration and Growth'!AB64</f>
        <v>0</v>
      </c>
      <c r="BR57" s="453">
        <f>'[2]Restoration and Growth'!BT64</f>
        <v>0</v>
      </c>
      <c r="BS57" s="453">
        <f>'[2]Growth Deficit'!$AO64</f>
        <v>0</v>
      </c>
      <c r="BT57" s="453">
        <f>'[2]Growth Deficit'!AO64</f>
        <v>0</v>
      </c>
      <c r="BU57" s="453">
        <f>'[2]Growth Deficit'!AL64</f>
        <v>0</v>
      </c>
      <c r="BV57" s="453">
        <f>'[2]Growth Deficit'!AM64</f>
        <v>0</v>
      </c>
      <c r="BW57" s="453">
        <f>'[2]Growth Deficit'!AN64</f>
        <v>0</v>
      </c>
      <c r="BX57" s="453">
        <f>'[2]Growth Deficit'!AO64</f>
        <v>0</v>
      </c>
      <c r="BY57" s="454">
        <f>'[2]PBF Run'!AA64</f>
        <v>0</v>
      </c>
      <c r="BZ57" s="454">
        <f>'[2]PBF Run'!AB64</f>
        <v>0</v>
      </c>
      <c r="CA57" s="454">
        <f>'[2]PBF Run'!AC64</f>
        <v>0</v>
      </c>
      <c r="CB57" s="454">
        <f t="shared" si="41"/>
        <v>0</v>
      </c>
      <c r="CC57" s="457">
        <f>'[2]PBF Run'!X64</f>
        <v>0</v>
      </c>
      <c r="CD57" s="456">
        <f>'[2]PBF Run'!AE64</f>
        <v>110852164</v>
      </c>
      <c r="CE57" s="337">
        <f t="shared" si="42"/>
        <v>0.98518542227105277</v>
      </c>
      <c r="CF57" s="455">
        <f>'[2]PBF Run'!AM64</f>
        <v>1642228</v>
      </c>
      <c r="CG57" s="455">
        <f>'[2]PBF Run'!$AN64</f>
        <v>64403314</v>
      </c>
      <c r="CH57" s="455">
        <f>'[2]PBF Run'!$AO64</f>
        <v>0</v>
      </c>
      <c r="CI57" s="455">
        <f>'[2]PBF Run'!AJ64</f>
        <v>15349212</v>
      </c>
      <c r="CJ57" s="455">
        <f>'[2]PBF Run'!AI64</f>
        <v>13513055</v>
      </c>
      <c r="CK57" s="455">
        <f>'[2]PBF Run'!$AN64</f>
        <v>64403314</v>
      </c>
      <c r="CL57" s="455">
        <f>'[2]PBF Run'!AK64</f>
        <v>15944355</v>
      </c>
      <c r="CM57" s="455">
        <f t="shared" si="43"/>
        <v>109209936</v>
      </c>
      <c r="CN57" s="454">
        <f>'[2]PBF Run'!$AN64</f>
        <v>64403314</v>
      </c>
      <c r="CO57" s="454">
        <f>'[2]PBF Run'!BI64</f>
        <v>0</v>
      </c>
      <c r="CP57" s="339">
        <f>'[2]PBF Run'!BH64</f>
        <v>0</v>
      </c>
      <c r="CQ57" s="454">
        <f t="shared" si="53"/>
        <v>69532</v>
      </c>
      <c r="CR57" s="454">
        <f t="shared" si="44"/>
        <v>64403314</v>
      </c>
      <c r="CS57" s="453">
        <f>'[2]As of 13-14 R1'!BX64</f>
        <v>0</v>
      </c>
      <c r="CT57" s="453">
        <f>'[2]As of 13-14 R1'!BY64</f>
        <v>0</v>
      </c>
      <c r="CU57" s="453">
        <f>'[2]As of 13-14 R1'!BZ64</f>
        <v>0</v>
      </c>
      <c r="CV57" s="453">
        <f t="shared" si="45"/>
        <v>0</v>
      </c>
      <c r="CW57" s="342">
        <f>'[2]Growth Deficit'!$D$2</f>
        <v>0</v>
      </c>
      <c r="CX57" s="343">
        <f>IF($DL57="S",'[2]Foundation Grant'!C64,0)</f>
        <v>1</v>
      </c>
      <c r="CY57" s="343">
        <f>IF($DL57="S",'[2]Foundation Grant'!D64,0)</f>
        <v>0</v>
      </c>
      <c r="CZ57" s="343">
        <f>IF($DL57="S",'[2]Foundation Grant'!E64,0)</f>
        <v>0</v>
      </c>
      <c r="DA57" s="343">
        <f>IF($DL57="S",'[2]Foundation Grant'!F64,0)</f>
        <v>1</v>
      </c>
      <c r="DB57" s="343">
        <f>IF($DL57="M",'[2]Foundation Grant'!C64,0)</f>
        <v>0</v>
      </c>
      <c r="DC57" s="343">
        <f>IF($DL57="M",'[2]Foundation Grant'!D64,0)</f>
        <v>0</v>
      </c>
      <c r="DD57" s="343">
        <f>IF($DL57="M",'[2]Foundation Grant'!E64,0)</f>
        <v>0</v>
      </c>
      <c r="DE57" s="343">
        <f>IF($DL57="M",'[2]Foundation Grant'!F64,0)</f>
        <v>0</v>
      </c>
      <c r="DF57" s="343">
        <f>'[2]Foundation Grant'!G64</f>
        <v>0</v>
      </c>
      <c r="DG57" s="343">
        <f>'[2]Foundation Grant'!H64</f>
        <v>0</v>
      </c>
      <c r="DH57" s="343">
        <f>'[2]Foundation Grant'!I64</f>
        <v>0</v>
      </c>
      <c r="DI57" s="343">
        <f>'[2]Foundation Grant'!J64</f>
        <v>0</v>
      </c>
      <c r="DJ57" s="343">
        <f>'[2]Foundation Grant'!K64</f>
        <v>0</v>
      </c>
      <c r="DK57" s="452">
        <f>'[2]Foundation Grant'!L64</f>
        <v>0</v>
      </c>
      <c r="DL57" s="343" t="str">
        <f>'[2]Foundation Grant'!M64</f>
        <v>S</v>
      </c>
      <c r="DM57" s="343">
        <f>'[2]Foundation Grant'!N64</f>
        <v>6747388</v>
      </c>
      <c r="DN57" s="452">
        <f>'[2]Foundation Grant'!O64</f>
        <v>0</v>
      </c>
      <c r="DO57" s="452">
        <f>'[2]Foundation Grant'!P64</f>
        <v>1</v>
      </c>
      <c r="DP57" s="344">
        <f>'[2]Foundation Grant'!$C$1</f>
        <v>5622823</v>
      </c>
      <c r="DQ57" s="344">
        <f>'[2]Foundation Grant'!$D$1</f>
        <v>4498258</v>
      </c>
      <c r="DR57" s="344">
        <f>'[2]Foundation Grant'!$E$1</f>
        <v>3373694</v>
      </c>
      <c r="DS57" s="344">
        <f>'[2]Foundation Grant'!$C$2</f>
        <v>4498258</v>
      </c>
      <c r="DT57" s="344">
        <f>'[2]Foundation Grant'!$D$2</f>
        <v>3935976</v>
      </c>
      <c r="DU57" s="344">
        <f>'[2]Foundation Grant'!$E$2</f>
        <v>3373694</v>
      </c>
      <c r="DV57" s="344">
        <f>'[2]Foundation Grant'!$G$1</f>
        <v>1124565</v>
      </c>
      <c r="DW57" s="344">
        <f>'[2]Foundation Grant'!$H$1</f>
        <v>843423</v>
      </c>
      <c r="DX57" s="344">
        <f>'[2]Foundation Grant'!$I$1</f>
        <v>562282</v>
      </c>
      <c r="DY57" s="344">
        <f>'[2]Foundation Grant'!$J$1</f>
        <v>281141</v>
      </c>
      <c r="DZ57" s="344">
        <f>'[2]Foundation Grant'!$K$1</f>
        <v>140571</v>
      </c>
      <c r="EA57" s="344">
        <f>'[2]Foundation Grant'!$O$1</f>
        <v>562282</v>
      </c>
      <c r="EB57" s="344">
        <f>'[2]Foundation Grant'!$P$1</f>
        <v>1124565</v>
      </c>
      <c r="EC57" s="345">
        <f>'[2]basic allocation'!$C$10</f>
        <v>18749</v>
      </c>
      <c r="ED57" s="345">
        <f>'[2]basic allocation'!$D$10</f>
        <v>9375</v>
      </c>
      <c r="EE57" s="345">
        <f>'[2]basic allocation'!$E$10</f>
        <v>9375</v>
      </c>
      <c r="EF57" s="345">
        <f>'[2]basic allocation'!$I$10</f>
        <v>938</v>
      </c>
      <c r="EG57" s="345">
        <f>'[2]basic allocation'!$J$10</f>
        <v>703</v>
      </c>
      <c r="EH57" s="345">
        <f>'[2]basic allocation'!$K$10</f>
        <v>469</v>
      </c>
      <c r="EI57" s="345">
        <f>'[2]basic allocation'!$L$10</f>
        <v>234</v>
      </c>
      <c r="EJ57" s="345">
        <f>'[2]basic allocation'!$M$10</f>
        <v>100</v>
      </c>
      <c r="EK57" s="345">
        <f>'[2]PBF Run'!$AT64</f>
        <v>0</v>
      </c>
      <c r="EM57" s="477"/>
    </row>
    <row r="58" spans="1:143">
      <c r="A58" s="476" t="s">
        <v>605</v>
      </c>
      <c r="B58" s="475" t="str">
        <f t="shared" si="46"/>
        <v>P1</v>
      </c>
      <c r="C58" s="346" t="s">
        <v>289</v>
      </c>
      <c r="D58" s="450" t="s">
        <v>288</v>
      </c>
      <c r="E58" s="449">
        <f>ROUND('[2]PBF Run'!N65,6)</f>
        <v>4636.4928529999997</v>
      </c>
      <c r="F58" s="340">
        <f t="shared" si="47"/>
        <v>4636.49</v>
      </c>
      <c r="G58" s="474">
        <f t="shared" si="48"/>
        <v>2788.0536374600001</v>
      </c>
      <c r="H58" s="473">
        <f t="shared" si="49"/>
        <v>2811.7520933800001</v>
      </c>
      <c r="I58" s="473">
        <f t="shared" si="50"/>
        <v>3282.8110613200001</v>
      </c>
      <c r="J58" s="473">
        <f t="shared" si="51"/>
        <v>3310.71495534</v>
      </c>
      <c r="K58" s="472">
        <f>ROUND([2]FTES!C65,3)</f>
        <v>8178.1490000000003</v>
      </c>
      <c r="L58" s="472">
        <f>ROUND([2]FTES!L65,3)</f>
        <v>448.87</v>
      </c>
      <c r="M58" s="472">
        <f>ROUND([2]FTES!U65,3)</f>
        <v>85.33</v>
      </c>
      <c r="N58" s="465">
        <f>ROUND([2]FTES!$D65,3)</f>
        <v>8178.1490000000003</v>
      </c>
      <c r="O58" s="465">
        <f>ROUND([2]FTES!$M65,3)</f>
        <v>448.87</v>
      </c>
      <c r="P58" s="465">
        <f>ROUND([2]FTES!$V65,3)</f>
        <v>85.33</v>
      </c>
      <c r="Q58" s="471">
        <f>'[2]FTES Adjustment'!BU65</f>
        <v>0</v>
      </c>
      <c r="R58" s="471">
        <f>'[2]FTES Adjustment'!BV65</f>
        <v>0</v>
      </c>
      <c r="S58" s="471">
        <f>'[2]FTES Adjustment'!BW65</f>
        <v>0</v>
      </c>
      <c r="T58" s="469">
        <f>ROUND('[2]Growth Deficit'!$AG65,3)</f>
        <v>0</v>
      </c>
      <c r="U58" s="469">
        <f>ROUND('[2]Growth Deficit'!$AH65,3)</f>
        <v>0</v>
      </c>
      <c r="V58" s="469">
        <f>ROUND('[2]Growth Deficit'!$AI65,3)</f>
        <v>0</v>
      </c>
      <c r="W58" s="470">
        <f>ROUND([2]FTES!I65,3)</f>
        <v>0</v>
      </c>
      <c r="X58" s="470">
        <f>ROUND([2]FTES!R65,3)</f>
        <v>0</v>
      </c>
      <c r="Y58" s="470">
        <f>ROUND([2]FTES!AA65,3)</f>
        <v>0</v>
      </c>
      <c r="Z58" s="469">
        <f>ROUND([2]FTES!E65,3)</f>
        <v>8572.5300000000007</v>
      </c>
      <c r="AA58" s="469">
        <f>ROUND([2]FTES!N65,3)</f>
        <v>323.98</v>
      </c>
      <c r="AB58" s="469">
        <f>ROUND([2]FTES!W65,3)</f>
        <v>89.7</v>
      </c>
      <c r="AC58" s="468">
        <f>'[2]FTES Adjustment'!CW65</f>
        <v>8572.530064999999</v>
      </c>
      <c r="AD58" s="468">
        <f>'[2]FTES Adjustment'!CX65</f>
        <v>323.98</v>
      </c>
      <c r="AE58" s="468">
        <f>'[2]FTES Adjustment'!CY65</f>
        <v>89.700000000000017</v>
      </c>
      <c r="AF58" s="467">
        <f>'[2]FTES Adjustment'!DQ65</f>
        <v>-6.4999998357961886E-5</v>
      </c>
      <c r="AG58" s="467">
        <f>'[2]FTES Adjustment'!DR65</f>
        <v>0</v>
      </c>
      <c r="AH58" s="467">
        <f>'[2]FTES Adjustment'!DS65</f>
        <v>0</v>
      </c>
      <c r="AI58" s="340">
        <f>'[2]FTES Adjustment'!$DX65</f>
        <v>0</v>
      </c>
      <c r="AJ58" s="340">
        <v>0</v>
      </c>
      <c r="AK58" s="340">
        <v>0</v>
      </c>
      <c r="AL58" s="465">
        <f>'[2]FTES Adjustment'!CG65</f>
        <v>394.380718</v>
      </c>
      <c r="AM58" s="465">
        <f>'[2]FTES Adjustment'!CH65</f>
        <v>-124.88999999999999</v>
      </c>
      <c r="AN58" s="465">
        <f>'[2]FTES Adjustment'!CI65</f>
        <v>4.37</v>
      </c>
      <c r="AO58" s="463">
        <f t="shared" si="27"/>
        <v>8712.3490000000002</v>
      </c>
      <c r="AP58" s="463">
        <f t="shared" si="28"/>
        <v>8712.3490000000002</v>
      </c>
      <c r="AQ58" s="463">
        <f t="shared" si="29"/>
        <v>0</v>
      </c>
      <c r="AR58" s="463">
        <f t="shared" si="30"/>
        <v>0</v>
      </c>
      <c r="AS58" s="463">
        <f t="shared" si="31"/>
        <v>0</v>
      </c>
      <c r="AT58" s="463">
        <f t="shared" si="32"/>
        <v>8986.2099999999991</v>
      </c>
      <c r="AU58" s="463">
        <f t="shared" si="33"/>
        <v>8986.2099999999991</v>
      </c>
      <c r="AV58" s="464">
        <f t="shared" si="34"/>
        <v>0</v>
      </c>
      <c r="AW58" s="464">
        <f t="shared" si="35"/>
        <v>0</v>
      </c>
      <c r="AX58" s="464">
        <f t="shared" si="36"/>
        <v>273.86099999999999</v>
      </c>
      <c r="AY58" s="460">
        <f>'[2]PBF Run'!F65</f>
        <v>5622823</v>
      </c>
      <c r="AZ58" s="460">
        <f t="shared" si="37"/>
        <v>39449527</v>
      </c>
      <c r="BA58" s="460">
        <f>'[2]PBF Run'!J65 + '[2]PBF Run'!$L65</f>
        <v>37917931</v>
      </c>
      <c r="BB58" s="460">
        <f>'[2]PBF Run'!H65</f>
        <v>1251474</v>
      </c>
      <c r="BC58" s="460">
        <f>'[2]PBF Run'!I65</f>
        <v>280122</v>
      </c>
      <c r="BD58" s="462">
        <v>0</v>
      </c>
      <c r="BE58" s="461">
        <f>'[2]Restoration and Growth'!BM65</f>
        <v>0</v>
      </c>
      <c r="BF58" s="460">
        <f t="shared" si="38"/>
        <v>45072350</v>
      </c>
      <c r="BG58" s="333" t="str">
        <f t="shared" si="52"/>
        <v>0.85%</v>
      </c>
      <c r="BH58" s="459">
        <f>'[2]PBF Run'!O65</f>
        <v>383115</v>
      </c>
      <c r="BI58" s="459">
        <f t="shared" si="39"/>
        <v>45455465</v>
      </c>
      <c r="BJ58" s="458">
        <f>'[2]PBF Run'!AC65</f>
        <v>0</v>
      </c>
      <c r="BK58" s="458">
        <f>'[2]PBF Run'!$AD65</f>
        <v>0</v>
      </c>
      <c r="BL58" s="458">
        <f>'[2]PBF Run'!$T65</f>
        <v>0</v>
      </c>
      <c r="BM58" s="458">
        <f>'[2]PBF Run'!$S65</f>
        <v>1507394</v>
      </c>
      <c r="BN58" s="458">
        <f>'[2]13-14 $86M Workload Restore'!$P63</f>
        <v>0</v>
      </c>
      <c r="BO58" s="458">
        <f t="shared" si="40"/>
        <v>1507394</v>
      </c>
      <c r="BP58" s="478">
        <f>'[2]Restoration and Growth'!AA65</f>
        <v>0</v>
      </c>
      <c r="BQ58" s="478">
        <f>'[2]Restoration and Growth'!AB65</f>
        <v>0</v>
      </c>
      <c r="BR58" s="453">
        <f>'[2]Restoration and Growth'!BT65</f>
        <v>0</v>
      </c>
      <c r="BS58" s="453">
        <f>'[2]Growth Deficit'!$AO65</f>
        <v>0</v>
      </c>
      <c r="BT58" s="453">
        <f>'[2]Growth Deficit'!AO65</f>
        <v>0</v>
      </c>
      <c r="BU58" s="453">
        <f>'[2]Growth Deficit'!AL65</f>
        <v>0</v>
      </c>
      <c r="BV58" s="453">
        <f>'[2]Growth Deficit'!AM65</f>
        <v>0</v>
      </c>
      <c r="BW58" s="453">
        <f>'[2]Growth Deficit'!AN65</f>
        <v>0</v>
      </c>
      <c r="BX58" s="453">
        <f>'[2]Growth Deficit'!AO65</f>
        <v>0</v>
      </c>
      <c r="BY58" s="454">
        <f>'[2]PBF Run'!AA65</f>
        <v>0</v>
      </c>
      <c r="BZ58" s="454">
        <f>'[2]PBF Run'!AB65</f>
        <v>0</v>
      </c>
      <c r="CA58" s="454">
        <f>'[2]PBF Run'!AC65</f>
        <v>0</v>
      </c>
      <c r="CB58" s="454">
        <f t="shared" si="41"/>
        <v>0</v>
      </c>
      <c r="CC58" s="457">
        <f>'[2]PBF Run'!X65</f>
        <v>0</v>
      </c>
      <c r="CD58" s="456">
        <f>'[2]PBF Run'!AE65</f>
        <v>46962859</v>
      </c>
      <c r="CE58" s="337">
        <f t="shared" si="42"/>
        <v>0.98518542067466552</v>
      </c>
      <c r="CF58" s="455">
        <f>'[2]PBF Run'!AM65</f>
        <v>695735</v>
      </c>
      <c r="CG58" s="455">
        <f>'[2]PBF Run'!$AN65</f>
        <v>25530439</v>
      </c>
      <c r="CH58" s="455">
        <f>'[2]PBF Run'!$AO65</f>
        <v>0</v>
      </c>
      <c r="CI58" s="455">
        <f>'[2]PBF Run'!AJ65</f>
        <v>11410386</v>
      </c>
      <c r="CJ58" s="455">
        <f>'[2]PBF Run'!AI65</f>
        <v>1953702</v>
      </c>
      <c r="CK58" s="455">
        <f>'[2]PBF Run'!$AN65</f>
        <v>25530439</v>
      </c>
      <c r="CL58" s="455">
        <f>'[2]PBF Run'!AK65</f>
        <v>7372597</v>
      </c>
      <c r="CM58" s="455">
        <f t="shared" si="43"/>
        <v>46267124</v>
      </c>
      <c r="CN58" s="454">
        <f>'[2]PBF Run'!$AN65</f>
        <v>25530439</v>
      </c>
      <c r="CO58" s="454">
        <f>'[2]PBF Run'!BI65</f>
        <v>0</v>
      </c>
      <c r="CP58" s="339">
        <f>'[2]PBF Run'!BH65</f>
        <v>0</v>
      </c>
      <c r="CQ58" s="454">
        <f t="shared" si="53"/>
        <v>69532</v>
      </c>
      <c r="CR58" s="454">
        <f t="shared" si="44"/>
        <v>25530439</v>
      </c>
      <c r="CS58" s="453">
        <f>'[2]As of 13-14 R1'!BX65</f>
        <v>0</v>
      </c>
      <c r="CT58" s="453">
        <f>'[2]As of 13-14 R1'!BY65</f>
        <v>0</v>
      </c>
      <c r="CU58" s="453">
        <f>'[2]As of 13-14 R1'!BZ65</f>
        <v>0</v>
      </c>
      <c r="CV58" s="453">
        <f t="shared" si="45"/>
        <v>0</v>
      </c>
      <c r="CW58" s="342">
        <f>'[2]Growth Deficit'!$D$2</f>
        <v>0</v>
      </c>
      <c r="CX58" s="343">
        <f>IF($DL58="S",'[2]Foundation Grant'!C65,0)</f>
        <v>0</v>
      </c>
      <c r="CY58" s="343">
        <f>IF($DL58="S",'[2]Foundation Grant'!D65,0)</f>
        <v>1</v>
      </c>
      <c r="CZ58" s="343">
        <f>IF($DL58="S",'[2]Foundation Grant'!E65,0)</f>
        <v>0</v>
      </c>
      <c r="DA58" s="343">
        <f>IF($DL58="S",'[2]Foundation Grant'!F65,0)</f>
        <v>1</v>
      </c>
      <c r="DB58" s="343">
        <f>IF($DL58="M",'[2]Foundation Grant'!C65,0)</f>
        <v>0</v>
      </c>
      <c r="DC58" s="343">
        <f>IF($DL58="M",'[2]Foundation Grant'!D65,0)</f>
        <v>0</v>
      </c>
      <c r="DD58" s="343">
        <f>IF($DL58="M",'[2]Foundation Grant'!E65,0)</f>
        <v>0</v>
      </c>
      <c r="DE58" s="343">
        <f>IF($DL58="M",'[2]Foundation Grant'!F65,0)</f>
        <v>0</v>
      </c>
      <c r="DF58" s="343">
        <f>'[2]Foundation Grant'!G65</f>
        <v>0</v>
      </c>
      <c r="DG58" s="343">
        <f>'[2]Foundation Grant'!H65</f>
        <v>0</v>
      </c>
      <c r="DH58" s="343">
        <f>'[2]Foundation Grant'!I65</f>
        <v>0</v>
      </c>
      <c r="DI58" s="343">
        <f>'[2]Foundation Grant'!J65</f>
        <v>0</v>
      </c>
      <c r="DJ58" s="343">
        <f>'[2]Foundation Grant'!K65</f>
        <v>0</v>
      </c>
      <c r="DK58" s="452">
        <f>'[2]Foundation Grant'!L65</f>
        <v>0</v>
      </c>
      <c r="DL58" s="343" t="str">
        <f>'[2]Foundation Grant'!M65</f>
        <v>S</v>
      </c>
      <c r="DM58" s="343">
        <f>'[2]Foundation Grant'!N65</f>
        <v>5622823</v>
      </c>
      <c r="DN58" s="452">
        <f>'[2]Foundation Grant'!O65</f>
        <v>0</v>
      </c>
      <c r="DO58" s="452">
        <f>'[2]Foundation Grant'!P65</f>
        <v>1</v>
      </c>
      <c r="DP58" s="344">
        <f>'[2]Foundation Grant'!$C$1</f>
        <v>5622823</v>
      </c>
      <c r="DQ58" s="344">
        <f>'[2]Foundation Grant'!$D$1</f>
        <v>4498258</v>
      </c>
      <c r="DR58" s="344">
        <f>'[2]Foundation Grant'!$E$1</f>
        <v>3373694</v>
      </c>
      <c r="DS58" s="344">
        <f>'[2]Foundation Grant'!$C$2</f>
        <v>4498258</v>
      </c>
      <c r="DT58" s="344">
        <f>'[2]Foundation Grant'!$D$2</f>
        <v>3935976</v>
      </c>
      <c r="DU58" s="344">
        <f>'[2]Foundation Grant'!$E$2</f>
        <v>3373694</v>
      </c>
      <c r="DV58" s="344">
        <f>'[2]Foundation Grant'!$G$1</f>
        <v>1124565</v>
      </c>
      <c r="DW58" s="344">
        <f>'[2]Foundation Grant'!$H$1</f>
        <v>843423</v>
      </c>
      <c r="DX58" s="344">
        <f>'[2]Foundation Grant'!$I$1</f>
        <v>562282</v>
      </c>
      <c r="DY58" s="344">
        <f>'[2]Foundation Grant'!$J$1</f>
        <v>281141</v>
      </c>
      <c r="DZ58" s="344">
        <f>'[2]Foundation Grant'!$K$1</f>
        <v>140571</v>
      </c>
      <c r="EA58" s="344">
        <f>'[2]Foundation Grant'!$O$1</f>
        <v>562282</v>
      </c>
      <c r="EB58" s="344">
        <f>'[2]Foundation Grant'!$P$1</f>
        <v>1124565</v>
      </c>
      <c r="EC58" s="345">
        <f>'[2]basic allocation'!$C$10</f>
        <v>18749</v>
      </c>
      <c r="ED58" s="345">
        <f>'[2]basic allocation'!$D$10</f>
        <v>9375</v>
      </c>
      <c r="EE58" s="345">
        <f>'[2]basic allocation'!$E$10</f>
        <v>9375</v>
      </c>
      <c r="EF58" s="345">
        <f>'[2]basic allocation'!$I$10</f>
        <v>938</v>
      </c>
      <c r="EG58" s="345">
        <f>'[2]basic allocation'!$J$10</f>
        <v>703</v>
      </c>
      <c r="EH58" s="345">
        <f>'[2]basic allocation'!$K$10</f>
        <v>469</v>
      </c>
      <c r="EI58" s="345">
        <f>'[2]basic allocation'!$L$10</f>
        <v>234</v>
      </c>
      <c r="EJ58" s="345">
        <f>'[2]basic allocation'!$M$10</f>
        <v>100</v>
      </c>
      <c r="EK58" s="345">
        <f>'[2]PBF Run'!$AT65</f>
        <v>0</v>
      </c>
      <c r="EM58" s="477"/>
    </row>
    <row r="59" spans="1:143">
      <c r="A59" s="476" t="s">
        <v>605</v>
      </c>
      <c r="B59" s="475" t="str">
        <f t="shared" si="46"/>
        <v>P1</v>
      </c>
      <c r="C59" s="346" t="s">
        <v>287</v>
      </c>
      <c r="D59" s="450" t="s">
        <v>286</v>
      </c>
      <c r="E59" s="449">
        <f>ROUND('[2]PBF Run'!N66,6)</f>
        <v>4636.4928769999997</v>
      </c>
      <c r="F59" s="340">
        <f t="shared" si="47"/>
        <v>4636.49</v>
      </c>
      <c r="G59" s="474">
        <f t="shared" si="48"/>
        <v>2788.0536374600001</v>
      </c>
      <c r="H59" s="473">
        <f t="shared" si="49"/>
        <v>2811.7520933800001</v>
      </c>
      <c r="I59" s="473">
        <f t="shared" si="50"/>
        <v>3282.8110613200001</v>
      </c>
      <c r="J59" s="473">
        <f t="shared" si="51"/>
        <v>3310.71495534</v>
      </c>
      <c r="K59" s="472">
        <f>ROUND([2]FTES!C66,3)</f>
        <v>6231.49</v>
      </c>
      <c r="L59" s="472">
        <f>ROUND([2]FTES!L66,3)</f>
        <v>188.16</v>
      </c>
      <c r="M59" s="472">
        <f>ROUND([2]FTES!U66,3)</f>
        <v>47.45</v>
      </c>
      <c r="N59" s="465">
        <f>ROUND([2]FTES!$D66,3)</f>
        <v>6231.49</v>
      </c>
      <c r="O59" s="465">
        <f>ROUND([2]FTES!$M66,3)</f>
        <v>188.16</v>
      </c>
      <c r="P59" s="465">
        <f>ROUND([2]FTES!$V66,3)</f>
        <v>47.45</v>
      </c>
      <c r="Q59" s="471">
        <f>'[2]FTES Adjustment'!BU66</f>
        <v>476.09006799999997</v>
      </c>
      <c r="R59" s="471">
        <f>'[2]FTES Adjustment'!BV66</f>
        <v>23.480022000000002</v>
      </c>
      <c r="S59" s="471">
        <f>'[2]FTES Adjustment'!BW66</f>
        <v>0</v>
      </c>
      <c r="T59" s="469">
        <f>ROUND('[2]Growth Deficit'!$AG66,3)</f>
        <v>0</v>
      </c>
      <c r="U59" s="469">
        <f>ROUND('[2]Growth Deficit'!$AH66,3)</f>
        <v>0</v>
      </c>
      <c r="V59" s="469">
        <f>ROUND('[2]Growth Deficit'!$AI66,3)</f>
        <v>0</v>
      </c>
      <c r="W59" s="470">
        <f>ROUND([2]FTES!I66,3)</f>
        <v>0</v>
      </c>
      <c r="X59" s="470">
        <f>ROUND([2]FTES!R66,3)</f>
        <v>0</v>
      </c>
      <c r="Y59" s="470">
        <f>ROUND([2]FTES!AA66,3)</f>
        <v>0</v>
      </c>
      <c r="Z59" s="469">
        <f>ROUND([2]FTES!E66,3)</f>
        <v>6707.58</v>
      </c>
      <c r="AA59" s="469">
        <f>ROUND([2]FTES!N66,3)</f>
        <v>267.51</v>
      </c>
      <c r="AB59" s="469">
        <f>ROUND([2]FTES!W66,3)</f>
        <v>0</v>
      </c>
      <c r="AC59" s="468">
        <f>'[2]FTES Adjustment'!CW66</f>
        <v>6707.579999999999</v>
      </c>
      <c r="AD59" s="468">
        <f>'[2]FTES Adjustment'!CX66</f>
        <v>267.51</v>
      </c>
      <c r="AE59" s="468">
        <f>'[2]FTES Adjustment'!CY66</f>
        <v>0</v>
      </c>
      <c r="AF59" s="467">
        <f>'[2]FTES Adjustment'!DQ66</f>
        <v>0</v>
      </c>
      <c r="AG59" s="467">
        <f>'[2]FTES Adjustment'!DR66</f>
        <v>0</v>
      </c>
      <c r="AH59" s="467">
        <f>'[2]FTES Adjustment'!DS66</f>
        <v>0</v>
      </c>
      <c r="AI59" s="340">
        <f>'[2]FTES Adjustment'!$DX66</f>
        <v>0</v>
      </c>
      <c r="AJ59" s="340">
        <v>0</v>
      </c>
      <c r="AK59" s="340">
        <v>0</v>
      </c>
      <c r="AL59" s="465">
        <f>'[2]FTES Adjustment'!CG66</f>
        <v>-6.7999999999999999E-5</v>
      </c>
      <c r="AM59" s="465">
        <f>'[2]FTES Adjustment'!CH66</f>
        <v>55.869978000000003</v>
      </c>
      <c r="AN59" s="465">
        <f>'[2]FTES Adjustment'!CI66</f>
        <v>-47.45</v>
      </c>
      <c r="AO59" s="463">
        <f t="shared" si="27"/>
        <v>6467.1</v>
      </c>
      <c r="AP59" s="463">
        <f t="shared" si="28"/>
        <v>6467.1</v>
      </c>
      <c r="AQ59" s="463">
        <f t="shared" si="29"/>
        <v>499.57</v>
      </c>
      <c r="AR59" s="463">
        <f t="shared" si="30"/>
        <v>0</v>
      </c>
      <c r="AS59" s="463">
        <f t="shared" si="31"/>
        <v>0</v>
      </c>
      <c r="AT59" s="463">
        <f t="shared" si="32"/>
        <v>6975.09</v>
      </c>
      <c r="AU59" s="463">
        <f t="shared" si="33"/>
        <v>6975.09</v>
      </c>
      <c r="AV59" s="464">
        <f t="shared" si="34"/>
        <v>0</v>
      </c>
      <c r="AW59" s="464">
        <f t="shared" si="35"/>
        <v>0</v>
      </c>
      <c r="AX59" s="464">
        <f t="shared" si="36"/>
        <v>8.42</v>
      </c>
      <c r="AY59" s="460">
        <f>'[2]PBF Run'!F66</f>
        <v>3373694</v>
      </c>
      <c r="AZ59" s="460">
        <f t="shared" si="37"/>
        <v>29572628</v>
      </c>
      <c r="BA59" s="460">
        <f>'[2]PBF Run'!J66 + '[2]PBF Run'!$L66</f>
        <v>28892259</v>
      </c>
      <c r="BB59" s="460">
        <f>'[2]PBF Run'!H66</f>
        <v>524600</v>
      </c>
      <c r="BC59" s="460">
        <f>'[2]PBF Run'!I66</f>
        <v>155769</v>
      </c>
      <c r="BD59" s="462">
        <v>0</v>
      </c>
      <c r="BE59" s="461">
        <f>'[2]Restoration and Growth'!BM66</f>
        <v>0</v>
      </c>
      <c r="BF59" s="460">
        <f t="shared" si="38"/>
        <v>32946322</v>
      </c>
      <c r="BG59" s="333" t="str">
        <f t="shared" si="52"/>
        <v>0.85%</v>
      </c>
      <c r="BH59" s="459">
        <f>'[2]PBF Run'!O66</f>
        <v>280044</v>
      </c>
      <c r="BI59" s="459">
        <f t="shared" si="39"/>
        <v>33226366</v>
      </c>
      <c r="BJ59" s="458">
        <f>'[2]PBF Run'!AC66</f>
        <v>0</v>
      </c>
      <c r="BK59" s="458">
        <f>'[2]PBF Run'!$AD66</f>
        <v>0</v>
      </c>
      <c r="BL59" s="458">
        <f>'[2]PBF Run'!$T66</f>
        <v>2292171</v>
      </c>
      <c r="BM59" s="458">
        <f>'[2]PBF Run'!$S66</f>
        <v>0</v>
      </c>
      <c r="BN59" s="458">
        <f>'[2]13-14 $86M Workload Restore'!$P64</f>
        <v>0</v>
      </c>
      <c r="BO59" s="458">
        <f t="shared" si="40"/>
        <v>2292171</v>
      </c>
      <c r="BP59" s="478">
        <f>'[2]Restoration and Growth'!AA66</f>
        <v>0</v>
      </c>
      <c r="BQ59" s="478">
        <f>'[2]Restoration and Growth'!AB66</f>
        <v>0</v>
      </c>
      <c r="BR59" s="453">
        <f>'[2]Restoration and Growth'!BT66</f>
        <v>0</v>
      </c>
      <c r="BS59" s="453">
        <f>'[2]Growth Deficit'!$AO66</f>
        <v>0</v>
      </c>
      <c r="BT59" s="453">
        <f>'[2]Growth Deficit'!AO66</f>
        <v>0</v>
      </c>
      <c r="BU59" s="453">
        <f>'[2]Growth Deficit'!AL66</f>
        <v>0</v>
      </c>
      <c r="BV59" s="453">
        <f>'[2]Growth Deficit'!AM66</f>
        <v>0</v>
      </c>
      <c r="BW59" s="453">
        <f>'[2]Growth Deficit'!AN66</f>
        <v>0</v>
      </c>
      <c r="BX59" s="453">
        <f>'[2]Growth Deficit'!AO66</f>
        <v>0</v>
      </c>
      <c r="BY59" s="454">
        <f>'[2]PBF Run'!AA66</f>
        <v>0</v>
      </c>
      <c r="BZ59" s="454">
        <f>'[2]PBF Run'!AB66</f>
        <v>0</v>
      </c>
      <c r="CA59" s="454">
        <f>'[2]PBF Run'!AC66</f>
        <v>0</v>
      </c>
      <c r="CB59" s="454">
        <f t="shared" si="41"/>
        <v>0</v>
      </c>
      <c r="CC59" s="457">
        <f>'[2]PBF Run'!X66</f>
        <v>0</v>
      </c>
      <c r="CD59" s="456">
        <f>'[2]PBF Run'!AE66</f>
        <v>35518537</v>
      </c>
      <c r="CE59" s="337">
        <f t="shared" si="42"/>
        <v>0.98518542585242175</v>
      </c>
      <c r="CF59" s="455">
        <f>'[2]PBF Run'!AM66</f>
        <v>526192</v>
      </c>
      <c r="CG59" s="455">
        <f>'[2]PBF Run'!$AN66</f>
        <v>15193152</v>
      </c>
      <c r="CH59" s="455">
        <f>'[2]PBF Run'!$AO66</f>
        <v>0</v>
      </c>
      <c r="CI59" s="455">
        <f>'[2]PBF Run'!AJ66</f>
        <v>12344717</v>
      </c>
      <c r="CJ59" s="455">
        <f>'[2]PBF Run'!AI66</f>
        <v>1957028</v>
      </c>
      <c r="CK59" s="455">
        <f>'[2]PBF Run'!$AN66</f>
        <v>15193152</v>
      </c>
      <c r="CL59" s="455">
        <f>'[2]PBF Run'!AK66</f>
        <v>5497448</v>
      </c>
      <c r="CM59" s="455">
        <f t="shared" si="43"/>
        <v>34992345</v>
      </c>
      <c r="CN59" s="454">
        <f>'[2]PBF Run'!$AN66</f>
        <v>15193152</v>
      </c>
      <c r="CO59" s="454">
        <f>'[2]PBF Run'!BI66</f>
        <v>0</v>
      </c>
      <c r="CP59" s="339">
        <f>'[2]PBF Run'!BH66</f>
        <v>0</v>
      </c>
      <c r="CQ59" s="454">
        <f t="shared" si="53"/>
        <v>69532</v>
      </c>
      <c r="CR59" s="454">
        <f t="shared" si="44"/>
        <v>15193152</v>
      </c>
      <c r="CS59" s="453">
        <f>'[2]As of 13-14 R1'!BX66</f>
        <v>0</v>
      </c>
      <c r="CT59" s="453">
        <f>'[2]As of 13-14 R1'!BY66</f>
        <v>0</v>
      </c>
      <c r="CU59" s="453">
        <f>'[2]As of 13-14 R1'!BZ66</f>
        <v>3786008</v>
      </c>
      <c r="CV59" s="453">
        <f t="shared" si="45"/>
        <v>3786008</v>
      </c>
      <c r="CW59" s="342">
        <f>'[2]Growth Deficit'!$D$2</f>
        <v>0</v>
      </c>
      <c r="CX59" s="343">
        <f>IF($DL59="S",'[2]Foundation Grant'!C66,0)</f>
        <v>0</v>
      </c>
      <c r="CY59" s="343">
        <f>IF($DL59="S",'[2]Foundation Grant'!D66,0)</f>
        <v>0</v>
      </c>
      <c r="CZ59" s="343">
        <f>IF($DL59="S",'[2]Foundation Grant'!E66,0)</f>
        <v>1</v>
      </c>
      <c r="DA59" s="343">
        <f>IF($DL59="S",'[2]Foundation Grant'!F66,0)</f>
        <v>1</v>
      </c>
      <c r="DB59" s="343">
        <f>IF($DL59="M",'[2]Foundation Grant'!C66,0)</f>
        <v>0</v>
      </c>
      <c r="DC59" s="343">
        <f>IF($DL59="M",'[2]Foundation Grant'!D66,0)</f>
        <v>0</v>
      </c>
      <c r="DD59" s="343">
        <f>IF($DL59="M",'[2]Foundation Grant'!E66,0)</f>
        <v>0</v>
      </c>
      <c r="DE59" s="343">
        <f>IF($DL59="M",'[2]Foundation Grant'!F66,0)</f>
        <v>0</v>
      </c>
      <c r="DF59" s="343">
        <f>'[2]Foundation Grant'!G66</f>
        <v>0</v>
      </c>
      <c r="DG59" s="343">
        <f>'[2]Foundation Grant'!H66</f>
        <v>0</v>
      </c>
      <c r="DH59" s="343">
        <f>'[2]Foundation Grant'!I66</f>
        <v>0</v>
      </c>
      <c r="DI59" s="343">
        <f>'[2]Foundation Grant'!J66</f>
        <v>0</v>
      </c>
      <c r="DJ59" s="343">
        <f>'[2]Foundation Grant'!K66</f>
        <v>0</v>
      </c>
      <c r="DK59" s="452">
        <f>'[2]Foundation Grant'!L66</f>
        <v>0</v>
      </c>
      <c r="DL59" s="343" t="str">
        <f>'[2]Foundation Grant'!M66</f>
        <v>S</v>
      </c>
      <c r="DM59" s="343">
        <f>'[2]Foundation Grant'!N66</f>
        <v>3373694</v>
      </c>
      <c r="DN59" s="452">
        <f>'[2]Foundation Grant'!O66</f>
        <v>0</v>
      </c>
      <c r="DO59" s="452">
        <f>'[2]Foundation Grant'!P66</f>
        <v>0</v>
      </c>
      <c r="DP59" s="344">
        <f>'[2]Foundation Grant'!$C$1</f>
        <v>5622823</v>
      </c>
      <c r="DQ59" s="344">
        <f>'[2]Foundation Grant'!$D$1</f>
        <v>4498258</v>
      </c>
      <c r="DR59" s="344">
        <f>'[2]Foundation Grant'!$E$1</f>
        <v>3373694</v>
      </c>
      <c r="DS59" s="344">
        <f>'[2]Foundation Grant'!$C$2</f>
        <v>4498258</v>
      </c>
      <c r="DT59" s="344">
        <f>'[2]Foundation Grant'!$D$2</f>
        <v>3935976</v>
      </c>
      <c r="DU59" s="344">
        <f>'[2]Foundation Grant'!$E$2</f>
        <v>3373694</v>
      </c>
      <c r="DV59" s="344">
        <f>'[2]Foundation Grant'!$G$1</f>
        <v>1124565</v>
      </c>
      <c r="DW59" s="344">
        <f>'[2]Foundation Grant'!$H$1</f>
        <v>843423</v>
      </c>
      <c r="DX59" s="344">
        <f>'[2]Foundation Grant'!$I$1</f>
        <v>562282</v>
      </c>
      <c r="DY59" s="344">
        <f>'[2]Foundation Grant'!$J$1</f>
        <v>281141</v>
      </c>
      <c r="DZ59" s="344">
        <f>'[2]Foundation Grant'!$K$1</f>
        <v>140571</v>
      </c>
      <c r="EA59" s="344">
        <f>'[2]Foundation Grant'!$O$1</f>
        <v>562282</v>
      </c>
      <c r="EB59" s="344">
        <f>'[2]Foundation Grant'!$P$1</f>
        <v>1124565</v>
      </c>
      <c r="EC59" s="345">
        <f>'[2]basic allocation'!$C$10</f>
        <v>18749</v>
      </c>
      <c r="ED59" s="345">
        <f>'[2]basic allocation'!$D$10</f>
        <v>9375</v>
      </c>
      <c r="EE59" s="345">
        <f>'[2]basic allocation'!$E$10</f>
        <v>9375</v>
      </c>
      <c r="EF59" s="345">
        <f>'[2]basic allocation'!$I$10</f>
        <v>938</v>
      </c>
      <c r="EG59" s="345">
        <f>'[2]basic allocation'!$J$10</f>
        <v>703</v>
      </c>
      <c r="EH59" s="345">
        <f>'[2]basic allocation'!$K$10</f>
        <v>469</v>
      </c>
      <c r="EI59" s="345">
        <f>'[2]basic allocation'!$L$10</f>
        <v>234</v>
      </c>
      <c r="EJ59" s="345">
        <f>'[2]basic allocation'!$M$10</f>
        <v>100</v>
      </c>
      <c r="EK59" s="345">
        <f>'[2]PBF Run'!$AT66</f>
        <v>0</v>
      </c>
      <c r="EM59" s="477"/>
    </row>
    <row r="60" spans="1:143">
      <c r="A60" s="476" t="s">
        <v>605</v>
      </c>
      <c r="B60" s="475" t="str">
        <f t="shared" si="46"/>
        <v>P1</v>
      </c>
      <c r="C60" s="346" t="s">
        <v>285</v>
      </c>
      <c r="D60" s="450" t="s">
        <v>284</v>
      </c>
      <c r="E60" s="449">
        <f>ROUND('[2]PBF Run'!N67,6)</f>
        <v>4636.4928620000001</v>
      </c>
      <c r="F60" s="340">
        <f t="shared" si="47"/>
        <v>4636.49</v>
      </c>
      <c r="G60" s="474">
        <f t="shared" si="48"/>
        <v>2788.0536374600001</v>
      </c>
      <c r="H60" s="473">
        <f t="shared" si="49"/>
        <v>2811.7520933800001</v>
      </c>
      <c r="I60" s="473">
        <f t="shared" si="50"/>
        <v>3282.8110613200001</v>
      </c>
      <c r="J60" s="473">
        <f t="shared" si="51"/>
        <v>3310.71495534</v>
      </c>
      <c r="K60" s="472">
        <f>ROUND([2]FTES!C67,3)</f>
        <v>13021.67</v>
      </c>
      <c r="L60" s="472">
        <f>ROUND([2]FTES!L67,3)</f>
        <v>342.51</v>
      </c>
      <c r="M60" s="472">
        <f>ROUND([2]FTES!U67,3)</f>
        <v>0</v>
      </c>
      <c r="N60" s="465">
        <f>ROUND([2]FTES!$D67,3)</f>
        <v>13021.67</v>
      </c>
      <c r="O60" s="465">
        <f>ROUND([2]FTES!$M67,3)</f>
        <v>342.51</v>
      </c>
      <c r="P60" s="465">
        <f>ROUND([2]FTES!$V67,3)</f>
        <v>0</v>
      </c>
      <c r="Q60" s="471">
        <f>'[2]FTES Adjustment'!BU67</f>
        <v>1217.3674149999999</v>
      </c>
      <c r="R60" s="471">
        <f>'[2]FTES Adjustment'!BV67</f>
        <v>0</v>
      </c>
      <c r="S60" s="471">
        <f>'[2]FTES Adjustment'!BW67</f>
        <v>0</v>
      </c>
      <c r="T60" s="469">
        <f>ROUND('[2]Growth Deficit'!$AG67,3)</f>
        <v>0</v>
      </c>
      <c r="U60" s="469">
        <f>ROUND('[2]Growth Deficit'!$AH67,3)</f>
        <v>0</v>
      </c>
      <c r="V60" s="469">
        <f>ROUND('[2]Growth Deficit'!$AI67,3)</f>
        <v>0</v>
      </c>
      <c r="W60" s="470">
        <f>ROUND([2]FTES!I67,3)</f>
        <v>0</v>
      </c>
      <c r="X60" s="470">
        <f>ROUND([2]FTES!R67,3)</f>
        <v>0</v>
      </c>
      <c r="Y60" s="470">
        <f>ROUND([2]FTES!AA67,3)</f>
        <v>0</v>
      </c>
      <c r="Z60" s="469">
        <f>ROUND([2]FTES!E67,3)</f>
        <v>14502.09</v>
      </c>
      <c r="AA60" s="469">
        <f>ROUND([2]FTES!N67,3)</f>
        <v>302.85000000000002</v>
      </c>
      <c r="AB60" s="469">
        <f>ROUND([2]FTES!W67,3)</f>
        <v>0</v>
      </c>
      <c r="AC60" s="468">
        <f>'[2]FTES Adjustment'!CW67</f>
        <v>14502.089918000001</v>
      </c>
      <c r="AD60" s="468">
        <f>'[2]FTES Adjustment'!CX67</f>
        <v>302.85000000000002</v>
      </c>
      <c r="AE60" s="468">
        <f>'[2]FTES Adjustment'!CY67</f>
        <v>0</v>
      </c>
      <c r="AF60" s="467">
        <f>'[2]FTES Adjustment'!DQ67</f>
        <v>8.1999998656101525E-5</v>
      </c>
      <c r="AG60" s="467">
        <f>'[2]FTES Adjustment'!DR67</f>
        <v>0</v>
      </c>
      <c r="AH60" s="467">
        <f>'[2]FTES Adjustment'!DS67</f>
        <v>0</v>
      </c>
      <c r="AI60" s="340">
        <f>'[2]FTES Adjustment'!$DX67</f>
        <v>0</v>
      </c>
      <c r="AJ60" s="340">
        <v>0</v>
      </c>
      <c r="AK60" s="340">
        <v>0</v>
      </c>
      <c r="AL60" s="465">
        <f>'[2]FTES Adjustment'!CG67</f>
        <v>263.052503</v>
      </c>
      <c r="AM60" s="465">
        <f>'[2]FTES Adjustment'!CH67</f>
        <v>-39.659999999999968</v>
      </c>
      <c r="AN60" s="465">
        <f>'[2]FTES Adjustment'!CI67</f>
        <v>0</v>
      </c>
      <c r="AO60" s="463">
        <f t="shared" si="27"/>
        <v>13364.18</v>
      </c>
      <c r="AP60" s="463">
        <f t="shared" si="28"/>
        <v>13364.18</v>
      </c>
      <c r="AQ60" s="463">
        <f t="shared" si="29"/>
        <v>1217.367</v>
      </c>
      <c r="AR60" s="463">
        <f t="shared" si="30"/>
        <v>0</v>
      </c>
      <c r="AS60" s="463">
        <f t="shared" si="31"/>
        <v>0</v>
      </c>
      <c r="AT60" s="463">
        <f t="shared" si="32"/>
        <v>14804.94</v>
      </c>
      <c r="AU60" s="463">
        <f t="shared" si="33"/>
        <v>14804.94</v>
      </c>
      <c r="AV60" s="464">
        <f t="shared" si="34"/>
        <v>0</v>
      </c>
      <c r="AW60" s="464">
        <f t="shared" si="35"/>
        <v>0</v>
      </c>
      <c r="AX60" s="464">
        <f t="shared" si="36"/>
        <v>223.393</v>
      </c>
      <c r="AY60" s="460">
        <f>'[2]PBF Run'!F67</f>
        <v>5763394</v>
      </c>
      <c r="AZ60" s="460">
        <f t="shared" si="37"/>
        <v>61329816</v>
      </c>
      <c r="BA60" s="460">
        <f>'[2]PBF Run'!J67 + '[2]PBF Run'!$L67</f>
        <v>60374880</v>
      </c>
      <c r="BB60" s="460">
        <f>'[2]PBF Run'!H67</f>
        <v>954936</v>
      </c>
      <c r="BC60" s="460">
        <f>'[2]PBF Run'!I67</f>
        <v>0</v>
      </c>
      <c r="BD60" s="462">
        <v>0</v>
      </c>
      <c r="BE60" s="461">
        <f>'[2]Restoration and Growth'!BM67</f>
        <v>0</v>
      </c>
      <c r="BF60" s="460">
        <f t="shared" si="38"/>
        <v>67093210</v>
      </c>
      <c r="BG60" s="333" t="str">
        <f t="shared" si="52"/>
        <v>0.85%</v>
      </c>
      <c r="BH60" s="459">
        <f>'[2]PBF Run'!O67</f>
        <v>570292</v>
      </c>
      <c r="BI60" s="459">
        <f t="shared" si="39"/>
        <v>67663502</v>
      </c>
      <c r="BJ60" s="458">
        <f>'[2]PBF Run'!AC67</f>
        <v>0</v>
      </c>
      <c r="BK60" s="458">
        <f>'[2]PBF Run'!$AD67</f>
        <v>0</v>
      </c>
      <c r="BL60" s="458">
        <f>'[2]PBF Run'!$T67</f>
        <v>5692292</v>
      </c>
      <c r="BM60" s="458">
        <f>'[2]PBF Run'!$S67</f>
        <v>1118494</v>
      </c>
      <c r="BN60" s="458">
        <f>'[2]13-14 $86M Workload Restore'!$P65</f>
        <v>0</v>
      </c>
      <c r="BO60" s="458">
        <f t="shared" si="40"/>
        <v>6810786</v>
      </c>
      <c r="BP60" s="478">
        <f>'[2]Restoration and Growth'!AA67</f>
        <v>0</v>
      </c>
      <c r="BQ60" s="478">
        <f>'[2]Restoration and Growth'!AB67</f>
        <v>0</v>
      </c>
      <c r="BR60" s="453">
        <f>'[2]Restoration and Growth'!BT67</f>
        <v>0</v>
      </c>
      <c r="BS60" s="453">
        <f>'[2]Growth Deficit'!$AO67</f>
        <v>0</v>
      </c>
      <c r="BT60" s="453">
        <f>'[2]Growth Deficit'!AO67</f>
        <v>0</v>
      </c>
      <c r="BU60" s="453">
        <f>'[2]Growth Deficit'!AL67</f>
        <v>0</v>
      </c>
      <c r="BV60" s="453">
        <f>'[2]Growth Deficit'!AM67</f>
        <v>0</v>
      </c>
      <c r="BW60" s="453">
        <f>'[2]Growth Deficit'!AN67</f>
        <v>0</v>
      </c>
      <c r="BX60" s="453">
        <f>'[2]Growth Deficit'!AO67</f>
        <v>0</v>
      </c>
      <c r="BY60" s="454">
        <f>'[2]PBF Run'!AA67</f>
        <v>0</v>
      </c>
      <c r="BZ60" s="454">
        <f>'[2]PBF Run'!AB67</f>
        <v>0</v>
      </c>
      <c r="CA60" s="454">
        <f>'[2]PBF Run'!AC67</f>
        <v>0</v>
      </c>
      <c r="CB60" s="454">
        <f t="shared" si="41"/>
        <v>0</v>
      </c>
      <c r="CC60" s="457">
        <f>'[2]PBF Run'!X67</f>
        <v>0</v>
      </c>
      <c r="CD60" s="456">
        <f>'[2]PBF Run'!AE67</f>
        <v>74474288</v>
      </c>
      <c r="CE60" s="337">
        <f t="shared" si="42"/>
        <v>0.98518542399492293</v>
      </c>
      <c r="CF60" s="455">
        <f>'[2]PBF Run'!AM67</f>
        <v>1103305</v>
      </c>
      <c r="CG60" s="455">
        <f>'[2]PBF Run'!$AN67</f>
        <v>1118494</v>
      </c>
      <c r="CH60" s="455">
        <f>'[2]PBF Run'!$AO67</f>
        <v>0</v>
      </c>
      <c r="CI60" s="455">
        <f>'[2]PBF Run'!AJ67</f>
        <v>62837105</v>
      </c>
      <c r="CJ60" s="455">
        <f>'[2]PBF Run'!AI67</f>
        <v>6447752</v>
      </c>
      <c r="CK60" s="455">
        <f>'[2]PBF Run'!$AN67</f>
        <v>1118494</v>
      </c>
      <c r="CL60" s="455">
        <f>'[2]PBF Run'!AK67</f>
        <v>2967632</v>
      </c>
      <c r="CM60" s="455">
        <f t="shared" si="43"/>
        <v>73370983</v>
      </c>
      <c r="CN60" s="454">
        <f>'[2]PBF Run'!$AN67</f>
        <v>1118494</v>
      </c>
      <c r="CO60" s="454">
        <f>'[2]PBF Run'!BI67</f>
        <v>0</v>
      </c>
      <c r="CP60" s="339">
        <f>'[2]PBF Run'!BH67</f>
        <v>0</v>
      </c>
      <c r="CQ60" s="454">
        <f t="shared" si="53"/>
        <v>69532</v>
      </c>
      <c r="CR60" s="454">
        <f t="shared" si="44"/>
        <v>1118494</v>
      </c>
      <c r="CS60" s="453">
        <f>'[2]As of 13-14 R1'!BX67</f>
        <v>0</v>
      </c>
      <c r="CT60" s="453">
        <f>'[2]As of 13-14 R1'!BY67</f>
        <v>0</v>
      </c>
      <c r="CU60" s="453">
        <f>'[2]As of 13-14 R1'!BZ67</f>
        <v>5644315</v>
      </c>
      <c r="CV60" s="453">
        <f t="shared" si="45"/>
        <v>5644315</v>
      </c>
      <c r="CW60" s="342">
        <f>'[2]Growth Deficit'!$D$2</f>
        <v>0</v>
      </c>
      <c r="CX60" s="343">
        <f>IF($DL60="S",'[2]Foundation Grant'!C67,0)</f>
        <v>0</v>
      </c>
      <c r="CY60" s="343">
        <f>IF($DL60="S",'[2]Foundation Grant'!D67,0)</f>
        <v>1</v>
      </c>
      <c r="CZ60" s="343">
        <f>IF($DL60="S",'[2]Foundation Grant'!E67,0)</f>
        <v>0</v>
      </c>
      <c r="DA60" s="343">
        <f>IF($DL60="S",'[2]Foundation Grant'!F67,0)</f>
        <v>1</v>
      </c>
      <c r="DB60" s="343">
        <f>IF($DL60="M",'[2]Foundation Grant'!C67,0)</f>
        <v>0</v>
      </c>
      <c r="DC60" s="343">
        <f>IF($DL60="M",'[2]Foundation Grant'!D67,0)</f>
        <v>0</v>
      </c>
      <c r="DD60" s="343">
        <f>IF($DL60="M",'[2]Foundation Grant'!E67,0)</f>
        <v>0</v>
      </c>
      <c r="DE60" s="343">
        <f>IF($DL60="M",'[2]Foundation Grant'!F67,0)</f>
        <v>0</v>
      </c>
      <c r="DF60" s="343">
        <f>'[2]Foundation Grant'!G67</f>
        <v>0</v>
      </c>
      <c r="DG60" s="343">
        <f>'[2]Foundation Grant'!H67</f>
        <v>0</v>
      </c>
      <c r="DH60" s="343">
        <f>'[2]Foundation Grant'!I67</f>
        <v>0</v>
      </c>
      <c r="DI60" s="343">
        <f>'[2]Foundation Grant'!J67</f>
        <v>0</v>
      </c>
      <c r="DJ60" s="343">
        <f>'[2]Foundation Grant'!K67</f>
        <v>1</v>
      </c>
      <c r="DK60" s="452">
        <f>'[2]Foundation Grant'!L67</f>
        <v>1</v>
      </c>
      <c r="DL60" s="343" t="str">
        <f>'[2]Foundation Grant'!M67</f>
        <v>S</v>
      </c>
      <c r="DM60" s="343">
        <f>'[2]Foundation Grant'!N67</f>
        <v>5763394</v>
      </c>
      <c r="DN60" s="452">
        <f>'[2]Foundation Grant'!O67</f>
        <v>0</v>
      </c>
      <c r="DO60" s="452">
        <f>'[2]Foundation Grant'!P67</f>
        <v>1</v>
      </c>
      <c r="DP60" s="344">
        <f>'[2]Foundation Grant'!$C$1</f>
        <v>5622823</v>
      </c>
      <c r="DQ60" s="344">
        <f>'[2]Foundation Grant'!$D$1</f>
        <v>4498258</v>
      </c>
      <c r="DR60" s="344">
        <f>'[2]Foundation Grant'!$E$1</f>
        <v>3373694</v>
      </c>
      <c r="DS60" s="344">
        <f>'[2]Foundation Grant'!$C$2</f>
        <v>4498258</v>
      </c>
      <c r="DT60" s="344">
        <f>'[2]Foundation Grant'!$D$2</f>
        <v>3935976</v>
      </c>
      <c r="DU60" s="344">
        <f>'[2]Foundation Grant'!$E$2</f>
        <v>3373694</v>
      </c>
      <c r="DV60" s="344">
        <f>'[2]Foundation Grant'!$G$1</f>
        <v>1124565</v>
      </c>
      <c r="DW60" s="344">
        <f>'[2]Foundation Grant'!$H$1</f>
        <v>843423</v>
      </c>
      <c r="DX60" s="344">
        <f>'[2]Foundation Grant'!$I$1</f>
        <v>562282</v>
      </c>
      <c r="DY60" s="344">
        <f>'[2]Foundation Grant'!$J$1</f>
        <v>281141</v>
      </c>
      <c r="DZ60" s="344">
        <f>'[2]Foundation Grant'!$K$1</f>
        <v>140571</v>
      </c>
      <c r="EA60" s="344">
        <f>'[2]Foundation Grant'!$O$1</f>
        <v>562282</v>
      </c>
      <c r="EB60" s="344">
        <f>'[2]Foundation Grant'!$P$1</f>
        <v>1124565</v>
      </c>
      <c r="EC60" s="345">
        <f>'[2]basic allocation'!$C$10</f>
        <v>18749</v>
      </c>
      <c r="ED60" s="345">
        <f>'[2]basic allocation'!$D$10</f>
        <v>9375</v>
      </c>
      <c r="EE60" s="345">
        <f>'[2]basic allocation'!$E$10</f>
        <v>9375</v>
      </c>
      <c r="EF60" s="345">
        <f>'[2]basic allocation'!$I$10</f>
        <v>938</v>
      </c>
      <c r="EG60" s="345">
        <f>'[2]basic allocation'!$J$10</f>
        <v>703</v>
      </c>
      <c r="EH60" s="345">
        <f>'[2]basic allocation'!$K$10</f>
        <v>469</v>
      </c>
      <c r="EI60" s="345">
        <f>'[2]basic allocation'!$L$10</f>
        <v>234</v>
      </c>
      <c r="EJ60" s="345">
        <f>'[2]basic allocation'!$M$10</f>
        <v>100</v>
      </c>
      <c r="EK60" s="345">
        <f>'[2]PBF Run'!$AT67</f>
        <v>0</v>
      </c>
      <c r="EM60" s="477"/>
    </row>
    <row r="61" spans="1:143">
      <c r="A61" s="476" t="s">
        <v>605</v>
      </c>
      <c r="B61" s="475" t="str">
        <f t="shared" si="46"/>
        <v>P1</v>
      </c>
      <c r="C61" s="346" t="s">
        <v>283</v>
      </c>
      <c r="D61" s="450" t="s">
        <v>282</v>
      </c>
      <c r="E61" s="449">
        <f>ROUND('[2]PBF Run'!N68,6)</f>
        <v>4636.4927090000001</v>
      </c>
      <c r="F61" s="340">
        <f t="shared" si="47"/>
        <v>4636.49</v>
      </c>
      <c r="G61" s="474">
        <f t="shared" si="48"/>
        <v>2788.0536374600001</v>
      </c>
      <c r="H61" s="473">
        <f t="shared" si="49"/>
        <v>2811.7520933800001</v>
      </c>
      <c r="I61" s="473">
        <f t="shared" si="50"/>
        <v>3282.8110613200001</v>
      </c>
      <c r="J61" s="473">
        <f t="shared" si="51"/>
        <v>3310.71495534</v>
      </c>
      <c r="K61" s="472">
        <f>ROUND([2]FTES!C68,3)</f>
        <v>1976.34</v>
      </c>
      <c r="L61" s="472">
        <f>ROUND([2]FTES!L68,3)</f>
        <v>263.8</v>
      </c>
      <c r="M61" s="472">
        <f>ROUND([2]FTES!U68,3)</f>
        <v>67.900000000000006</v>
      </c>
      <c r="N61" s="465">
        <f>ROUND([2]FTES!$D68,3)</f>
        <v>1976.34</v>
      </c>
      <c r="O61" s="465">
        <f>ROUND([2]FTES!$M68,3)</f>
        <v>263.8</v>
      </c>
      <c r="P61" s="465">
        <f>ROUND([2]FTES!$V68,3)</f>
        <v>67.900000000000006</v>
      </c>
      <c r="Q61" s="471">
        <f>'[2]FTES Adjustment'!BU68</f>
        <v>25.820039000000001</v>
      </c>
      <c r="R61" s="471">
        <f>'[2]FTES Adjustment'!BV68</f>
        <v>0</v>
      </c>
      <c r="S61" s="471">
        <f>'[2]FTES Adjustment'!BW68</f>
        <v>59.569609999999997</v>
      </c>
      <c r="T61" s="469">
        <f>ROUND('[2]Growth Deficit'!$AG68,3)</f>
        <v>0</v>
      </c>
      <c r="U61" s="469">
        <f>ROUND('[2]Growth Deficit'!$AH68,3)</f>
        <v>0</v>
      </c>
      <c r="V61" s="469">
        <f>ROUND('[2]Growth Deficit'!$AI68,3)</f>
        <v>0</v>
      </c>
      <c r="W61" s="470">
        <f>ROUND([2]FTES!I68,3)</f>
        <v>0</v>
      </c>
      <c r="X61" s="470">
        <f>ROUND([2]FTES!R68,3)</f>
        <v>0</v>
      </c>
      <c r="Y61" s="470">
        <f>ROUND([2]FTES!AA68,3)</f>
        <v>0</v>
      </c>
      <c r="Z61" s="469">
        <f>ROUND([2]FTES!E68,3)</f>
        <v>2002.16</v>
      </c>
      <c r="AA61" s="469">
        <f>ROUND([2]FTES!N68,3)</f>
        <v>1.78</v>
      </c>
      <c r="AB61" s="469">
        <f>ROUND([2]FTES!W68,3)</f>
        <v>350</v>
      </c>
      <c r="AC61" s="468">
        <f>'[2]FTES Adjustment'!CW68</f>
        <v>2002.1600000000003</v>
      </c>
      <c r="AD61" s="468">
        <f>'[2]FTES Adjustment'!CX68</f>
        <v>1.7799999999999727</v>
      </c>
      <c r="AE61" s="468">
        <f>'[2]FTES Adjustment'!CY68</f>
        <v>350</v>
      </c>
      <c r="AF61" s="467">
        <f>'[2]FTES Adjustment'!DQ68</f>
        <v>0</v>
      </c>
      <c r="AG61" s="467">
        <f>'[2]FTES Adjustment'!DR68</f>
        <v>0</v>
      </c>
      <c r="AH61" s="467">
        <f>'[2]FTES Adjustment'!DS68</f>
        <v>0</v>
      </c>
      <c r="AI61" s="340">
        <f>'[2]FTES Adjustment'!$DX68</f>
        <v>0</v>
      </c>
      <c r="AJ61" s="340">
        <v>0</v>
      </c>
      <c r="AK61" s="340">
        <v>0</v>
      </c>
      <c r="AL61" s="465">
        <f>'[2]FTES Adjustment'!CG68</f>
        <v>-3.8999999999999999E-5</v>
      </c>
      <c r="AM61" s="465">
        <f>'[2]FTES Adjustment'!CH68</f>
        <v>-262.02</v>
      </c>
      <c r="AN61" s="465">
        <f>'[2]FTES Adjustment'!CI68</f>
        <v>222.53039000000001</v>
      </c>
      <c r="AO61" s="463">
        <f t="shared" si="27"/>
        <v>2308.04</v>
      </c>
      <c r="AP61" s="463">
        <f t="shared" si="28"/>
        <v>2308.04</v>
      </c>
      <c r="AQ61" s="463">
        <f t="shared" si="29"/>
        <v>85.39</v>
      </c>
      <c r="AR61" s="463">
        <f t="shared" si="30"/>
        <v>0</v>
      </c>
      <c r="AS61" s="463">
        <f t="shared" si="31"/>
        <v>0</v>
      </c>
      <c r="AT61" s="463">
        <f t="shared" si="32"/>
        <v>2353.94</v>
      </c>
      <c r="AU61" s="463">
        <f t="shared" si="33"/>
        <v>2353.94</v>
      </c>
      <c r="AV61" s="464">
        <f t="shared" si="34"/>
        <v>0</v>
      </c>
      <c r="AW61" s="464">
        <f t="shared" si="35"/>
        <v>0</v>
      </c>
      <c r="AX61" s="464">
        <f t="shared" si="36"/>
        <v>-39.49</v>
      </c>
      <c r="AY61" s="460">
        <f>'[2]PBF Run'!F68</f>
        <v>3935976</v>
      </c>
      <c r="AZ61" s="460">
        <f t="shared" si="37"/>
        <v>10121678</v>
      </c>
      <c r="BA61" s="460">
        <f>'[2]PBF Run'!J68 + '[2]PBF Run'!$L68</f>
        <v>9163286</v>
      </c>
      <c r="BB61" s="460">
        <f>'[2]PBF Run'!H68</f>
        <v>735489</v>
      </c>
      <c r="BC61" s="460">
        <f>'[2]PBF Run'!I68</f>
        <v>222903</v>
      </c>
      <c r="BD61" s="462">
        <v>0</v>
      </c>
      <c r="BE61" s="461">
        <f>'[2]Restoration and Growth'!BM68</f>
        <v>0</v>
      </c>
      <c r="BF61" s="460">
        <f t="shared" si="38"/>
        <v>14057654</v>
      </c>
      <c r="BG61" s="333" t="str">
        <f t="shared" si="52"/>
        <v>0.85%</v>
      </c>
      <c r="BH61" s="459">
        <f>'[2]PBF Run'!O68</f>
        <v>119490</v>
      </c>
      <c r="BI61" s="459">
        <f t="shared" si="39"/>
        <v>14177144</v>
      </c>
      <c r="BJ61" s="458">
        <f>'[2]PBF Run'!AC68</f>
        <v>0</v>
      </c>
      <c r="BK61" s="458">
        <f>'[2]PBF Run'!$AD68</f>
        <v>0</v>
      </c>
      <c r="BL61" s="458">
        <f>'[2]PBF Run'!$T68</f>
        <v>317950</v>
      </c>
      <c r="BM61" s="458">
        <f>'[2]PBF Run'!$S68</f>
        <v>0</v>
      </c>
      <c r="BN61" s="458">
        <f>'[2]13-14 $86M Workload Restore'!$P66</f>
        <v>0</v>
      </c>
      <c r="BO61" s="458">
        <f t="shared" si="40"/>
        <v>317950</v>
      </c>
      <c r="BP61" s="478">
        <f>'[2]Restoration and Growth'!AA68</f>
        <v>0</v>
      </c>
      <c r="BQ61" s="478">
        <f>'[2]Restoration and Growth'!AB68</f>
        <v>0</v>
      </c>
      <c r="BR61" s="453">
        <f>'[2]Restoration and Growth'!BT68</f>
        <v>0</v>
      </c>
      <c r="BS61" s="453">
        <f>'[2]Growth Deficit'!$AO68</f>
        <v>0</v>
      </c>
      <c r="BT61" s="453">
        <f>'[2]Growth Deficit'!AO68</f>
        <v>0</v>
      </c>
      <c r="BU61" s="453">
        <f>'[2]Growth Deficit'!AL68</f>
        <v>0</v>
      </c>
      <c r="BV61" s="453">
        <f>'[2]Growth Deficit'!AM68</f>
        <v>0</v>
      </c>
      <c r="BW61" s="453">
        <f>'[2]Growth Deficit'!AN68</f>
        <v>0</v>
      </c>
      <c r="BX61" s="453">
        <f>'[2]Growth Deficit'!AO68</f>
        <v>0</v>
      </c>
      <c r="BY61" s="454">
        <f>'[2]PBF Run'!AA68</f>
        <v>0</v>
      </c>
      <c r="BZ61" s="454">
        <f>'[2]PBF Run'!AB68</f>
        <v>0</v>
      </c>
      <c r="CA61" s="454">
        <f>'[2]PBF Run'!AC68</f>
        <v>0</v>
      </c>
      <c r="CB61" s="454">
        <f t="shared" si="41"/>
        <v>0</v>
      </c>
      <c r="CC61" s="457">
        <f>'[2]PBF Run'!X68</f>
        <v>0</v>
      </c>
      <c r="CD61" s="456">
        <f>'[2]PBF Run'!AE68</f>
        <v>14495094</v>
      </c>
      <c r="CE61" s="337">
        <f t="shared" si="42"/>
        <v>0.98518540135027755</v>
      </c>
      <c r="CF61" s="455">
        <f>'[2]PBF Run'!AM68</f>
        <v>214739</v>
      </c>
      <c r="CG61" s="455">
        <f>'[2]PBF Run'!$AN68</f>
        <v>7554228</v>
      </c>
      <c r="CH61" s="455">
        <f>'[2]PBF Run'!$AO68</f>
        <v>0</v>
      </c>
      <c r="CI61" s="455">
        <f>'[2]PBF Run'!AJ68</f>
        <v>3563498</v>
      </c>
      <c r="CJ61" s="455">
        <f>'[2]PBF Run'!AI68</f>
        <v>942721</v>
      </c>
      <c r="CK61" s="455">
        <f>'[2]PBF Run'!$AN68</f>
        <v>7554228</v>
      </c>
      <c r="CL61" s="455">
        <f>'[2]PBF Run'!AK68</f>
        <v>2219908</v>
      </c>
      <c r="CM61" s="455">
        <f t="shared" si="43"/>
        <v>14280355</v>
      </c>
      <c r="CN61" s="454">
        <f>'[2]PBF Run'!$AN68</f>
        <v>7554228</v>
      </c>
      <c r="CO61" s="454">
        <f>'[2]PBF Run'!BI68</f>
        <v>0</v>
      </c>
      <c r="CP61" s="339">
        <f>'[2]PBF Run'!BH68</f>
        <v>0</v>
      </c>
      <c r="CQ61" s="454">
        <f t="shared" si="53"/>
        <v>69532</v>
      </c>
      <c r="CR61" s="454">
        <f t="shared" si="44"/>
        <v>7554228</v>
      </c>
      <c r="CS61" s="453">
        <f>'[2]As of 13-14 R1'!BX68</f>
        <v>480890</v>
      </c>
      <c r="CT61" s="453">
        <f>'[2]As of 13-14 R1'!BY68</f>
        <v>0</v>
      </c>
      <c r="CU61" s="453">
        <f>'[2]As of 13-14 R1'!BZ68</f>
        <v>627078</v>
      </c>
      <c r="CV61" s="453">
        <f t="shared" si="45"/>
        <v>1107968</v>
      </c>
      <c r="CW61" s="342">
        <f>'[2]Growth Deficit'!$D$2</f>
        <v>0</v>
      </c>
      <c r="CX61" s="343">
        <f>IF($DL61="S",'[2]Foundation Grant'!C68,0)</f>
        <v>0</v>
      </c>
      <c r="CY61" s="343">
        <f>IF($DL61="S",'[2]Foundation Grant'!D68,0)</f>
        <v>0</v>
      </c>
      <c r="CZ61" s="343">
        <f>IF($DL61="S",'[2]Foundation Grant'!E68,0)</f>
        <v>1</v>
      </c>
      <c r="DA61" s="343">
        <f>IF($DL61="S",'[2]Foundation Grant'!F68,0)</f>
        <v>1</v>
      </c>
      <c r="DB61" s="343">
        <f>IF($DL61="M",'[2]Foundation Grant'!C68,0)</f>
        <v>0</v>
      </c>
      <c r="DC61" s="343">
        <f>IF($DL61="M",'[2]Foundation Grant'!D68,0)</f>
        <v>0</v>
      </c>
      <c r="DD61" s="343">
        <f>IF($DL61="M",'[2]Foundation Grant'!E68,0)</f>
        <v>0</v>
      </c>
      <c r="DE61" s="343">
        <f>IF($DL61="M",'[2]Foundation Grant'!F68,0)</f>
        <v>0</v>
      </c>
      <c r="DF61" s="343">
        <f>'[2]Foundation Grant'!G68</f>
        <v>0</v>
      </c>
      <c r="DG61" s="343">
        <f>'[2]Foundation Grant'!H68</f>
        <v>0</v>
      </c>
      <c r="DH61" s="343">
        <f>'[2]Foundation Grant'!I68</f>
        <v>0</v>
      </c>
      <c r="DI61" s="343">
        <f>'[2]Foundation Grant'!J68</f>
        <v>0</v>
      </c>
      <c r="DJ61" s="343">
        <f>'[2]Foundation Grant'!K68</f>
        <v>0</v>
      </c>
      <c r="DK61" s="452">
        <f>'[2]Foundation Grant'!L68</f>
        <v>0</v>
      </c>
      <c r="DL61" s="343" t="str">
        <f>'[2]Foundation Grant'!M68</f>
        <v>S</v>
      </c>
      <c r="DM61" s="343">
        <f>'[2]Foundation Grant'!N68</f>
        <v>3935976</v>
      </c>
      <c r="DN61" s="452">
        <f>'[2]Foundation Grant'!O68</f>
        <v>1</v>
      </c>
      <c r="DO61" s="452">
        <f>'[2]Foundation Grant'!P68</f>
        <v>0</v>
      </c>
      <c r="DP61" s="344">
        <f>'[2]Foundation Grant'!$C$1</f>
        <v>5622823</v>
      </c>
      <c r="DQ61" s="344">
        <f>'[2]Foundation Grant'!$D$1</f>
        <v>4498258</v>
      </c>
      <c r="DR61" s="344">
        <f>'[2]Foundation Grant'!$E$1</f>
        <v>3373694</v>
      </c>
      <c r="DS61" s="344">
        <f>'[2]Foundation Grant'!$C$2</f>
        <v>4498258</v>
      </c>
      <c r="DT61" s="344">
        <f>'[2]Foundation Grant'!$D$2</f>
        <v>3935976</v>
      </c>
      <c r="DU61" s="344">
        <f>'[2]Foundation Grant'!$E$2</f>
        <v>3373694</v>
      </c>
      <c r="DV61" s="344">
        <f>'[2]Foundation Grant'!$G$1</f>
        <v>1124565</v>
      </c>
      <c r="DW61" s="344">
        <f>'[2]Foundation Grant'!$H$1</f>
        <v>843423</v>
      </c>
      <c r="DX61" s="344">
        <f>'[2]Foundation Grant'!$I$1</f>
        <v>562282</v>
      </c>
      <c r="DY61" s="344">
        <f>'[2]Foundation Grant'!$J$1</f>
        <v>281141</v>
      </c>
      <c r="DZ61" s="344">
        <f>'[2]Foundation Grant'!$K$1</f>
        <v>140571</v>
      </c>
      <c r="EA61" s="344">
        <f>'[2]Foundation Grant'!$O$1</f>
        <v>562282</v>
      </c>
      <c r="EB61" s="344">
        <f>'[2]Foundation Grant'!$P$1</f>
        <v>1124565</v>
      </c>
      <c r="EC61" s="345">
        <f>'[2]basic allocation'!$C$10</f>
        <v>18749</v>
      </c>
      <c r="ED61" s="345">
        <f>'[2]basic allocation'!$D$10</f>
        <v>9375</v>
      </c>
      <c r="EE61" s="345">
        <f>'[2]basic allocation'!$E$10</f>
        <v>9375</v>
      </c>
      <c r="EF61" s="345">
        <f>'[2]basic allocation'!$I$10</f>
        <v>938</v>
      </c>
      <c r="EG61" s="345">
        <f>'[2]basic allocation'!$J$10</f>
        <v>703</v>
      </c>
      <c r="EH61" s="345">
        <f>'[2]basic allocation'!$K$10</f>
        <v>469</v>
      </c>
      <c r="EI61" s="345">
        <f>'[2]basic allocation'!$L$10</f>
        <v>234</v>
      </c>
      <c r="EJ61" s="345">
        <f>'[2]basic allocation'!$M$10</f>
        <v>100</v>
      </c>
      <c r="EK61" s="345">
        <f>'[2]PBF Run'!$AT68</f>
        <v>0</v>
      </c>
      <c r="EM61" s="477"/>
    </row>
    <row r="62" spans="1:143">
      <c r="A62" s="476" t="s">
        <v>605</v>
      </c>
      <c r="B62" s="475" t="str">
        <f t="shared" si="46"/>
        <v>P1</v>
      </c>
      <c r="C62" s="346" t="s">
        <v>281</v>
      </c>
      <c r="D62" s="450" t="s">
        <v>280</v>
      </c>
      <c r="E62" s="449">
        <f>ROUND('[2]PBF Run'!N69,6)</f>
        <v>4636.4928280000004</v>
      </c>
      <c r="F62" s="340">
        <f t="shared" si="47"/>
        <v>4636.49</v>
      </c>
      <c r="G62" s="474">
        <f t="shared" si="48"/>
        <v>2788.0536374600001</v>
      </c>
      <c r="H62" s="473">
        <f t="shared" si="49"/>
        <v>2811.7520933800001</v>
      </c>
      <c r="I62" s="473">
        <f t="shared" si="50"/>
        <v>3282.8110613200001</v>
      </c>
      <c r="J62" s="473">
        <f t="shared" si="51"/>
        <v>3310.71495534</v>
      </c>
      <c r="K62" s="472">
        <f>ROUND([2]FTES!C69,3)</f>
        <v>8178.84</v>
      </c>
      <c r="L62" s="472">
        <f>ROUND([2]FTES!L69,3)</f>
        <v>0.59</v>
      </c>
      <c r="M62" s="472">
        <f>ROUND([2]FTES!U69,3)</f>
        <v>0</v>
      </c>
      <c r="N62" s="465">
        <f>ROUND([2]FTES!$D69,3)</f>
        <v>8178.84</v>
      </c>
      <c r="O62" s="465">
        <f>ROUND([2]FTES!$M69,3)</f>
        <v>0.59</v>
      </c>
      <c r="P62" s="465">
        <f>ROUND([2]FTES!$V69,3)</f>
        <v>0</v>
      </c>
      <c r="Q62" s="471">
        <f>'[2]FTES Adjustment'!BU69</f>
        <v>0</v>
      </c>
      <c r="R62" s="471">
        <f>'[2]FTES Adjustment'!BV69</f>
        <v>0</v>
      </c>
      <c r="S62" s="471">
        <f>'[2]FTES Adjustment'!BW69</f>
        <v>0</v>
      </c>
      <c r="T62" s="469">
        <f>ROUND('[2]Growth Deficit'!$AG69,3)</f>
        <v>0</v>
      </c>
      <c r="U62" s="469">
        <f>ROUND('[2]Growth Deficit'!$AH69,3)</f>
        <v>0</v>
      </c>
      <c r="V62" s="469">
        <f>ROUND('[2]Growth Deficit'!$AI69,3)</f>
        <v>0</v>
      </c>
      <c r="W62" s="470">
        <f>ROUND([2]FTES!I69,3)</f>
        <v>-1077.8900000000001</v>
      </c>
      <c r="X62" s="470">
        <f>ROUND([2]FTES!R69,3)</f>
        <v>0.2</v>
      </c>
      <c r="Y62" s="470">
        <f>ROUND([2]FTES!AA69,3)</f>
        <v>0</v>
      </c>
      <c r="Z62" s="469">
        <f>ROUND([2]FTES!E69,3)</f>
        <v>7100.95</v>
      </c>
      <c r="AA62" s="469">
        <f>ROUND([2]FTES!N69,3)</f>
        <v>0.79</v>
      </c>
      <c r="AB62" s="469">
        <f>ROUND([2]FTES!W69,3)</f>
        <v>0</v>
      </c>
      <c r="AC62" s="468">
        <f>'[2]FTES Adjustment'!CW69</f>
        <v>7100.9499999999989</v>
      </c>
      <c r="AD62" s="468">
        <f>'[2]FTES Adjustment'!CX69</f>
        <v>0.78999999999999992</v>
      </c>
      <c r="AE62" s="468">
        <f>'[2]FTES Adjustment'!CY69</f>
        <v>0</v>
      </c>
      <c r="AF62" s="467">
        <f>'[2]FTES Adjustment'!DQ69</f>
        <v>0</v>
      </c>
      <c r="AG62" s="467">
        <f>'[2]FTES Adjustment'!DR69</f>
        <v>0</v>
      </c>
      <c r="AH62" s="467">
        <f>'[2]FTES Adjustment'!DS69</f>
        <v>0</v>
      </c>
      <c r="AI62" s="340">
        <f>'[2]FTES Adjustment'!$DX69</f>
        <v>0</v>
      </c>
      <c r="AJ62" s="340">
        <v>0</v>
      </c>
      <c r="AK62" s="340">
        <v>0</v>
      </c>
      <c r="AL62" s="465">
        <f>'[2]FTES Adjustment'!CG69</f>
        <v>0</v>
      </c>
      <c r="AM62" s="465">
        <f>'[2]FTES Adjustment'!CH69</f>
        <v>0</v>
      </c>
      <c r="AN62" s="465">
        <f>'[2]FTES Adjustment'!CI69</f>
        <v>0</v>
      </c>
      <c r="AO62" s="463">
        <f t="shared" si="27"/>
        <v>8179.43</v>
      </c>
      <c r="AP62" s="463">
        <f t="shared" si="28"/>
        <v>8179.43</v>
      </c>
      <c r="AQ62" s="463">
        <f t="shared" si="29"/>
        <v>0</v>
      </c>
      <c r="AR62" s="463">
        <f t="shared" si="30"/>
        <v>0</v>
      </c>
      <c r="AS62" s="463">
        <f t="shared" si="31"/>
        <v>-1077.69</v>
      </c>
      <c r="AT62" s="463">
        <f t="shared" si="32"/>
        <v>7101.74</v>
      </c>
      <c r="AU62" s="463">
        <f t="shared" si="33"/>
        <v>7101.74</v>
      </c>
      <c r="AV62" s="464">
        <f t="shared" si="34"/>
        <v>0</v>
      </c>
      <c r="AW62" s="464">
        <f t="shared" si="35"/>
        <v>0</v>
      </c>
      <c r="AX62" s="464">
        <f t="shared" si="36"/>
        <v>0</v>
      </c>
      <c r="AY62" s="460">
        <f>'[2]PBF Run'!F69</f>
        <v>5622824</v>
      </c>
      <c r="AZ62" s="460">
        <f t="shared" si="37"/>
        <v>37922778</v>
      </c>
      <c r="BA62" s="460">
        <f>'[2]PBF Run'!J69 + '[2]PBF Run'!$L69</f>
        <v>37921133</v>
      </c>
      <c r="BB62" s="460">
        <f>'[2]PBF Run'!H69</f>
        <v>1645</v>
      </c>
      <c r="BC62" s="460">
        <f>'[2]PBF Run'!I69</f>
        <v>0</v>
      </c>
      <c r="BD62" s="462">
        <v>0</v>
      </c>
      <c r="BE62" s="461">
        <f>'[2]Restoration and Growth'!BM69</f>
        <v>-4997071.8889439767</v>
      </c>
      <c r="BF62" s="460">
        <f t="shared" si="38"/>
        <v>38548530.111056022</v>
      </c>
      <c r="BG62" s="333" t="str">
        <f t="shared" si="52"/>
        <v>0.85%</v>
      </c>
      <c r="BH62" s="459">
        <f>'[2]PBF Run'!O69</f>
        <v>327663</v>
      </c>
      <c r="BI62" s="459">
        <f t="shared" si="39"/>
        <v>38876193.111056022</v>
      </c>
      <c r="BJ62" s="458">
        <f>'[2]PBF Run'!AC69</f>
        <v>0</v>
      </c>
      <c r="BK62" s="458">
        <f>'[2]PBF Run'!$AD69</f>
        <v>0</v>
      </c>
      <c r="BL62" s="458">
        <f>'[2]PBF Run'!$T69</f>
        <v>0</v>
      </c>
      <c r="BM62" s="458">
        <f>'[2]PBF Run'!$S69</f>
        <v>0</v>
      </c>
      <c r="BN62" s="458">
        <f>'[2]13-14 $86M Workload Restore'!$P67</f>
        <v>0</v>
      </c>
      <c r="BO62" s="458">
        <f t="shared" si="40"/>
        <v>0</v>
      </c>
      <c r="BP62" s="478">
        <f>'[2]Restoration and Growth'!AA69</f>
        <v>0</v>
      </c>
      <c r="BQ62" s="478">
        <f>'[2]Restoration and Growth'!AB69</f>
        <v>0</v>
      </c>
      <c r="BR62" s="453">
        <f>'[2]Restoration and Growth'!BT69</f>
        <v>0</v>
      </c>
      <c r="BS62" s="453">
        <f>'[2]Growth Deficit'!$AO69</f>
        <v>0</v>
      </c>
      <c r="BT62" s="453">
        <f>'[2]Growth Deficit'!AO69</f>
        <v>0</v>
      </c>
      <c r="BU62" s="453">
        <f>'[2]Growth Deficit'!AL69</f>
        <v>0</v>
      </c>
      <c r="BV62" s="453">
        <f>'[2]Growth Deficit'!AM69</f>
        <v>0</v>
      </c>
      <c r="BW62" s="453">
        <f>'[2]Growth Deficit'!AN69</f>
        <v>0</v>
      </c>
      <c r="BX62" s="453">
        <f>'[2]Growth Deficit'!AO69</f>
        <v>0</v>
      </c>
      <c r="BY62" s="454">
        <f>'[2]PBF Run'!AA69</f>
        <v>0</v>
      </c>
      <c r="BZ62" s="454">
        <f>'[2]PBF Run'!AB69</f>
        <v>0</v>
      </c>
      <c r="CA62" s="454">
        <f>'[2]PBF Run'!AC69</f>
        <v>0</v>
      </c>
      <c r="CB62" s="454">
        <f t="shared" si="41"/>
        <v>0</v>
      </c>
      <c r="CC62" s="457">
        <f>'[2]PBF Run'!X69</f>
        <v>5039547</v>
      </c>
      <c r="CD62" s="456">
        <f>'[2]PBF Run'!AE69</f>
        <v>43915740</v>
      </c>
      <c r="CE62" s="337">
        <f t="shared" si="42"/>
        <v>0.98518542554446309</v>
      </c>
      <c r="CF62" s="455">
        <f>'[2]PBF Run'!AM69</f>
        <v>650593</v>
      </c>
      <c r="CG62" s="455">
        <f>'[2]PBF Run'!$AN69</f>
        <v>19836640</v>
      </c>
      <c r="CH62" s="455">
        <f>'[2]PBF Run'!$AO69</f>
        <v>0</v>
      </c>
      <c r="CI62" s="455">
        <f>'[2]PBF Run'!AJ69</f>
        <v>13400387</v>
      </c>
      <c r="CJ62" s="455">
        <f>'[2]PBF Run'!AI69</f>
        <v>3389900</v>
      </c>
      <c r="CK62" s="455">
        <f>'[2]PBF Run'!$AN69</f>
        <v>19836640</v>
      </c>
      <c r="CL62" s="455">
        <f>'[2]PBF Run'!AK69</f>
        <v>6638220</v>
      </c>
      <c r="CM62" s="455">
        <f t="shared" si="43"/>
        <v>43265147</v>
      </c>
      <c r="CN62" s="454">
        <f>'[2]PBF Run'!$AN69</f>
        <v>19836640</v>
      </c>
      <c r="CO62" s="454">
        <f>'[2]PBF Run'!BI69</f>
        <v>0</v>
      </c>
      <c r="CP62" s="339">
        <f>'[2]PBF Run'!BH69</f>
        <v>0</v>
      </c>
      <c r="CQ62" s="454">
        <f t="shared" si="53"/>
        <v>69532</v>
      </c>
      <c r="CR62" s="454">
        <f t="shared" si="44"/>
        <v>19836640</v>
      </c>
      <c r="CS62" s="453">
        <f>'[2]As of 13-14 R1'!BX69</f>
        <v>0</v>
      </c>
      <c r="CT62" s="453">
        <f>'[2]As of 13-14 R1'!BY69</f>
        <v>1493373</v>
      </c>
      <c r="CU62" s="453">
        <f>'[2]As of 13-14 R1'!BZ69</f>
        <v>0</v>
      </c>
      <c r="CV62" s="453">
        <f t="shared" si="45"/>
        <v>1493373</v>
      </c>
      <c r="CW62" s="342">
        <f>'[2]Growth Deficit'!$D$2</f>
        <v>0</v>
      </c>
      <c r="CX62" s="343">
        <f>IF($DL62="S",'[2]Foundation Grant'!C69,0)</f>
        <v>0</v>
      </c>
      <c r="CY62" s="343">
        <f>IF($DL62="S",'[2]Foundation Grant'!D69,0)</f>
        <v>0</v>
      </c>
      <c r="CZ62" s="343">
        <f>IF($DL62="S",'[2]Foundation Grant'!E69,0)</f>
        <v>1</v>
      </c>
      <c r="DA62" s="343">
        <f>IF($DL62="S",'[2]Foundation Grant'!F69,0)</f>
        <v>1</v>
      </c>
      <c r="DB62" s="343">
        <f>IF($DL62="M",'[2]Foundation Grant'!C69,0)</f>
        <v>0</v>
      </c>
      <c r="DC62" s="343">
        <f>IF($DL62="M",'[2]Foundation Grant'!D69,0)</f>
        <v>0</v>
      </c>
      <c r="DD62" s="343">
        <f>IF($DL62="M",'[2]Foundation Grant'!E69,0)</f>
        <v>0</v>
      </c>
      <c r="DE62" s="343">
        <f>IF($DL62="M",'[2]Foundation Grant'!F69,0)</f>
        <v>0</v>
      </c>
      <c r="DF62" s="343">
        <f>'[2]Foundation Grant'!G69</f>
        <v>0</v>
      </c>
      <c r="DG62" s="343">
        <f>'[2]Foundation Grant'!H69</f>
        <v>0</v>
      </c>
      <c r="DH62" s="343">
        <f>'[2]Foundation Grant'!I69</f>
        <v>0</v>
      </c>
      <c r="DI62" s="343">
        <f>'[2]Foundation Grant'!J69</f>
        <v>0</v>
      </c>
      <c r="DJ62" s="343">
        <f>'[2]Foundation Grant'!K69</f>
        <v>0</v>
      </c>
      <c r="DK62" s="452">
        <f>'[2]Foundation Grant'!L69</f>
        <v>0</v>
      </c>
      <c r="DL62" s="343" t="str">
        <f>'[2]Foundation Grant'!M69</f>
        <v>S</v>
      </c>
      <c r="DM62" s="343">
        <f>'[2]Foundation Grant'!N69</f>
        <v>5622824</v>
      </c>
      <c r="DN62" s="452">
        <f>'[2]Foundation Grant'!O69</f>
        <v>0</v>
      </c>
      <c r="DO62" s="452">
        <f>'[2]Foundation Grant'!P69</f>
        <v>2</v>
      </c>
      <c r="DP62" s="344">
        <f>'[2]Foundation Grant'!$C$1</f>
        <v>5622823</v>
      </c>
      <c r="DQ62" s="344">
        <f>'[2]Foundation Grant'!$D$1</f>
        <v>4498258</v>
      </c>
      <c r="DR62" s="344">
        <f>'[2]Foundation Grant'!$E$1</f>
        <v>3373694</v>
      </c>
      <c r="DS62" s="344">
        <f>'[2]Foundation Grant'!$C$2</f>
        <v>4498258</v>
      </c>
      <c r="DT62" s="344">
        <f>'[2]Foundation Grant'!$D$2</f>
        <v>3935976</v>
      </c>
      <c r="DU62" s="344">
        <f>'[2]Foundation Grant'!$E$2</f>
        <v>3373694</v>
      </c>
      <c r="DV62" s="344">
        <f>'[2]Foundation Grant'!$G$1</f>
        <v>1124565</v>
      </c>
      <c r="DW62" s="344">
        <f>'[2]Foundation Grant'!$H$1</f>
        <v>843423</v>
      </c>
      <c r="DX62" s="344">
        <f>'[2]Foundation Grant'!$I$1</f>
        <v>562282</v>
      </c>
      <c r="DY62" s="344">
        <f>'[2]Foundation Grant'!$J$1</f>
        <v>281141</v>
      </c>
      <c r="DZ62" s="344">
        <f>'[2]Foundation Grant'!$K$1</f>
        <v>140571</v>
      </c>
      <c r="EA62" s="344">
        <f>'[2]Foundation Grant'!$O$1</f>
        <v>562282</v>
      </c>
      <c r="EB62" s="344">
        <f>'[2]Foundation Grant'!$P$1</f>
        <v>1124565</v>
      </c>
      <c r="EC62" s="345">
        <f>'[2]basic allocation'!$C$10</f>
        <v>18749</v>
      </c>
      <c r="ED62" s="345">
        <f>'[2]basic allocation'!$D$10</f>
        <v>9375</v>
      </c>
      <c r="EE62" s="345">
        <f>'[2]basic allocation'!$E$10</f>
        <v>9375</v>
      </c>
      <c r="EF62" s="345">
        <f>'[2]basic allocation'!$I$10</f>
        <v>938</v>
      </c>
      <c r="EG62" s="345">
        <f>'[2]basic allocation'!$J$10</f>
        <v>703</v>
      </c>
      <c r="EH62" s="345">
        <f>'[2]basic allocation'!$K$10</f>
        <v>469</v>
      </c>
      <c r="EI62" s="345">
        <f>'[2]basic allocation'!$L$10</f>
        <v>234</v>
      </c>
      <c r="EJ62" s="345">
        <f>'[2]basic allocation'!$M$10</f>
        <v>100</v>
      </c>
      <c r="EK62" s="345">
        <f>'[2]PBF Run'!$AT69</f>
        <v>0</v>
      </c>
      <c r="EM62" s="477"/>
    </row>
    <row r="63" spans="1:143">
      <c r="A63" s="476" t="s">
        <v>605</v>
      </c>
      <c r="B63" s="475" t="str">
        <f t="shared" si="46"/>
        <v>P1</v>
      </c>
      <c r="C63" s="346" t="s">
        <v>279</v>
      </c>
      <c r="D63" s="450" t="s">
        <v>278</v>
      </c>
      <c r="E63" s="449">
        <f>ROUND('[2]PBF Run'!N70,6)</f>
        <v>4636.4928630000004</v>
      </c>
      <c r="F63" s="340">
        <f t="shared" si="47"/>
        <v>4636.49</v>
      </c>
      <c r="G63" s="474">
        <f t="shared" si="48"/>
        <v>2788.0536374600001</v>
      </c>
      <c r="H63" s="473">
        <f t="shared" si="49"/>
        <v>2811.7520933800001</v>
      </c>
      <c r="I63" s="473">
        <f t="shared" si="50"/>
        <v>3282.8110613200001</v>
      </c>
      <c r="J63" s="473">
        <f t="shared" si="51"/>
        <v>3310.71495534</v>
      </c>
      <c r="K63" s="472">
        <f>ROUND([2]FTES!C70,3)</f>
        <v>16829.190999999999</v>
      </c>
      <c r="L63" s="472">
        <f>ROUND([2]FTES!L70,3)</f>
        <v>2167.44</v>
      </c>
      <c r="M63" s="472">
        <f>ROUND([2]FTES!U70,3)</f>
        <v>603.11</v>
      </c>
      <c r="N63" s="465">
        <f>ROUND([2]FTES!$D70,3)</f>
        <v>16829.190999999999</v>
      </c>
      <c r="O63" s="465">
        <f>ROUND([2]FTES!$M70,3)</f>
        <v>2167.44</v>
      </c>
      <c r="P63" s="465">
        <f>ROUND([2]FTES!$V70,3)</f>
        <v>603.11</v>
      </c>
      <c r="Q63" s="471">
        <f>'[2]FTES Adjustment'!BU70</f>
        <v>0</v>
      </c>
      <c r="R63" s="471">
        <f>'[2]FTES Adjustment'!BV70</f>
        <v>0</v>
      </c>
      <c r="S63" s="471">
        <f>'[2]FTES Adjustment'!BW70</f>
        <v>0</v>
      </c>
      <c r="T63" s="469">
        <f>ROUND('[2]Growth Deficit'!$AG70,3)</f>
        <v>0</v>
      </c>
      <c r="U63" s="469">
        <f>ROUND('[2]Growth Deficit'!$AH70,3)</f>
        <v>0</v>
      </c>
      <c r="V63" s="469">
        <f>ROUND('[2]Growth Deficit'!$AI70,3)</f>
        <v>0</v>
      </c>
      <c r="W63" s="470">
        <f>ROUND([2]FTES!I70,3)</f>
        <v>-456.69099999999997</v>
      </c>
      <c r="X63" s="470">
        <f>ROUND([2]FTES!R70,3)</f>
        <v>-630.45000000000005</v>
      </c>
      <c r="Y63" s="470">
        <f>ROUND([2]FTES!AA70,3)</f>
        <v>99.23</v>
      </c>
      <c r="Z63" s="469">
        <f>ROUND([2]FTES!E70,3)</f>
        <v>16372.5</v>
      </c>
      <c r="AA63" s="469">
        <f>ROUND([2]FTES!N70,3)</f>
        <v>1536.99</v>
      </c>
      <c r="AB63" s="469">
        <f>ROUND([2]FTES!W70,3)</f>
        <v>702.34</v>
      </c>
      <c r="AC63" s="468">
        <f>'[2]FTES Adjustment'!CW70</f>
        <v>16372.499999999995</v>
      </c>
      <c r="AD63" s="468">
        <f>'[2]FTES Adjustment'!CX70</f>
        <v>1536.99</v>
      </c>
      <c r="AE63" s="468">
        <f>'[2]FTES Adjustment'!CY70</f>
        <v>702.34</v>
      </c>
      <c r="AF63" s="467">
        <f>'[2]FTES Adjustment'!DQ70</f>
        <v>0</v>
      </c>
      <c r="AG63" s="467">
        <f>'[2]FTES Adjustment'!DR70</f>
        <v>0</v>
      </c>
      <c r="AH63" s="467">
        <f>'[2]FTES Adjustment'!DS70</f>
        <v>0</v>
      </c>
      <c r="AI63" s="340">
        <f>'[2]FTES Adjustment'!$DX70</f>
        <v>0</v>
      </c>
      <c r="AJ63" s="340">
        <v>0</v>
      </c>
      <c r="AK63" s="340">
        <v>0</v>
      </c>
      <c r="AL63" s="465">
        <f>'[2]FTES Adjustment'!CG70</f>
        <v>0</v>
      </c>
      <c r="AM63" s="465">
        <f>'[2]FTES Adjustment'!CH70</f>
        <v>0</v>
      </c>
      <c r="AN63" s="465">
        <f>'[2]FTES Adjustment'!CI70</f>
        <v>0</v>
      </c>
      <c r="AO63" s="463">
        <f t="shared" si="27"/>
        <v>19599.741000000002</v>
      </c>
      <c r="AP63" s="463">
        <f t="shared" si="28"/>
        <v>19599.741000000002</v>
      </c>
      <c r="AQ63" s="463">
        <f t="shared" si="29"/>
        <v>0</v>
      </c>
      <c r="AR63" s="463">
        <f t="shared" si="30"/>
        <v>0</v>
      </c>
      <c r="AS63" s="463">
        <f t="shared" si="31"/>
        <v>-987.91099999999994</v>
      </c>
      <c r="AT63" s="463">
        <f t="shared" si="32"/>
        <v>18611.830000000002</v>
      </c>
      <c r="AU63" s="463">
        <f t="shared" si="33"/>
        <v>18611.830000000002</v>
      </c>
      <c r="AV63" s="464">
        <f t="shared" si="34"/>
        <v>0</v>
      </c>
      <c r="AW63" s="464">
        <f t="shared" si="35"/>
        <v>0</v>
      </c>
      <c r="AX63" s="464">
        <f t="shared" si="36"/>
        <v>0</v>
      </c>
      <c r="AY63" s="460">
        <f>'[2]PBF Run'!F70</f>
        <v>8153094</v>
      </c>
      <c r="AZ63" s="460">
        <f t="shared" si="37"/>
        <v>86051259</v>
      </c>
      <c r="BA63" s="460">
        <f>'[2]PBF Run'!J70 + '[2]PBF Run'!$L70</f>
        <v>78028424</v>
      </c>
      <c r="BB63" s="460">
        <f>'[2]PBF Run'!H70</f>
        <v>6042939</v>
      </c>
      <c r="BC63" s="460">
        <f>'[2]PBF Run'!I70</f>
        <v>1979896</v>
      </c>
      <c r="BD63" s="462">
        <v>0</v>
      </c>
      <c r="BE63" s="461">
        <f>'[2]Restoration and Growth'!BM70</f>
        <v>-3549419.9305899851</v>
      </c>
      <c r="BF63" s="460">
        <f t="shared" si="38"/>
        <v>90654933.069410011</v>
      </c>
      <c r="BG63" s="333" t="str">
        <f t="shared" si="52"/>
        <v>0.85%</v>
      </c>
      <c r="BH63" s="459">
        <f>'[2]PBF Run'!O70</f>
        <v>770567</v>
      </c>
      <c r="BI63" s="459">
        <f t="shared" si="39"/>
        <v>91425500.069410011</v>
      </c>
      <c r="BJ63" s="458">
        <f>'[2]PBF Run'!AC70</f>
        <v>0</v>
      </c>
      <c r="BK63" s="458">
        <f>'[2]PBF Run'!$AD70</f>
        <v>0</v>
      </c>
      <c r="BL63" s="458">
        <f>'[2]PBF Run'!$T70</f>
        <v>0</v>
      </c>
      <c r="BM63" s="458">
        <f>'[2]PBF Run'!$S70</f>
        <v>0</v>
      </c>
      <c r="BN63" s="458">
        <f>'[2]13-14 $86M Workload Restore'!$P68</f>
        <v>0</v>
      </c>
      <c r="BO63" s="458">
        <f t="shared" si="40"/>
        <v>0</v>
      </c>
      <c r="BP63" s="478">
        <f>'[2]Restoration and Growth'!AA70</f>
        <v>0</v>
      </c>
      <c r="BQ63" s="478">
        <f>'[2]Restoration and Growth'!AB70</f>
        <v>0</v>
      </c>
      <c r="BR63" s="453">
        <f>'[2]Restoration and Growth'!BT70</f>
        <v>0</v>
      </c>
      <c r="BS63" s="453">
        <f>'[2]Growth Deficit'!$AO70</f>
        <v>0</v>
      </c>
      <c r="BT63" s="453">
        <f>'[2]Growth Deficit'!AO70</f>
        <v>0</v>
      </c>
      <c r="BU63" s="453">
        <f>'[2]Growth Deficit'!AL70</f>
        <v>0</v>
      </c>
      <c r="BV63" s="453">
        <f>'[2]Growth Deficit'!AM70</f>
        <v>0</v>
      </c>
      <c r="BW63" s="453">
        <f>'[2]Growth Deficit'!AN70</f>
        <v>0</v>
      </c>
      <c r="BX63" s="453">
        <f>'[2]Growth Deficit'!AO70</f>
        <v>0</v>
      </c>
      <c r="BY63" s="454">
        <f>'[2]PBF Run'!AA70</f>
        <v>0</v>
      </c>
      <c r="BZ63" s="454">
        <f>'[2]PBF Run'!AB70</f>
        <v>0</v>
      </c>
      <c r="CA63" s="454">
        <f>'[2]PBF Run'!AC70</f>
        <v>0</v>
      </c>
      <c r="CB63" s="454">
        <f t="shared" si="41"/>
        <v>0</v>
      </c>
      <c r="CC63" s="457">
        <f>'[2]PBF Run'!X70</f>
        <v>3579590</v>
      </c>
      <c r="CD63" s="456">
        <f>'[2]PBF Run'!AE70</f>
        <v>95005090</v>
      </c>
      <c r="CE63" s="337">
        <f t="shared" si="42"/>
        <v>0.9851854148025122</v>
      </c>
      <c r="CF63" s="455">
        <f>'[2]PBF Run'!AM70</f>
        <v>1407461</v>
      </c>
      <c r="CG63" s="455">
        <f>'[2]PBF Run'!$AN70</f>
        <v>25376411</v>
      </c>
      <c r="CH63" s="455">
        <f>'[2]PBF Run'!$AO70</f>
        <v>0</v>
      </c>
      <c r="CI63" s="455">
        <f>'[2]PBF Run'!AJ70</f>
        <v>45445645</v>
      </c>
      <c r="CJ63" s="455">
        <f>'[2]PBF Run'!AI70</f>
        <v>8626588</v>
      </c>
      <c r="CK63" s="455">
        <f>'[2]PBF Run'!$AN70</f>
        <v>25376411</v>
      </c>
      <c r="CL63" s="455">
        <f>'[2]PBF Run'!AK70</f>
        <v>14148985</v>
      </c>
      <c r="CM63" s="455">
        <f t="shared" si="43"/>
        <v>93597629</v>
      </c>
      <c r="CN63" s="454">
        <f>'[2]PBF Run'!$AN70</f>
        <v>25376411</v>
      </c>
      <c r="CO63" s="454">
        <f>'[2]PBF Run'!BI70</f>
        <v>0</v>
      </c>
      <c r="CP63" s="339">
        <f>'[2]PBF Run'!BH70</f>
        <v>0</v>
      </c>
      <c r="CQ63" s="454">
        <f t="shared" si="53"/>
        <v>69532</v>
      </c>
      <c r="CR63" s="454">
        <f t="shared" si="44"/>
        <v>25376411</v>
      </c>
      <c r="CS63" s="453">
        <f>'[2]As of 13-14 R1'!BX70</f>
        <v>0</v>
      </c>
      <c r="CT63" s="453">
        <f>'[2]As of 13-14 R1'!BY70</f>
        <v>0</v>
      </c>
      <c r="CU63" s="453">
        <f>'[2]As of 13-14 R1'!BZ70</f>
        <v>0</v>
      </c>
      <c r="CV63" s="453">
        <f t="shared" si="45"/>
        <v>0</v>
      </c>
      <c r="CW63" s="342">
        <f>'[2]Growth Deficit'!$D$2</f>
        <v>0</v>
      </c>
      <c r="CX63" s="343">
        <f>IF($DL63="S",'[2]Foundation Grant'!C70,0)</f>
        <v>1</v>
      </c>
      <c r="CY63" s="343">
        <f>IF($DL63="S",'[2]Foundation Grant'!D70,0)</f>
        <v>0</v>
      </c>
      <c r="CZ63" s="343">
        <f>IF($DL63="S",'[2]Foundation Grant'!E70,0)</f>
        <v>0</v>
      </c>
      <c r="DA63" s="343">
        <f>IF($DL63="S",'[2]Foundation Grant'!F70,0)</f>
        <v>1</v>
      </c>
      <c r="DB63" s="343">
        <f>IF($DL63="M",'[2]Foundation Grant'!C70,0)</f>
        <v>0</v>
      </c>
      <c r="DC63" s="343">
        <f>IF($DL63="M",'[2]Foundation Grant'!D70,0)</f>
        <v>0</v>
      </c>
      <c r="DD63" s="343">
        <f>IF($DL63="M",'[2]Foundation Grant'!E70,0)</f>
        <v>0</v>
      </c>
      <c r="DE63" s="343">
        <f>IF($DL63="M",'[2]Foundation Grant'!F70,0)</f>
        <v>0</v>
      </c>
      <c r="DF63" s="343">
        <f>'[2]Foundation Grant'!G70</f>
        <v>1</v>
      </c>
      <c r="DG63" s="343">
        <f>'[2]Foundation Grant'!H70</f>
        <v>0</v>
      </c>
      <c r="DH63" s="343">
        <f>'[2]Foundation Grant'!I70</f>
        <v>0</v>
      </c>
      <c r="DI63" s="343">
        <f>'[2]Foundation Grant'!J70</f>
        <v>1</v>
      </c>
      <c r="DJ63" s="343">
        <f>'[2]Foundation Grant'!K70</f>
        <v>0</v>
      </c>
      <c r="DK63" s="452">
        <f>'[2]Foundation Grant'!L70</f>
        <v>2</v>
      </c>
      <c r="DL63" s="343" t="str">
        <f>'[2]Foundation Grant'!M70</f>
        <v>S</v>
      </c>
      <c r="DM63" s="343">
        <f>'[2]Foundation Grant'!N70</f>
        <v>8153094</v>
      </c>
      <c r="DN63" s="452">
        <f>'[2]Foundation Grant'!O70</f>
        <v>0</v>
      </c>
      <c r="DO63" s="452">
        <f>'[2]Foundation Grant'!P70</f>
        <v>1</v>
      </c>
      <c r="DP63" s="344">
        <f>'[2]Foundation Grant'!$C$1</f>
        <v>5622823</v>
      </c>
      <c r="DQ63" s="344">
        <f>'[2]Foundation Grant'!$D$1</f>
        <v>4498258</v>
      </c>
      <c r="DR63" s="344">
        <f>'[2]Foundation Grant'!$E$1</f>
        <v>3373694</v>
      </c>
      <c r="DS63" s="344">
        <f>'[2]Foundation Grant'!$C$2</f>
        <v>4498258</v>
      </c>
      <c r="DT63" s="344">
        <f>'[2]Foundation Grant'!$D$2</f>
        <v>3935976</v>
      </c>
      <c r="DU63" s="344">
        <f>'[2]Foundation Grant'!$E$2</f>
        <v>3373694</v>
      </c>
      <c r="DV63" s="344">
        <f>'[2]Foundation Grant'!$G$1</f>
        <v>1124565</v>
      </c>
      <c r="DW63" s="344">
        <f>'[2]Foundation Grant'!$H$1</f>
        <v>843423</v>
      </c>
      <c r="DX63" s="344">
        <f>'[2]Foundation Grant'!$I$1</f>
        <v>562282</v>
      </c>
      <c r="DY63" s="344">
        <f>'[2]Foundation Grant'!$J$1</f>
        <v>281141</v>
      </c>
      <c r="DZ63" s="344">
        <f>'[2]Foundation Grant'!$K$1</f>
        <v>140571</v>
      </c>
      <c r="EA63" s="344">
        <f>'[2]Foundation Grant'!$O$1</f>
        <v>562282</v>
      </c>
      <c r="EB63" s="344">
        <f>'[2]Foundation Grant'!$P$1</f>
        <v>1124565</v>
      </c>
      <c r="EC63" s="345">
        <f>'[2]basic allocation'!$C$10</f>
        <v>18749</v>
      </c>
      <c r="ED63" s="345">
        <f>'[2]basic allocation'!$D$10</f>
        <v>9375</v>
      </c>
      <c r="EE63" s="345">
        <f>'[2]basic allocation'!$E$10</f>
        <v>9375</v>
      </c>
      <c r="EF63" s="345">
        <f>'[2]basic allocation'!$I$10</f>
        <v>938</v>
      </c>
      <c r="EG63" s="345">
        <f>'[2]basic allocation'!$J$10</f>
        <v>703</v>
      </c>
      <c r="EH63" s="345">
        <f>'[2]basic allocation'!$K$10</f>
        <v>469</v>
      </c>
      <c r="EI63" s="345">
        <f>'[2]basic allocation'!$L$10</f>
        <v>234</v>
      </c>
      <c r="EJ63" s="345">
        <f>'[2]basic allocation'!$M$10</f>
        <v>100</v>
      </c>
      <c r="EK63" s="345">
        <f>'[2]PBF Run'!$AT70</f>
        <v>0</v>
      </c>
      <c r="EM63" s="477"/>
    </row>
    <row r="64" spans="1:143">
      <c r="A64" s="476" t="s">
        <v>605</v>
      </c>
      <c r="B64" s="475" t="str">
        <f t="shared" si="46"/>
        <v>P1</v>
      </c>
      <c r="C64" s="346" t="s">
        <v>277</v>
      </c>
      <c r="D64" s="450" t="s">
        <v>276</v>
      </c>
      <c r="E64" s="449">
        <f>ROUND('[2]PBF Run'!N71,6)</f>
        <v>4781.93048</v>
      </c>
      <c r="F64" s="340">
        <f t="shared" si="47"/>
        <v>4636.49</v>
      </c>
      <c r="G64" s="474">
        <f t="shared" si="48"/>
        <v>2788.0536374600001</v>
      </c>
      <c r="H64" s="473">
        <f t="shared" si="49"/>
        <v>2811.7520933800001</v>
      </c>
      <c r="I64" s="473">
        <f t="shared" si="50"/>
        <v>3282.8110613200001</v>
      </c>
      <c r="J64" s="473">
        <f t="shared" si="51"/>
        <v>3310.71495534</v>
      </c>
      <c r="K64" s="472">
        <f>ROUND([2]FTES!C71,3)</f>
        <v>22957.5</v>
      </c>
      <c r="L64" s="472">
        <f>ROUND([2]FTES!L71,3)</f>
        <v>1759.38</v>
      </c>
      <c r="M64" s="472">
        <f>ROUND([2]FTES!U71,3)</f>
        <v>175.26</v>
      </c>
      <c r="N64" s="465">
        <f>ROUND([2]FTES!$D71,3)</f>
        <v>22957.5</v>
      </c>
      <c r="O64" s="465">
        <f>ROUND([2]FTES!$M71,3)</f>
        <v>1759.38</v>
      </c>
      <c r="P64" s="465">
        <f>ROUND([2]FTES!$V71,3)</f>
        <v>175.26</v>
      </c>
      <c r="Q64" s="471">
        <f>'[2]FTES Adjustment'!BU71</f>
        <v>3084.3066819999999</v>
      </c>
      <c r="R64" s="471">
        <f>'[2]FTES Adjustment'!BV71</f>
        <v>0</v>
      </c>
      <c r="S64" s="471">
        <f>'[2]FTES Adjustment'!BW71</f>
        <v>0</v>
      </c>
      <c r="T64" s="469">
        <f>ROUND('[2]Growth Deficit'!$AG71,3)</f>
        <v>0</v>
      </c>
      <c r="U64" s="469">
        <f>ROUND('[2]Growth Deficit'!$AH71,3)</f>
        <v>0</v>
      </c>
      <c r="V64" s="469">
        <f>ROUND('[2]Growth Deficit'!$AI71,3)</f>
        <v>0</v>
      </c>
      <c r="W64" s="470">
        <f>ROUND([2]FTES!I71,3)</f>
        <v>0</v>
      </c>
      <c r="X64" s="470">
        <f>ROUND([2]FTES!R71,3)</f>
        <v>0</v>
      </c>
      <c r="Y64" s="470">
        <f>ROUND([2]FTES!AA71,3)</f>
        <v>0</v>
      </c>
      <c r="Z64" s="469">
        <f>ROUND([2]FTES!E71,3)</f>
        <v>26053.06</v>
      </c>
      <c r="AA64" s="469">
        <f>ROUND([2]FTES!N71,3)</f>
        <v>1770.75</v>
      </c>
      <c r="AB64" s="469">
        <f>ROUND([2]FTES!W71,3)</f>
        <v>149.71</v>
      </c>
      <c r="AC64" s="468">
        <f>'[2]FTES Adjustment'!CW71</f>
        <v>26053.059909</v>
      </c>
      <c r="AD64" s="468">
        <f>'[2]FTES Adjustment'!CX71</f>
        <v>1770.75</v>
      </c>
      <c r="AE64" s="468">
        <f>'[2]FTES Adjustment'!CY71</f>
        <v>149.71</v>
      </c>
      <c r="AF64" s="467">
        <f>'[2]FTES Adjustment'!DQ71</f>
        <v>9.1000001702923328E-5</v>
      </c>
      <c r="AG64" s="467">
        <f>'[2]FTES Adjustment'!DR71</f>
        <v>0</v>
      </c>
      <c r="AH64" s="467">
        <f>'[2]FTES Adjustment'!DS71</f>
        <v>0</v>
      </c>
      <c r="AI64" s="340">
        <f>'[2]FTES Adjustment'!$DX71</f>
        <v>0</v>
      </c>
      <c r="AJ64" s="340">
        <v>0</v>
      </c>
      <c r="AK64" s="340">
        <v>0</v>
      </c>
      <c r="AL64" s="465">
        <f>'[2]FTES Adjustment'!CG71</f>
        <v>11.253227000000001</v>
      </c>
      <c r="AM64" s="465">
        <f>'[2]FTES Adjustment'!CH71</f>
        <v>11.37</v>
      </c>
      <c r="AN64" s="465">
        <f>'[2]FTES Adjustment'!CI71</f>
        <v>-25.549999999999983</v>
      </c>
      <c r="AO64" s="463">
        <f t="shared" si="27"/>
        <v>24892.14</v>
      </c>
      <c r="AP64" s="463">
        <f t="shared" si="28"/>
        <v>24892.14</v>
      </c>
      <c r="AQ64" s="463">
        <f t="shared" si="29"/>
        <v>3084.3069999999998</v>
      </c>
      <c r="AR64" s="463">
        <f t="shared" si="30"/>
        <v>0</v>
      </c>
      <c r="AS64" s="463">
        <f t="shared" si="31"/>
        <v>0</v>
      </c>
      <c r="AT64" s="463">
        <f t="shared" si="32"/>
        <v>27973.52</v>
      </c>
      <c r="AU64" s="463">
        <f t="shared" si="33"/>
        <v>27973.52</v>
      </c>
      <c r="AV64" s="464">
        <f t="shared" si="34"/>
        <v>0</v>
      </c>
      <c r="AW64" s="464">
        <f t="shared" si="35"/>
        <v>0</v>
      </c>
      <c r="AX64" s="464">
        <f t="shared" si="36"/>
        <v>-2.927</v>
      </c>
      <c r="AY64" s="460">
        <f>'[2]PBF Run'!F71</f>
        <v>7871952</v>
      </c>
      <c r="AZ64" s="460">
        <f t="shared" si="37"/>
        <v>115261760</v>
      </c>
      <c r="BA64" s="460">
        <f>'[2]PBF Run'!J71 + '[2]PBF Run'!$L71</f>
        <v>109781169</v>
      </c>
      <c r="BB64" s="460">
        <f>'[2]PBF Run'!H71</f>
        <v>4905246</v>
      </c>
      <c r="BC64" s="460">
        <f>'[2]PBF Run'!I71</f>
        <v>575345</v>
      </c>
      <c r="BD64" s="462">
        <v>0</v>
      </c>
      <c r="BE64" s="461">
        <f>'[2]Restoration and Growth'!BM71</f>
        <v>0</v>
      </c>
      <c r="BF64" s="460">
        <f t="shared" si="38"/>
        <v>123133712</v>
      </c>
      <c r="BG64" s="333" t="str">
        <f t="shared" si="52"/>
        <v>0.85%</v>
      </c>
      <c r="BH64" s="459">
        <f>'[2]PBF Run'!O71</f>
        <v>1046637</v>
      </c>
      <c r="BI64" s="459">
        <f t="shared" si="39"/>
        <v>124180349</v>
      </c>
      <c r="BJ64" s="458">
        <f>'[2]PBF Run'!AC71</f>
        <v>0</v>
      </c>
      <c r="BK64" s="458">
        <f>'[2]PBF Run'!$AD71</f>
        <v>0</v>
      </c>
      <c r="BL64" s="458">
        <f>'[2]PBF Run'!$T71</f>
        <v>14421919</v>
      </c>
      <c r="BM64" s="458">
        <f>'[2]PBF Run'!$S71</f>
        <v>0</v>
      </c>
      <c r="BN64" s="458">
        <f>'[2]13-14 $86M Workload Restore'!$P69</f>
        <v>0</v>
      </c>
      <c r="BO64" s="458">
        <f t="shared" si="40"/>
        <v>14421919</v>
      </c>
      <c r="BP64" s="478">
        <f>'[2]Restoration and Growth'!AA71</f>
        <v>0</v>
      </c>
      <c r="BQ64" s="478">
        <f>'[2]Restoration and Growth'!AB71</f>
        <v>0</v>
      </c>
      <c r="BR64" s="453">
        <f>'[2]Restoration and Growth'!BT71</f>
        <v>0</v>
      </c>
      <c r="BS64" s="453">
        <f>'[2]Growth Deficit'!$AO71</f>
        <v>0</v>
      </c>
      <c r="BT64" s="453">
        <f>'[2]Growth Deficit'!AO71</f>
        <v>0</v>
      </c>
      <c r="BU64" s="453">
        <f>'[2]Growth Deficit'!AL71</f>
        <v>0</v>
      </c>
      <c r="BV64" s="453">
        <f>'[2]Growth Deficit'!AM71</f>
        <v>0</v>
      </c>
      <c r="BW64" s="453">
        <f>'[2]Growth Deficit'!AN71</f>
        <v>0</v>
      </c>
      <c r="BX64" s="453">
        <f>'[2]Growth Deficit'!AO71</f>
        <v>0</v>
      </c>
      <c r="BY64" s="454">
        <f>'[2]PBF Run'!AA71</f>
        <v>0</v>
      </c>
      <c r="BZ64" s="454">
        <f>'[2]PBF Run'!AB71</f>
        <v>0</v>
      </c>
      <c r="CA64" s="454">
        <f>'[2]PBF Run'!AC71</f>
        <v>0</v>
      </c>
      <c r="CB64" s="454">
        <f t="shared" si="41"/>
        <v>0</v>
      </c>
      <c r="CC64" s="457">
        <f>'[2]PBF Run'!X71</f>
        <v>0</v>
      </c>
      <c r="CD64" s="456">
        <f>'[2]PBF Run'!AE71</f>
        <v>138602268</v>
      </c>
      <c r="CE64" s="337">
        <f t="shared" si="42"/>
        <v>1</v>
      </c>
      <c r="CF64" s="455">
        <f>'[2]PBF Run'!AM71</f>
        <v>0</v>
      </c>
      <c r="CG64" s="455">
        <f>'[2]PBF Run'!$AN71</f>
        <v>0</v>
      </c>
      <c r="CH64" s="455">
        <f>'[2]PBF Run'!$AO71</f>
        <v>56147462</v>
      </c>
      <c r="CI64" s="455">
        <f>'[2]PBF Run'!AJ71</f>
        <v>176142815</v>
      </c>
      <c r="CJ64" s="455">
        <f>'[2]PBF Run'!AI71</f>
        <v>15809563</v>
      </c>
      <c r="CK64" s="455">
        <f>'[2]PBF Run'!$AN71</f>
        <v>0</v>
      </c>
      <c r="CL64" s="455">
        <f>'[2]PBF Run'!AK71</f>
        <v>2797352</v>
      </c>
      <c r="CM64" s="455">
        <f t="shared" si="43"/>
        <v>138602268</v>
      </c>
      <c r="CN64" s="454">
        <f>'[2]PBF Run'!$AN71</f>
        <v>0</v>
      </c>
      <c r="CO64" s="454">
        <f>'[2]PBF Run'!BI71</f>
        <v>0</v>
      </c>
      <c r="CP64" s="339">
        <f>'[2]PBF Run'!BH71</f>
        <v>0</v>
      </c>
      <c r="CQ64" s="454">
        <f t="shared" si="53"/>
        <v>69532</v>
      </c>
      <c r="CR64" s="454">
        <f t="shared" si="44"/>
        <v>0</v>
      </c>
      <c r="CS64" s="453">
        <f>'[2]As of 13-14 R1'!BX71</f>
        <v>2310581</v>
      </c>
      <c r="CT64" s="453">
        <f>'[2]As of 13-14 R1'!BY71</f>
        <v>1776199</v>
      </c>
      <c r="CU64" s="453">
        <f>'[2]As of 13-14 R1'!BZ71</f>
        <v>12086343</v>
      </c>
      <c r="CV64" s="453">
        <f t="shared" si="45"/>
        <v>16173123</v>
      </c>
      <c r="CW64" s="342">
        <f>'[2]Growth Deficit'!$D$2</f>
        <v>0</v>
      </c>
      <c r="CX64" s="343">
        <f>IF($DL64="S",'[2]Foundation Grant'!C71,0)</f>
        <v>0</v>
      </c>
      <c r="CY64" s="343">
        <f>IF($DL64="S",'[2]Foundation Grant'!D71,0)</f>
        <v>0</v>
      </c>
      <c r="CZ64" s="343">
        <f>IF($DL64="S",'[2]Foundation Grant'!E71,0)</f>
        <v>0</v>
      </c>
      <c r="DA64" s="343">
        <f>IF($DL64="S",'[2]Foundation Grant'!F71,0)</f>
        <v>0</v>
      </c>
      <c r="DB64" s="343">
        <f>IF($DL64="M",'[2]Foundation Grant'!C71,0)</f>
        <v>0</v>
      </c>
      <c r="DC64" s="343">
        <f>IF($DL64="M",'[2]Foundation Grant'!D71,0)</f>
        <v>2</v>
      </c>
      <c r="DD64" s="343">
        <f>IF($DL64="M",'[2]Foundation Grant'!E71,0)</f>
        <v>0</v>
      </c>
      <c r="DE64" s="343">
        <f>IF($DL64="M",'[2]Foundation Grant'!F71,0)</f>
        <v>2</v>
      </c>
      <c r="DF64" s="343">
        <f>'[2]Foundation Grant'!G71</f>
        <v>0</v>
      </c>
      <c r="DG64" s="343">
        <f>'[2]Foundation Grant'!H71</f>
        <v>0</v>
      </c>
      <c r="DH64" s="343">
        <f>'[2]Foundation Grant'!I71</f>
        <v>0</v>
      </c>
      <c r="DI64" s="343">
        <f>'[2]Foundation Grant'!J71</f>
        <v>0</v>
      </c>
      <c r="DJ64" s="343">
        <f>'[2]Foundation Grant'!K71</f>
        <v>0</v>
      </c>
      <c r="DK64" s="452">
        <f>'[2]Foundation Grant'!L71</f>
        <v>0</v>
      </c>
      <c r="DL64" s="343" t="str">
        <f>'[2]Foundation Grant'!M71</f>
        <v>M</v>
      </c>
      <c r="DM64" s="343">
        <f>'[2]Foundation Grant'!N71</f>
        <v>7871952</v>
      </c>
      <c r="DN64" s="452">
        <f>'[2]Foundation Grant'!O71</f>
        <v>0</v>
      </c>
      <c r="DO64" s="452">
        <f>'[2]Foundation Grant'!P71</f>
        <v>0</v>
      </c>
      <c r="DP64" s="344">
        <f>'[2]Foundation Grant'!$C$1</f>
        <v>5622823</v>
      </c>
      <c r="DQ64" s="344">
        <f>'[2]Foundation Grant'!$D$1</f>
        <v>4498258</v>
      </c>
      <c r="DR64" s="344">
        <f>'[2]Foundation Grant'!$E$1</f>
        <v>3373694</v>
      </c>
      <c r="DS64" s="344">
        <f>'[2]Foundation Grant'!$C$2</f>
        <v>4498258</v>
      </c>
      <c r="DT64" s="344">
        <f>'[2]Foundation Grant'!$D$2</f>
        <v>3935976</v>
      </c>
      <c r="DU64" s="344">
        <f>'[2]Foundation Grant'!$E$2</f>
        <v>3373694</v>
      </c>
      <c r="DV64" s="344">
        <f>'[2]Foundation Grant'!$G$1</f>
        <v>1124565</v>
      </c>
      <c r="DW64" s="344">
        <f>'[2]Foundation Grant'!$H$1</f>
        <v>843423</v>
      </c>
      <c r="DX64" s="344">
        <f>'[2]Foundation Grant'!$I$1</f>
        <v>562282</v>
      </c>
      <c r="DY64" s="344">
        <f>'[2]Foundation Grant'!$J$1</f>
        <v>281141</v>
      </c>
      <c r="DZ64" s="344">
        <f>'[2]Foundation Grant'!$K$1</f>
        <v>140571</v>
      </c>
      <c r="EA64" s="344">
        <f>'[2]Foundation Grant'!$O$1</f>
        <v>562282</v>
      </c>
      <c r="EB64" s="344">
        <f>'[2]Foundation Grant'!$P$1</f>
        <v>1124565</v>
      </c>
      <c r="EC64" s="345">
        <f>'[2]basic allocation'!$C$10</f>
        <v>18749</v>
      </c>
      <c r="ED64" s="345">
        <f>'[2]basic allocation'!$D$10</f>
        <v>9375</v>
      </c>
      <c r="EE64" s="345">
        <f>'[2]basic allocation'!$E$10</f>
        <v>9375</v>
      </c>
      <c r="EF64" s="345">
        <f>'[2]basic allocation'!$I$10</f>
        <v>938</v>
      </c>
      <c r="EG64" s="345">
        <f>'[2]basic allocation'!$J$10</f>
        <v>703</v>
      </c>
      <c r="EH64" s="345">
        <f>'[2]basic allocation'!$K$10</f>
        <v>469</v>
      </c>
      <c r="EI64" s="345">
        <f>'[2]basic allocation'!$L$10</f>
        <v>234</v>
      </c>
      <c r="EJ64" s="345">
        <f>'[2]basic allocation'!$M$10</f>
        <v>100</v>
      </c>
      <c r="EK64" s="345">
        <f>'[2]PBF Run'!$AT71</f>
        <v>0</v>
      </c>
      <c r="EM64" s="477"/>
    </row>
    <row r="65" spans="1:143">
      <c r="A65" s="476" t="s">
        <v>605</v>
      </c>
      <c r="B65" s="475" t="str">
        <f t="shared" si="46"/>
        <v>P1</v>
      </c>
      <c r="C65" s="346" t="s">
        <v>275</v>
      </c>
      <c r="D65" s="450" t="s">
        <v>274</v>
      </c>
      <c r="E65" s="449">
        <f>ROUND('[2]PBF Run'!N72,6)</f>
        <v>4636.4928579999996</v>
      </c>
      <c r="F65" s="340">
        <f t="shared" si="47"/>
        <v>4636.49</v>
      </c>
      <c r="G65" s="474">
        <f t="shared" si="48"/>
        <v>2788.0536374600001</v>
      </c>
      <c r="H65" s="473">
        <f t="shared" si="49"/>
        <v>2811.7520933800001</v>
      </c>
      <c r="I65" s="473">
        <f t="shared" si="50"/>
        <v>3282.8110613200001</v>
      </c>
      <c r="J65" s="473">
        <f t="shared" si="51"/>
        <v>3310.71495534</v>
      </c>
      <c r="K65" s="472">
        <f>ROUND([2]FTES!C72,3)</f>
        <v>14763.81</v>
      </c>
      <c r="L65" s="472">
        <f>ROUND([2]FTES!L72,3)</f>
        <v>179.64</v>
      </c>
      <c r="M65" s="472">
        <f>ROUND([2]FTES!U72,3)</f>
        <v>35.549999999999997</v>
      </c>
      <c r="N65" s="465">
        <f>ROUND([2]FTES!$D72,3)</f>
        <v>14763.81</v>
      </c>
      <c r="O65" s="465">
        <f>ROUND([2]FTES!$M72,3)</f>
        <v>179.64</v>
      </c>
      <c r="P65" s="465">
        <f>ROUND([2]FTES!$V72,3)</f>
        <v>35.549999999999997</v>
      </c>
      <c r="Q65" s="471">
        <f>'[2]FTES Adjustment'!BU72</f>
        <v>0</v>
      </c>
      <c r="R65" s="471">
        <f>'[2]FTES Adjustment'!BV72</f>
        <v>0</v>
      </c>
      <c r="S65" s="471">
        <f>'[2]FTES Adjustment'!BW72</f>
        <v>0</v>
      </c>
      <c r="T65" s="469">
        <f>ROUND('[2]Growth Deficit'!$AG72,3)</f>
        <v>0</v>
      </c>
      <c r="U65" s="469">
        <f>ROUND('[2]Growth Deficit'!$AH72,3)</f>
        <v>0</v>
      </c>
      <c r="V65" s="469">
        <f>ROUND('[2]Growth Deficit'!$AI72,3)</f>
        <v>0</v>
      </c>
      <c r="W65" s="470">
        <f>ROUND([2]FTES!I72,3)</f>
        <v>0</v>
      </c>
      <c r="X65" s="470">
        <f>ROUND([2]FTES!R72,3)</f>
        <v>0</v>
      </c>
      <c r="Y65" s="470">
        <f>ROUND([2]FTES!AA72,3)</f>
        <v>0</v>
      </c>
      <c r="Z65" s="469">
        <f>ROUND([2]FTES!E72,3)</f>
        <v>15207.23</v>
      </c>
      <c r="AA65" s="469">
        <f>ROUND([2]FTES!N72,3)</f>
        <v>182.33</v>
      </c>
      <c r="AB65" s="469">
        <f>ROUND([2]FTES!W72,3)</f>
        <v>38.44</v>
      </c>
      <c r="AC65" s="468">
        <f>'[2]FTES Adjustment'!CW72</f>
        <v>15207.230097</v>
      </c>
      <c r="AD65" s="468">
        <f>'[2]FTES Adjustment'!CX72</f>
        <v>182.32999999999998</v>
      </c>
      <c r="AE65" s="468">
        <f>'[2]FTES Adjustment'!CY72</f>
        <v>38.440000000000005</v>
      </c>
      <c r="AF65" s="467">
        <f>'[2]FTES Adjustment'!DQ72</f>
        <v>-9.7000000096159056E-5</v>
      </c>
      <c r="AG65" s="467">
        <f>'[2]FTES Adjustment'!DR72</f>
        <v>0</v>
      </c>
      <c r="AH65" s="467">
        <f>'[2]FTES Adjustment'!DS72</f>
        <v>0</v>
      </c>
      <c r="AI65" s="340">
        <f>'[2]FTES Adjustment'!$DX72</f>
        <v>0</v>
      </c>
      <c r="AJ65" s="340">
        <v>0</v>
      </c>
      <c r="AK65" s="340">
        <v>0</v>
      </c>
      <c r="AL65" s="465">
        <f>'[2]FTES Adjustment'!CG72</f>
        <v>443.42001599999998</v>
      </c>
      <c r="AM65" s="465">
        <f>'[2]FTES Adjustment'!CH72</f>
        <v>2.69</v>
      </c>
      <c r="AN65" s="465">
        <f>'[2]FTES Adjustment'!CI72</f>
        <v>2.89</v>
      </c>
      <c r="AO65" s="463">
        <f t="shared" si="27"/>
        <v>14979</v>
      </c>
      <c r="AP65" s="463">
        <f t="shared" si="28"/>
        <v>14979</v>
      </c>
      <c r="AQ65" s="463">
        <f t="shared" si="29"/>
        <v>0</v>
      </c>
      <c r="AR65" s="463">
        <f t="shared" si="30"/>
        <v>0</v>
      </c>
      <c r="AS65" s="463">
        <f t="shared" si="31"/>
        <v>0</v>
      </c>
      <c r="AT65" s="463">
        <f t="shared" si="32"/>
        <v>15428</v>
      </c>
      <c r="AU65" s="463">
        <f t="shared" si="33"/>
        <v>15428</v>
      </c>
      <c r="AV65" s="464">
        <f t="shared" si="34"/>
        <v>0</v>
      </c>
      <c r="AW65" s="464">
        <f t="shared" si="35"/>
        <v>0</v>
      </c>
      <c r="AX65" s="464">
        <f t="shared" si="36"/>
        <v>449</v>
      </c>
      <c r="AY65" s="460">
        <f>'[2]PBF Run'!F72</f>
        <v>7871953</v>
      </c>
      <c r="AZ65" s="460">
        <f t="shared" si="37"/>
        <v>69069850</v>
      </c>
      <c r="BA65" s="460">
        <f>'[2]PBF Run'!J72 + '[2]PBF Run'!$L72</f>
        <v>68452300</v>
      </c>
      <c r="BB65" s="460">
        <f>'[2]PBF Run'!H72</f>
        <v>500846</v>
      </c>
      <c r="BC65" s="460">
        <f>'[2]PBF Run'!I72</f>
        <v>116704</v>
      </c>
      <c r="BD65" s="462">
        <v>0</v>
      </c>
      <c r="BE65" s="461">
        <f>'[2]Restoration and Growth'!BM72</f>
        <v>0</v>
      </c>
      <c r="BF65" s="460">
        <f t="shared" si="38"/>
        <v>76941803</v>
      </c>
      <c r="BG65" s="333" t="str">
        <f t="shared" si="52"/>
        <v>0.85%</v>
      </c>
      <c r="BH65" s="459">
        <f>'[2]PBF Run'!O72</f>
        <v>654005</v>
      </c>
      <c r="BI65" s="459">
        <f t="shared" si="39"/>
        <v>77595808</v>
      </c>
      <c r="BJ65" s="458">
        <f>'[2]PBF Run'!AC72</f>
        <v>0</v>
      </c>
      <c r="BK65" s="458">
        <f>'[2]PBF Run'!$AD72</f>
        <v>0</v>
      </c>
      <c r="BL65" s="458">
        <f>'[2]PBF Run'!$T72</f>
        <v>0</v>
      </c>
      <c r="BM65" s="458">
        <f>'[2]PBF Run'!$S72</f>
        <v>2090521</v>
      </c>
      <c r="BN65" s="458">
        <f>'[2]13-14 $86M Workload Restore'!$P70</f>
        <v>0</v>
      </c>
      <c r="BO65" s="458">
        <f t="shared" si="40"/>
        <v>2090521</v>
      </c>
      <c r="BP65" s="478">
        <f>'[2]Restoration and Growth'!AA72</f>
        <v>0</v>
      </c>
      <c r="BQ65" s="478">
        <f>'[2]Restoration and Growth'!AB72</f>
        <v>0</v>
      </c>
      <c r="BR65" s="453">
        <f>'[2]Restoration and Growth'!BT72</f>
        <v>0</v>
      </c>
      <c r="BS65" s="453">
        <f>'[2]Growth Deficit'!$AO72</f>
        <v>0</v>
      </c>
      <c r="BT65" s="453">
        <f>'[2]Growth Deficit'!AO72</f>
        <v>0</v>
      </c>
      <c r="BU65" s="453">
        <f>'[2]Growth Deficit'!AL72</f>
        <v>0</v>
      </c>
      <c r="BV65" s="453">
        <f>'[2]Growth Deficit'!AM72</f>
        <v>0</v>
      </c>
      <c r="BW65" s="453">
        <f>'[2]Growth Deficit'!AN72</f>
        <v>0</v>
      </c>
      <c r="BX65" s="453">
        <f>'[2]Growth Deficit'!AO72</f>
        <v>0</v>
      </c>
      <c r="BY65" s="454">
        <f>'[2]PBF Run'!AA72</f>
        <v>0</v>
      </c>
      <c r="BZ65" s="454">
        <f>'[2]PBF Run'!AB72</f>
        <v>0</v>
      </c>
      <c r="CA65" s="454">
        <f>'[2]PBF Run'!AC72</f>
        <v>0</v>
      </c>
      <c r="CB65" s="454">
        <f t="shared" si="41"/>
        <v>0</v>
      </c>
      <c r="CC65" s="457">
        <f>'[2]PBF Run'!X72</f>
        <v>0</v>
      </c>
      <c r="CD65" s="456">
        <f>'[2]PBF Run'!AE72</f>
        <v>79686329</v>
      </c>
      <c r="CE65" s="337">
        <f t="shared" si="42"/>
        <v>0.98518541367365531</v>
      </c>
      <c r="CF65" s="455">
        <f>'[2]PBF Run'!AM72</f>
        <v>1180520</v>
      </c>
      <c r="CG65" s="455">
        <f>'[2]PBF Run'!$AN72</f>
        <v>42044758</v>
      </c>
      <c r="CH65" s="455">
        <f>'[2]PBF Run'!$AO72</f>
        <v>0</v>
      </c>
      <c r="CI65" s="455">
        <f>'[2]PBF Run'!AJ72</f>
        <v>20160957</v>
      </c>
      <c r="CJ65" s="455">
        <f>'[2]PBF Run'!AI72</f>
        <v>3883413</v>
      </c>
      <c r="CK65" s="455">
        <f>'[2]PBF Run'!$AN72</f>
        <v>42044758</v>
      </c>
      <c r="CL65" s="455">
        <f>'[2]PBF Run'!AK72</f>
        <v>12416681</v>
      </c>
      <c r="CM65" s="455">
        <f t="shared" si="43"/>
        <v>78505809</v>
      </c>
      <c r="CN65" s="454">
        <f>'[2]PBF Run'!$AN72</f>
        <v>42044758</v>
      </c>
      <c r="CO65" s="454">
        <f>'[2]PBF Run'!BI72</f>
        <v>0</v>
      </c>
      <c r="CP65" s="339">
        <f>'[2]PBF Run'!BH72</f>
        <v>0</v>
      </c>
      <c r="CQ65" s="454">
        <f t="shared" si="53"/>
        <v>69532</v>
      </c>
      <c r="CR65" s="454">
        <f t="shared" si="44"/>
        <v>42044758</v>
      </c>
      <c r="CS65" s="453">
        <f>'[2]As of 13-14 R1'!BX72</f>
        <v>0</v>
      </c>
      <c r="CT65" s="453">
        <f>'[2]As of 13-14 R1'!BY72</f>
        <v>0</v>
      </c>
      <c r="CU65" s="453">
        <f>'[2]As of 13-14 R1'!BZ72</f>
        <v>0</v>
      </c>
      <c r="CV65" s="453">
        <f t="shared" si="45"/>
        <v>0</v>
      </c>
      <c r="CW65" s="342">
        <f>'[2]Growth Deficit'!$D$2</f>
        <v>0</v>
      </c>
      <c r="CX65" s="343">
        <f>IF($DL65="S",'[2]Foundation Grant'!C72,0)</f>
        <v>0</v>
      </c>
      <c r="CY65" s="343">
        <f>IF($DL65="S",'[2]Foundation Grant'!D72,0)</f>
        <v>1</v>
      </c>
      <c r="CZ65" s="343">
        <f>IF($DL65="S",'[2]Foundation Grant'!E72,0)</f>
        <v>0</v>
      </c>
      <c r="DA65" s="343">
        <f>IF($DL65="S",'[2]Foundation Grant'!F72,0)</f>
        <v>1</v>
      </c>
      <c r="DB65" s="343">
        <f>IF($DL65="M",'[2]Foundation Grant'!C72,0)</f>
        <v>0</v>
      </c>
      <c r="DC65" s="343">
        <f>IF($DL65="M",'[2]Foundation Grant'!D72,0)</f>
        <v>0</v>
      </c>
      <c r="DD65" s="343">
        <f>IF($DL65="M",'[2]Foundation Grant'!E72,0)</f>
        <v>0</v>
      </c>
      <c r="DE65" s="343">
        <f>IF($DL65="M",'[2]Foundation Grant'!F72,0)</f>
        <v>0</v>
      </c>
      <c r="DF65" s="343">
        <f>'[2]Foundation Grant'!G72</f>
        <v>0</v>
      </c>
      <c r="DG65" s="343">
        <f>'[2]Foundation Grant'!H72</f>
        <v>0</v>
      </c>
      <c r="DH65" s="343">
        <f>'[2]Foundation Grant'!I72</f>
        <v>0</v>
      </c>
      <c r="DI65" s="343">
        <f>'[2]Foundation Grant'!J72</f>
        <v>0</v>
      </c>
      <c r="DJ65" s="343">
        <f>'[2]Foundation Grant'!K72</f>
        <v>0</v>
      </c>
      <c r="DK65" s="452">
        <f>'[2]Foundation Grant'!L72</f>
        <v>0</v>
      </c>
      <c r="DL65" s="343" t="str">
        <f>'[2]Foundation Grant'!M72</f>
        <v>S</v>
      </c>
      <c r="DM65" s="343">
        <f>'[2]Foundation Grant'!N72</f>
        <v>7871953</v>
      </c>
      <c r="DN65" s="452">
        <f>'[2]Foundation Grant'!O72</f>
        <v>0</v>
      </c>
      <c r="DO65" s="452">
        <f>'[2]Foundation Grant'!P72</f>
        <v>3</v>
      </c>
      <c r="DP65" s="344">
        <f>'[2]Foundation Grant'!$C$1</f>
        <v>5622823</v>
      </c>
      <c r="DQ65" s="344">
        <f>'[2]Foundation Grant'!$D$1</f>
        <v>4498258</v>
      </c>
      <c r="DR65" s="344">
        <f>'[2]Foundation Grant'!$E$1</f>
        <v>3373694</v>
      </c>
      <c r="DS65" s="344">
        <f>'[2]Foundation Grant'!$C$2</f>
        <v>4498258</v>
      </c>
      <c r="DT65" s="344">
        <f>'[2]Foundation Grant'!$D$2</f>
        <v>3935976</v>
      </c>
      <c r="DU65" s="344">
        <f>'[2]Foundation Grant'!$E$2</f>
        <v>3373694</v>
      </c>
      <c r="DV65" s="344">
        <f>'[2]Foundation Grant'!$G$1</f>
        <v>1124565</v>
      </c>
      <c r="DW65" s="344">
        <f>'[2]Foundation Grant'!$H$1</f>
        <v>843423</v>
      </c>
      <c r="DX65" s="344">
        <f>'[2]Foundation Grant'!$I$1</f>
        <v>562282</v>
      </c>
      <c r="DY65" s="344">
        <f>'[2]Foundation Grant'!$J$1</f>
        <v>281141</v>
      </c>
      <c r="DZ65" s="344">
        <f>'[2]Foundation Grant'!$K$1</f>
        <v>140571</v>
      </c>
      <c r="EA65" s="344">
        <f>'[2]Foundation Grant'!$O$1</f>
        <v>562282</v>
      </c>
      <c r="EB65" s="344">
        <f>'[2]Foundation Grant'!$P$1</f>
        <v>1124565</v>
      </c>
      <c r="EC65" s="345">
        <f>'[2]basic allocation'!$C$10</f>
        <v>18749</v>
      </c>
      <c r="ED65" s="345">
        <f>'[2]basic allocation'!$D$10</f>
        <v>9375</v>
      </c>
      <c r="EE65" s="345">
        <f>'[2]basic allocation'!$E$10</f>
        <v>9375</v>
      </c>
      <c r="EF65" s="345">
        <f>'[2]basic allocation'!$I$10</f>
        <v>938</v>
      </c>
      <c r="EG65" s="345">
        <f>'[2]basic allocation'!$J$10</f>
        <v>703</v>
      </c>
      <c r="EH65" s="345">
        <f>'[2]basic allocation'!$K$10</f>
        <v>469</v>
      </c>
      <c r="EI65" s="345">
        <f>'[2]basic allocation'!$L$10</f>
        <v>234</v>
      </c>
      <c r="EJ65" s="345">
        <f>'[2]basic allocation'!$M$10</f>
        <v>100</v>
      </c>
      <c r="EK65" s="345">
        <f>'[2]PBF Run'!$AT72</f>
        <v>0</v>
      </c>
      <c r="EM65" s="477"/>
    </row>
    <row r="66" spans="1:143">
      <c r="A66" s="476" t="s">
        <v>605</v>
      </c>
      <c r="B66" s="475" t="str">
        <f t="shared" si="46"/>
        <v>P1</v>
      </c>
      <c r="C66" s="346" t="s">
        <v>273</v>
      </c>
      <c r="D66" s="450" t="s">
        <v>272</v>
      </c>
      <c r="E66" s="449">
        <f>ROUND('[2]PBF Run'!N73,6)</f>
        <v>4636.4928410000002</v>
      </c>
      <c r="F66" s="340">
        <f t="shared" si="47"/>
        <v>4636.49</v>
      </c>
      <c r="G66" s="474">
        <f t="shared" si="48"/>
        <v>2788.0536374600001</v>
      </c>
      <c r="H66" s="473">
        <f t="shared" si="49"/>
        <v>2811.7520933800001</v>
      </c>
      <c r="I66" s="473">
        <f t="shared" si="50"/>
        <v>3282.8110613200001</v>
      </c>
      <c r="J66" s="473">
        <f t="shared" si="51"/>
        <v>3310.71495534</v>
      </c>
      <c r="K66" s="472">
        <f>ROUND([2]FTES!C73,3)</f>
        <v>25751.437999999998</v>
      </c>
      <c r="L66" s="472">
        <f>ROUND([2]FTES!L73,3)</f>
        <v>302.26</v>
      </c>
      <c r="M66" s="472">
        <f>ROUND([2]FTES!U73,3)</f>
        <v>187.06</v>
      </c>
      <c r="N66" s="465">
        <f>ROUND([2]FTES!$D73,3)</f>
        <v>25751.437999999998</v>
      </c>
      <c r="O66" s="465">
        <f>ROUND([2]FTES!$M73,3)</f>
        <v>302.26</v>
      </c>
      <c r="P66" s="465">
        <f>ROUND([2]FTES!$V73,3)</f>
        <v>187.06</v>
      </c>
      <c r="Q66" s="471">
        <f>'[2]FTES Adjustment'!BU73</f>
        <v>0</v>
      </c>
      <c r="R66" s="471">
        <f>'[2]FTES Adjustment'!BV73</f>
        <v>0</v>
      </c>
      <c r="S66" s="471">
        <f>'[2]FTES Adjustment'!BW73</f>
        <v>0</v>
      </c>
      <c r="T66" s="469">
        <f>ROUND('[2]Growth Deficit'!$AG73,3)</f>
        <v>0</v>
      </c>
      <c r="U66" s="469">
        <f>ROUND('[2]Growth Deficit'!$AH73,3)</f>
        <v>0</v>
      </c>
      <c r="V66" s="469">
        <f>ROUND('[2]Growth Deficit'!$AI73,3)</f>
        <v>0</v>
      </c>
      <c r="W66" s="470">
        <f>ROUND([2]FTES!I73,3)</f>
        <v>0</v>
      </c>
      <c r="X66" s="470">
        <f>ROUND([2]FTES!R73,3)</f>
        <v>0</v>
      </c>
      <c r="Y66" s="470">
        <f>ROUND([2]FTES!AA73,3)</f>
        <v>0</v>
      </c>
      <c r="Z66" s="469">
        <f>ROUND([2]FTES!E73,3)</f>
        <v>27631.96</v>
      </c>
      <c r="AA66" s="469">
        <f>ROUND([2]FTES!N73,3)</f>
        <v>285.58999999999997</v>
      </c>
      <c r="AB66" s="469">
        <f>ROUND([2]FTES!W73,3)</f>
        <v>182.45</v>
      </c>
      <c r="AC66" s="468">
        <f>'[2]FTES Adjustment'!CW73</f>
        <v>27077.051904</v>
      </c>
      <c r="AD66" s="468">
        <f>'[2]FTES Adjustment'!CX73</f>
        <v>285.59000000000003</v>
      </c>
      <c r="AE66" s="468">
        <f>'[2]FTES Adjustment'!CY73</f>
        <v>182.45</v>
      </c>
      <c r="AF66" s="467">
        <f>'[2]FTES Adjustment'!DQ73</f>
        <v>554.9080959999992</v>
      </c>
      <c r="AG66" s="467">
        <f>'[2]FTES Adjustment'!DR73</f>
        <v>0</v>
      </c>
      <c r="AH66" s="467">
        <f>'[2]FTES Adjustment'!DS73</f>
        <v>0</v>
      </c>
      <c r="AI66" s="340">
        <f>'[2]FTES Adjustment'!$DX73</f>
        <v>0</v>
      </c>
      <c r="AJ66" s="340">
        <v>0</v>
      </c>
      <c r="AK66" s="340">
        <v>0</v>
      </c>
      <c r="AL66" s="465">
        <f>'[2]FTES Adjustment'!CG73</f>
        <v>1325.6134569999999</v>
      </c>
      <c r="AM66" s="465">
        <f>'[2]FTES Adjustment'!CH73</f>
        <v>-16.669999999999959</v>
      </c>
      <c r="AN66" s="465">
        <f>'[2]FTES Adjustment'!CI73</f>
        <v>-4.6100000000000136</v>
      </c>
      <c r="AO66" s="463">
        <f t="shared" ref="AO66:AO73" si="54">ROUND(K66+L66+M66,3)</f>
        <v>26240.758000000002</v>
      </c>
      <c r="AP66" s="463">
        <f t="shared" ref="AP66:AP73" si="55">ROUND(N66+O66+P66,3)</f>
        <v>26240.758000000002</v>
      </c>
      <c r="AQ66" s="463">
        <f t="shared" ref="AQ66:AQ73" si="56">ROUND(Q66+R66+S66,3)</f>
        <v>0</v>
      </c>
      <c r="AR66" s="463">
        <f t="shared" ref="AR66:AR73" si="57">ROUND(T66+U66+V66,3)</f>
        <v>0</v>
      </c>
      <c r="AS66" s="463">
        <f t="shared" ref="AS66:AS73" si="58">ROUND(W66+X66+Y66,3)</f>
        <v>0</v>
      </c>
      <c r="AT66" s="463">
        <f t="shared" ref="AT66:AT73" si="59">ROUND(Z66+AA66+AB66,3)</f>
        <v>28100</v>
      </c>
      <c r="AU66" s="463">
        <f t="shared" ref="AU66:AU73" si="60">ROUND(AC66+AD66+AE66,3)</f>
        <v>27545.092000000001</v>
      </c>
      <c r="AV66" s="464">
        <f t="shared" ref="AV66:AV73" si="61">ROUND(AF66+AG66+AH66,3)</f>
        <v>554.90800000000002</v>
      </c>
      <c r="AW66" s="464">
        <f t="shared" ref="AW66:AW73" si="62">ROUND(AI66+AJ66+AK66,3)</f>
        <v>0</v>
      </c>
      <c r="AX66" s="464">
        <f t="shared" ref="AX66:AX73" si="63">ROUND(AL66+AM66+AN66,3)</f>
        <v>1304.3330000000001</v>
      </c>
      <c r="AY66" s="460">
        <f>'[2]PBF Run'!F73</f>
        <v>11245647</v>
      </c>
      <c r="AZ66" s="460">
        <f t="shared" ref="AZ66:AZ73" si="64">BA66+BB66+BC66</f>
        <v>120853160</v>
      </c>
      <c r="BA66" s="460">
        <f>'[2]PBF Run'!J73 + '[2]PBF Run'!$L73</f>
        <v>119396360</v>
      </c>
      <c r="BB66" s="460">
        <f>'[2]PBF Run'!H73</f>
        <v>842717</v>
      </c>
      <c r="BC66" s="460">
        <f>'[2]PBF Run'!I73</f>
        <v>614083</v>
      </c>
      <c r="BD66" s="462">
        <v>0</v>
      </c>
      <c r="BE66" s="461">
        <f>'[2]Restoration and Growth'!BM73</f>
        <v>0</v>
      </c>
      <c r="BF66" s="460">
        <f t="shared" ref="BF66:BF73" si="65">AY66+AZ66-BD66+BE66</f>
        <v>132098807</v>
      </c>
      <c r="BG66" s="333" t="str">
        <f t="shared" si="52"/>
        <v>0.85%</v>
      </c>
      <c r="BH66" s="459">
        <f>'[2]PBF Run'!O73</f>
        <v>1122840</v>
      </c>
      <c r="BI66" s="459">
        <f t="shared" ref="BI66:BI73" si="66">SUM(BF66,BH66)</f>
        <v>133221647</v>
      </c>
      <c r="BJ66" s="458">
        <f>'[2]PBF Run'!AC73</f>
        <v>0</v>
      </c>
      <c r="BK66" s="458">
        <f>'[2]PBF Run'!$AD73</f>
        <v>0</v>
      </c>
      <c r="BL66" s="458">
        <f>'[2]PBF Run'!$T73</f>
        <v>0</v>
      </c>
      <c r="BM66" s="458">
        <f>'[2]PBF Run'!$S73</f>
        <v>6136306</v>
      </c>
      <c r="BN66" s="458">
        <f>'[2]13-14 $86M Workload Restore'!$P71</f>
        <v>0</v>
      </c>
      <c r="BO66" s="458">
        <f t="shared" ref="BO66:BO73" si="67">BJ66+BK66+BL66+BM66+BN66</f>
        <v>6136306</v>
      </c>
      <c r="BP66" s="478">
        <f>'[2]Restoration and Growth'!AA73</f>
        <v>0</v>
      </c>
      <c r="BQ66" s="478">
        <f>'[2]Restoration and Growth'!AB73</f>
        <v>0</v>
      </c>
      <c r="BR66" s="453">
        <f>'[2]Restoration and Growth'!BT73</f>
        <v>0</v>
      </c>
      <c r="BS66" s="453">
        <f>'[2]Growth Deficit'!$AO73</f>
        <v>0</v>
      </c>
      <c r="BT66" s="453">
        <f>'[2]Growth Deficit'!AO73</f>
        <v>0</v>
      </c>
      <c r="BU66" s="453">
        <f>'[2]Growth Deficit'!AL73</f>
        <v>0</v>
      </c>
      <c r="BV66" s="453">
        <f>'[2]Growth Deficit'!AM73</f>
        <v>0</v>
      </c>
      <c r="BW66" s="453">
        <f>'[2]Growth Deficit'!AN73</f>
        <v>0</v>
      </c>
      <c r="BX66" s="453">
        <f>'[2]Growth Deficit'!AO73</f>
        <v>0</v>
      </c>
      <c r="BY66" s="454">
        <f>'[2]PBF Run'!AA73</f>
        <v>0</v>
      </c>
      <c r="BZ66" s="454">
        <f>'[2]PBF Run'!AB73</f>
        <v>0</v>
      </c>
      <c r="CA66" s="454">
        <f>'[2]PBF Run'!AC73</f>
        <v>0</v>
      </c>
      <c r="CB66" s="454">
        <f t="shared" ref="CB66:CB73" si="68">BY66+BZ66</f>
        <v>0</v>
      </c>
      <c r="CC66" s="457">
        <f>'[2]PBF Run'!X73</f>
        <v>0</v>
      </c>
      <c r="CD66" s="456">
        <f>'[2]PBF Run'!AE73</f>
        <v>139357953</v>
      </c>
      <c r="CE66" s="337">
        <f t="shared" ref="CE66:CE74" si="69">1-CF66/CD66</f>
        <v>0.98518541672322069</v>
      </c>
      <c r="CF66" s="455">
        <f>'[2]PBF Run'!AM73</f>
        <v>2064530</v>
      </c>
      <c r="CG66" s="455">
        <f>'[2]PBF Run'!$AN73</f>
        <v>74589607</v>
      </c>
      <c r="CH66" s="455">
        <f>'[2]PBF Run'!$AO73</f>
        <v>0</v>
      </c>
      <c r="CI66" s="455">
        <f>'[2]PBF Run'!AJ73</f>
        <v>34320271</v>
      </c>
      <c r="CJ66" s="455">
        <f>'[2]PBF Run'!AI73</f>
        <v>6644853</v>
      </c>
      <c r="CK66" s="455">
        <f>'[2]PBF Run'!$AN73</f>
        <v>74589607</v>
      </c>
      <c r="CL66" s="455">
        <f>'[2]PBF Run'!AK73</f>
        <v>21738692</v>
      </c>
      <c r="CM66" s="455">
        <f t="shared" ref="CM66:CM73" si="70">CD66-CF66</f>
        <v>137293423</v>
      </c>
      <c r="CN66" s="454">
        <f>'[2]PBF Run'!$AN73</f>
        <v>74589607</v>
      </c>
      <c r="CO66" s="454">
        <f>'[2]PBF Run'!BI73</f>
        <v>0</v>
      </c>
      <c r="CP66" s="339">
        <f>'[2]PBF Run'!BH73</f>
        <v>0</v>
      </c>
      <c r="CQ66" s="454">
        <f t="shared" si="53"/>
        <v>69532</v>
      </c>
      <c r="CR66" s="454">
        <f t="shared" ref="CR66:CR73" si="71">CN66+CO66</f>
        <v>74589607</v>
      </c>
      <c r="CS66" s="453">
        <f>'[2]As of 13-14 R1'!BX73</f>
        <v>0</v>
      </c>
      <c r="CT66" s="453">
        <f>'[2]As of 13-14 R1'!BY73</f>
        <v>0</v>
      </c>
      <c r="CU66" s="453">
        <f>'[2]As of 13-14 R1'!BZ73</f>
        <v>0</v>
      </c>
      <c r="CV66" s="453">
        <f t="shared" ref="CV66:CV73" si="72">CS66+CT66+CU66</f>
        <v>0</v>
      </c>
      <c r="CW66" s="342">
        <f>'[2]Growth Deficit'!$D$2</f>
        <v>0</v>
      </c>
      <c r="CX66" s="343">
        <f>IF($DL66="S",'[2]Foundation Grant'!C73,0)</f>
        <v>0</v>
      </c>
      <c r="CY66" s="343">
        <f>IF($DL66="S",'[2]Foundation Grant'!D73,0)</f>
        <v>0</v>
      </c>
      <c r="CZ66" s="343">
        <f>IF($DL66="S",'[2]Foundation Grant'!E73,0)</f>
        <v>0</v>
      </c>
      <c r="DA66" s="343">
        <f>IF($DL66="S",'[2]Foundation Grant'!F73,0)</f>
        <v>0</v>
      </c>
      <c r="DB66" s="343">
        <f>IF($DL66="M",'[2]Foundation Grant'!C73,0)</f>
        <v>0</v>
      </c>
      <c r="DC66" s="343">
        <f>IF($DL66="M",'[2]Foundation Grant'!D73,0)</f>
        <v>2</v>
      </c>
      <c r="DD66" s="343">
        <f>IF($DL66="M",'[2]Foundation Grant'!E73,0)</f>
        <v>0</v>
      </c>
      <c r="DE66" s="343">
        <f>IF($DL66="M",'[2]Foundation Grant'!F73,0)</f>
        <v>2</v>
      </c>
      <c r="DF66" s="343">
        <f>'[2]Foundation Grant'!G73</f>
        <v>0</v>
      </c>
      <c r="DG66" s="343">
        <f>'[2]Foundation Grant'!H73</f>
        <v>0</v>
      </c>
      <c r="DH66" s="343">
        <f>'[2]Foundation Grant'!I73</f>
        <v>0</v>
      </c>
      <c r="DI66" s="343">
        <f>'[2]Foundation Grant'!J73</f>
        <v>0</v>
      </c>
      <c r="DJ66" s="343">
        <f>'[2]Foundation Grant'!K73</f>
        <v>0</v>
      </c>
      <c r="DK66" s="452">
        <f>'[2]Foundation Grant'!L73</f>
        <v>0</v>
      </c>
      <c r="DL66" s="343" t="str">
        <f>'[2]Foundation Grant'!M73</f>
        <v>M</v>
      </c>
      <c r="DM66" s="343">
        <f>'[2]Foundation Grant'!N73</f>
        <v>11245647</v>
      </c>
      <c r="DN66" s="452">
        <f>'[2]Foundation Grant'!O73</f>
        <v>0</v>
      </c>
      <c r="DO66" s="452">
        <f>'[2]Foundation Grant'!P73</f>
        <v>3</v>
      </c>
      <c r="DP66" s="344">
        <f>'[2]Foundation Grant'!$C$1</f>
        <v>5622823</v>
      </c>
      <c r="DQ66" s="344">
        <f>'[2]Foundation Grant'!$D$1</f>
        <v>4498258</v>
      </c>
      <c r="DR66" s="344">
        <f>'[2]Foundation Grant'!$E$1</f>
        <v>3373694</v>
      </c>
      <c r="DS66" s="344">
        <f>'[2]Foundation Grant'!$C$2</f>
        <v>4498258</v>
      </c>
      <c r="DT66" s="344">
        <f>'[2]Foundation Grant'!$D$2</f>
        <v>3935976</v>
      </c>
      <c r="DU66" s="344">
        <f>'[2]Foundation Grant'!$E$2</f>
        <v>3373694</v>
      </c>
      <c r="DV66" s="344">
        <f>'[2]Foundation Grant'!$G$1</f>
        <v>1124565</v>
      </c>
      <c r="DW66" s="344">
        <f>'[2]Foundation Grant'!$H$1</f>
        <v>843423</v>
      </c>
      <c r="DX66" s="344">
        <f>'[2]Foundation Grant'!$I$1</f>
        <v>562282</v>
      </c>
      <c r="DY66" s="344">
        <f>'[2]Foundation Grant'!$J$1</f>
        <v>281141</v>
      </c>
      <c r="DZ66" s="344">
        <f>'[2]Foundation Grant'!$K$1</f>
        <v>140571</v>
      </c>
      <c r="EA66" s="344">
        <f>'[2]Foundation Grant'!$O$1</f>
        <v>562282</v>
      </c>
      <c r="EB66" s="344">
        <f>'[2]Foundation Grant'!$P$1</f>
        <v>1124565</v>
      </c>
      <c r="EC66" s="345">
        <f>'[2]basic allocation'!$C$10</f>
        <v>18749</v>
      </c>
      <c r="ED66" s="345">
        <f>'[2]basic allocation'!$D$10</f>
        <v>9375</v>
      </c>
      <c r="EE66" s="345">
        <f>'[2]basic allocation'!$E$10</f>
        <v>9375</v>
      </c>
      <c r="EF66" s="345">
        <f>'[2]basic allocation'!$I$10</f>
        <v>938</v>
      </c>
      <c r="EG66" s="345">
        <f>'[2]basic allocation'!$J$10</f>
        <v>703</v>
      </c>
      <c r="EH66" s="345">
        <f>'[2]basic allocation'!$K$10</f>
        <v>469</v>
      </c>
      <c r="EI66" s="345">
        <f>'[2]basic allocation'!$L$10</f>
        <v>234</v>
      </c>
      <c r="EJ66" s="345">
        <f>'[2]basic allocation'!$M$10</f>
        <v>100</v>
      </c>
      <c r="EK66" s="345">
        <f>'[2]PBF Run'!$AT73</f>
        <v>0</v>
      </c>
      <c r="EM66" s="477"/>
    </row>
    <row r="67" spans="1:143">
      <c r="A67" s="476" t="s">
        <v>605</v>
      </c>
      <c r="B67" s="475" t="str">
        <f t="shared" ref="B67:B74" si="73">$B$2</f>
        <v>P1</v>
      </c>
      <c r="C67" s="346" t="s">
        <v>271</v>
      </c>
      <c r="D67" s="450" t="s">
        <v>270</v>
      </c>
      <c r="E67" s="449">
        <f>ROUND('[2]PBF Run'!N74,6)</f>
        <v>4636.4928730000001</v>
      </c>
      <c r="F67" s="340">
        <f t="shared" ref="F67:F74" si="74">F66</f>
        <v>4636.49</v>
      </c>
      <c r="G67" s="474">
        <f t="shared" ref="G67:G74" si="75">G66</f>
        <v>2788.0536374600001</v>
      </c>
      <c r="H67" s="473">
        <f t="shared" ref="H67:H74" si="76">H66</f>
        <v>2811.7520933800001</v>
      </c>
      <c r="I67" s="473">
        <f t="shared" ref="I67:I74" si="77">I66</f>
        <v>3282.8110613200001</v>
      </c>
      <c r="J67" s="473">
        <f t="shared" ref="J67:J74" si="78">J66</f>
        <v>3310.71495534</v>
      </c>
      <c r="K67" s="472">
        <f>ROUND([2]FTES!C74,3)</f>
        <v>24858.07</v>
      </c>
      <c r="L67" s="472">
        <f>ROUND([2]FTES!L74,3)</f>
        <v>453.38</v>
      </c>
      <c r="M67" s="472">
        <f>ROUND([2]FTES!U74,3)</f>
        <v>0</v>
      </c>
      <c r="N67" s="465">
        <f>ROUND([2]FTES!$D74,3)</f>
        <v>24858.07</v>
      </c>
      <c r="O67" s="465">
        <f>ROUND([2]FTES!$M74,3)</f>
        <v>453.38</v>
      </c>
      <c r="P67" s="465">
        <f>ROUND([2]FTES!$V74,3)</f>
        <v>0</v>
      </c>
      <c r="Q67" s="471">
        <f>'[2]FTES Adjustment'!BU74</f>
        <v>0</v>
      </c>
      <c r="R67" s="471">
        <f>'[2]FTES Adjustment'!BV74</f>
        <v>0</v>
      </c>
      <c r="S67" s="471">
        <f>'[2]FTES Adjustment'!BW74</f>
        <v>0</v>
      </c>
      <c r="T67" s="469">
        <f>ROUND('[2]Growth Deficit'!$AG74,3)</f>
        <v>0</v>
      </c>
      <c r="U67" s="469">
        <f>ROUND('[2]Growth Deficit'!$AH74,3)</f>
        <v>0</v>
      </c>
      <c r="V67" s="469">
        <f>ROUND('[2]Growth Deficit'!$AI74,3)</f>
        <v>0</v>
      </c>
      <c r="W67" s="470">
        <f>ROUND([2]FTES!I74,3)</f>
        <v>0</v>
      </c>
      <c r="X67" s="470">
        <f>ROUND([2]FTES!R74,3)</f>
        <v>0</v>
      </c>
      <c r="Y67" s="470">
        <f>ROUND([2]FTES!AA74,3)</f>
        <v>0</v>
      </c>
      <c r="Z67" s="469">
        <f>ROUND([2]FTES!E74,3)</f>
        <v>26070.5</v>
      </c>
      <c r="AA67" s="469">
        <f>ROUND([2]FTES!N74,3)</f>
        <v>436.73</v>
      </c>
      <c r="AB67" s="469">
        <f>ROUND([2]FTES!W74,3)</f>
        <v>0</v>
      </c>
      <c r="AC67" s="468">
        <f>'[2]FTES Adjustment'!CW74</f>
        <v>26070.500101000005</v>
      </c>
      <c r="AD67" s="468">
        <f>'[2]FTES Adjustment'!CX74</f>
        <v>436.73</v>
      </c>
      <c r="AE67" s="468">
        <f>'[2]FTES Adjustment'!CY74</f>
        <v>0</v>
      </c>
      <c r="AF67" s="467">
        <f>'[2]FTES Adjustment'!DQ74</f>
        <v>-1.0100000508828089E-4</v>
      </c>
      <c r="AG67" s="467">
        <f>'[2]FTES Adjustment'!DR74</f>
        <v>0</v>
      </c>
      <c r="AH67" s="467">
        <f>'[2]FTES Adjustment'!DS74</f>
        <v>0</v>
      </c>
      <c r="AI67" s="340">
        <f>'[2]FTES Adjustment'!$DX74</f>
        <v>0</v>
      </c>
      <c r="AJ67" s="340">
        <v>0</v>
      </c>
      <c r="AK67" s="340">
        <v>0</v>
      </c>
      <c r="AL67" s="465">
        <f>'[2]FTES Adjustment'!CG74</f>
        <v>1212.4301869999999</v>
      </c>
      <c r="AM67" s="465">
        <f>'[2]FTES Adjustment'!CH74</f>
        <v>-16.649999999999977</v>
      </c>
      <c r="AN67" s="465">
        <f>'[2]FTES Adjustment'!CI74</f>
        <v>0</v>
      </c>
      <c r="AO67" s="463">
        <f t="shared" si="54"/>
        <v>25311.45</v>
      </c>
      <c r="AP67" s="463">
        <f t="shared" si="55"/>
        <v>25311.45</v>
      </c>
      <c r="AQ67" s="463">
        <f t="shared" si="56"/>
        <v>0</v>
      </c>
      <c r="AR67" s="463">
        <f t="shared" si="57"/>
        <v>0</v>
      </c>
      <c r="AS67" s="463">
        <f t="shared" si="58"/>
        <v>0</v>
      </c>
      <c r="AT67" s="463">
        <f t="shared" si="59"/>
        <v>26507.23</v>
      </c>
      <c r="AU67" s="463">
        <f t="shared" si="60"/>
        <v>26507.23</v>
      </c>
      <c r="AV67" s="464">
        <f t="shared" si="61"/>
        <v>0</v>
      </c>
      <c r="AW67" s="464">
        <f t="shared" si="62"/>
        <v>0</v>
      </c>
      <c r="AX67" s="464">
        <f t="shared" si="63"/>
        <v>1195.78</v>
      </c>
      <c r="AY67" s="460">
        <f>'[2]PBF Run'!F74</f>
        <v>11245646</v>
      </c>
      <c r="AZ67" s="460">
        <f t="shared" si="64"/>
        <v>116518312</v>
      </c>
      <c r="BA67" s="460">
        <f>'[2]PBF Run'!J74 + '[2]PBF Run'!$L74</f>
        <v>115254264</v>
      </c>
      <c r="BB67" s="460">
        <f>'[2]PBF Run'!H74</f>
        <v>1264048</v>
      </c>
      <c r="BC67" s="460">
        <f>'[2]PBF Run'!I74</f>
        <v>0</v>
      </c>
      <c r="BD67" s="462">
        <v>0</v>
      </c>
      <c r="BE67" s="461">
        <f>'[2]Restoration and Growth'!BM74</f>
        <v>0</v>
      </c>
      <c r="BF67" s="460">
        <f t="shared" si="65"/>
        <v>127763958</v>
      </c>
      <c r="BG67" s="333" t="str">
        <f t="shared" ref="BG67:BG74" si="79">$BG$2</f>
        <v>0.85%</v>
      </c>
      <c r="BH67" s="459">
        <f>'[2]PBF Run'!O74</f>
        <v>1085994</v>
      </c>
      <c r="BI67" s="459">
        <f t="shared" si="66"/>
        <v>128849952</v>
      </c>
      <c r="BJ67" s="458">
        <f>'[2]PBF Run'!AC74</f>
        <v>0</v>
      </c>
      <c r="BK67" s="458">
        <f>'[2]PBF Run'!$AD74</f>
        <v>0</v>
      </c>
      <c r="BL67" s="458">
        <f>'[2]PBF Run'!$T74</f>
        <v>0</v>
      </c>
      <c r="BM67" s="458">
        <f>'[2]PBF Run'!$S74</f>
        <v>5622390</v>
      </c>
      <c r="BN67" s="458">
        <f>'[2]13-14 $86M Workload Restore'!$P72</f>
        <v>0</v>
      </c>
      <c r="BO67" s="458">
        <f t="shared" si="67"/>
        <v>5622390</v>
      </c>
      <c r="BP67" s="478">
        <f>'[2]Restoration and Growth'!AA74</f>
        <v>0</v>
      </c>
      <c r="BQ67" s="478">
        <f>'[2]Restoration and Growth'!AB74</f>
        <v>0</v>
      </c>
      <c r="BR67" s="453">
        <f>'[2]Restoration and Growth'!BT74</f>
        <v>0</v>
      </c>
      <c r="BS67" s="453">
        <f>'[2]Growth Deficit'!$AO74</f>
        <v>0</v>
      </c>
      <c r="BT67" s="453">
        <f>'[2]Growth Deficit'!AO74</f>
        <v>0</v>
      </c>
      <c r="BU67" s="453">
        <f>'[2]Growth Deficit'!AL74</f>
        <v>0</v>
      </c>
      <c r="BV67" s="453">
        <f>'[2]Growth Deficit'!AM74</f>
        <v>0</v>
      </c>
      <c r="BW67" s="453">
        <f>'[2]Growth Deficit'!AN74</f>
        <v>0</v>
      </c>
      <c r="BX67" s="453">
        <f>'[2]Growth Deficit'!AO74</f>
        <v>0</v>
      </c>
      <c r="BY67" s="454">
        <f>'[2]PBF Run'!AA74</f>
        <v>0</v>
      </c>
      <c r="BZ67" s="454">
        <f>'[2]PBF Run'!AB74</f>
        <v>0</v>
      </c>
      <c r="CA67" s="454">
        <f>'[2]PBF Run'!AC74</f>
        <v>0</v>
      </c>
      <c r="CB67" s="454">
        <f t="shared" si="68"/>
        <v>0</v>
      </c>
      <c r="CC67" s="457">
        <f>'[2]PBF Run'!X74</f>
        <v>0</v>
      </c>
      <c r="CD67" s="456">
        <f>'[2]PBF Run'!AE74</f>
        <v>134472342</v>
      </c>
      <c r="CE67" s="337">
        <f t="shared" si="69"/>
        <v>0.98518541455907715</v>
      </c>
      <c r="CF67" s="455">
        <f>'[2]PBF Run'!AM74</f>
        <v>1992152</v>
      </c>
      <c r="CG67" s="455">
        <f>'[2]PBF Run'!$AN74</f>
        <v>49821710</v>
      </c>
      <c r="CH67" s="455">
        <f>'[2]PBF Run'!$AO74</f>
        <v>0</v>
      </c>
      <c r="CI67" s="455">
        <f>'[2]PBF Run'!AJ74</f>
        <v>51100750</v>
      </c>
      <c r="CJ67" s="455">
        <f>'[2]PBF Run'!AI74</f>
        <v>11397865</v>
      </c>
      <c r="CK67" s="455">
        <f>'[2]PBF Run'!$AN74</f>
        <v>49821710</v>
      </c>
      <c r="CL67" s="455">
        <f>'[2]PBF Run'!AK74</f>
        <v>20159865</v>
      </c>
      <c r="CM67" s="455">
        <f t="shared" si="70"/>
        <v>132480190</v>
      </c>
      <c r="CN67" s="454">
        <f>'[2]PBF Run'!$AN74</f>
        <v>49821710</v>
      </c>
      <c r="CO67" s="454">
        <f>'[2]PBF Run'!BI74</f>
        <v>0</v>
      </c>
      <c r="CP67" s="339">
        <f>'[2]PBF Run'!BH74</f>
        <v>0</v>
      </c>
      <c r="CQ67" s="454">
        <f t="shared" ref="CQ67:CQ73" si="80">$CQ$2</f>
        <v>69532</v>
      </c>
      <c r="CR67" s="454">
        <f t="shared" si="71"/>
        <v>49821710</v>
      </c>
      <c r="CS67" s="453">
        <f>'[2]As of 13-14 R1'!BX74</f>
        <v>0</v>
      </c>
      <c r="CT67" s="453">
        <f>'[2]As of 13-14 R1'!BY74</f>
        <v>0</v>
      </c>
      <c r="CU67" s="453">
        <f>'[2]As of 13-14 R1'!BZ74</f>
        <v>0</v>
      </c>
      <c r="CV67" s="453">
        <f t="shared" si="72"/>
        <v>0</v>
      </c>
      <c r="CW67" s="342">
        <f>'[2]Growth Deficit'!$D$2</f>
        <v>0</v>
      </c>
      <c r="CX67" s="343">
        <f>IF($DL67="S",'[2]Foundation Grant'!C74,0)</f>
        <v>0</v>
      </c>
      <c r="CY67" s="343">
        <f>IF($DL67="S",'[2]Foundation Grant'!D74,0)</f>
        <v>0</v>
      </c>
      <c r="CZ67" s="343">
        <f>IF($DL67="S",'[2]Foundation Grant'!E74,0)</f>
        <v>0</v>
      </c>
      <c r="DA67" s="343">
        <f>IF($DL67="S",'[2]Foundation Grant'!F74,0)</f>
        <v>0</v>
      </c>
      <c r="DB67" s="343">
        <f>IF($DL67="M",'[2]Foundation Grant'!C74,0)</f>
        <v>0</v>
      </c>
      <c r="DC67" s="343">
        <f>IF($DL67="M",'[2]Foundation Grant'!D74,0)</f>
        <v>2</v>
      </c>
      <c r="DD67" s="343">
        <f>IF($DL67="M",'[2]Foundation Grant'!E74,0)</f>
        <v>1</v>
      </c>
      <c r="DE67" s="343">
        <f>IF($DL67="M",'[2]Foundation Grant'!F74,0)</f>
        <v>3</v>
      </c>
      <c r="DF67" s="343">
        <f>'[2]Foundation Grant'!G74</f>
        <v>0</v>
      </c>
      <c r="DG67" s="343">
        <f>'[2]Foundation Grant'!H74</f>
        <v>0</v>
      </c>
      <c r="DH67" s="343">
        <f>'[2]Foundation Grant'!I74</f>
        <v>0</v>
      </c>
      <c r="DI67" s="343">
        <f>'[2]Foundation Grant'!J74</f>
        <v>0</v>
      </c>
      <c r="DJ67" s="343">
        <f>'[2]Foundation Grant'!K74</f>
        <v>0</v>
      </c>
      <c r="DK67" s="452">
        <f>'[2]Foundation Grant'!L74</f>
        <v>0</v>
      </c>
      <c r="DL67" s="343" t="str">
        <f>'[2]Foundation Grant'!M74</f>
        <v>M</v>
      </c>
      <c r="DM67" s="343">
        <f>'[2]Foundation Grant'!N74</f>
        <v>11245646</v>
      </c>
      <c r="DN67" s="452">
        <f>'[2]Foundation Grant'!O74</f>
        <v>0</v>
      </c>
      <c r="DO67" s="452">
        <f>'[2]Foundation Grant'!P74</f>
        <v>0</v>
      </c>
      <c r="DP67" s="344">
        <f>'[2]Foundation Grant'!$C$1</f>
        <v>5622823</v>
      </c>
      <c r="DQ67" s="344">
        <f>'[2]Foundation Grant'!$D$1</f>
        <v>4498258</v>
      </c>
      <c r="DR67" s="344">
        <f>'[2]Foundation Grant'!$E$1</f>
        <v>3373694</v>
      </c>
      <c r="DS67" s="344">
        <f>'[2]Foundation Grant'!$C$2</f>
        <v>4498258</v>
      </c>
      <c r="DT67" s="344">
        <f>'[2]Foundation Grant'!$D$2</f>
        <v>3935976</v>
      </c>
      <c r="DU67" s="344">
        <f>'[2]Foundation Grant'!$E$2</f>
        <v>3373694</v>
      </c>
      <c r="DV67" s="344">
        <f>'[2]Foundation Grant'!$G$1</f>
        <v>1124565</v>
      </c>
      <c r="DW67" s="344">
        <f>'[2]Foundation Grant'!$H$1</f>
        <v>843423</v>
      </c>
      <c r="DX67" s="344">
        <f>'[2]Foundation Grant'!$I$1</f>
        <v>562282</v>
      </c>
      <c r="DY67" s="344">
        <f>'[2]Foundation Grant'!$J$1</f>
        <v>281141</v>
      </c>
      <c r="DZ67" s="344">
        <f>'[2]Foundation Grant'!$K$1</f>
        <v>140571</v>
      </c>
      <c r="EA67" s="344">
        <f>'[2]Foundation Grant'!$O$1</f>
        <v>562282</v>
      </c>
      <c r="EB67" s="344">
        <f>'[2]Foundation Grant'!$P$1</f>
        <v>1124565</v>
      </c>
      <c r="EC67" s="345">
        <f>'[2]basic allocation'!$C$10</f>
        <v>18749</v>
      </c>
      <c r="ED67" s="345">
        <f>'[2]basic allocation'!$D$10</f>
        <v>9375</v>
      </c>
      <c r="EE67" s="345">
        <f>'[2]basic allocation'!$E$10</f>
        <v>9375</v>
      </c>
      <c r="EF67" s="345">
        <f>'[2]basic allocation'!$I$10</f>
        <v>938</v>
      </c>
      <c r="EG67" s="345">
        <f>'[2]basic allocation'!$J$10</f>
        <v>703</v>
      </c>
      <c r="EH67" s="345">
        <f>'[2]basic allocation'!$K$10</f>
        <v>469</v>
      </c>
      <c r="EI67" s="345">
        <f>'[2]basic allocation'!$L$10</f>
        <v>234</v>
      </c>
      <c r="EJ67" s="345">
        <f>'[2]basic allocation'!$M$10</f>
        <v>100</v>
      </c>
      <c r="EK67" s="345">
        <f>'[2]PBF Run'!$AT74</f>
        <v>0</v>
      </c>
      <c r="EM67" s="477"/>
    </row>
    <row r="68" spans="1:143">
      <c r="A68" s="476" t="s">
        <v>605</v>
      </c>
      <c r="B68" s="475" t="str">
        <f t="shared" si="73"/>
        <v>P1</v>
      </c>
      <c r="C68" s="346" t="s">
        <v>269</v>
      </c>
      <c r="D68" s="450" t="s">
        <v>268</v>
      </c>
      <c r="E68" s="449">
        <f>ROUND('[2]PBF Run'!N75,6)</f>
        <v>4636.4928030000001</v>
      </c>
      <c r="F68" s="340">
        <f t="shared" si="74"/>
        <v>4636.49</v>
      </c>
      <c r="G68" s="474">
        <f t="shared" si="75"/>
        <v>2788.0536374600001</v>
      </c>
      <c r="H68" s="473">
        <f t="shared" si="76"/>
        <v>2811.7520933800001</v>
      </c>
      <c r="I68" s="473">
        <f t="shared" si="77"/>
        <v>3282.8110613200001</v>
      </c>
      <c r="J68" s="473">
        <f t="shared" si="78"/>
        <v>3310.71495534</v>
      </c>
      <c r="K68" s="472">
        <f>ROUND([2]FTES!C75,3)</f>
        <v>9140.2099999999991</v>
      </c>
      <c r="L68" s="472">
        <f>ROUND([2]FTES!L75,3)</f>
        <v>91.83</v>
      </c>
      <c r="M68" s="472">
        <f>ROUND([2]FTES!U75,3)</f>
        <v>0</v>
      </c>
      <c r="N68" s="465">
        <f>ROUND([2]FTES!$D75,3)</f>
        <v>9140.2099999999991</v>
      </c>
      <c r="O68" s="465">
        <f>ROUND([2]FTES!$M75,3)</f>
        <v>91.83</v>
      </c>
      <c r="P68" s="465">
        <f>ROUND([2]FTES!$V75,3)</f>
        <v>0</v>
      </c>
      <c r="Q68" s="471">
        <f>'[2]FTES Adjustment'!BU75</f>
        <v>0</v>
      </c>
      <c r="R68" s="471">
        <f>'[2]FTES Adjustment'!BV75</f>
        <v>0</v>
      </c>
      <c r="S68" s="471">
        <f>'[2]FTES Adjustment'!BW75</f>
        <v>0</v>
      </c>
      <c r="T68" s="469">
        <f>ROUND('[2]Growth Deficit'!$AG75,3)</f>
        <v>0</v>
      </c>
      <c r="U68" s="469">
        <f>ROUND('[2]Growth Deficit'!$AH75,3)</f>
        <v>0</v>
      </c>
      <c r="V68" s="469">
        <f>ROUND('[2]Growth Deficit'!$AI75,3)</f>
        <v>0</v>
      </c>
      <c r="W68" s="470">
        <f>ROUND([2]FTES!I75,3)</f>
        <v>0</v>
      </c>
      <c r="X68" s="470">
        <f>ROUND([2]FTES!R75,3)</f>
        <v>0</v>
      </c>
      <c r="Y68" s="470">
        <f>ROUND([2]FTES!AA75,3)</f>
        <v>0</v>
      </c>
      <c r="Z68" s="469">
        <f>ROUND([2]FTES!E75,3)</f>
        <v>9255.08</v>
      </c>
      <c r="AA68" s="469">
        <f>ROUND([2]FTES!N75,3)</f>
        <v>84.21</v>
      </c>
      <c r="AB68" s="469">
        <f>ROUND([2]FTES!W75,3)</f>
        <v>0</v>
      </c>
      <c r="AC68" s="468">
        <f>'[2]FTES Adjustment'!CW75</f>
        <v>9255.080027</v>
      </c>
      <c r="AD68" s="468">
        <f>'[2]FTES Adjustment'!CX75</f>
        <v>84.21</v>
      </c>
      <c r="AE68" s="468">
        <f>'[2]FTES Adjustment'!CY75</f>
        <v>0</v>
      </c>
      <c r="AF68" s="467">
        <f>'[2]FTES Adjustment'!DQ75</f>
        <v>-2.7000000045518391E-5</v>
      </c>
      <c r="AG68" s="467">
        <f>'[2]FTES Adjustment'!DR75</f>
        <v>0</v>
      </c>
      <c r="AH68" s="467">
        <f>'[2]FTES Adjustment'!DS75</f>
        <v>0</v>
      </c>
      <c r="AI68" s="340">
        <f>'[2]FTES Adjustment'!$DX75</f>
        <v>0</v>
      </c>
      <c r="AJ68" s="340">
        <v>0</v>
      </c>
      <c r="AK68" s="340">
        <v>0</v>
      </c>
      <c r="AL68" s="465">
        <f>'[2]FTES Adjustment'!CG75</f>
        <v>114.87021799999999</v>
      </c>
      <c r="AM68" s="465">
        <f>'[2]FTES Adjustment'!CH75</f>
        <v>-7.6200000000000045</v>
      </c>
      <c r="AN68" s="465">
        <f>'[2]FTES Adjustment'!CI75</f>
        <v>0</v>
      </c>
      <c r="AO68" s="463">
        <f t="shared" si="54"/>
        <v>9232.0400000000009</v>
      </c>
      <c r="AP68" s="463">
        <f t="shared" si="55"/>
        <v>9232.0400000000009</v>
      </c>
      <c r="AQ68" s="463">
        <f t="shared" si="56"/>
        <v>0</v>
      </c>
      <c r="AR68" s="463">
        <f t="shared" si="57"/>
        <v>0</v>
      </c>
      <c r="AS68" s="463">
        <f t="shared" si="58"/>
        <v>0</v>
      </c>
      <c r="AT68" s="463">
        <f t="shared" si="59"/>
        <v>9339.2900000000009</v>
      </c>
      <c r="AU68" s="463">
        <f t="shared" si="60"/>
        <v>9339.2900000000009</v>
      </c>
      <c r="AV68" s="464">
        <f t="shared" si="61"/>
        <v>0</v>
      </c>
      <c r="AW68" s="464">
        <f t="shared" si="62"/>
        <v>0</v>
      </c>
      <c r="AX68" s="464">
        <f t="shared" si="63"/>
        <v>107.25</v>
      </c>
      <c r="AY68" s="460">
        <f>'[2]PBF Run'!F75</f>
        <v>4498258</v>
      </c>
      <c r="AZ68" s="460">
        <f t="shared" si="64"/>
        <v>42634544</v>
      </c>
      <c r="BA68" s="460">
        <f>'[2]PBF Run'!J75 + '[2]PBF Run'!$L75</f>
        <v>42378517</v>
      </c>
      <c r="BB68" s="460">
        <f>'[2]PBF Run'!H75</f>
        <v>256027</v>
      </c>
      <c r="BC68" s="460">
        <f>'[2]PBF Run'!I75</f>
        <v>0</v>
      </c>
      <c r="BD68" s="462">
        <v>0</v>
      </c>
      <c r="BE68" s="461">
        <f>'[2]Restoration and Growth'!BM75</f>
        <v>0</v>
      </c>
      <c r="BF68" s="460">
        <f t="shared" si="65"/>
        <v>47132802</v>
      </c>
      <c r="BG68" s="333" t="str">
        <f t="shared" si="79"/>
        <v>0.85%</v>
      </c>
      <c r="BH68" s="459">
        <f>'[2]PBF Run'!O75</f>
        <v>400629</v>
      </c>
      <c r="BI68" s="459">
        <f t="shared" si="66"/>
        <v>47533431</v>
      </c>
      <c r="BJ68" s="458">
        <f>'[2]PBF Run'!AC75</f>
        <v>0</v>
      </c>
      <c r="BK68" s="458">
        <f>'[2]PBF Run'!$AD75</f>
        <v>0</v>
      </c>
      <c r="BL68" s="458">
        <f>'[2]PBF Run'!$T75</f>
        <v>0</v>
      </c>
      <c r="BM68" s="458">
        <f>'[2]PBF Run'!$S75</f>
        <v>515696</v>
      </c>
      <c r="BN68" s="458">
        <f>'[2]13-14 $86M Workload Restore'!$P73</f>
        <v>0</v>
      </c>
      <c r="BO68" s="458">
        <f t="shared" si="67"/>
        <v>515696</v>
      </c>
      <c r="BP68" s="478">
        <f>'[2]Restoration and Growth'!AA75</f>
        <v>0</v>
      </c>
      <c r="BQ68" s="478">
        <f>'[2]Restoration and Growth'!AB75</f>
        <v>0</v>
      </c>
      <c r="BR68" s="453">
        <f>'[2]Restoration and Growth'!BT75</f>
        <v>0</v>
      </c>
      <c r="BS68" s="453">
        <f>'[2]Growth Deficit'!$AO75</f>
        <v>0</v>
      </c>
      <c r="BT68" s="453">
        <f>'[2]Growth Deficit'!AO75</f>
        <v>0</v>
      </c>
      <c r="BU68" s="453">
        <f>'[2]Growth Deficit'!AL75</f>
        <v>0</v>
      </c>
      <c r="BV68" s="453">
        <f>'[2]Growth Deficit'!AM75</f>
        <v>0</v>
      </c>
      <c r="BW68" s="453">
        <f>'[2]Growth Deficit'!AN75</f>
        <v>0</v>
      </c>
      <c r="BX68" s="453">
        <f>'[2]Growth Deficit'!AO75</f>
        <v>0</v>
      </c>
      <c r="BY68" s="454">
        <f>'[2]PBF Run'!AA75</f>
        <v>0</v>
      </c>
      <c r="BZ68" s="454">
        <f>'[2]PBF Run'!AB75</f>
        <v>0</v>
      </c>
      <c r="CA68" s="454">
        <f>'[2]PBF Run'!AC75</f>
        <v>0</v>
      </c>
      <c r="CB68" s="454">
        <f t="shared" si="68"/>
        <v>0</v>
      </c>
      <c r="CC68" s="457">
        <f>'[2]PBF Run'!X75</f>
        <v>0</v>
      </c>
      <c r="CD68" s="456">
        <f>'[2]PBF Run'!AE75</f>
        <v>48049127</v>
      </c>
      <c r="CE68" s="337">
        <f t="shared" si="69"/>
        <v>0.98518541242174906</v>
      </c>
      <c r="CF68" s="455">
        <f>'[2]PBF Run'!AM75</f>
        <v>711828</v>
      </c>
      <c r="CG68" s="455">
        <f>'[2]PBF Run'!$AN75</f>
        <v>30172362</v>
      </c>
      <c r="CH68" s="455">
        <f>'[2]PBF Run'!$AO75</f>
        <v>0</v>
      </c>
      <c r="CI68" s="455">
        <f>'[2]PBF Run'!AJ75</f>
        <v>7573704</v>
      </c>
      <c r="CJ68" s="455">
        <f>'[2]PBF Run'!AI75</f>
        <v>2057745</v>
      </c>
      <c r="CK68" s="455">
        <f>'[2]PBF Run'!$AN75</f>
        <v>30172362</v>
      </c>
      <c r="CL68" s="455">
        <f>'[2]PBF Run'!AK75</f>
        <v>7533488</v>
      </c>
      <c r="CM68" s="455">
        <f t="shared" si="70"/>
        <v>47337299</v>
      </c>
      <c r="CN68" s="454">
        <f>'[2]PBF Run'!$AN75</f>
        <v>30172362</v>
      </c>
      <c r="CO68" s="454">
        <f>'[2]PBF Run'!BI75</f>
        <v>0</v>
      </c>
      <c r="CP68" s="339">
        <f>'[2]PBF Run'!BH75</f>
        <v>0</v>
      </c>
      <c r="CQ68" s="454">
        <f t="shared" si="80"/>
        <v>69532</v>
      </c>
      <c r="CR68" s="454">
        <f t="shared" si="71"/>
        <v>30172362</v>
      </c>
      <c r="CS68" s="453">
        <f>'[2]As of 13-14 R1'!BX75</f>
        <v>0</v>
      </c>
      <c r="CT68" s="453">
        <f>'[2]As of 13-14 R1'!BY75</f>
        <v>0</v>
      </c>
      <c r="CU68" s="453">
        <f>'[2]As of 13-14 R1'!BZ75</f>
        <v>0</v>
      </c>
      <c r="CV68" s="453">
        <f t="shared" si="72"/>
        <v>0</v>
      </c>
      <c r="CW68" s="342">
        <f>'[2]Growth Deficit'!$D$2</f>
        <v>0</v>
      </c>
      <c r="CX68" s="343">
        <f>IF($DL68="S",'[2]Foundation Grant'!C75,0)</f>
        <v>0</v>
      </c>
      <c r="CY68" s="343">
        <f>IF($DL68="S",'[2]Foundation Grant'!D75,0)</f>
        <v>1</v>
      </c>
      <c r="CZ68" s="343">
        <f>IF($DL68="S",'[2]Foundation Grant'!E75,0)</f>
        <v>0</v>
      </c>
      <c r="DA68" s="343">
        <f>IF($DL68="S",'[2]Foundation Grant'!F75,0)</f>
        <v>1</v>
      </c>
      <c r="DB68" s="343">
        <f>IF($DL68="M",'[2]Foundation Grant'!C75,0)</f>
        <v>0</v>
      </c>
      <c r="DC68" s="343">
        <f>IF($DL68="M",'[2]Foundation Grant'!D75,0)</f>
        <v>0</v>
      </c>
      <c r="DD68" s="343">
        <f>IF($DL68="M",'[2]Foundation Grant'!E75,0)</f>
        <v>0</v>
      </c>
      <c r="DE68" s="343">
        <f>IF($DL68="M",'[2]Foundation Grant'!F75,0)</f>
        <v>0</v>
      </c>
      <c r="DF68" s="343">
        <f>'[2]Foundation Grant'!G75</f>
        <v>0</v>
      </c>
      <c r="DG68" s="343">
        <f>'[2]Foundation Grant'!H75</f>
        <v>0</v>
      </c>
      <c r="DH68" s="343">
        <f>'[2]Foundation Grant'!I75</f>
        <v>0</v>
      </c>
      <c r="DI68" s="343">
        <f>'[2]Foundation Grant'!J75</f>
        <v>0</v>
      </c>
      <c r="DJ68" s="343">
        <f>'[2]Foundation Grant'!K75</f>
        <v>0</v>
      </c>
      <c r="DK68" s="452">
        <f>'[2]Foundation Grant'!L75</f>
        <v>0</v>
      </c>
      <c r="DL68" s="343" t="str">
        <f>'[2]Foundation Grant'!M75</f>
        <v>S</v>
      </c>
      <c r="DM68" s="343">
        <f>'[2]Foundation Grant'!N75</f>
        <v>4498258</v>
      </c>
      <c r="DN68" s="452">
        <f>'[2]Foundation Grant'!O75</f>
        <v>0</v>
      </c>
      <c r="DO68" s="452">
        <f>'[2]Foundation Grant'!P75</f>
        <v>0</v>
      </c>
      <c r="DP68" s="344">
        <f>'[2]Foundation Grant'!$C$1</f>
        <v>5622823</v>
      </c>
      <c r="DQ68" s="344">
        <f>'[2]Foundation Grant'!$D$1</f>
        <v>4498258</v>
      </c>
      <c r="DR68" s="344">
        <f>'[2]Foundation Grant'!$E$1</f>
        <v>3373694</v>
      </c>
      <c r="DS68" s="344">
        <f>'[2]Foundation Grant'!$C$2</f>
        <v>4498258</v>
      </c>
      <c r="DT68" s="344">
        <f>'[2]Foundation Grant'!$D$2</f>
        <v>3935976</v>
      </c>
      <c r="DU68" s="344">
        <f>'[2]Foundation Grant'!$E$2</f>
        <v>3373694</v>
      </c>
      <c r="DV68" s="344">
        <f>'[2]Foundation Grant'!$G$1</f>
        <v>1124565</v>
      </c>
      <c r="DW68" s="344">
        <f>'[2]Foundation Grant'!$H$1</f>
        <v>843423</v>
      </c>
      <c r="DX68" s="344">
        <f>'[2]Foundation Grant'!$I$1</f>
        <v>562282</v>
      </c>
      <c r="DY68" s="344">
        <f>'[2]Foundation Grant'!$J$1</f>
        <v>281141</v>
      </c>
      <c r="DZ68" s="344">
        <f>'[2]Foundation Grant'!$K$1</f>
        <v>140571</v>
      </c>
      <c r="EA68" s="344">
        <f>'[2]Foundation Grant'!$O$1</f>
        <v>562282</v>
      </c>
      <c r="EB68" s="344">
        <f>'[2]Foundation Grant'!$P$1</f>
        <v>1124565</v>
      </c>
      <c r="EC68" s="345">
        <f>'[2]basic allocation'!$C$10</f>
        <v>18749</v>
      </c>
      <c r="ED68" s="345">
        <f>'[2]basic allocation'!$D$10</f>
        <v>9375</v>
      </c>
      <c r="EE68" s="345">
        <f>'[2]basic allocation'!$E$10</f>
        <v>9375</v>
      </c>
      <c r="EF68" s="345">
        <f>'[2]basic allocation'!$I$10</f>
        <v>938</v>
      </c>
      <c r="EG68" s="345">
        <f>'[2]basic allocation'!$J$10</f>
        <v>703</v>
      </c>
      <c r="EH68" s="345">
        <f>'[2]basic allocation'!$K$10</f>
        <v>469</v>
      </c>
      <c r="EI68" s="345">
        <f>'[2]basic allocation'!$L$10</f>
        <v>234</v>
      </c>
      <c r="EJ68" s="345">
        <f>'[2]basic allocation'!$M$10</f>
        <v>100</v>
      </c>
      <c r="EK68" s="345">
        <f>'[2]PBF Run'!$AT75</f>
        <v>0</v>
      </c>
      <c r="EM68" s="477"/>
    </row>
    <row r="69" spans="1:143">
      <c r="A69" s="476" t="s">
        <v>605</v>
      </c>
      <c r="B69" s="475" t="str">
        <f t="shared" si="73"/>
        <v>P1</v>
      </c>
      <c r="C69" s="346" t="s">
        <v>267</v>
      </c>
      <c r="D69" s="450" t="s">
        <v>266</v>
      </c>
      <c r="E69" s="449">
        <f>ROUND('[2]PBF Run'!N76,6)</f>
        <v>4636.4927950000001</v>
      </c>
      <c r="F69" s="340">
        <f t="shared" si="74"/>
        <v>4636.49</v>
      </c>
      <c r="G69" s="474">
        <f t="shared" si="75"/>
        <v>2788.0536374600001</v>
      </c>
      <c r="H69" s="473">
        <f t="shared" si="76"/>
        <v>2811.7520933800001</v>
      </c>
      <c r="I69" s="473">
        <f t="shared" si="77"/>
        <v>3282.8110613200001</v>
      </c>
      <c r="J69" s="473">
        <f t="shared" si="78"/>
        <v>3310.71495534</v>
      </c>
      <c r="K69" s="472">
        <f>ROUND([2]FTES!C76,3)</f>
        <v>4550.2920000000004</v>
      </c>
      <c r="L69" s="472">
        <f>ROUND([2]FTES!L76,3)</f>
        <v>350.21</v>
      </c>
      <c r="M69" s="472">
        <f>ROUND([2]FTES!U76,3)</f>
        <v>0</v>
      </c>
      <c r="N69" s="465">
        <f>ROUND([2]FTES!$D76,3)</f>
        <v>4550.2920000000004</v>
      </c>
      <c r="O69" s="465">
        <f>ROUND([2]FTES!$M76,3)</f>
        <v>350.21</v>
      </c>
      <c r="P69" s="465">
        <f>ROUND([2]FTES!$V76,3)</f>
        <v>0</v>
      </c>
      <c r="Q69" s="471">
        <f>'[2]FTES Adjustment'!BU76</f>
        <v>0</v>
      </c>
      <c r="R69" s="471">
        <f>'[2]FTES Adjustment'!BV76</f>
        <v>0</v>
      </c>
      <c r="S69" s="471">
        <f>'[2]FTES Adjustment'!BW76</f>
        <v>0</v>
      </c>
      <c r="T69" s="469">
        <f>ROUND('[2]Growth Deficit'!$AG76,3)</f>
        <v>0</v>
      </c>
      <c r="U69" s="469">
        <f>ROUND('[2]Growth Deficit'!$AH76,3)</f>
        <v>0</v>
      </c>
      <c r="V69" s="469">
        <f>ROUND('[2]Growth Deficit'!$AI76,3)</f>
        <v>0</v>
      </c>
      <c r="W69" s="470">
        <f>ROUND([2]FTES!I76,3)</f>
        <v>0</v>
      </c>
      <c r="X69" s="470">
        <f>ROUND([2]FTES!R76,3)</f>
        <v>0</v>
      </c>
      <c r="Y69" s="470">
        <f>ROUND([2]FTES!AA76,3)</f>
        <v>0</v>
      </c>
      <c r="Z69" s="469">
        <f>ROUND([2]FTES!E76,3)</f>
        <v>4734.53</v>
      </c>
      <c r="AA69" s="469">
        <f>ROUND([2]FTES!N76,3)</f>
        <v>365.57</v>
      </c>
      <c r="AB69" s="469">
        <f>ROUND([2]FTES!W76,3)</f>
        <v>0</v>
      </c>
      <c r="AC69" s="468">
        <f>'[2]FTES Adjustment'!CW76</f>
        <v>4734.5299810000006</v>
      </c>
      <c r="AD69" s="468">
        <f>'[2]FTES Adjustment'!CX76</f>
        <v>365.57</v>
      </c>
      <c r="AE69" s="468">
        <f>'[2]FTES Adjustment'!CY76</f>
        <v>0</v>
      </c>
      <c r="AF69" s="467">
        <f>'[2]FTES Adjustment'!DQ76</f>
        <v>1.8999999156221747E-5</v>
      </c>
      <c r="AG69" s="467">
        <f>'[2]FTES Adjustment'!DR76</f>
        <v>0</v>
      </c>
      <c r="AH69" s="467">
        <f>'[2]FTES Adjustment'!DS76</f>
        <v>0</v>
      </c>
      <c r="AI69" s="340">
        <f>'[2]FTES Adjustment'!$DX76</f>
        <v>0</v>
      </c>
      <c r="AJ69" s="340">
        <v>0</v>
      </c>
      <c r="AK69" s="340">
        <v>0</v>
      </c>
      <c r="AL69" s="465">
        <f>'[2]FTES Adjustment'!CG76</f>
        <v>184.23778100000001</v>
      </c>
      <c r="AM69" s="465">
        <f>'[2]FTES Adjustment'!CH76</f>
        <v>15.36</v>
      </c>
      <c r="AN69" s="465">
        <f>'[2]FTES Adjustment'!CI76</f>
        <v>0</v>
      </c>
      <c r="AO69" s="463">
        <f t="shared" si="54"/>
        <v>4900.5020000000004</v>
      </c>
      <c r="AP69" s="463">
        <f t="shared" si="55"/>
        <v>4900.5020000000004</v>
      </c>
      <c r="AQ69" s="463">
        <f t="shared" si="56"/>
        <v>0</v>
      </c>
      <c r="AR69" s="463">
        <f t="shared" si="57"/>
        <v>0</v>
      </c>
      <c r="AS69" s="463">
        <f t="shared" si="58"/>
        <v>0</v>
      </c>
      <c r="AT69" s="463">
        <f t="shared" si="59"/>
        <v>5100.1000000000004</v>
      </c>
      <c r="AU69" s="463">
        <f t="shared" si="60"/>
        <v>5100.1000000000004</v>
      </c>
      <c r="AV69" s="464">
        <f t="shared" si="61"/>
        <v>0</v>
      </c>
      <c r="AW69" s="464">
        <f t="shared" si="62"/>
        <v>0</v>
      </c>
      <c r="AX69" s="464">
        <f t="shared" si="63"/>
        <v>199.59800000000001</v>
      </c>
      <c r="AY69" s="460">
        <f>'[2]PBF Run'!F76</f>
        <v>7028529</v>
      </c>
      <c r="AZ69" s="460">
        <f t="shared" si="64"/>
        <v>22073801</v>
      </c>
      <c r="BA69" s="460">
        <f>'[2]PBF Run'!J76 + '[2]PBF Run'!$L76</f>
        <v>21097397</v>
      </c>
      <c r="BB69" s="460">
        <f>'[2]PBF Run'!H76</f>
        <v>976404</v>
      </c>
      <c r="BC69" s="460">
        <f>'[2]PBF Run'!I76</f>
        <v>0</v>
      </c>
      <c r="BD69" s="462">
        <v>0</v>
      </c>
      <c r="BE69" s="461">
        <f>'[2]Restoration and Growth'!BM76</f>
        <v>0</v>
      </c>
      <c r="BF69" s="460">
        <f t="shared" si="65"/>
        <v>29102330</v>
      </c>
      <c r="BG69" s="333" t="str">
        <f t="shared" si="79"/>
        <v>0.85%</v>
      </c>
      <c r="BH69" s="459">
        <f>'[2]PBF Run'!O76</f>
        <v>247370</v>
      </c>
      <c r="BI69" s="459">
        <f t="shared" si="66"/>
        <v>29349700</v>
      </c>
      <c r="BJ69" s="458">
        <f>'[2]PBF Run'!AC76</f>
        <v>0</v>
      </c>
      <c r="BK69" s="458">
        <f>'[2]PBF Run'!$AD76</f>
        <v>0</v>
      </c>
      <c r="BL69" s="458">
        <f>'[2]PBF Run'!$T76</f>
        <v>0</v>
      </c>
      <c r="BM69" s="458">
        <f>'[2]PBF Run'!$S76</f>
        <v>904667</v>
      </c>
      <c r="BN69" s="458">
        <f>'[2]13-14 $86M Workload Restore'!$P74</f>
        <v>0</v>
      </c>
      <c r="BO69" s="458">
        <f t="shared" si="67"/>
        <v>904667</v>
      </c>
      <c r="BP69" s="478">
        <f>'[2]Restoration and Growth'!AA76</f>
        <v>0</v>
      </c>
      <c r="BQ69" s="478">
        <f>'[2]Restoration and Growth'!AB76</f>
        <v>0</v>
      </c>
      <c r="BR69" s="453">
        <f>'[2]Restoration and Growth'!BT76</f>
        <v>0</v>
      </c>
      <c r="BS69" s="453">
        <f>'[2]Growth Deficit'!$AO76</f>
        <v>0</v>
      </c>
      <c r="BT69" s="453">
        <f>'[2]Growth Deficit'!AO76</f>
        <v>0</v>
      </c>
      <c r="BU69" s="453">
        <f>'[2]Growth Deficit'!AL76</f>
        <v>0</v>
      </c>
      <c r="BV69" s="453">
        <f>'[2]Growth Deficit'!AM76</f>
        <v>0</v>
      </c>
      <c r="BW69" s="453">
        <f>'[2]Growth Deficit'!AN76</f>
        <v>0</v>
      </c>
      <c r="BX69" s="453">
        <f>'[2]Growth Deficit'!AO76</f>
        <v>0</v>
      </c>
      <c r="BY69" s="454">
        <f>'[2]PBF Run'!AA76</f>
        <v>0</v>
      </c>
      <c r="BZ69" s="454">
        <f>'[2]PBF Run'!AB76</f>
        <v>0</v>
      </c>
      <c r="CA69" s="454">
        <f>'[2]PBF Run'!AC76</f>
        <v>0</v>
      </c>
      <c r="CB69" s="454">
        <f t="shared" si="68"/>
        <v>0</v>
      </c>
      <c r="CC69" s="457">
        <f>'[2]PBF Run'!X76</f>
        <v>0</v>
      </c>
      <c r="CD69" s="456">
        <f>'[2]PBF Run'!AE76</f>
        <v>30254367</v>
      </c>
      <c r="CE69" s="337">
        <f t="shared" si="69"/>
        <v>0.98518541141515203</v>
      </c>
      <c r="CF69" s="455">
        <f>'[2]PBF Run'!AM76</f>
        <v>448206</v>
      </c>
      <c r="CG69" s="455">
        <f>'[2]PBF Run'!$AN76</f>
        <v>19080418</v>
      </c>
      <c r="CH69" s="455">
        <f>'[2]PBF Run'!$AO76</f>
        <v>0</v>
      </c>
      <c r="CI69" s="455">
        <f>'[2]PBF Run'!AJ76</f>
        <v>4932950</v>
      </c>
      <c r="CJ69" s="455">
        <f>'[2]PBF Run'!AI76</f>
        <v>1001034</v>
      </c>
      <c r="CK69" s="455">
        <f>'[2]PBF Run'!$AN76</f>
        <v>19080418</v>
      </c>
      <c r="CL69" s="455">
        <f>'[2]PBF Run'!AK76</f>
        <v>4791759</v>
      </c>
      <c r="CM69" s="455">
        <f t="shared" si="70"/>
        <v>29806161</v>
      </c>
      <c r="CN69" s="454">
        <f>'[2]PBF Run'!$AN76</f>
        <v>19080418</v>
      </c>
      <c r="CO69" s="454">
        <f>'[2]PBF Run'!BI76</f>
        <v>0</v>
      </c>
      <c r="CP69" s="339">
        <f>'[2]PBF Run'!BH76</f>
        <v>0</v>
      </c>
      <c r="CQ69" s="454">
        <f t="shared" si="80"/>
        <v>69532</v>
      </c>
      <c r="CR69" s="454">
        <f t="shared" si="71"/>
        <v>19080418</v>
      </c>
      <c r="CS69" s="453">
        <f>'[2]As of 13-14 R1'!BX76</f>
        <v>0</v>
      </c>
      <c r="CT69" s="453">
        <f>'[2]As of 13-14 R1'!BY76</f>
        <v>0</v>
      </c>
      <c r="CU69" s="453">
        <f>'[2]As of 13-14 R1'!BZ76</f>
        <v>0</v>
      </c>
      <c r="CV69" s="453">
        <f t="shared" si="72"/>
        <v>0</v>
      </c>
      <c r="CW69" s="342">
        <f>'[2]Growth Deficit'!$D$2</f>
        <v>0</v>
      </c>
      <c r="CX69" s="343">
        <f>IF($DL69="S",'[2]Foundation Grant'!C76,0)</f>
        <v>0</v>
      </c>
      <c r="CY69" s="343">
        <f>IF($DL69="S",'[2]Foundation Grant'!D76,0)</f>
        <v>0</v>
      </c>
      <c r="CZ69" s="343">
        <f>IF($DL69="S",'[2]Foundation Grant'!E76,0)</f>
        <v>2</v>
      </c>
      <c r="DA69" s="343">
        <f>IF($DL69="S",'[2]Foundation Grant'!F76,0)</f>
        <v>2</v>
      </c>
      <c r="DB69" s="343">
        <f>IF($DL69="M",'[2]Foundation Grant'!C76,0)</f>
        <v>0</v>
      </c>
      <c r="DC69" s="343">
        <f>IF($DL69="M",'[2]Foundation Grant'!D76,0)</f>
        <v>0</v>
      </c>
      <c r="DD69" s="343">
        <f>IF($DL69="M",'[2]Foundation Grant'!E76,0)</f>
        <v>0</v>
      </c>
      <c r="DE69" s="343">
        <f>IF($DL69="M",'[2]Foundation Grant'!F76,0)</f>
        <v>0</v>
      </c>
      <c r="DF69" s="343">
        <f>'[2]Foundation Grant'!G76</f>
        <v>0</v>
      </c>
      <c r="DG69" s="343">
        <f>'[2]Foundation Grant'!H76</f>
        <v>0</v>
      </c>
      <c r="DH69" s="343">
        <f>'[2]Foundation Grant'!I76</f>
        <v>0</v>
      </c>
      <c r="DI69" s="343">
        <f>'[2]Foundation Grant'!J76</f>
        <v>1</v>
      </c>
      <c r="DJ69" s="343">
        <f>'[2]Foundation Grant'!K76</f>
        <v>0</v>
      </c>
      <c r="DK69" s="452">
        <f>'[2]Foundation Grant'!L76</f>
        <v>1</v>
      </c>
      <c r="DL69" s="343" t="str">
        <f>'[2]Foundation Grant'!M76</f>
        <v>S</v>
      </c>
      <c r="DM69" s="343">
        <f>'[2]Foundation Grant'!N76</f>
        <v>7028529</v>
      </c>
      <c r="DN69" s="452">
        <f>'[2]Foundation Grant'!O76</f>
        <v>0</v>
      </c>
      <c r="DO69" s="452">
        <f>'[2]Foundation Grant'!P76</f>
        <v>0</v>
      </c>
      <c r="DP69" s="344">
        <f>'[2]Foundation Grant'!$C$1</f>
        <v>5622823</v>
      </c>
      <c r="DQ69" s="344">
        <f>'[2]Foundation Grant'!$D$1</f>
        <v>4498258</v>
      </c>
      <c r="DR69" s="344">
        <f>'[2]Foundation Grant'!$E$1</f>
        <v>3373694</v>
      </c>
      <c r="DS69" s="344">
        <f>'[2]Foundation Grant'!$C$2</f>
        <v>4498258</v>
      </c>
      <c r="DT69" s="344">
        <f>'[2]Foundation Grant'!$D$2</f>
        <v>3935976</v>
      </c>
      <c r="DU69" s="344">
        <f>'[2]Foundation Grant'!$E$2</f>
        <v>3373694</v>
      </c>
      <c r="DV69" s="344">
        <f>'[2]Foundation Grant'!$G$1</f>
        <v>1124565</v>
      </c>
      <c r="DW69" s="344">
        <f>'[2]Foundation Grant'!$H$1</f>
        <v>843423</v>
      </c>
      <c r="DX69" s="344">
        <f>'[2]Foundation Grant'!$I$1</f>
        <v>562282</v>
      </c>
      <c r="DY69" s="344">
        <f>'[2]Foundation Grant'!$J$1</f>
        <v>281141</v>
      </c>
      <c r="DZ69" s="344">
        <f>'[2]Foundation Grant'!$K$1</f>
        <v>140571</v>
      </c>
      <c r="EA69" s="344">
        <f>'[2]Foundation Grant'!$O$1</f>
        <v>562282</v>
      </c>
      <c r="EB69" s="344">
        <f>'[2]Foundation Grant'!$P$1</f>
        <v>1124565</v>
      </c>
      <c r="EC69" s="345">
        <f>'[2]basic allocation'!$C$10</f>
        <v>18749</v>
      </c>
      <c r="ED69" s="345">
        <f>'[2]basic allocation'!$D$10</f>
        <v>9375</v>
      </c>
      <c r="EE69" s="345">
        <f>'[2]basic allocation'!$E$10</f>
        <v>9375</v>
      </c>
      <c r="EF69" s="345">
        <f>'[2]basic allocation'!$I$10</f>
        <v>938</v>
      </c>
      <c r="EG69" s="345">
        <f>'[2]basic allocation'!$J$10</f>
        <v>703</v>
      </c>
      <c r="EH69" s="345">
        <f>'[2]basic allocation'!$K$10</f>
        <v>469</v>
      </c>
      <c r="EI69" s="345">
        <f>'[2]basic allocation'!$L$10</f>
        <v>234</v>
      </c>
      <c r="EJ69" s="345">
        <f>'[2]basic allocation'!$M$10</f>
        <v>100</v>
      </c>
      <c r="EK69" s="345">
        <f>'[2]PBF Run'!$AT76</f>
        <v>0</v>
      </c>
      <c r="EM69" s="477"/>
    </row>
    <row r="70" spans="1:143">
      <c r="A70" s="476" t="s">
        <v>605</v>
      </c>
      <c r="B70" s="475" t="str">
        <f t="shared" si="73"/>
        <v>P1</v>
      </c>
      <c r="C70" s="346" t="s">
        <v>265</v>
      </c>
      <c r="D70" s="450" t="s">
        <v>264</v>
      </c>
      <c r="E70" s="449">
        <f>ROUND('[2]PBF Run'!N77,6)</f>
        <v>6393.0354930000003</v>
      </c>
      <c r="F70" s="340">
        <f t="shared" si="74"/>
        <v>4636.49</v>
      </c>
      <c r="G70" s="474">
        <f t="shared" si="75"/>
        <v>2788.0536374600001</v>
      </c>
      <c r="H70" s="473">
        <f t="shared" si="76"/>
        <v>2811.7520933800001</v>
      </c>
      <c r="I70" s="473">
        <f t="shared" si="77"/>
        <v>3282.8110613200001</v>
      </c>
      <c r="J70" s="473">
        <f t="shared" si="78"/>
        <v>3310.71495534</v>
      </c>
      <c r="K70" s="472">
        <f>ROUND([2]FTES!C77,3)</f>
        <v>2469.23</v>
      </c>
      <c r="L70" s="472">
        <f>ROUND([2]FTES!L77,3)</f>
        <v>61.34</v>
      </c>
      <c r="M70" s="472">
        <f>ROUND([2]FTES!U77,3)</f>
        <v>0</v>
      </c>
      <c r="N70" s="465">
        <f>ROUND([2]FTES!$D77,3)</f>
        <v>2469.23</v>
      </c>
      <c r="O70" s="465">
        <f>ROUND([2]FTES!$M77,3)</f>
        <v>61.34</v>
      </c>
      <c r="P70" s="465">
        <f>ROUND([2]FTES!$V77,3)</f>
        <v>0</v>
      </c>
      <c r="Q70" s="471">
        <f>'[2]FTES Adjustment'!BU77</f>
        <v>0</v>
      </c>
      <c r="R70" s="471">
        <f>'[2]FTES Adjustment'!BV77</f>
        <v>0</v>
      </c>
      <c r="S70" s="471">
        <f>'[2]FTES Adjustment'!BW77</f>
        <v>0</v>
      </c>
      <c r="T70" s="469">
        <f>ROUND('[2]Growth Deficit'!$AG77,3)</f>
        <v>0</v>
      </c>
      <c r="U70" s="469">
        <f>ROUND('[2]Growth Deficit'!$AH77,3)</f>
        <v>0</v>
      </c>
      <c r="V70" s="469">
        <f>ROUND('[2]Growth Deficit'!$AI77,3)</f>
        <v>0</v>
      </c>
      <c r="W70" s="470">
        <f>ROUND([2]FTES!I77,3)</f>
        <v>0</v>
      </c>
      <c r="X70" s="470">
        <f>ROUND([2]FTES!R77,3)</f>
        <v>0</v>
      </c>
      <c r="Y70" s="470">
        <f>ROUND([2]FTES!AA77,3)</f>
        <v>0</v>
      </c>
      <c r="Z70" s="469">
        <f>ROUND([2]FTES!E77,3)</f>
        <v>2492.0300000000002</v>
      </c>
      <c r="AA70" s="469">
        <f>ROUND([2]FTES!N77,3)</f>
        <v>39.619999999999997</v>
      </c>
      <c r="AB70" s="469">
        <f>ROUND([2]FTES!W77,3)</f>
        <v>0</v>
      </c>
      <c r="AC70" s="468">
        <f>'[2]FTES Adjustment'!CW77</f>
        <v>2482.2911009999998</v>
      </c>
      <c r="AD70" s="468">
        <f>'[2]FTES Adjustment'!CX77</f>
        <v>39.619999999999997</v>
      </c>
      <c r="AE70" s="468">
        <f>'[2]FTES Adjustment'!CY77</f>
        <v>0</v>
      </c>
      <c r="AF70" s="467">
        <f>'[2]FTES Adjustment'!DQ77</f>
        <v>9.7388990000004014</v>
      </c>
      <c r="AG70" s="467">
        <f>'[2]FTES Adjustment'!DR77</f>
        <v>0</v>
      </c>
      <c r="AH70" s="467">
        <f>'[2]FTES Adjustment'!DS77</f>
        <v>0</v>
      </c>
      <c r="AI70" s="340">
        <f>'[2]FTES Adjustment'!$DX77</f>
        <v>0</v>
      </c>
      <c r="AJ70" s="340">
        <v>0</v>
      </c>
      <c r="AK70" s="340">
        <v>0</v>
      </c>
      <c r="AL70" s="465">
        <f>'[2]FTES Adjustment'!CG77</f>
        <v>13.060793</v>
      </c>
      <c r="AM70" s="465">
        <f>'[2]FTES Adjustment'!CH77</f>
        <v>-21.720000000000006</v>
      </c>
      <c r="AN70" s="465">
        <f>'[2]FTES Adjustment'!CI77</f>
        <v>0</v>
      </c>
      <c r="AO70" s="463">
        <f t="shared" si="54"/>
        <v>2530.5700000000002</v>
      </c>
      <c r="AP70" s="463">
        <f t="shared" si="55"/>
        <v>2530.5700000000002</v>
      </c>
      <c r="AQ70" s="463">
        <f t="shared" si="56"/>
        <v>0</v>
      </c>
      <c r="AR70" s="463">
        <f t="shared" si="57"/>
        <v>0</v>
      </c>
      <c r="AS70" s="463">
        <f t="shared" si="58"/>
        <v>0</v>
      </c>
      <c r="AT70" s="463">
        <f t="shared" si="59"/>
        <v>2531.65</v>
      </c>
      <c r="AU70" s="463">
        <f t="shared" si="60"/>
        <v>2521.9110000000001</v>
      </c>
      <c r="AV70" s="464">
        <f t="shared" si="61"/>
        <v>9.7390000000000008</v>
      </c>
      <c r="AW70" s="464">
        <f t="shared" si="62"/>
        <v>0</v>
      </c>
      <c r="AX70" s="464">
        <f t="shared" si="63"/>
        <v>-8.6590000000000007</v>
      </c>
      <c r="AY70" s="460">
        <f>'[2]PBF Run'!F77</f>
        <v>3935976</v>
      </c>
      <c r="AZ70" s="460">
        <f t="shared" si="64"/>
        <v>15956896</v>
      </c>
      <c r="BA70" s="460">
        <f>'[2]PBF Run'!J77 + '[2]PBF Run'!$L77</f>
        <v>15785877</v>
      </c>
      <c r="BB70" s="460">
        <f>'[2]PBF Run'!H77</f>
        <v>171019</v>
      </c>
      <c r="BC70" s="460">
        <f>'[2]PBF Run'!I77</f>
        <v>0</v>
      </c>
      <c r="BD70" s="462">
        <v>0</v>
      </c>
      <c r="BE70" s="461">
        <f>'[2]Restoration and Growth'!BM77</f>
        <v>0</v>
      </c>
      <c r="BF70" s="460">
        <f t="shared" si="65"/>
        <v>19892872</v>
      </c>
      <c r="BG70" s="333" t="str">
        <f t="shared" si="79"/>
        <v>0.85%</v>
      </c>
      <c r="BH70" s="459">
        <f>'[2]PBF Run'!O77</f>
        <v>169089</v>
      </c>
      <c r="BI70" s="459">
        <f t="shared" si="66"/>
        <v>20061961</v>
      </c>
      <c r="BJ70" s="458">
        <f>'[2]PBF Run'!AC77</f>
        <v>0</v>
      </c>
      <c r="BK70" s="458">
        <f>'[2]PBF Run'!$AD77</f>
        <v>0</v>
      </c>
      <c r="BL70" s="458">
        <f>'[2]PBF Run'!$T77</f>
        <v>0</v>
      </c>
      <c r="BM70" s="458">
        <f>'[2]PBF Run'!$S77</f>
        <v>0</v>
      </c>
      <c r="BN70" s="458">
        <f>'[2]13-14 $86M Workload Restore'!$P75</f>
        <v>0</v>
      </c>
      <c r="BO70" s="458">
        <f t="shared" si="67"/>
        <v>0</v>
      </c>
      <c r="BP70" s="478">
        <f>'[2]Restoration and Growth'!AA77</f>
        <v>0</v>
      </c>
      <c r="BQ70" s="478">
        <f>'[2]Restoration and Growth'!AB77</f>
        <v>0</v>
      </c>
      <c r="BR70" s="453">
        <f>'[2]Restoration and Growth'!BT77</f>
        <v>0</v>
      </c>
      <c r="BS70" s="453">
        <f>'[2]Growth Deficit'!$AO77</f>
        <v>0</v>
      </c>
      <c r="BT70" s="453">
        <f>'[2]Growth Deficit'!AO77</f>
        <v>0</v>
      </c>
      <c r="BU70" s="453">
        <f>'[2]Growth Deficit'!AL77</f>
        <v>0</v>
      </c>
      <c r="BV70" s="453">
        <f>'[2]Growth Deficit'!AM77</f>
        <v>0</v>
      </c>
      <c r="BW70" s="453">
        <f>'[2]Growth Deficit'!AN77</f>
        <v>0</v>
      </c>
      <c r="BX70" s="453">
        <f>'[2]Growth Deficit'!AO77</f>
        <v>0</v>
      </c>
      <c r="BY70" s="454">
        <f>'[2]PBF Run'!AA77</f>
        <v>0</v>
      </c>
      <c r="BZ70" s="454">
        <f>'[2]PBF Run'!AB77</f>
        <v>0</v>
      </c>
      <c r="CA70" s="454">
        <f>'[2]PBF Run'!AC77</f>
        <v>0</v>
      </c>
      <c r="CB70" s="454">
        <f t="shared" si="68"/>
        <v>0</v>
      </c>
      <c r="CC70" s="457">
        <f>'[2]PBF Run'!X77</f>
        <v>0</v>
      </c>
      <c r="CD70" s="456">
        <f>'[2]PBF Run'!AE77</f>
        <v>20061961</v>
      </c>
      <c r="CE70" s="337">
        <f t="shared" si="69"/>
        <v>0.9851853963827365</v>
      </c>
      <c r="CF70" s="455">
        <f>'[2]PBF Run'!AM77</f>
        <v>297210</v>
      </c>
      <c r="CG70" s="455">
        <f>'[2]PBF Run'!$AN77</f>
        <v>5906035</v>
      </c>
      <c r="CH70" s="455">
        <f>'[2]PBF Run'!$AO77</f>
        <v>0</v>
      </c>
      <c r="CI70" s="455">
        <f>'[2]PBF Run'!AJ77</f>
        <v>9917748</v>
      </c>
      <c r="CJ70" s="455">
        <f>'[2]PBF Run'!AI77</f>
        <v>783040</v>
      </c>
      <c r="CK70" s="455">
        <f>'[2]PBF Run'!$AN77</f>
        <v>5906035</v>
      </c>
      <c r="CL70" s="455">
        <f>'[2]PBF Run'!AK77</f>
        <v>3157928</v>
      </c>
      <c r="CM70" s="455">
        <f t="shared" si="70"/>
        <v>19764751</v>
      </c>
      <c r="CN70" s="454">
        <f>'[2]PBF Run'!$AN77</f>
        <v>5906035</v>
      </c>
      <c r="CO70" s="454">
        <f>'[2]PBF Run'!BI77</f>
        <v>0</v>
      </c>
      <c r="CP70" s="339">
        <f>'[2]PBF Run'!BH77</f>
        <v>0</v>
      </c>
      <c r="CQ70" s="454">
        <f t="shared" si="80"/>
        <v>69532</v>
      </c>
      <c r="CR70" s="454">
        <f t="shared" si="71"/>
        <v>5906035</v>
      </c>
      <c r="CS70" s="453">
        <f>'[2]As of 13-14 R1'!BX77</f>
        <v>0</v>
      </c>
      <c r="CT70" s="453">
        <f>'[2]As of 13-14 R1'!BY77</f>
        <v>0</v>
      </c>
      <c r="CU70" s="453">
        <f>'[2]As of 13-14 R1'!BZ77</f>
        <v>0</v>
      </c>
      <c r="CV70" s="453">
        <f t="shared" si="72"/>
        <v>0</v>
      </c>
      <c r="CW70" s="342">
        <f>'[2]Growth Deficit'!$D$2</f>
        <v>0</v>
      </c>
      <c r="CX70" s="343">
        <f>IF($DL70="S",'[2]Foundation Grant'!C77,0)</f>
        <v>0</v>
      </c>
      <c r="CY70" s="343">
        <f>IF($DL70="S",'[2]Foundation Grant'!D77,0)</f>
        <v>0</v>
      </c>
      <c r="CZ70" s="343">
        <f>IF($DL70="S",'[2]Foundation Grant'!E77,0)</f>
        <v>1</v>
      </c>
      <c r="DA70" s="343">
        <f>IF($DL70="S",'[2]Foundation Grant'!F77,0)</f>
        <v>1</v>
      </c>
      <c r="DB70" s="343">
        <f>IF($DL70="M",'[2]Foundation Grant'!C77,0)</f>
        <v>0</v>
      </c>
      <c r="DC70" s="343">
        <f>IF($DL70="M",'[2]Foundation Grant'!D77,0)</f>
        <v>0</v>
      </c>
      <c r="DD70" s="343">
        <f>IF($DL70="M",'[2]Foundation Grant'!E77,0)</f>
        <v>0</v>
      </c>
      <c r="DE70" s="343">
        <f>IF($DL70="M",'[2]Foundation Grant'!F77,0)</f>
        <v>0</v>
      </c>
      <c r="DF70" s="343">
        <f>'[2]Foundation Grant'!G77</f>
        <v>0</v>
      </c>
      <c r="DG70" s="343">
        <f>'[2]Foundation Grant'!H77</f>
        <v>0</v>
      </c>
      <c r="DH70" s="343">
        <f>'[2]Foundation Grant'!I77</f>
        <v>0</v>
      </c>
      <c r="DI70" s="343">
        <f>'[2]Foundation Grant'!J77</f>
        <v>0</v>
      </c>
      <c r="DJ70" s="343">
        <f>'[2]Foundation Grant'!K77</f>
        <v>0</v>
      </c>
      <c r="DK70" s="452">
        <f>'[2]Foundation Grant'!L77</f>
        <v>0</v>
      </c>
      <c r="DL70" s="343" t="str">
        <f>'[2]Foundation Grant'!M77</f>
        <v>S</v>
      </c>
      <c r="DM70" s="343">
        <f>'[2]Foundation Grant'!N77</f>
        <v>3935976</v>
      </c>
      <c r="DN70" s="452">
        <f>'[2]Foundation Grant'!O77</f>
        <v>1</v>
      </c>
      <c r="DO70" s="452">
        <f>'[2]Foundation Grant'!P77</f>
        <v>0</v>
      </c>
      <c r="DP70" s="344">
        <f>'[2]Foundation Grant'!$C$1</f>
        <v>5622823</v>
      </c>
      <c r="DQ70" s="344">
        <f>'[2]Foundation Grant'!$D$1</f>
        <v>4498258</v>
      </c>
      <c r="DR70" s="344">
        <f>'[2]Foundation Grant'!$E$1</f>
        <v>3373694</v>
      </c>
      <c r="DS70" s="344">
        <f>'[2]Foundation Grant'!$C$2</f>
        <v>4498258</v>
      </c>
      <c r="DT70" s="344">
        <f>'[2]Foundation Grant'!$D$2</f>
        <v>3935976</v>
      </c>
      <c r="DU70" s="344">
        <f>'[2]Foundation Grant'!$E$2</f>
        <v>3373694</v>
      </c>
      <c r="DV70" s="344">
        <f>'[2]Foundation Grant'!$G$1</f>
        <v>1124565</v>
      </c>
      <c r="DW70" s="344">
        <f>'[2]Foundation Grant'!$H$1</f>
        <v>843423</v>
      </c>
      <c r="DX70" s="344">
        <f>'[2]Foundation Grant'!$I$1</f>
        <v>562282</v>
      </c>
      <c r="DY70" s="344">
        <f>'[2]Foundation Grant'!$J$1</f>
        <v>281141</v>
      </c>
      <c r="DZ70" s="344">
        <f>'[2]Foundation Grant'!$K$1</f>
        <v>140571</v>
      </c>
      <c r="EA70" s="344">
        <f>'[2]Foundation Grant'!$O$1</f>
        <v>562282</v>
      </c>
      <c r="EB70" s="344">
        <f>'[2]Foundation Grant'!$P$1</f>
        <v>1124565</v>
      </c>
      <c r="EC70" s="345">
        <f>'[2]basic allocation'!$C$10</f>
        <v>18749</v>
      </c>
      <c r="ED70" s="345">
        <f>'[2]basic allocation'!$D$10</f>
        <v>9375</v>
      </c>
      <c r="EE70" s="345">
        <f>'[2]basic allocation'!$E$10</f>
        <v>9375</v>
      </c>
      <c r="EF70" s="345">
        <f>'[2]basic allocation'!$I$10</f>
        <v>938</v>
      </c>
      <c r="EG70" s="345">
        <f>'[2]basic allocation'!$J$10</f>
        <v>703</v>
      </c>
      <c r="EH70" s="345">
        <f>'[2]basic allocation'!$K$10</f>
        <v>469</v>
      </c>
      <c r="EI70" s="345">
        <f>'[2]basic allocation'!$L$10</f>
        <v>234</v>
      </c>
      <c r="EJ70" s="345">
        <f>'[2]basic allocation'!$M$10</f>
        <v>100</v>
      </c>
      <c r="EK70" s="345">
        <f>'[2]PBF Run'!$AT77</f>
        <v>0</v>
      </c>
      <c r="EM70" s="477"/>
    </row>
    <row r="71" spans="1:143">
      <c r="A71" s="476" t="s">
        <v>605</v>
      </c>
      <c r="B71" s="475" t="str">
        <f t="shared" si="73"/>
        <v>P1</v>
      </c>
      <c r="C71" s="346" t="s">
        <v>263</v>
      </c>
      <c r="D71" s="450" t="s">
        <v>262</v>
      </c>
      <c r="E71" s="449">
        <f>ROUND('[2]PBF Run'!N78,6)</f>
        <v>4636.4928799999998</v>
      </c>
      <c r="F71" s="340">
        <f t="shared" si="74"/>
        <v>4636.49</v>
      </c>
      <c r="G71" s="474">
        <f t="shared" si="75"/>
        <v>2788.0536374600001</v>
      </c>
      <c r="H71" s="473">
        <f t="shared" si="76"/>
        <v>2811.7520933800001</v>
      </c>
      <c r="I71" s="473">
        <f t="shared" si="77"/>
        <v>3282.8110613200001</v>
      </c>
      <c r="J71" s="473">
        <f t="shared" si="78"/>
        <v>3310.71495534</v>
      </c>
      <c r="K71" s="472">
        <f>ROUND([2]FTES!C78,3)</f>
        <v>13645.1</v>
      </c>
      <c r="L71" s="472">
        <f>ROUND([2]FTES!L78,3)</f>
        <v>751.44</v>
      </c>
      <c r="M71" s="472">
        <f>ROUND([2]FTES!U78,3)</f>
        <v>0</v>
      </c>
      <c r="N71" s="465">
        <f>ROUND([2]FTES!$D78,3)</f>
        <v>13645.1</v>
      </c>
      <c r="O71" s="465">
        <f>ROUND([2]FTES!$M78,3)</f>
        <v>751.44</v>
      </c>
      <c r="P71" s="465">
        <f>ROUND([2]FTES!$V78,3)</f>
        <v>0</v>
      </c>
      <c r="Q71" s="471">
        <f>'[2]FTES Adjustment'!BU78</f>
        <v>4.0000830000000001</v>
      </c>
      <c r="R71" s="471">
        <f>'[2]FTES Adjustment'!BV78</f>
        <v>1.090068</v>
      </c>
      <c r="S71" s="471">
        <f>'[2]FTES Adjustment'!BW78</f>
        <v>0</v>
      </c>
      <c r="T71" s="469">
        <f>ROUND('[2]Growth Deficit'!$AG78,3)</f>
        <v>0</v>
      </c>
      <c r="U71" s="469">
        <f>ROUND('[2]Growth Deficit'!$AH78,3)</f>
        <v>0</v>
      </c>
      <c r="V71" s="469">
        <f>ROUND('[2]Growth Deficit'!$AI78,3)</f>
        <v>0</v>
      </c>
      <c r="W71" s="470">
        <f>ROUND([2]FTES!I78,3)</f>
        <v>0</v>
      </c>
      <c r="X71" s="470">
        <f>ROUND([2]FTES!R78,3)</f>
        <v>0</v>
      </c>
      <c r="Y71" s="470">
        <f>ROUND([2]FTES!AA78,3)</f>
        <v>0</v>
      </c>
      <c r="Z71" s="469">
        <f>ROUND([2]FTES!E78,3)</f>
        <v>13649.1</v>
      </c>
      <c r="AA71" s="469">
        <f>ROUND([2]FTES!N78,3)</f>
        <v>752.53</v>
      </c>
      <c r="AB71" s="469">
        <f>ROUND([2]FTES!W78,3)</f>
        <v>0</v>
      </c>
      <c r="AC71" s="468">
        <f>'[2]FTES Adjustment'!CW78</f>
        <v>13649.1</v>
      </c>
      <c r="AD71" s="468">
        <f>'[2]FTES Adjustment'!CX78</f>
        <v>752.53006800000003</v>
      </c>
      <c r="AE71" s="468">
        <f>'[2]FTES Adjustment'!CY78</f>
        <v>0</v>
      </c>
      <c r="AF71" s="467">
        <f>'[2]FTES Adjustment'!DQ78</f>
        <v>0</v>
      </c>
      <c r="AG71" s="467">
        <f>'[2]FTES Adjustment'!DR78</f>
        <v>-6.800000005569018E-5</v>
      </c>
      <c r="AH71" s="467">
        <f>'[2]FTES Adjustment'!DS78</f>
        <v>0</v>
      </c>
      <c r="AI71" s="340">
        <f>'[2]FTES Adjustment'!$DX78</f>
        <v>0</v>
      </c>
      <c r="AJ71" s="340">
        <v>0</v>
      </c>
      <c r="AK71" s="340">
        <v>0</v>
      </c>
      <c r="AL71" s="465">
        <f>'[2]FTES Adjustment'!CG78</f>
        <v>-8.2999999999999998E-5</v>
      </c>
      <c r="AM71" s="465">
        <f>'[2]FTES Adjustment'!CH78</f>
        <v>0</v>
      </c>
      <c r="AN71" s="465">
        <f>'[2]FTES Adjustment'!CI78</f>
        <v>0</v>
      </c>
      <c r="AO71" s="463">
        <f t="shared" si="54"/>
        <v>14396.54</v>
      </c>
      <c r="AP71" s="463">
        <f t="shared" si="55"/>
        <v>14396.54</v>
      </c>
      <c r="AQ71" s="463">
        <f t="shared" si="56"/>
        <v>5.09</v>
      </c>
      <c r="AR71" s="463">
        <f t="shared" si="57"/>
        <v>0</v>
      </c>
      <c r="AS71" s="463">
        <f t="shared" si="58"/>
        <v>0</v>
      </c>
      <c r="AT71" s="463">
        <f t="shared" si="59"/>
        <v>14401.63</v>
      </c>
      <c r="AU71" s="463">
        <f t="shared" si="60"/>
        <v>14401.63</v>
      </c>
      <c r="AV71" s="464">
        <f t="shared" si="61"/>
        <v>0</v>
      </c>
      <c r="AW71" s="464">
        <f t="shared" si="62"/>
        <v>0</v>
      </c>
      <c r="AX71" s="464">
        <f t="shared" si="63"/>
        <v>0</v>
      </c>
      <c r="AY71" s="460">
        <f>'[2]PBF Run'!F78</f>
        <v>7309670</v>
      </c>
      <c r="AZ71" s="460">
        <f t="shared" si="64"/>
        <v>65360464</v>
      </c>
      <c r="BA71" s="460">
        <f>'[2]PBF Run'!J78 + '[2]PBF Run'!$L78</f>
        <v>63265409</v>
      </c>
      <c r="BB71" s="460">
        <f>'[2]PBF Run'!H78</f>
        <v>2095055</v>
      </c>
      <c r="BC71" s="460">
        <f>'[2]PBF Run'!I78</f>
        <v>0</v>
      </c>
      <c r="BD71" s="462">
        <v>0</v>
      </c>
      <c r="BE71" s="461">
        <f>'[2]Restoration and Growth'!BM78</f>
        <v>0</v>
      </c>
      <c r="BF71" s="460">
        <f t="shared" si="65"/>
        <v>72670134</v>
      </c>
      <c r="BG71" s="333" t="str">
        <f t="shared" si="79"/>
        <v>0.85%</v>
      </c>
      <c r="BH71" s="459">
        <f>'[2]PBF Run'!O78</f>
        <v>617696</v>
      </c>
      <c r="BI71" s="459">
        <f t="shared" si="66"/>
        <v>73287830</v>
      </c>
      <c r="BJ71" s="458">
        <f>'[2]PBF Run'!AC78</f>
        <v>-562282</v>
      </c>
      <c r="BK71" s="458">
        <f>'[2]PBF Run'!$AD78</f>
        <v>-4779</v>
      </c>
      <c r="BL71" s="458">
        <f>'[2]PBF Run'!$T78</f>
        <v>21769</v>
      </c>
      <c r="BM71" s="458">
        <f>'[2]PBF Run'!$S78</f>
        <v>0</v>
      </c>
      <c r="BN71" s="458">
        <f>'[2]13-14 $86M Workload Restore'!$P76</f>
        <v>0</v>
      </c>
      <c r="BO71" s="458">
        <f t="shared" si="67"/>
        <v>-545292</v>
      </c>
      <c r="BP71" s="478">
        <f>'[2]Restoration and Growth'!AA78</f>
        <v>0</v>
      </c>
      <c r="BQ71" s="478">
        <f>'[2]Restoration and Growth'!AB78</f>
        <v>0</v>
      </c>
      <c r="BR71" s="453">
        <f>'[2]Restoration and Growth'!BT78</f>
        <v>0</v>
      </c>
      <c r="BS71" s="453">
        <f>'[2]Growth Deficit'!$AO78</f>
        <v>0</v>
      </c>
      <c r="BT71" s="453">
        <f>'[2]Growth Deficit'!AO78</f>
        <v>0</v>
      </c>
      <c r="BU71" s="453">
        <f>'[2]Growth Deficit'!AL78</f>
        <v>0</v>
      </c>
      <c r="BV71" s="453">
        <f>'[2]Growth Deficit'!AM78</f>
        <v>0</v>
      </c>
      <c r="BW71" s="453">
        <f>'[2]Growth Deficit'!AN78</f>
        <v>0</v>
      </c>
      <c r="BX71" s="453">
        <f>'[2]Growth Deficit'!AO78</f>
        <v>0</v>
      </c>
      <c r="BY71" s="454">
        <f>'[2]PBF Run'!AA78</f>
        <v>0</v>
      </c>
      <c r="BZ71" s="454">
        <f>'[2]PBF Run'!AB78</f>
        <v>0</v>
      </c>
      <c r="CA71" s="454">
        <f>'[2]PBF Run'!AC78</f>
        <v>-562282</v>
      </c>
      <c r="CB71" s="454">
        <f t="shared" si="68"/>
        <v>0</v>
      </c>
      <c r="CC71" s="457">
        <f>'[2]PBF Run'!X78</f>
        <v>0</v>
      </c>
      <c r="CD71" s="456">
        <f>'[2]PBF Run'!AE78</f>
        <v>72742538</v>
      </c>
      <c r="CE71" s="337">
        <f t="shared" si="69"/>
        <v>1</v>
      </c>
      <c r="CF71" s="455">
        <f>'[2]PBF Run'!AM78</f>
        <v>0</v>
      </c>
      <c r="CG71" s="455">
        <f>'[2]PBF Run'!$AN78</f>
        <v>0</v>
      </c>
      <c r="CH71" s="455">
        <f>'[2]PBF Run'!$AO78</f>
        <v>17791778</v>
      </c>
      <c r="CI71" s="455">
        <f>'[2]PBF Run'!AJ78</f>
        <v>81484028</v>
      </c>
      <c r="CJ71" s="455">
        <f>'[2]PBF Run'!AI78</f>
        <v>7610125</v>
      </c>
      <c r="CK71" s="455">
        <f>'[2]PBF Run'!$AN78</f>
        <v>0</v>
      </c>
      <c r="CL71" s="455">
        <f>'[2]PBF Run'!AK78</f>
        <v>1440163</v>
      </c>
      <c r="CM71" s="455">
        <f t="shared" si="70"/>
        <v>72742538</v>
      </c>
      <c r="CN71" s="454">
        <f>'[2]PBF Run'!$AN78</f>
        <v>0</v>
      </c>
      <c r="CO71" s="454">
        <f>'[2]PBF Run'!BI78</f>
        <v>0</v>
      </c>
      <c r="CP71" s="339">
        <f>'[2]PBF Run'!BH78</f>
        <v>0</v>
      </c>
      <c r="CQ71" s="454">
        <f t="shared" si="80"/>
        <v>69532</v>
      </c>
      <c r="CR71" s="454">
        <f t="shared" si="71"/>
        <v>0</v>
      </c>
      <c r="CS71" s="453">
        <f>'[2]As of 13-14 R1'!BX78</f>
        <v>0</v>
      </c>
      <c r="CT71" s="453">
        <f>'[2]As of 13-14 R1'!BY78</f>
        <v>2387587</v>
      </c>
      <c r="CU71" s="453">
        <f>'[2]As of 13-14 R1'!BZ78</f>
        <v>5973118</v>
      </c>
      <c r="CV71" s="453">
        <f t="shared" si="72"/>
        <v>8360705</v>
      </c>
      <c r="CW71" s="342">
        <f>'[2]Growth Deficit'!$D$2</f>
        <v>0</v>
      </c>
      <c r="CX71" s="343">
        <f>IF($DL71="S",'[2]Foundation Grant'!C78,0)</f>
        <v>0</v>
      </c>
      <c r="CY71" s="343">
        <f>IF($DL71="S",'[2]Foundation Grant'!D78,0)</f>
        <v>0</v>
      </c>
      <c r="CZ71" s="343">
        <f>IF($DL71="S",'[2]Foundation Grant'!E78,0)</f>
        <v>0</v>
      </c>
      <c r="DA71" s="343">
        <f>IF($DL71="S",'[2]Foundation Grant'!F78,0)</f>
        <v>0</v>
      </c>
      <c r="DB71" s="343">
        <f>IF($DL71="M",'[2]Foundation Grant'!C78,0)</f>
        <v>0</v>
      </c>
      <c r="DC71" s="343">
        <f>IF($DL71="M",'[2]Foundation Grant'!D78,0)</f>
        <v>0</v>
      </c>
      <c r="DD71" s="343">
        <f>IF($DL71="M",'[2]Foundation Grant'!E78,0)</f>
        <v>2</v>
      </c>
      <c r="DE71" s="343">
        <f>IF($DL71="M",'[2]Foundation Grant'!F78,0)</f>
        <v>2</v>
      </c>
      <c r="DF71" s="343">
        <f>'[2]Foundation Grant'!G78</f>
        <v>0</v>
      </c>
      <c r="DG71" s="343">
        <f>'[2]Foundation Grant'!H78</f>
        <v>0</v>
      </c>
      <c r="DH71" s="343">
        <f>'[2]Foundation Grant'!I78</f>
        <v>0</v>
      </c>
      <c r="DI71" s="343">
        <f>'[2]Foundation Grant'!J78</f>
        <v>0</v>
      </c>
      <c r="DJ71" s="343">
        <f>'[2]Foundation Grant'!K78</f>
        <v>0</v>
      </c>
      <c r="DK71" s="452">
        <f>'[2]Foundation Grant'!L78</f>
        <v>0</v>
      </c>
      <c r="DL71" s="343" t="str">
        <f>'[2]Foundation Grant'!M78</f>
        <v>M</v>
      </c>
      <c r="DM71" s="343">
        <f>'[2]Foundation Grant'!N78</f>
        <v>6747388</v>
      </c>
      <c r="DN71" s="452">
        <f>'[2]Foundation Grant'!O78</f>
        <v>0</v>
      </c>
      <c r="DO71" s="452">
        <f>'[2]Foundation Grant'!P78</f>
        <v>0</v>
      </c>
      <c r="DP71" s="344">
        <f>'[2]Foundation Grant'!$C$1</f>
        <v>5622823</v>
      </c>
      <c r="DQ71" s="344">
        <f>'[2]Foundation Grant'!$D$1</f>
        <v>4498258</v>
      </c>
      <c r="DR71" s="344">
        <f>'[2]Foundation Grant'!$E$1</f>
        <v>3373694</v>
      </c>
      <c r="DS71" s="344">
        <f>'[2]Foundation Grant'!$C$2</f>
        <v>4498258</v>
      </c>
      <c r="DT71" s="344">
        <f>'[2]Foundation Grant'!$D$2</f>
        <v>3935976</v>
      </c>
      <c r="DU71" s="344">
        <f>'[2]Foundation Grant'!$E$2</f>
        <v>3373694</v>
      </c>
      <c r="DV71" s="344">
        <f>'[2]Foundation Grant'!$G$1</f>
        <v>1124565</v>
      </c>
      <c r="DW71" s="344">
        <f>'[2]Foundation Grant'!$H$1</f>
        <v>843423</v>
      </c>
      <c r="DX71" s="344">
        <f>'[2]Foundation Grant'!$I$1</f>
        <v>562282</v>
      </c>
      <c r="DY71" s="344">
        <f>'[2]Foundation Grant'!$J$1</f>
        <v>281141</v>
      </c>
      <c r="DZ71" s="344">
        <f>'[2]Foundation Grant'!$K$1</f>
        <v>140571</v>
      </c>
      <c r="EA71" s="344">
        <f>'[2]Foundation Grant'!$O$1</f>
        <v>562282</v>
      </c>
      <c r="EB71" s="344">
        <f>'[2]Foundation Grant'!$P$1</f>
        <v>1124565</v>
      </c>
      <c r="EC71" s="345">
        <f>'[2]basic allocation'!$C$10</f>
        <v>18749</v>
      </c>
      <c r="ED71" s="345">
        <f>'[2]basic allocation'!$D$10</f>
        <v>9375</v>
      </c>
      <c r="EE71" s="345">
        <f>'[2]basic allocation'!$E$10</f>
        <v>9375</v>
      </c>
      <c r="EF71" s="345">
        <f>'[2]basic allocation'!$I$10</f>
        <v>938</v>
      </c>
      <c r="EG71" s="345">
        <f>'[2]basic allocation'!$J$10</f>
        <v>703</v>
      </c>
      <c r="EH71" s="345">
        <f>'[2]basic allocation'!$K$10</f>
        <v>469</v>
      </c>
      <c r="EI71" s="345">
        <f>'[2]basic allocation'!$L$10</f>
        <v>234</v>
      </c>
      <c r="EJ71" s="345">
        <f>'[2]basic allocation'!$M$10</f>
        <v>100</v>
      </c>
      <c r="EK71" s="345">
        <f>'[2]PBF Run'!$AT78</f>
        <v>0</v>
      </c>
      <c r="EM71" s="477"/>
    </row>
    <row r="72" spans="1:143">
      <c r="A72" s="476" t="s">
        <v>605</v>
      </c>
      <c r="B72" s="475" t="str">
        <f t="shared" si="73"/>
        <v>P1</v>
      </c>
      <c r="C72" s="346" t="s">
        <v>261</v>
      </c>
      <c r="D72" s="450" t="s">
        <v>260</v>
      </c>
      <c r="E72" s="449">
        <f>ROUND('[2]PBF Run'!N79,6)</f>
        <v>4636.492878</v>
      </c>
      <c r="F72" s="340">
        <f t="shared" si="74"/>
        <v>4636.49</v>
      </c>
      <c r="G72" s="474">
        <f t="shared" si="75"/>
        <v>2788.0536374600001</v>
      </c>
      <c r="H72" s="473">
        <f t="shared" si="76"/>
        <v>2811.7520933800001</v>
      </c>
      <c r="I72" s="473">
        <f t="shared" si="77"/>
        <v>3282.8110613200001</v>
      </c>
      <c r="J72" s="473">
        <f t="shared" si="78"/>
        <v>3310.71495534</v>
      </c>
      <c r="K72" s="472">
        <f>ROUND([2]FTES!C79,3)</f>
        <v>16281.54</v>
      </c>
      <c r="L72" s="472">
        <f>ROUND([2]FTES!L79,3)</f>
        <v>120.21</v>
      </c>
      <c r="M72" s="472">
        <f>ROUND([2]FTES!U79,3)</f>
        <v>166.26</v>
      </c>
      <c r="N72" s="465">
        <f>ROUND([2]FTES!$D79,3)</f>
        <v>16281.54</v>
      </c>
      <c r="O72" s="465">
        <f>ROUND([2]FTES!$M79,3)</f>
        <v>120.21</v>
      </c>
      <c r="P72" s="465">
        <f>ROUND([2]FTES!$V79,3)</f>
        <v>166.26</v>
      </c>
      <c r="Q72" s="471">
        <f>'[2]FTES Adjustment'!BU79</f>
        <v>0</v>
      </c>
      <c r="R72" s="471">
        <f>'[2]FTES Adjustment'!BV79</f>
        <v>0</v>
      </c>
      <c r="S72" s="471">
        <f>'[2]FTES Adjustment'!BW79</f>
        <v>0</v>
      </c>
      <c r="T72" s="469">
        <f>ROUND('[2]Growth Deficit'!$AG79,3)</f>
        <v>0</v>
      </c>
      <c r="U72" s="469">
        <f>ROUND('[2]Growth Deficit'!$AH79,3)</f>
        <v>0</v>
      </c>
      <c r="V72" s="469">
        <f>ROUND('[2]Growth Deficit'!$AI79,3)</f>
        <v>0</v>
      </c>
      <c r="W72" s="470">
        <f>ROUND([2]FTES!I79,3)</f>
        <v>0</v>
      </c>
      <c r="X72" s="470">
        <f>ROUND([2]FTES!R79,3)</f>
        <v>0</v>
      </c>
      <c r="Y72" s="470">
        <f>ROUND([2]FTES!AA79,3)</f>
        <v>0</v>
      </c>
      <c r="Z72" s="469">
        <f>ROUND([2]FTES!E79,3)</f>
        <v>16390.02</v>
      </c>
      <c r="AA72" s="469">
        <f>ROUND([2]FTES!N79,3)</f>
        <v>39.03</v>
      </c>
      <c r="AB72" s="469">
        <f>ROUND([2]FTES!W79,3)</f>
        <v>127.9</v>
      </c>
      <c r="AC72" s="468">
        <f>'[2]FTES Adjustment'!CW79</f>
        <v>16390.019952999999</v>
      </c>
      <c r="AD72" s="468">
        <f>'[2]FTES Adjustment'!CX79</f>
        <v>39.03</v>
      </c>
      <c r="AE72" s="468">
        <f>'[2]FTES Adjustment'!CY79</f>
        <v>127.9</v>
      </c>
      <c r="AF72" s="467">
        <f>'[2]FTES Adjustment'!DQ79</f>
        <v>4.7000001359265298E-5</v>
      </c>
      <c r="AG72" s="467">
        <f>'[2]FTES Adjustment'!DR79</f>
        <v>0</v>
      </c>
      <c r="AH72" s="467">
        <f>'[2]FTES Adjustment'!DS79</f>
        <v>0</v>
      </c>
      <c r="AI72" s="340">
        <f>'[2]FTES Adjustment'!$DX79</f>
        <v>0</v>
      </c>
      <c r="AJ72" s="340">
        <v>0</v>
      </c>
      <c r="AK72" s="340">
        <v>0</v>
      </c>
      <c r="AL72" s="465">
        <f>'[2]FTES Adjustment'!CG79</f>
        <v>108.480008</v>
      </c>
      <c r="AM72" s="465">
        <f>'[2]FTES Adjustment'!CH79</f>
        <v>-81.179999999999993</v>
      </c>
      <c r="AN72" s="465">
        <f>'[2]FTES Adjustment'!CI79</f>
        <v>-38.359999999999985</v>
      </c>
      <c r="AO72" s="463">
        <f t="shared" si="54"/>
        <v>16568.009999999998</v>
      </c>
      <c r="AP72" s="463">
        <f t="shared" si="55"/>
        <v>16568.009999999998</v>
      </c>
      <c r="AQ72" s="463">
        <f t="shared" si="56"/>
        <v>0</v>
      </c>
      <c r="AR72" s="463">
        <f t="shared" si="57"/>
        <v>0</v>
      </c>
      <c r="AS72" s="463">
        <f t="shared" si="58"/>
        <v>0</v>
      </c>
      <c r="AT72" s="463">
        <f t="shared" si="59"/>
        <v>16556.95</v>
      </c>
      <c r="AU72" s="463">
        <f t="shared" si="60"/>
        <v>16556.95</v>
      </c>
      <c r="AV72" s="464">
        <f t="shared" si="61"/>
        <v>0</v>
      </c>
      <c r="AW72" s="464">
        <f t="shared" si="62"/>
        <v>0</v>
      </c>
      <c r="AX72" s="464">
        <f t="shared" si="63"/>
        <v>-11.06</v>
      </c>
      <c r="AY72" s="460">
        <f>'[2]PBF Run'!F79</f>
        <v>7309670</v>
      </c>
      <c r="AZ72" s="460">
        <f t="shared" si="64"/>
        <v>76370196</v>
      </c>
      <c r="BA72" s="460">
        <f>'[2]PBF Run'!J79 + '[2]PBF Run'!$L79</f>
        <v>75489244</v>
      </c>
      <c r="BB72" s="460">
        <f>'[2]PBF Run'!H79</f>
        <v>335152</v>
      </c>
      <c r="BC72" s="460">
        <f>'[2]PBF Run'!I79</f>
        <v>545800</v>
      </c>
      <c r="BD72" s="462">
        <v>0</v>
      </c>
      <c r="BE72" s="461">
        <f>'[2]Restoration and Growth'!BM79</f>
        <v>0</v>
      </c>
      <c r="BF72" s="460">
        <f t="shared" si="65"/>
        <v>83679866</v>
      </c>
      <c r="BG72" s="333" t="str">
        <f t="shared" si="79"/>
        <v>0.85%</v>
      </c>
      <c r="BH72" s="459">
        <f>'[2]PBF Run'!O79</f>
        <v>711279</v>
      </c>
      <c r="BI72" s="459">
        <f t="shared" si="66"/>
        <v>84391145</v>
      </c>
      <c r="BJ72" s="458">
        <f>'[2]PBF Run'!AC79</f>
        <v>0</v>
      </c>
      <c r="BK72" s="458">
        <f>'[2]PBF Run'!$AD79</f>
        <v>0</v>
      </c>
      <c r="BL72" s="458">
        <f>'[2]PBF Run'!$T79</f>
        <v>0</v>
      </c>
      <c r="BM72" s="458">
        <f>'[2]PBF Run'!$S79</f>
        <v>151985</v>
      </c>
      <c r="BN72" s="458">
        <f>'[2]13-14 $86M Workload Restore'!$P77</f>
        <v>0</v>
      </c>
      <c r="BO72" s="458">
        <f t="shared" si="67"/>
        <v>151985</v>
      </c>
      <c r="BP72" s="478">
        <f>'[2]Restoration and Growth'!AA79</f>
        <v>0</v>
      </c>
      <c r="BQ72" s="478">
        <f>'[2]Restoration and Growth'!AB79</f>
        <v>0</v>
      </c>
      <c r="BR72" s="453">
        <f>'[2]Restoration and Growth'!BT79</f>
        <v>0</v>
      </c>
      <c r="BS72" s="453">
        <f>'[2]Growth Deficit'!$AO79</f>
        <v>0</v>
      </c>
      <c r="BT72" s="453">
        <f>'[2]Growth Deficit'!AO79</f>
        <v>0</v>
      </c>
      <c r="BU72" s="453">
        <f>'[2]Growth Deficit'!AL79</f>
        <v>0</v>
      </c>
      <c r="BV72" s="453">
        <f>'[2]Growth Deficit'!AM79</f>
        <v>0</v>
      </c>
      <c r="BW72" s="453">
        <f>'[2]Growth Deficit'!AN79</f>
        <v>0</v>
      </c>
      <c r="BX72" s="453">
        <f>'[2]Growth Deficit'!AO79</f>
        <v>0</v>
      </c>
      <c r="BY72" s="454">
        <f>'[2]PBF Run'!AA79</f>
        <v>0</v>
      </c>
      <c r="BZ72" s="454">
        <f>'[2]PBF Run'!AB79</f>
        <v>0</v>
      </c>
      <c r="CA72" s="454">
        <f>'[2]PBF Run'!AC79</f>
        <v>0</v>
      </c>
      <c r="CB72" s="454">
        <f t="shared" si="68"/>
        <v>0</v>
      </c>
      <c r="CC72" s="457">
        <f>'[2]PBF Run'!X79</f>
        <v>0</v>
      </c>
      <c r="CD72" s="456">
        <f>'[2]PBF Run'!AE79</f>
        <v>84543130</v>
      </c>
      <c r="CE72" s="337">
        <f t="shared" si="69"/>
        <v>0.98518541956040662</v>
      </c>
      <c r="CF72" s="455">
        <f>'[2]PBF Run'!AM79</f>
        <v>1252471</v>
      </c>
      <c r="CG72" s="455">
        <f>'[2]PBF Run'!$AN79</f>
        <v>32861555</v>
      </c>
      <c r="CH72" s="455">
        <f>'[2]PBF Run'!$AO79</f>
        <v>0</v>
      </c>
      <c r="CI72" s="455">
        <f>'[2]PBF Run'!AJ79</f>
        <v>32893124</v>
      </c>
      <c r="CJ72" s="455">
        <f>'[2]PBF Run'!AI79</f>
        <v>4410000</v>
      </c>
      <c r="CK72" s="455">
        <f>'[2]PBF Run'!$AN79</f>
        <v>32861555</v>
      </c>
      <c r="CL72" s="455">
        <f>'[2]PBF Run'!AK79</f>
        <v>13125980</v>
      </c>
      <c r="CM72" s="455">
        <f t="shared" si="70"/>
        <v>83290659</v>
      </c>
      <c r="CN72" s="454">
        <f>'[2]PBF Run'!$AN79</f>
        <v>32861555</v>
      </c>
      <c r="CO72" s="454">
        <f>'[2]PBF Run'!BI79</f>
        <v>0</v>
      </c>
      <c r="CP72" s="339">
        <f>'[2]PBF Run'!BH79</f>
        <v>0</v>
      </c>
      <c r="CQ72" s="454">
        <f t="shared" si="80"/>
        <v>69532</v>
      </c>
      <c r="CR72" s="454">
        <f t="shared" si="71"/>
        <v>32861555</v>
      </c>
      <c r="CS72" s="453">
        <f>'[2]As of 13-14 R1'!BX79</f>
        <v>0</v>
      </c>
      <c r="CT72" s="453">
        <f>'[2]As of 13-14 R1'!BY79</f>
        <v>0</v>
      </c>
      <c r="CU72" s="453">
        <f>'[2]As of 13-14 R1'!BZ79</f>
        <v>0</v>
      </c>
      <c r="CV72" s="453">
        <f t="shared" si="72"/>
        <v>0</v>
      </c>
      <c r="CW72" s="342">
        <f>'[2]Growth Deficit'!$D$2</f>
        <v>0</v>
      </c>
      <c r="CX72" s="343">
        <f>IF($DL72="S",'[2]Foundation Grant'!C79,0)</f>
        <v>0</v>
      </c>
      <c r="CY72" s="343">
        <f>IF($DL72="S",'[2]Foundation Grant'!D79,0)</f>
        <v>0</v>
      </c>
      <c r="CZ72" s="343">
        <f>IF($DL72="S",'[2]Foundation Grant'!E79,0)</f>
        <v>0</v>
      </c>
      <c r="DA72" s="343">
        <f>IF($DL72="S",'[2]Foundation Grant'!F79,0)</f>
        <v>0</v>
      </c>
      <c r="DB72" s="343">
        <f>IF($DL72="M",'[2]Foundation Grant'!C79,0)</f>
        <v>0</v>
      </c>
      <c r="DC72" s="343">
        <f>IF($DL72="M",'[2]Foundation Grant'!D79,0)</f>
        <v>1</v>
      </c>
      <c r="DD72" s="343">
        <f>IF($DL72="M",'[2]Foundation Grant'!E79,0)</f>
        <v>1</v>
      </c>
      <c r="DE72" s="343">
        <f>IF($DL72="M",'[2]Foundation Grant'!F79,0)</f>
        <v>2</v>
      </c>
      <c r="DF72" s="343">
        <f>'[2]Foundation Grant'!G79</f>
        <v>0</v>
      </c>
      <c r="DG72" s="343">
        <f>'[2]Foundation Grant'!H79</f>
        <v>0</v>
      </c>
      <c r="DH72" s="343">
        <f>'[2]Foundation Grant'!I79</f>
        <v>0</v>
      </c>
      <c r="DI72" s="343">
        <f>'[2]Foundation Grant'!J79</f>
        <v>0</v>
      </c>
      <c r="DJ72" s="343">
        <f>'[2]Foundation Grant'!K79</f>
        <v>0</v>
      </c>
      <c r="DK72" s="452">
        <f>'[2]Foundation Grant'!L79</f>
        <v>0</v>
      </c>
      <c r="DL72" s="343" t="str">
        <f>'[2]Foundation Grant'!M79</f>
        <v>M</v>
      </c>
      <c r="DM72" s="343">
        <f>'[2]Foundation Grant'!N79</f>
        <v>7309670</v>
      </c>
      <c r="DN72" s="452">
        <f>'[2]Foundation Grant'!O79</f>
        <v>0</v>
      </c>
      <c r="DO72" s="452">
        <f>'[2]Foundation Grant'!P79</f>
        <v>0</v>
      </c>
      <c r="DP72" s="344">
        <f>'[2]Foundation Grant'!$C$1</f>
        <v>5622823</v>
      </c>
      <c r="DQ72" s="344">
        <f>'[2]Foundation Grant'!$D$1</f>
        <v>4498258</v>
      </c>
      <c r="DR72" s="344">
        <f>'[2]Foundation Grant'!$E$1</f>
        <v>3373694</v>
      </c>
      <c r="DS72" s="344">
        <f>'[2]Foundation Grant'!$C$2</f>
        <v>4498258</v>
      </c>
      <c r="DT72" s="344">
        <f>'[2]Foundation Grant'!$D$2</f>
        <v>3935976</v>
      </c>
      <c r="DU72" s="344">
        <f>'[2]Foundation Grant'!$E$2</f>
        <v>3373694</v>
      </c>
      <c r="DV72" s="344">
        <f>'[2]Foundation Grant'!$G$1</f>
        <v>1124565</v>
      </c>
      <c r="DW72" s="344">
        <f>'[2]Foundation Grant'!$H$1</f>
        <v>843423</v>
      </c>
      <c r="DX72" s="344">
        <f>'[2]Foundation Grant'!$I$1</f>
        <v>562282</v>
      </c>
      <c r="DY72" s="344">
        <f>'[2]Foundation Grant'!$J$1</f>
        <v>281141</v>
      </c>
      <c r="DZ72" s="344">
        <f>'[2]Foundation Grant'!$K$1</f>
        <v>140571</v>
      </c>
      <c r="EA72" s="344">
        <f>'[2]Foundation Grant'!$O$1</f>
        <v>562282</v>
      </c>
      <c r="EB72" s="344">
        <f>'[2]Foundation Grant'!$P$1</f>
        <v>1124565</v>
      </c>
      <c r="EC72" s="345">
        <f>'[2]basic allocation'!$C$10</f>
        <v>18749</v>
      </c>
      <c r="ED72" s="345">
        <f>'[2]basic allocation'!$D$10</f>
        <v>9375</v>
      </c>
      <c r="EE72" s="345">
        <f>'[2]basic allocation'!$E$10</f>
        <v>9375</v>
      </c>
      <c r="EF72" s="345">
        <f>'[2]basic allocation'!$I$10</f>
        <v>938</v>
      </c>
      <c r="EG72" s="345">
        <f>'[2]basic allocation'!$J$10</f>
        <v>703</v>
      </c>
      <c r="EH72" s="345">
        <f>'[2]basic allocation'!$K$10</f>
        <v>469</v>
      </c>
      <c r="EI72" s="345">
        <f>'[2]basic allocation'!$L$10</f>
        <v>234</v>
      </c>
      <c r="EJ72" s="345">
        <f>'[2]basic allocation'!$M$10</f>
        <v>100</v>
      </c>
      <c r="EK72" s="345">
        <f>'[2]PBF Run'!$AT79</f>
        <v>0</v>
      </c>
      <c r="EM72" s="477"/>
    </row>
    <row r="73" spans="1:143">
      <c r="A73" s="476" t="s">
        <v>605</v>
      </c>
      <c r="B73" s="475" t="str">
        <f t="shared" si="73"/>
        <v>P1</v>
      </c>
      <c r="C73" s="346" t="s">
        <v>259</v>
      </c>
      <c r="D73" s="450" t="s">
        <v>258</v>
      </c>
      <c r="E73" s="449">
        <f>ROUND('[2]PBF Run'!N80,6)</f>
        <v>4636.4928159999999</v>
      </c>
      <c r="F73" s="340">
        <f t="shared" si="74"/>
        <v>4636.49</v>
      </c>
      <c r="G73" s="474">
        <f t="shared" si="75"/>
        <v>2788.0536374600001</v>
      </c>
      <c r="H73" s="473">
        <f t="shared" si="76"/>
        <v>2811.7520933800001</v>
      </c>
      <c r="I73" s="473">
        <f t="shared" si="77"/>
        <v>3282.8110613200001</v>
      </c>
      <c r="J73" s="473">
        <f t="shared" si="78"/>
        <v>3310.71495534</v>
      </c>
      <c r="K73" s="472">
        <f>ROUND([2]FTES!C80,3)</f>
        <v>6545.48</v>
      </c>
      <c r="L73" s="472">
        <f>ROUND([2]FTES!L80,3)</f>
        <v>138.53</v>
      </c>
      <c r="M73" s="472">
        <f>ROUND([2]FTES!U80,3)</f>
        <v>0</v>
      </c>
      <c r="N73" s="465">
        <f>ROUND([2]FTES!$D80,3)</f>
        <v>6545.48</v>
      </c>
      <c r="O73" s="465">
        <f>ROUND([2]FTES!$M80,3)</f>
        <v>138.53</v>
      </c>
      <c r="P73" s="465">
        <f>ROUND([2]FTES!$V80,3)</f>
        <v>0</v>
      </c>
      <c r="Q73" s="471">
        <f>'[2]FTES Adjustment'!BU80</f>
        <v>838.96093699999994</v>
      </c>
      <c r="R73" s="471">
        <f>'[2]FTES Adjustment'!BV80</f>
        <v>0</v>
      </c>
      <c r="S73" s="471">
        <f>'[2]FTES Adjustment'!BW80</f>
        <v>0</v>
      </c>
      <c r="T73" s="469">
        <f>ROUND('[2]Growth Deficit'!$AG80,3)</f>
        <v>0</v>
      </c>
      <c r="U73" s="469">
        <f>ROUND('[2]Growth Deficit'!$AH80,3)</f>
        <v>0</v>
      </c>
      <c r="V73" s="469">
        <f>ROUND('[2]Growth Deficit'!$AI80,3)</f>
        <v>0</v>
      </c>
      <c r="W73" s="470">
        <f>ROUND([2]FTES!I80,3)</f>
        <v>0</v>
      </c>
      <c r="X73" s="470">
        <f>ROUND([2]FTES!R80,3)</f>
        <v>0</v>
      </c>
      <c r="Y73" s="470">
        <f>ROUND([2]FTES!AA80,3)</f>
        <v>0</v>
      </c>
      <c r="Z73" s="469">
        <f>ROUND([2]FTES!E80,3)</f>
        <v>7475.92</v>
      </c>
      <c r="AA73" s="469">
        <f>ROUND([2]FTES!N80,3)</f>
        <v>150.30000000000001</v>
      </c>
      <c r="AB73" s="469">
        <f>ROUND([2]FTES!W80,3)</f>
        <v>0</v>
      </c>
      <c r="AC73" s="468">
        <f>'[2]FTES Adjustment'!CW80</f>
        <v>7475.9199509999999</v>
      </c>
      <c r="AD73" s="468">
        <f>'[2]FTES Adjustment'!CX80</f>
        <v>150.30000000000001</v>
      </c>
      <c r="AE73" s="468">
        <f>'[2]FTES Adjustment'!CY80</f>
        <v>0</v>
      </c>
      <c r="AF73" s="467">
        <f>'[2]FTES Adjustment'!DQ80</f>
        <v>4.9000000217347406E-5</v>
      </c>
      <c r="AG73" s="467">
        <f>'[2]FTES Adjustment'!DR80</f>
        <v>0</v>
      </c>
      <c r="AH73" s="467">
        <f>'[2]FTES Adjustment'!DS80</f>
        <v>0</v>
      </c>
      <c r="AI73" s="340">
        <f>'[2]FTES Adjustment'!$DX80</f>
        <v>0</v>
      </c>
      <c r="AJ73" s="340">
        <v>0</v>
      </c>
      <c r="AK73" s="340">
        <v>0</v>
      </c>
      <c r="AL73" s="465">
        <f>'[2]FTES Adjustment'!CG80</f>
        <v>91.479014000000006</v>
      </c>
      <c r="AM73" s="465">
        <f>'[2]FTES Adjustment'!CH80</f>
        <v>11.77</v>
      </c>
      <c r="AN73" s="465">
        <f>'[2]FTES Adjustment'!CI80</f>
        <v>0</v>
      </c>
      <c r="AO73" s="463">
        <f t="shared" si="54"/>
        <v>6684.01</v>
      </c>
      <c r="AP73" s="463">
        <f t="shared" si="55"/>
        <v>6684.01</v>
      </c>
      <c r="AQ73" s="463">
        <f t="shared" si="56"/>
        <v>838.96100000000001</v>
      </c>
      <c r="AR73" s="463">
        <f t="shared" si="57"/>
        <v>0</v>
      </c>
      <c r="AS73" s="463">
        <f t="shared" si="58"/>
        <v>0</v>
      </c>
      <c r="AT73" s="463">
        <f t="shared" si="59"/>
        <v>7626.22</v>
      </c>
      <c r="AU73" s="463">
        <f t="shared" si="60"/>
        <v>7626.22</v>
      </c>
      <c r="AV73" s="464">
        <f t="shared" si="61"/>
        <v>0</v>
      </c>
      <c r="AW73" s="464">
        <f t="shared" si="62"/>
        <v>0</v>
      </c>
      <c r="AX73" s="464">
        <f t="shared" si="63"/>
        <v>103.249</v>
      </c>
      <c r="AY73" s="460">
        <f>'[2]PBF Run'!F80</f>
        <v>8434235</v>
      </c>
      <c r="AZ73" s="460">
        <f t="shared" si="64"/>
        <v>30734300</v>
      </c>
      <c r="BA73" s="460">
        <f>'[2]PBF Run'!J80 + '[2]PBF Run'!$L80</f>
        <v>30348071</v>
      </c>
      <c r="BB73" s="460">
        <f>'[2]PBF Run'!H80</f>
        <v>386229</v>
      </c>
      <c r="BC73" s="460">
        <f>'[2]PBF Run'!I80</f>
        <v>0</v>
      </c>
      <c r="BD73" s="462">
        <v>0</v>
      </c>
      <c r="BE73" s="461">
        <f>'[2]Restoration and Growth'!BM80</f>
        <v>0</v>
      </c>
      <c r="BF73" s="460">
        <f t="shared" si="65"/>
        <v>39168535</v>
      </c>
      <c r="BG73" s="333" t="str">
        <f t="shared" si="79"/>
        <v>0.85%</v>
      </c>
      <c r="BH73" s="459">
        <f>'[2]PBF Run'!O80</f>
        <v>332933</v>
      </c>
      <c r="BI73" s="459">
        <f t="shared" si="66"/>
        <v>39501468</v>
      </c>
      <c r="BJ73" s="458">
        <f>'[2]PBF Run'!AC80</f>
        <v>0</v>
      </c>
      <c r="BK73" s="458">
        <f>'[2]PBF Run'!$AD80</f>
        <v>0</v>
      </c>
      <c r="BL73" s="458">
        <f>'[2]PBF Run'!$T80</f>
        <v>3922900</v>
      </c>
      <c r="BM73" s="458">
        <f>'[2]PBF Run'!$S80</f>
        <v>460841</v>
      </c>
      <c r="BN73" s="458">
        <f>'[2]13-14 $86M Workload Restore'!$P78</f>
        <v>0</v>
      </c>
      <c r="BO73" s="458">
        <f t="shared" si="67"/>
        <v>4383741</v>
      </c>
      <c r="BP73" s="478">
        <f>'[2]Restoration and Growth'!AA80</f>
        <v>0</v>
      </c>
      <c r="BQ73" s="478">
        <f>'[2]Restoration and Growth'!AB80</f>
        <v>0</v>
      </c>
      <c r="BR73" s="453">
        <f>'[2]Restoration and Growth'!BT80</f>
        <v>0</v>
      </c>
      <c r="BS73" s="453">
        <f>'[2]Growth Deficit'!$AO80</f>
        <v>0</v>
      </c>
      <c r="BT73" s="453">
        <f>'[2]Growth Deficit'!AO80</f>
        <v>0</v>
      </c>
      <c r="BU73" s="453">
        <f>'[2]Growth Deficit'!AL80</f>
        <v>0</v>
      </c>
      <c r="BV73" s="453">
        <f>'[2]Growth Deficit'!AM80</f>
        <v>0</v>
      </c>
      <c r="BW73" s="453">
        <f>'[2]Growth Deficit'!AN80</f>
        <v>0</v>
      </c>
      <c r="BX73" s="453">
        <f>'[2]Growth Deficit'!AO80</f>
        <v>0</v>
      </c>
      <c r="BY73" s="454">
        <f>'[2]PBF Run'!AA80</f>
        <v>0</v>
      </c>
      <c r="BZ73" s="454">
        <f>'[2]PBF Run'!AB80</f>
        <v>0</v>
      </c>
      <c r="CA73" s="454">
        <f>'[2]PBF Run'!AC80</f>
        <v>0</v>
      </c>
      <c r="CB73" s="454">
        <f t="shared" si="68"/>
        <v>0</v>
      </c>
      <c r="CC73" s="457">
        <f>'[2]PBF Run'!X80</f>
        <v>0</v>
      </c>
      <c r="CD73" s="456">
        <f>'[2]PBF Run'!AE80</f>
        <v>43885209</v>
      </c>
      <c r="CE73" s="337">
        <f t="shared" si="69"/>
        <v>0.98518541862247944</v>
      </c>
      <c r="CF73" s="455">
        <f>'[2]PBF Run'!AM80</f>
        <v>650141</v>
      </c>
      <c r="CG73" s="455">
        <f>'[2]PBF Run'!$AN80</f>
        <v>12367596</v>
      </c>
      <c r="CH73" s="455">
        <f>'[2]PBF Run'!$AO80</f>
        <v>0</v>
      </c>
      <c r="CI73" s="455">
        <f>'[2]PBF Run'!AJ80</f>
        <v>22496641</v>
      </c>
      <c r="CJ73" s="455">
        <f>'[2]PBF Run'!AI80</f>
        <v>1413947</v>
      </c>
      <c r="CK73" s="455">
        <f>'[2]PBF Run'!$AN80</f>
        <v>12367596</v>
      </c>
      <c r="CL73" s="455">
        <f>'[2]PBF Run'!AK80</f>
        <v>6956884</v>
      </c>
      <c r="CM73" s="455">
        <f t="shared" si="70"/>
        <v>43235068</v>
      </c>
      <c r="CN73" s="454">
        <f>'[2]PBF Run'!$AN80</f>
        <v>12367596</v>
      </c>
      <c r="CO73" s="454">
        <f>'[2]PBF Run'!BI80</f>
        <v>0</v>
      </c>
      <c r="CP73" s="339">
        <f>'[2]PBF Run'!BH80</f>
        <v>0</v>
      </c>
      <c r="CQ73" s="454">
        <f t="shared" si="80"/>
        <v>69532</v>
      </c>
      <c r="CR73" s="454">
        <f t="shared" si="71"/>
        <v>12367596</v>
      </c>
      <c r="CS73" s="453">
        <f>'[2]As of 13-14 R1'!BX80</f>
        <v>0</v>
      </c>
      <c r="CT73" s="453">
        <f>'[2]As of 13-14 R1'!BY80</f>
        <v>0</v>
      </c>
      <c r="CU73" s="453">
        <f>'[2]As of 13-14 R1'!BZ80</f>
        <v>3889836</v>
      </c>
      <c r="CV73" s="453">
        <f t="shared" si="72"/>
        <v>3889836</v>
      </c>
      <c r="CW73" s="342">
        <f>'[2]Growth Deficit'!$D$2</f>
        <v>0</v>
      </c>
      <c r="CX73" s="343">
        <f>IF($DL73="S",'[2]Foundation Grant'!C80,0)</f>
        <v>0</v>
      </c>
      <c r="CY73" s="343">
        <f>IF($DL73="S",'[2]Foundation Grant'!D80,0)</f>
        <v>0</v>
      </c>
      <c r="CZ73" s="343">
        <f>IF($DL73="S",'[2]Foundation Grant'!E80,0)</f>
        <v>0</v>
      </c>
      <c r="DA73" s="343">
        <f>IF($DL73="S",'[2]Foundation Grant'!F80,0)</f>
        <v>0</v>
      </c>
      <c r="DB73" s="343">
        <f>IF($DL73="M",'[2]Foundation Grant'!C80,0)</f>
        <v>0</v>
      </c>
      <c r="DC73" s="343">
        <f>IF($DL73="M",'[2]Foundation Grant'!D80,0)</f>
        <v>0</v>
      </c>
      <c r="DD73" s="343">
        <f>IF($DL73="M",'[2]Foundation Grant'!E80,0)</f>
        <v>2</v>
      </c>
      <c r="DE73" s="343">
        <f>IF($DL73="M",'[2]Foundation Grant'!F80,0)</f>
        <v>2</v>
      </c>
      <c r="DF73" s="343">
        <f>'[2]Foundation Grant'!G80</f>
        <v>0</v>
      </c>
      <c r="DG73" s="343">
        <f>'[2]Foundation Grant'!H80</f>
        <v>0</v>
      </c>
      <c r="DH73" s="343">
        <f>'[2]Foundation Grant'!I80</f>
        <v>1</v>
      </c>
      <c r="DI73" s="343">
        <f>'[2]Foundation Grant'!J80</f>
        <v>0</v>
      </c>
      <c r="DJ73" s="343">
        <f>'[2]Foundation Grant'!K80</f>
        <v>0</v>
      </c>
      <c r="DK73" s="452">
        <f>'[2]Foundation Grant'!L80</f>
        <v>1</v>
      </c>
      <c r="DL73" s="343" t="str">
        <f>'[2]Foundation Grant'!M80</f>
        <v>M</v>
      </c>
      <c r="DM73" s="343">
        <f>'[2]Foundation Grant'!N80</f>
        <v>8434235</v>
      </c>
      <c r="DN73" s="452">
        <f>'[2]Foundation Grant'!O80</f>
        <v>0</v>
      </c>
      <c r="DO73" s="452">
        <f>'[2]Foundation Grant'!P80</f>
        <v>1</v>
      </c>
      <c r="DP73" s="344">
        <f>'[2]Foundation Grant'!$C$1</f>
        <v>5622823</v>
      </c>
      <c r="DQ73" s="344">
        <f>'[2]Foundation Grant'!$D$1</f>
        <v>4498258</v>
      </c>
      <c r="DR73" s="344">
        <f>'[2]Foundation Grant'!$E$1</f>
        <v>3373694</v>
      </c>
      <c r="DS73" s="344">
        <f>'[2]Foundation Grant'!$C$2</f>
        <v>4498258</v>
      </c>
      <c r="DT73" s="344">
        <f>'[2]Foundation Grant'!$D$2</f>
        <v>3935976</v>
      </c>
      <c r="DU73" s="344">
        <f>'[2]Foundation Grant'!$E$2</f>
        <v>3373694</v>
      </c>
      <c r="DV73" s="344">
        <f>'[2]Foundation Grant'!$G$1</f>
        <v>1124565</v>
      </c>
      <c r="DW73" s="344">
        <f>'[2]Foundation Grant'!$H$1</f>
        <v>843423</v>
      </c>
      <c r="DX73" s="344">
        <f>'[2]Foundation Grant'!$I$1</f>
        <v>562282</v>
      </c>
      <c r="DY73" s="344">
        <f>'[2]Foundation Grant'!$J$1</f>
        <v>281141</v>
      </c>
      <c r="DZ73" s="344">
        <f>'[2]Foundation Grant'!$K$1</f>
        <v>140571</v>
      </c>
      <c r="EA73" s="344">
        <f>'[2]Foundation Grant'!$O$1</f>
        <v>562282</v>
      </c>
      <c r="EB73" s="344">
        <f>'[2]Foundation Grant'!$P$1</f>
        <v>1124565</v>
      </c>
      <c r="EC73" s="345">
        <f>'[2]basic allocation'!$C$10</f>
        <v>18749</v>
      </c>
      <c r="ED73" s="345">
        <f>'[2]basic allocation'!$D$10</f>
        <v>9375</v>
      </c>
      <c r="EE73" s="345">
        <f>'[2]basic allocation'!$E$10</f>
        <v>9375</v>
      </c>
      <c r="EF73" s="345">
        <f>'[2]basic allocation'!$I$10</f>
        <v>938</v>
      </c>
      <c r="EG73" s="345">
        <f>'[2]basic allocation'!$J$10</f>
        <v>703</v>
      </c>
      <c r="EH73" s="345">
        <f>'[2]basic allocation'!$K$10</f>
        <v>469</v>
      </c>
      <c r="EI73" s="345">
        <f>'[2]basic allocation'!$L$10</f>
        <v>234</v>
      </c>
      <c r="EJ73" s="345">
        <f>'[2]basic allocation'!$M$10</f>
        <v>100</v>
      </c>
      <c r="EK73" s="345">
        <f>'[2]PBF Run'!$AT80</f>
        <v>0</v>
      </c>
      <c r="EM73" s="477"/>
    </row>
    <row r="74" spans="1:143">
      <c r="A74" s="476" t="s">
        <v>605</v>
      </c>
      <c r="B74" s="475" t="str">
        <f t="shared" si="73"/>
        <v>P1</v>
      </c>
      <c r="C74" s="450" t="s">
        <v>256</v>
      </c>
      <c r="D74" s="450" t="s">
        <v>255</v>
      </c>
      <c r="E74" s="449">
        <f>ROUND('[2]PBF Run'!N82,6)</f>
        <v>4636.4928540000001</v>
      </c>
      <c r="F74" s="340">
        <f t="shared" si="74"/>
        <v>4636.49</v>
      </c>
      <c r="G74" s="474">
        <f t="shared" si="75"/>
        <v>2788.0536374600001</v>
      </c>
      <c r="H74" s="473">
        <f t="shared" si="76"/>
        <v>2811.7520933800001</v>
      </c>
      <c r="I74" s="473">
        <f t="shared" si="77"/>
        <v>3282.8110613200001</v>
      </c>
      <c r="J74" s="473">
        <f t="shared" si="78"/>
        <v>3310.71495534</v>
      </c>
      <c r="K74" s="472">
        <f t="shared" ref="K74:BF74" si="81">SUM(K2:K73)</f>
        <v>1046155.2540000001</v>
      </c>
      <c r="L74" s="472">
        <f t="shared" si="81"/>
        <v>29356.152999999984</v>
      </c>
      <c r="M74" s="472">
        <f t="shared" si="81"/>
        <v>37600.480000000003</v>
      </c>
      <c r="N74" s="465">
        <f t="shared" si="81"/>
        <v>1046155.2540000001</v>
      </c>
      <c r="O74" s="465">
        <f t="shared" si="81"/>
        <v>29356.152999999984</v>
      </c>
      <c r="P74" s="465">
        <f t="shared" si="81"/>
        <v>37600.480000000003</v>
      </c>
      <c r="Q74" s="471">
        <f t="shared" si="81"/>
        <v>8351.5093500000003</v>
      </c>
      <c r="R74" s="471">
        <f t="shared" si="81"/>
        <v>128.370138</v>
      </c>
      <c r="S74" s="471">
        <f t="shared" si="81"/>
        <v>105.076397</v>
      </c>
      <c r="T74" s="469">
        <f t="shared" si="81"/>
        <v>0</v>
      </c>
      <c r="U74" s="469">
        <f t="shared" si="81"/>
        <v>0</v>
      </c>
      <c r="V74" s="469">
        <f t="shared" si="81"/>
        <v>0</v>
      </c>
      <c r="W74" s="470">
        <f t="shared" si="81"/>
        <v>-13516.474</v>
      </c>
      <c r="X74" s="470">
        <f t="shared" si="81"/>
        <v>-1545.9929999999999</v>
      </c>
      <c r="Y74" s="470">
        <f t="shared" si="81"/>
        <v>-1524.37</v>
      </c>
      <c r="Z74" s="469">
        <f t="shared" si="81"/>
        <v>1077631.9899999998</v>
      </c>
      <c r="AA74" s="469">
        <f t="shared" si="81"/>
        <v>30453.609999999997</v>
      </c>
      <c r="AB74" s="469">
        <f t="shared" si="81"/>
        <v>35455.69999999999</v>
      </c>
      <c r="AC74" s="468">
        <f t="shared" si="81"/>
        <v>1070014.6524750001</v>
      </c>
      <c r="AD74" s="468">
        <f t="shared" si="81"/>
        <v>30453.610115503023</v>
      </c>
      <c r="AE74" s="468">
        <f t="shared" si="81"/>
        <v>35455.69999999999</v>
      </c>
      <c r="AF74" s="496">
        <f t="shared" si="81"/>
        <v>7617.337524999999</v>
      </c>
      <c r="AG74" s="467">
        <f t="shared" si="81"/>
        <v>-1.1550301850604683E-4</v>
      </c>
      <c r="AH74" s="467">
        <f t="shared" si="81"/>
        <v>-4.4408920985006262E-16</v>
      </c>
      <c r="AI74" s="466">
        <f t="shared" si="81"/>
        <v>0</v>
      </c>
      <c r="AJ74" s="466">
        <f t="shared" si="81"/>
        <v>0</v>
      </c>
      <c r="AK74" s="466">
        <f t="shared" si="81"/>
        <v>0</v>
      </c>
      <c r="AL74" s="465">
        <f t="shared" si="81"/>
        <v>29024.360902</v>
      </c>
      <c r="AM74" s="465">
        <f t="shared" si="81"/>
        <v>2515.079901000001</v>
      </c>
      <c r="AN74" s="465">
        <f t="shared" si="81"/>
        <v>-725.48640200000045</v>
      </c>
      <c r="AO74" s="463">
        <f t="shared" si="81"/>
        <v>1113111.8870000006</v>
      </c>
      <c r="AP74" s="463">
        <f t="shared" si="81"/>
        <v>1113111.8870000006</v>
      </c>
      <c r="AQ74" s="463">
        <f t="shared" si="81"/>
        <v>8584.9560000000001</v>
      </c>
      <c r="AR74" s="463">
        <f t="shared" si="81"/>
        <v>0</v>
      </c>
      <c r="AS74" s="463">
        <f t="shared" si="81"/>
        <v>-16586.837</v>
      </c>
      <c r="AT74" s="463">
        <f t="shared" si="81"/>
        <v>1143541.2999999993</v>
      </c>
      <c r="AU74" s="463">
        <f t="shared" si="81"/>
        <v>1135923.9609999994</v>
      </c>
      <c r="AV74" s="464">
        <f t="shared" si="81"/>
        <v>7617.3390000000009</v>
      </c>
      <c r="AW74" s="464">
        <f t="shared" si="81"/>
        <v>0</v>
      </c>
      <c r="AX74" s="463">
        <f t="shared" si="81"/>
        <v>30813.954000000002</v>
      </c>
      <c r="AY74" s="460">
        <f t="shared" si="81"/>
        <v>515612886</v>
      </c>
      <c r="AZ74" s="460">
        <f t="shared" si="81"/>
        <v>5070364554</v>
      </c>
      <c r="BA74" s="460">
        <f t="shared" si="81"/>
        <v>4865082751</v>
      </c>
      <c r="BB74" s="460">
        <f t="shared" si="81"/>
        <v>81846531</v>
      </c>
      <c r="BC74" s="460">
        <f t="shared" si="81"/>
        <v>123435272</v>
      </c>
      <c r="BD74" s="462">
        <f t="shared" si="81"/>
        <v>0</v>
      </c>
      <c r="BE74" s="461">
        <f t="shared" si="81"/>
        <v>-71983564.700049579</v>
      </c>
      <c r="BF74" s="460">
        <f t="shared" si="81"/>
        <v>5513993875.2999525</v>
      </c>
      <c r="BG74" s="333" t="str">
        <f t="shared" si="79"/>
        <v>0.85%</v>
      </c>
      <c r="BH74" s="459">
        <f t="shared" ref="BH74:BO74" si="82">SUM(BH2:BH73)</f>
        <v>46868949</v>
      </c>
      <c r="BI74" s="459">
        <f t="shared" si="82"/>
        <v>5560862824.2999525</v>
      </c>
      <c r="BJ74" s="458">
        <f t="shared" si="82"/>
        <v>-562282</v>
      </c>
      <c r="BK74" s="458">
        <f t="shared" si="82"/>
        <v>-4779</v>
      </c>
      <c r="BL74" s="495">
        <f t="shared" si="82"/>
        <v>39759671</v>
      </c>
      <c r="BM74" s="495">
        <f t="shared" si="82"/>
        <v>140385000</v>
      </c>
      <c r="BN74" s="458">
        <f t="shared" si="82"/>
        <v>0</v>
      </c>
      <c r="BO74" s="458">
        <f t="shared" si="82"/>
        <v>179577610</v>
      </c>
      <c r="BR74" s="453">
        <f t="shared" ref="BR74:CD74" si="83">SUM(BR2:BR73)</f>
        <v>0</v>
      </c>
      <c r="BS74" s="453">
        <f t="shared" si="83"/>
        <v>0</v>
      </c>
      <c r="BT74" s="453">
        <f t="shared" si="83"/>
        <v>0</v>
      </c>
      <c r="BU74" s="453">
        <f t="shared" si="83"/>
        <v>0</v>
      </c>
      <c r="BV74" s="453">
        <f t="shared" si="83"/>
        <v>0</v>
      </c>
      <c r="BW74" s="453">
        <f t="shared" si="83"/>
        <v>0</v>
      </c>
      <c r="BX74" s="453">
        <f t="shared" si="83"/>
        <v>0</v>
      </c>
      <c r="BY74" s="454">
        <f t="shared" si="83"/>
        <v>-148826</v>
      </c>
      <c r="BZ74" s="454">
        <f t="shared" si="83"/>
        <v>0</v>
      </c>
      <c r="CA74" s="454">
        <f t="shared" si="83"/>
        <v>-562282</v>
      </c>
      <c r="CB74" s="454">
        <f t="shared" si="83"/>
        <v>-148826</v>
      </c>
      <c r="CC74" s="457">
        <f t="shared" si="83"/>
        <v>72595425</v>
      </c>
      <c r="CD74" s="456">
        <f t="shared" si="83"/>
        <v>5812887033</v>
      </c>
      <c r="CE74" s="337">
        <f t="shared" si="69"/>
        <v>0.98634729359964146</v>
      </c>
      <c r="CF74" s="455">
        <f t="shared" ref="CF74:CP74" si="84">SUM(CF2:CF73)</f>
        <v>79361640</v>
      </c>
      <c r="CG74" s="455">
        <f t="shared" si="84"/>
        <v>2303053000</v>
      </c>
      <c r="CH74" s="455">
        <f t="shared" si="84"/>
        <v>173175560</v>
      </c>
      <c r="CI74" s="455">
        <f t="shared" si="84"/>
        <v>2384659929</v>
      </c>
      <c r="CJ74" s="455">
        <f t="shared" si="84"/>
        <v>398912174</v>
      </c>
      <c r="CK74" s="455">
        <f t="shared" si="84"/>
        <v>2303053000</v>
      </c>
      <c r="CL74" s="455">
        <f t="shared" si="84"/>
        <v>820075850</v>
      </c>
      <c r="CM74" s="455">
        <f t="shared" si="84"/>
        <v>5733525393</v>
      </c>
      <c r="CN74" s="454">
        <f t="shared" si="84"/>
        <v>2303053000</v>
      </c>
      <c r="CO74" s="454">
        <f t="shared" si="84"/>
        <v>0</v>
      </c>
      <c r="CP74" s="339">
        <f t="shared" si="84"/>
        <v>0</v>
      </c>
      <c r="CQ74" s="454"/>
      <c r="CR74" s="454">
        <f>SUM(CR2:CR73)</f>
        <v>2303053000</v>
      </c>
      <c r="CS74" s="453">
        <f>SUM(CS2:CS73)</f>
        <v>16301238</v>
      </c>
      <c r="CT74" s="453">
        <f>SUM(CT2:CT73)</f>
        <v>22566585</v>
      </c>
      <c r="CU74" s="453">
        <f>SUM(CU2:CU73)</f>
        <v>57074771</v>
      </c>
      <c r="CV74" s="453">
        <f>SUM(CV2:CV73)</f>
        <v>95942594</v>
      </c>
      <c r="CW74" s="342">
        <f>'[2]Growth Deficit'!$D$2</f>
        <v>0</v>
      </c>
      <c r="CX74" s="452">
        <f t="shared" ref="CX74:DK74" si="85">SUM(CX2:CX73)</f>
        <v>7</v>
      </c>
      <c r="CY74" s="452">
        <f t="shared" si="85"/>
        <v>20</v>
      </c>
      <c r="CZ74" s="452">
        <f t="shared" si="85"/>
        <v>25</v>
      </c>
      <c r="DA74" s="452">
        <f t="shared" si="85"/>
        <v>52</v>
      </c>
      <c r="DB74" s="452">
        <f t="shared" si="85"/>
        <v>3</v>
      </c>
      <c r="DC74" s="452">
        <f t="shared" si="85"/>
        <v>27</v>
      </c>
      <c r="DD74" s="452">
        <f t="shared" si="85"/>
        <v>32</v>
      </c>
      <c r="DE74" s="452">
        <f t="shared" si="85"/>
        <v>62</v>
      </c>
      <c r="DF74" s="452">
        <f t="shared" si="85"/>
        <v>23</v>
      </c>
      <c r="DG74" s="452">
        <f t="shared" si="85"/>
        <v>0</v>
      </c>
      <c r="DH74" s="452">
        <f t="shared" si="85"/>
        <v>3</v>
      </c>
      <c r="DI74" s="452">
        <f t="shared" si="85"/>
        <v>9</v>
      </c>
      <c r="DJ74" s="452">
        <f t="shared" si="85"/>
        <v>2</v>
      </c>
      <c r="DK74" s="452">
        <f t="shared" si="85"/>
        <v>37</v>
      </c>
      <c r="DL74" s="452" t="s">
        <v>254</v>
      </c>
      <c r="DM74" s="452">
        <f>SUM(DM2:DM73)</f>
        <v>515050604</v>
      </c>
      <c r="DN74" s="452">
        <f>SUM(DN2:DN73)</f>
        <v>11</v>
      </c>
      <c r="DO74" s="452">
        <f>SUM(DO2:DO73)</f>
        <v>33</v>
      </c>
      <c r="DP74" s="344">
        <f>'[2]Foundation Grant'!$C$1</f>
        <v>5622823</v>
      </c>
      <c r="DQ74" s="344">
        <f>'[2]Foundation Grant'!$D$1</f>
        <v>4498258</v>
      </c>
      <c r="DR74" s="344">
        <f>'[2]Foundation Grant'!$E$1</f>
        <v>3373694</v>
      </c>
      <c r="DS74" s="344">
        <f>'[2]Foundation Grant'!$C$2</f>
        <v>4498258</v>
      </c>
      <c r="DT74" s="344">
        <f>'[2]Foundation Grant'!$D$2</f>
        <v>3935976</v>
      </c>
      <c r="DU74" s="344">
        <f>'[2]Foundation Grant'!$E$2</f>
        <v>3373694</v>
      </c>
      <c r="DV74" s="344">
        <f>'[2]Foundation Grant'!$G$1</f>
        <v>1124565</v>
      </c>
      <c r="DW74" s="344">
        <f>'[2]Foundation Grant'!$H$1</f>
        <v>843423</v>
      </c>
      <c r="DX74" s="344">
        <f>'[2]Foundation Grant'!$I$1</f>
        <v>562282</v>
      </c>
      <c r="DY74" s="344">
        <f>'[2]Foundation Grant'!$J$1</f>
        <v>281141</v>
      </c>
      <c r="DZ74" s="344">
        <f>'[2]Foundation Grant'!$K$1</f>
        <v>140571</v>
      </c>
      <c r="EA74" s="344">
        <f>'[2]Foundation Grant'!$O$1</f>
        <v>562282</v>
      </c>
      <c r="EB74" s="344">
        <f>'[2]Foundation Grant'!$P$1</f>
        <v>1124565</v>
      </c>
      <c r="EC74" s="345">
        <f>'[2]basic allocation'!$C$10</f>
        <v>18749</v>
      </c>
      <c r="ED74" s="345">
        <f>'[2]basic allocation'!$D$10</f>
        <v>9375</v>
      </c>
      <c r="EE74" s="345">
        <f>'[2]basic allocation'!$E$10</f>
        <v>9375</v>
      </c>
      <c r="EF74" s="345">
        <f>'[2]basic allocation'!$I$10</f>
        <v>938</v>
      </c>
      <c r="EG74" s="345">
        <f>'[2]basic allocation'!$J$10</f>
        <v>703</v>
      </c>
      <c r="EH74" s="345">
        <f>'[2]basic allocation'!$K$10</f>
        <v>469</v>
      </c>
      <c r="EI74" s="345">
        <f>'[2]basic allocation'!$L$10</f>
        <v>234</v>
      </c>
      <c r="EJ74" s="345">
        <f>'[2]basic allocation'!$M$10</f>
        <v>100</v>
      </c>
      <c r="EK74" s="345">
        <f>SUM(EK2:EK73)</f>
        <v>325000</v>
      </c>
    </row>
  </sheetData>
  <printOptions headings="1" gridLines="1"/>
  <pageMargins left="0.45" right="0.45" top="0.5" bottom="0.5" header="0.3" footer="0.3"/>
  <pageSetup scale="57" fitToWidth="12" orientation="portrait" r:id="rId1"/>
  <headerFooter>
    <oddHeader>&amp;L&amp;F&amp;C&amp;A&amp;R&amp;T</oddHeader>
    <oddFooter>&amp;L&amp;BState of California Confidential&amp;B&amp;C&amp;D&amp;RPage &amp;P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CI105"/>
  <sheetViews>
    <sheetView workbookViewId="0">
      <pane xSplit="1" ySplit="8" topLeftCell="BZ9" activePane="bottomRight" state="frozen"/>
      <selection pane="topRight" activeCell="B1" sqref="B1"/>
      <selection pane="bottomLeft" activeCell="A9" sqref="A9"/>
      <selection pane="bottomRight" activeCell="CB82" sqref="CB82"/>
    </sheetView>
  </sheetViews>
  <sheetFormatPr defaultRowHeight="12.75"/>
  <cols>
    <col min="1" max="1" width="25.28515625" style="523" customWidth="1"/>
    <col min="2" max="2" width="3.28515625" style="523" customWidth="1"/>
    <col min="3" max="4" width="9.7109375" style="523" hidden="1" customWidth="1"/>
    <col min="5" max="5" width="9" style="523" hidden="1" customWidth="1"/>
    <col min="6" max="8" width="10.5703125" style="523" hidden="1" customWidth="1"/>
    <col min="9" max="9" width="11.5703125" style="523" hidden="1" customWidth="1"/>
    <col min="10" max="10" width="10.5703125" style="523" hidden="1" customWidth="1"/>
    <col min="11" max="11" width="13.28515625" style="523" hidden="1" customWidth="1"/>
    <col min="12" max="12" width="11.5703125" style="523" hidden="1" customWidth="1"/>
    <col min="13" max="13" width="13.28515625" style="523" hidden="1" customWidth="1"/>
    <col min="14" max="14" width="12.140625" style="523" hidden="1" customWidth="1"/>
    <col min="15" max="15" width="14.42578125" style="523" hidden="1" customWidth="1"/>
    <col min="16" max="16" width="16.140625" style="523" hidden="1" customWidth="1"/>
    <col min="17" max="17" width="14.7109375" style="523" hidden="1" customWidth="1"/>
    <col min="18" max="18" width="14.85546875" style="523" hidden="1" customWidth="1"/>
    <col min="19" max="19" width="13.7109375" style="523" hidden="1" customWidth="1"/>
    <col min="20" max="20" width="11.5703125" style="523" hidden="1" customWidth="1"/>
    <col min="21" max="21" width="3.5703125" style="523" hidden="1" customWidth="1"/>
    <col min="22" max="22" width="11.85546875" style="523" hidden="1" customWidth="1"/>
    <col min="23" max="25" width="11.5703125" style="523" hidden="1" customWidth="1"/>
    <col min="26" max="26" width="12.5703125" style="523" hidden="1" customWidth="1"/>
    <col min="27" max="28" width="11.5703125" style="523" hidden="1" customWidth="1"/>
    <col min="29" max="29" width="2.85546875" style="523" hidden="1" customWidth="1"/>
    <col min="30" max="33" width="11.5703125" style="523" hidden="1" customWidth="1"/>
    <col min="34" max="34" width="12.42578125" style="523" hidden="1" customWidth="1"/>
    <col min="35" max="35" width="11.5703125" style="523" hidden="1" customWidth="1"/>
    <col min="36" max="36" width="12" style="523" hidden="1" customWidth="1"/>
    <col min="37" max="37" width="2.5703125" style="523" hidden="1" customWidth="1"/>
    <col min="38" max="39" width="10.85546875" style="523" hidden="1" customWidth="1"/>
    <col min="40" max="43" width="11.85546875" style="523" hidden="1" customWidth="1"/>
    <col min="44" max="44" width="11.5703125" style="523" hidden="1" customWidth="1"/>
    <col min="45" max="45" width="1.7109375" style="523" hidden="1" customWidth="1"/>
    <col min="46" max="46" width="10.85546875" style="523" hidden="1" customWidth="1"/>
    <col min="47" max="47" width="8" style="523" hidden="1" customWidth="1"/>
    <col min="48" max="49" width="10.85546875" style="523" hidden="1" customWidth="1"/>
    <col min="50" max="50" width="11.85546875" style="523" hidden="1" customWidth="1"/>
    <col min="51" max="51" width="12.5703125" style="523" hidden="1" customWidth="1"/>
    <col min="52" max="52" width="12.42578125" style="523" hidden="1" customWidth="1"/>
    <col min="53" max="53" width="2.140625" style="523" hidden="1" customWidth="1"/>
    <col min="54" max="55" width="10" style="523" hidden="1" customWidth="1"/>
    <col min="56" max="56" width="13.5703125" style="523" hidden="1" customWidth="1"/>
    <col min="57" max="57" width="11.28515625" style="523" hidden="1" customWidth="1"/>
    <col min="58" max="59" width="11.7109375" style="523" hidden="1" customWidth="1"/>
    <col min="60" max="60" width="2.28515625" style="523" customWidth="1"/>
    <col min="61" max="62" width="10" style="523" customWidth="1"/>
    <col min="63" max="63" width="14.140625" style="523" customWidth="1"/>
    <col min="64" max="64" width="13.140625" style="523" customWidth="1"/>
    <col min="65" max="65" width="12.140625" style="523" customWidth="1"/>
    <col min="66" max="66" width="12" style="523" customWidth="1"/>
    <col min="67" max="67" width="9.140625" style="523"/>
    <col min="68" max="68" width="11.85546875" style="523" bestFit="1" customWidth="1"/>
    <col min="69" max="70" width="14.140625" style="523" customWidth="1"/>
    <col min="71" max="71" width="13.140625" style="523" customWidth="1"/>
    <col min="72" max="72" width="12.5703125" style="523" customWidth="1"/>
    <col min="73" max="73" width="12.140625" style="523" customWidth="1"/>
    <col min="74" max="74" width="12" style="523" customWidth="1"/>
    <col min="75" max="75" width="9.140625" style="523"/>
    <col min="76" max="76" width="11.85546875" style="523" bestFit="1" customWidth="1"/>
    <col min="77" max="78" width="14.140625" style="523" customWidth="1"/>
    <col min="79" max="79" width="13.140625" style="523" customWidth="1"/>
    <col min="80" max="80" width="12.5703125" style="523" customWidth="1"/>
    <col min="81" max="81" width="12.140625" style="523" customWidth="1"/>
    <col min="82" max="82" width="12" style="523" customWidth="1"/>
    <col min="83" max="83" width="9.140625" style="523"/>
    <col min="84" max="86" width="11.28515625" style="523" bestFit="1" customWidth="1"/>
    <col min="87" max="87" width="12.5703125" style="523" customWidth="1"/>
    <col min="88" max="256" width="9.140625" style="523"/>
    <col min="257" max="257" width="25.28515625" style="523" customWidth="1"/>
    <col min="258" max="258" width="3.28515625" style="523" customWidth="1"/>
    <col min="259" max="315" width="0" style="523" hidden="1" customWidth="1"/>
    <col min="316" max="316" width="2.28515625" style="523" customWidth="1"/>
    <col min="317" max="318" width="10" style="523" customWidth="1"/>
    <col min="319" max="319" width="14.140625" style="523" customWidth="1"/>
    <col min="320" max="320" width="13.140625" style="523" customWidth="1"/>
    <col min="321" max="321" width="12.140625" style="523" customWidth="1"/>
    <col min="322" max="322" width="12" style="523" customWidth="1"/>
    <col min="323" max="323" width="9.140625" style="523"/>
    <col min="324" max="324" width="11.85546875" style="523" bestFit="1" customWidth="1"/>
    <col min="325" max="326" width="14.140625" style="523" customWidth="1"/>
    <col min="327" max="327" width="13.140625" style="523" customWidth="1"/>
    <col min="328" max="328" width="12.5703125" style="523" customWidth="1"/>
    <col min="329" max="329" width="12.140625" style="523" customWidth="1"/>
    <col min="330" max="330" width="12" style="523" customWidth="1"/>
    <col min="331" max="331" width="9.140625" style="523"/>
    <col min="332" max="332" width="11.85546875" style="523" bestFit="1" customWidth="1"/>
    <col min="333" max="334" width="14.140625" style="523" customWidth="1"/>
    <col min="335" max="335" width="13.140625" style="523" customWidth="1"/>
    <col min="336" max="336" width="12.5703125" style="523" customWidth="1"/>
    <col min="337" max="337" width="12.140625" style="523" customWidth="1"/>
    <col min="338" max="338" width="12" style="523" customWidth="1"/>
    <col min="339" max="339" width="9.140625" style="523"/>
    <col min="340" max="342" width="11.28515625" style="523" bestFit="1" customWidth="1"/>
    <col min="343" max="343" width="12.5703125" style="523" customWidth="1"/>
    <col min="344" max="512" width="9.140625" style="523"/>
    <col min="513" max="513" width="25.28515625" style="523" customWidth="1"/>
    <col min="514" max="514" width="3.28515625" style="523" customWidth="1"/>
    <col min="515" max="571" width="0" style="523" hidden="1" customWidth="1"/>
    <col min="572" max="572" width="2.28515625" style="523" customWidth="1"/>
    <col min="573" max="574" width="10" style="523" customWidth="1"/>
    <col min="575" max="575" width="14.140625" style="523" customWidth="1"/>
    <col min="576" max="576" width="13.140625" style="523" customWidth="1"/>
    <col min="577" max="577" width="12.140625" style="523" customWidth="1"/>
    <col min="578" max="578" width="12" style="523" customWidth="1"/>
    <col min="579" max="579" width="9.140625" style="523"/>
    <col min="580" max="580" width="11.85546875" style="523" bestFit="1" customWidth="1"/>
    <col min="581" max="582" width="14.140625" style="523" customWidth="1"/>
    <col min="583" max="583" width="13.140625" style="523" customWidth="1"/>
    <col min="584" max="584" width="12.5703125" style="523" customWidth="1"/>
    <col min="585" max="585" width="12.140625" style="523" customWidth="1"/>
    <col min="586" max="586" width="12" style="523" customWidth="1"/>
    <col min="587" max="587" width="9.140625" style="523"/>
    <col min="588" max="588" width="11.85546875" style="523" bestFit="1" customWidth="1"/>
    <col min="589" max="590" width="14.140625" style="523" customWidth="1"/>
    <col min="591" max="591" width="13.140625" style="523" customWidth="1"/>
    <col min="592" max="592" width="12.5703125" style="523" customWidth="1"/>
    <col min="593" max="593" width="12.140625" style="523" customWidth="1"/>
    <col min="594" max="594" width="12" style="523" customWidth="1"/>
    <col min="595" max="595" width="9.140625" style="523"/>
    <col min="596" max="598" width="11.28515625" style="523" bestFit="1" customWidth="1"/>
    <col min="599" max="599" width="12.5703125" style="523" customWidth="1"/>
    <col min="600" max="768" width="9.140625" style="523"/>
    <col min="769" max="769" width="25.28515625" style="523" customWidth="1"/>
    <col min="770" max="770" width="3.28515625" style="523" customWidth="1"/>
    <col min="771" max="827" width="0" style="523" hidden="1" customWidth="1"/>
    <col min="828" max="828" width="2.28515625" style="523" customWidth="1"/>
    <col min="829" max="830" width="10" style="523" customWidth="1"/>
    <col min="831" max="831" width="14.140625" style="523" customWidth="1"/>
    <col min="832" max="832" width="13.140625" style="523" customWidth="1"/>
    <col min="833" max="833" width="12.140625" style="523" customWidth="1"/>
    <col min="834" max="834" width="12" style="523" customWidth="1"/>
    <col min="835" max="835" width="9.140625" style="523"/>
    <col min="836" max="836" width="11.85546875" style="523" bestFit="1" customWidth="1"/>
    <col min="837" max="838" width="14.140625" style="523" customWidth="1"/>
    <col min="839" max="839" width="13.140625" style="523" customWidth="1"/>
    <col min="840" max="840" width="12.5703125" style="523" customWidth="1"/>
    <col min="841" max="841" width="12.140625" style="523" customWidth="1"/>
    <col min="842" max="842" width="12" style="523" customWidth="1"/>
    <col min="843" max="843" width="9.140625" style="523"/>
    <col min="844" max="844" width="11.85546875" style="523" bestFit="1" customWidth="1"/>
    <col min="845" max="846" width="14.140625" style="523" customWidth="1"/>
    <col min="847" max="847" width="13.140625" style="523" customWidth="1"/>
    <col min="848" max="848" width="12.5703125" style="523" customWidth="1"/>
    <col min="849" max="849" width="12.140625" style="523" customWidth="1"/>
    <col min="850" max="850" width="12" style="523" customWidth="1"/>
    <col min="851" max="851" width="9.140625" style="523"/>
    <col min="852" max="854" width="11.28515625" style="523" bestFit="1" customWidth="1"/>
    <col min="855" max="855" width="12.5703125" style="523" customWidth="1"/>
    <col min="856" max="1024" width="9.140625" style="523"/>
    <col min="1025" max="1025" width="25.28515625" style="523" customWidth="1"/>
    <col min="1026" max="1026" width="3.28515625" style="523" customWidth="1"/>
    <col min="1027" max="1083" width="0" style="523" hidden="1" customWidth="1"/>
    <col min="1084" max="1084" width="2.28515625" style="523" customWidth="1"/>
    <col min="1085" max="1086" width="10" style="523" customWidth="1"/>
    <col min="1087" max="1087" width="14.140625" style="523" customWidth="1"/>
    <col min="1088" max="1088" width="13.140625" style="523" customWidth="1"/>
    <col min="1089" max="1089" width="12.140625" style="523" customWidth="1"/>
    <col min="1090" max="1090" width="12" style="523" customWidth="1"/>
    <col min="1091" max="1091" width="9.140625" style="523"/>
    <col min="1092" max="1092" width="11.85546875" style="523" bestFit="1" customWidth="1"/>
    <col min="1093" max="1094" width="14.140625" style="523" customWidth="1"/>
    <col min="1095" max="1095" width="13.140625" style="523" customWidth="1"/>
    <col min="1096" max="1096" width="12.5703125" style="523" customWidth="1"/>
    <col min="1097" max="1097" width="12.140625" style="523" customWidth="1"/>
    <col min="1098" max="1098" width="12" style="523" customWidth="1"/>
    <col min="1099" max="1099" width="9.140625" style="523"/>
    <col min="1100" max="1100" width="11.85546875" style="523" bestFit="1" customWidth="1"/>
    <col min="1101" max="1102" width="14.140625" style="523" customWidth="1"/>
    <col min="1103" max="1103" width="13.140625" style="523" customWidth="1"/>
    <col min="1104" max="1104" width="12.5703125" style="523" customWidth="1"/>
    <col min="1105" max="1105" width="12.140625" style="523" customWidth="1"/>
    <col min="1106" max="1106" width="12" style="523" customWidth="1"/>
    <col min="1107" max="1107" width="9.140625" style="523"/>
    <col min="1108" max="1110" width="11.28515625" style="523" bestFit="1" customWidth="1"/>
    <col min="1111" max="1111" width="12.5703125" style="523" customWidth="1"/>
    <col min="1112" max="1280" width="9.140625" style="523"/>
    <col min="1281" max="1281" width="25.28515625" style="523" customWidth="1"/>
    <col min="1282" max="1282" width="3.28515625" style="523" customWidth="1"/>
    <col min="1283" max="1339" width="0" style="523" hidden="1" customWidth="1"/>
    <col min="1340" max="1340" width="2.28515625" style="523" customWidth="1"/>
    <col min="1341" max="1342" width="10" style="523" customWidth="1"/>
    <col min="1343" max="1343" width="14.140625" style="523" customWidth="1"/>
    <col min="1344" max="1344" width="13.140625" style="523" customWidth="1"/>
    <col min="1345" max="1345" width="12.140625" style="523" customWidth="1"/>
    <col min="1346" max="1346" width="12" style="523" customWidth="1"/>
    <col min="1347" max="1347" width="9.140625" style="523"/>
    <col min="1348" max="1348" width="11.85546875" style="523" bestFit="1" customWidth="1"/>
    <col min="1349" max="1350" width="14.140625" style="523" customWidth="1"/>
    <col min="1351" max="1351" width="13.140625" style="523" customWidth="1"/>
    <col min="1352" max="1352" width="12.5703125" style="523" customWidth="1"/>
    <col min="1353" max="1353" width="12.140625" style="523" customWidth="1"/>
    <col min="1354" max="1354" width="12" style="523" customWidth="1"/>
    <col min="1355" max="1355" width="9.140625" style="523"/>
    <col min="1356" max="1356" width="11.85546875" style="523" bestFit="1" customWidth="1"/>
    <col min="1357" max="1358" width="14.140625" style="523" customWidth="1"/>
    <col min="1359" max="1359" width="13.140625" style="523" customWidth="1"/>
    <col min="1360" max="1360" width="12.5703125" style="523" customWidth="1"/>
    <col min="1361" max="1361" width="12.140625" style="523" customWidth="1"/>
    <col min="1362" max="1362" width="12" style="523" customWidth="1"/>
    <col min="1363" max="1363" width="9.140625" style="523"/>
    <col min="1364" max="1366" width="11.28515625" style="523" bestFit="1" customWidth="1"/>
    <col min="1367" max="1367" width="12.5703125" style="523" customWidth="1"/>
    <col min="1368" max="1536" width="9.140625" style="523"/>
    <col min="1537" max="1537" width="25.28515625" style="523" customWidth="1"/>
    <col min="1538" max="1538" width="3.28515625" style="523" customWidth="1"/>
    <col min="1539" max="1595" width="0" style="523" hidden="1" customWidth="1"/>
    <col min="1596" max="1596" width="2.28515625" style="523" customWidth="1"/>
    <col min="1597" max="1598" width="10" style="523" customWidth="1"/>
    <col min="1599" max="1599" width="14.140625" style="523" customWidth="1"/>
    <col min="1600" max="1600" width="13.140625" style="523" customWidth="1"/>
    <col min="1601" max="1601" width="12.140625" style="523" customWidth="1"/>
    <col min="1602" max="1602" width="12" style="523" customWidth="1"/>
    <col min="1603" max="1603" width="9.140625" style="523"/>
    <col min="1604" max="1604" width="11.85546875" style="523" bestFit="1" customWidth="1"/>
    <col min="1605" max="1606" width="14.140625" style="523" customWidth="1"/>
    <col min="1607" max="1607" width="13.140625" style="523" customWidth="1"/>
    <col min="1608" max="1608" width="12.5703125" style="523" customWidth="1"/>
    <col min="1609" max="1609" width="12.140625" style="523" customWidth="1"/>
    <col min="1610" max="1610" width="12" style="523" customWidth="1"/>
    <col min="1611" max="1611" width="9.140625" style="523"/>
    <col min="1612" max="1612" width="11.85546875" style="523" bestFit="1" customWidth="1"/>
    <col min="1613" max="1614" width="14.140625" style="523" customWidth="1"/>
    <col min="1615" max="1615" width="13.140625" style="523" customWidth="1"/>
    <col min="1616" max="1616" width="12.5703125" style="523" customWidth="1"/>
    <col min="1617" max="1617" width="12.140625" style="523" customWidth="1"/>
    <col min="1618" max="1618" width="12" style="523" customWidth="1"/>
    <col min="1619" max="1619" width="9.140625" style="523"/>
    <col min="1620" max="1622" width="11.28515625" style="523" bestFit="1" customWidth="1"/>
    <col min="1623" max="1623" width="12.5703125" style="523" customWidth="1"/>
    <col min="1624" max="1792" width="9.140625" style="523"/>
    <col min="1793" max="1793" width="25.28515625" style="523" customWidth="1"/>
    <col min="1794" max="1794" width="3.28515625" style="523" customWidth="1"/>
    <col min="1795" max="1851" width="0" style="523" hidden="1" customWidth="1"/>
    <col min="1852" max="1852" width="2.28515625" style="523" customWidth="1"/>
    <col min="1853" max="1854" width="10" style="523" customWidth="1"/>
    <col min="1855" max="1855" width="14.140625" style="523" customWidth="1"/>
    <col min="1856" max="1856" width="13.140625" style="523" customWidth="1"/>
    <col min="1857" max="1857" width="12.140625" style="523" customWidth="1"/>
    <col min="1858" max="1858" width="12" style="523" customWidth="1"/>
    <col min="1859" max="1859" width="9.140625" style="523"/>
    <col min="1860" max="1860" width="11.85546875" style="523" bestFit="1" customWidth="1"/>
    <col min="1861" max="1862" width="14.140625" style="523" customWidth="1"/>
    <col min="1863" max="1863" width="13.140625" style="523" customWidth="1"/>
    <col min="1864" max="1864" width="12.5703125" style="523" customWidth="1"/>
    <col min="1865" max="1865" width="12.140625" style="523" customWidth="1"/>
    <col min="1866" max="1866" width="12" style="523" customWidth="1"/>
    <col min="1867" max="1867" width="9.140625" style="523"/>
    <col min="1868" max="1868" width="11.85546875" style="523" bestFit="1" customWidth="1"/>
    <col min="1869" max="1870" width="14.140625" style="523" customWidth="1"/>
    <col min="1871" max="1871" width="13.140625" style="523" customWidth="1"/>
    <col min="1872" max="1872" width="12.5703125" style="523" customWidth="1"/>
    <col min="1873" max="1873" width="12.140625" style="523" customWidth="1"/>
    <col min="1874" max="1874" width="12" style="523" customWidth="1"/>
    <col min="1875" max="1875" width="9.140625" style="523"/>
    <col min="1876" max="1878" width="11.28515625" style="523" bestFit="1" customWidth="1"/>
    <col min="1879" max="1879" width="12.5703125" style="523" customWidth="1"/>
    <col min="1880" max="2048" width="9.140625" style="523"/>
    <col min="2049" max="2049" width="25.28515625" style="523" customWidth="1"/>
    <col min="2050" max="2050" width="3.28515625" style="523" customWidth="1"/>
    <col min="2051" max="2107" width="0" style="523" hidden="1" customWidth="1"/>
    <col min="2108" max="2108" width="2.28515625" style="523" customWidth="1"/>
    <col min="2109" max="2110" width="10" style="523" customWidth="1"/>
    <col min="2111" max="2111" width="14.140625" style="523" customWidth="1"/>
    <col min="2112" max="2112" width="13.140625" style="523" customWidth="1"/>
    <col min="2113" max="2113" width="12.140625" style="523" customWidth="1"/>
    <col min="2114" max="2114" width="12" style="523" customWidth="1"/>
    <col min="2115" max="2115" width="9.140625" style="523"/>
    <col min="2116" max="2116" width="11.85546875" style="523" bestFit="1" customWidth="1"/>
    <col min="2117" max="2118" width="14.140625" style="523" customWidth="1"/>
    <col min="2119" max="2119" width="13.140625" style="523" customWidth="1"/>
    <col min="2120" max="2120" width="12.5703125" style="523" customWidth="1"/>
    <col min="2121" max="2121" width="12.140625" style="523" customWidth="1"/>
    <col min="2122" max="2122" width="12" style="523" customWidth="1"/>
    <col min="2123" max="2123" width="9.140625" style="523"/>
    <col min="2124" max="2124" width="11.85546875" style="523" bestFit="1" customWidth="1"/>
    <col min="2125" max="2126" width="14.140625" style="523" customWidth="1"/>
    <col min="2127" max="2127" width="13.140625" style="523" customWidth="1"/>
    <col min="2128" max="2128" width="12.5703125" style="523" customWidth="1"/>
    <col min="2129" max="2129" width="12.140625" style="523" customWidth="1"/>
    <col min="2130" max="2130" width="12" style="523" customWidth="1"/>
    <col min="2131" max="2131" width="9.140625" style="523"/>
    <col min="2132" max="2134" width="11.28515625" style="523" bestFit="1" customWidth="1"/>
    <col min="2135" max="2135" width="12.5703125" style="523" customWidth="1"/>
    <col min="2136" max="2304" width="9.140625" style="523"/>
    <col min="2305" max="2305" width="25.28515625" style="523" customWidth="1"/>
    <col min="2306" max="2306" width="3.28515625" style="523" customWidth="1"/>
    <col min="2307" max="2363" width="0" style="523" hidden="1" customWidth="1"/>
    <col min="2364" max="2364" width="2.28515625" style="523" customWidth="1"/>
    <col min="2365" max="2366" width="10" style="523" customWidth="1"/>
    <col min="2367" max="2367" width="14.140625" style="523" customWidth="1"/>
    <col min="2368" max="2368" width="13.140625" style="523" customWidth="1"/>
    <col min="2369" max="2369" width="12.140625" style="523" customWidth="1"/>
    <col min="2370" max="2370" width="12" style="523" customWidth="1"/>
    <col min="2371" max="2371" width="9.140625" style="523"/>
    <col min="2372" max="2372" width="11.85546875" style="523" bestFit="1" customWidth="1"/>
    <col min="2373" max="2374" width="14.140625" style="523" customWidth="1"/>
    <col min="2375" max="2375" width="13.140625" style="523" customWidth="1"/>
    <col min="2376" max="2376" width="12.5703125" style="523" customWidth="1"/>
    <col min="2377" max="2377" width="12.140625" style="523" customWidth="1"/>
    <col min="2378" max="2378" width="12" style="523" customWidth="1"/>
    <col min="2379" max="2379" width="9.140625" style="523"/>
    <col min="2380" max="2380" width="11.85546875" style="523" bestFit="1" customWidth="1"/>
    <col min="2381" max="2382" width="14.140625" style="523" customWidth="1"/>
    <col min="2383" max="2383" width="13.140625" style="523" customWidth="1"/>
    <col min="2384" max="2384" width="12.5703125" style="523" customWidth="1"/>
    <col min="2385" max="2385" width="12.140625" style="523" customWidth="1"/>
    <col min="2386" max="2386" width="12" style="523" customWidth="1"/>
    <col min="2387" max="2387" width="9.140625" style="523"/>
    <col min="2388" max="2390" width="11.28515625" style="523" bestFit="1" customWidth="1"/>
    <col min="2391" max="2391" width="12.5703125" style="523" customWidth="1"/>
    <col min="2392" max="2560" width="9.140625" style="523"/>
    <col min="2561" max="2561" width="25.28515625" style="523" customWidth="1"/>
    <col min="2562" max="2562" width="3.28515625" style="523" customWidth="1"/>
    <col min="2563" max="2619" width="0" style="523" hidden="1" customWidth="1"/>
    <col min="2620" max="2620" width="2.28515625" style="523" customWidth="1"/>
    <col min="2621" max="2622" width="10" style="523" customWidth="1"/>
    <col min="2623" max="2623" width="14.140625" style="523" customWidth="1"/>
    <col min="2624" max="2624" width="13.140625" style="523" customWidth="1"/>
    <col min="2625" max="2625" width="12.140625" style="523" customWidth="1"/>
    <col min="2626" max="2626" width="12" style="523" customWidth="1"/>
    <col min="2627" max="2627" width="9.140625" style="523"/>
    <col min="2628" max="2628" width="11.85546875" style="523" bestFit="1" customWidth="1"/>
    <col min="2629" max="2630" width="14.140625" style="523" customWidth="1"/>
    <col min="2631" max="2631" width="13.140625" style="523" customWidth="1"/>
    <col min="2632" max="2632" width="12.5703125" style="523" customWidth="1"/>
    <col min="2633" max="2633" width="12.140625" style="523" customWidth="1"/>
    <col min="2634" max="2634" width="12" style="523" customWidth="1"/>
    <col min="2635" max="2635" width="9.140625" style="523"/>
    <col min="2636" max="2636" width="11.85546875" style="523" bestFit="1" customWidth="1"/>
    <col min="2637" max="2638" width="14.140625" style="523" customWidth="1"/>
    <col min="2639" max="2639" width="13.140625" style="523" customWidth="1"/>
    <col min="2640" max="2640" width="12.5703125" style="523" customWidth="1"/>
    <col min="2641" max="2641" width="12.140625" style="523" customWidth="1"/>
    <col min="2642" max="2642" width="12" style="523" customWidth="1"/>
    <col min="2643" max="2643" width="9.140625" style="523"/>
    <col min="2644" max="2646" width="11.28515625" style="523" bestFit="1" customWidth="1"/>
    <col min="2647" max="2647" width="12.5703125" style="523" customWidth="1"/>
    <col min="2648" max="2816" width="9.140625" style="523"/>
    <col min="2817" max="2817" width="25.28515625" style="523" customWidth="1"/>
    <col min="2818" max="2818" width="3.28515625" style="523" customWidth="1"/>
    <col min="2819" max="2875" width="0" style="523" hidden="1" customWidth="1"/>
    <col min="2876" max="2876" width="2.28515625" style="523" customWidth="1"/>
    <col min="2877" max="2878" width="10" style="523" customWidth="1"/>
    <col min="2879" max="2879" width="14.140625" style="523" customWidth="1"/>
    <col min="2880" max="2880" width="13.140625" style="523" customWidth="1"/>
    <col min="2881" max="2881" width="12.140625" style="523" customWidth="1"/>
    <col min="2882" max="2882" width="12" style="523" customWidth="1"/>
    <col min="2883" max="2883" width="9.140625" style="523"/>
    <col min="2884" max="2884" width="11.85546875" style="523" bestFit="1" customWidth="1"/>
    <col min="2885" max="2886" width="14.140625" style="523" customWidth="1"/>
    <col min="2887" max="2887" width="13.140625" style="523" customWidth="1"/>
    <col min="2888" max="2888" width="12.5703125" style="523" customWidth="1"/>
    <col min="2889" max="2889" width="12.140625" style="523" customWidth="1"/>
    <col min="2890" max="2890" width="12" style="523" customWidth="1"/>
    <col min="2891" max="2891" width="9.140625" style="523"/>
    <col min="2892" max="2892" width="11.85546875" style="523" bestFit="1" customWidth="1"/>
    <col min="2893" max="2894" width="14.140625" style="523" customWidth="1"/>
    <col min="2895" max="2895" width="13.140625" style="523" customWidth="1"/>
    <col min="2896" max="2896" width="12.5703125" style="523" customWidth="1"/>
    <col min="2897" max="2897" width="12.140625" style="523" customWidth="1"/>
    <col min="2898" max="2898" width="12" style="523" customWidth="1"/>
    <col min="2899" max="2899" width="9.140625" style="523"/>
    <col min="2900" max="2902" width="11.28515625" style="523" bestFit="1" customWidth="1"/>
    <col min="2903" max="2903" width="12.5703125" style="523" customWidth="1"/>
    <col min="2904" max="3072" width="9.140625" style="523"/>
    <col min="3073" max="3073" width="25.28515625" style="523" customWidth="1"/>
    <col min="3074" max="3074" width="3.28515625" style="523" customWidth="1"/>
    <col min="3075" max="3131" width="0" style="523" hidden="1" customWidth="1"/>
    <col min="3132" max="3132" width="2.28515625" style="523" customWidth="1"/>
    <col min="3133" max="3134" width="10" style="523" customWidth="1"/>
    <col min="3135" max="3135" width="14.140625" style="523" customWidth="1"/>
    <col min="3136" max="3136" width="13.140625" style="523" customWidth="1"/>
    <col min="3137" max="3137" width="12.140625" style="523" customWidth="1"/>
    <col min="3138" max="3138" width="12" style="523" customWidth="1"/>
    <col min="3139" max="3139" width="9.140625" style="523"/>
    <col min="3140" max="3140" width="11.85546875" style="523" bestFit="1" customWidth="1"/>
    <col min="3141" max="3142" width="14.140625" style="523" customWidth="1"/>
    <col min="3143" max="3143" width="13.140625" style="523" customWidth="1"/>
    <col min="3144" max="3144" width="12.5703125" style="523" customWidth="1"/>
    <col min="3145" max="3145" width="12.140625" style="523" customWidth="1"/>
    <col min="3146" max="3146" width="12" style="523" customWidth="1"/>
    <col min="3147" max="3147" width="9.140625" style="523"/>
    <col min="3148" max="3148" width="11.85546875" style="523" bestFit="1" customWidth="1"/>
    <col min="3149" max="3150" width="14.140625" style="523" customWidth="1"/>
    <col min="3151" max="3151" width="13.140625" style="523" customWidth="1"/>
    <col min="3152" max="3152" width="12.5703125" style="523" customWidth="1"/>
    <col min="3153" max="3153" width="12.140625" style="523" customWidth="1"/>
    <col min="3154" max="3154" width="12" style="523" customWidth="1"/>
    <col min="3155" max="3155" width="9.140625" style="523"/>
    <col min="3156" max="3158" width="11.28515625" style="523" bestFit="1" customWidth="1"/>
    <col min="3159" max="3159" width="12.5703125" style="523" customWidth="1"/>
    <col min="3160" max="3328" width="9.140625" style="523"/>
    <col min="3329" max="3329" width="25.28515625" style="523" customWidth="1"/>
    <col min="3330" max="3330" width="3.28515625" style="523" customWidth="1"/>
    <col min="3331" max="3387" width="0" style="523" hidden="1" customWidth="1"/>
    <col min="3388" max="3388" width="2.28515625" style="523" customWidth="1"/>
    <col min="3389" max="3390" width="10" style="523" customWidth="1"/>
    <col min="3391" max="3391" width="14.140625" style="523" customWidth="1"/>
    <col min="3392" max="3392" width="13.140625" style="523" customWidth="1"/>
    <col min="3393" max="3393" width="12.140625" style="523" customWidth="1"/>
    <col min="3394" max="3394" width="12" style="523" customWidth="1"/>
    <col min="3395" max="3395" width="9.140625" style="523"/>
    <col min="3396" max="3396" width="11.85546875" style="523" bestFit="1" customWidth="1"/>
    <col min="3397" max="3398" width="14.140625" style="523" customWidth="1"/>
    <col min="3399" max="3399" width="13.140625" style="523" customWidth="1"/>
    <col min="3400" max="3400" width="12.5703125" style="523" customWidth="1"/>
    <col min="3401" max="3401" width="12.140625" style="523" customWidth="1"/>
    <col min="3402" max="3402" width="12" style="523" customWidth="1"/>
    <col min="3403" max="3403" width="9.140625" style="523"/>
    <col min="3404" max="3404" width="11.85546875" style="523" bestFit="1" customWidth="1"/>
    <col min="3405" max="3406" width="14.140625" style="523" customWidth="1"/>
    <col min="3407" max="3407" width="13.140625" style="523" customWidth="1"/>
    <col min="3408" max="3408" width="12.5703125" style="523" customWidth="1"/>
    <col min="3409" max="3409" width="12.140625" style="523" customWidth="1"/>
    <col min="3410" max="3410" width="12" style="523" customWidth="1"/>
    <col min="3411" max="3411" width="9.140625" style="523"/>
    <col min="3412" max="3414" width="11.28515625" style="523" bestFit="1" customWidth="1"/>
    <col min="3415" max="3415" width="12.5703125" style="523" customWidth="1"/>
    <col min="3416" max="3584" width="9.140625" style="523"/>
    <col min="3585" max="3585" width="25.28515625" style="523" customWidth="1"/>
    <col min="3586" max="3586" width="3.28515625" style="523" customWidth="1"/>
    <col min="3587" max="3643" width="0" style="523" hidden="1" customWidth="1"/>
    <col min="3644" max="3644" width="2.28515625" style="523" customWidth="1"/>
    <col min="3645" max="3646" width="10" style="523" customWidth="1"/>
    <col min="3647" max="3647" width="14.140625" style="523" customWidth="1"/>
    <col min="3648" max="3648" width="13.140625" style="523" customWidth="1"/>
    <col min="3649" max="3649" width="12.140625" style="523" customWidth="1"/>
    <col min="3650" max="3650" width="12" style="523" customWidth="1"/>
    <col min="3651" max="3651" width="9.140625" style="523"/>
    <col min="3652" max="3652" width="11.85546875" style="523" bestFit="1" customWidth="1"/>
    <col min="3653" max="3654" width="14.140625" style="523" customWidth="1"/>
    <col min="3655" max="3655" width="13.140625" style="523" customWidth="1"/>
    <col min="3656" max="3656" width="12.5703125" style="523" customWidth="1"/>
    <col min="3657" max="3657" width="12.140625" style="523" customWidth="1"/>
    <col min="3658" max="3658" width="12" style="523" customWidth="1"/>
    <col min="3659" max="3659" width="9.140625" style="523"/>
    <col min="3660" max="3660" width="11.85546875" style="523" bestFit="1" customWidth="1"/>
    <col min="3661" max="3662" width="14.140625" style="523" customWidth="1"/>
    <col min="3663" max="3663" width="13.140625" style="523" customWidth="1"/>
    <col min="3664" max="3664" width="12.5703125" style="523" customWidth="1"/>
    <col min="3665" max="3665" width="12.140625" style="523" customWidth="1"/>
    <col min="3666" max="3666" width="12" style="523" customWidth="1"/>
    <col min="3667" max="3667" width="9.140625" style="523"/>
    <col min="3668" max="3670" width="11.28515625" style="523" bestFit="1" customWidth="1"/>
    <col min="3671" max="3671" width="12.5703125" style="523" customWidth="1"/>
    <col min="3672" max="3840" width="9.140625" style="523"/>
    <col min="3841" max="3841" width="25.28515625" style="523" customWidth="1"/>
    <col min="3842" max="3842" width="3.28515625" style="523" customWidth="1"/>
    <col min="3843" max="3899" width="0" style="523" hidden="1" customWidth="1"/>
    <col min="3900" max="3900" width="2.28515625" style="523" customWidth="1"/>
    <col min="3901" max="3902" width="10" style="523" customWidth="1"/>
    <col min="3903" max="3903" width="14.140625" style="523" customWidth="1"/>
    <col min="3904" max="3904" width="13.140625" style="523" customWidth="1"/>
    <col min="3905" max="3905" width="12.140625" style="523" customWidth="1"/>
    <col min="3906" max="3906" width="12" style="523" customWidth="1"/>
    <col min="3907" max="3907" width="9.140625" style="523"/>
    <col min="3908" max="3908" width="11.85546875" style="523" bestFit="1" customWidth="1"/>
    <col min="3909" max="3910" width="14.140625" style="523" customWidth="1"/>
    <col min="3911" max="3911" width="13.140625" style="523" customWidth="1"/>
    <col min="3912" max="3912" width="12.5703125" style="523" customWidth="1"/>
    <col min="3913" max="3913" width="12.140625" style="523" customWidth="1"/>
    <col min="3914" max="3914" width="12" style="523" customWidth="1"/>
    <col min="3915" max="3915" width="9.140625" style="523"/>
    <col min="3916" max="3916" width="11.85546875" style="523" bestFit="1" customWidth="1"/>
    <col min="3917" max="3918" width="14.140625" style="523" customWidth="1"/>
    <col min="3919" max="3919" width="13.140625" style="523" customWidth="1"/>
    <col min="3920" max="3920" width="12.5703125" style="523" customWidth="1"/>
    <col min="3921" max="3921" width="12.140625" style="523" customWidth="1"/>
    <col min="3922" max="3922" width="12" style="523" customWidth="1"/>
    <col min="3923" max="3923" width="9.140625" style="523"/>
    <col min="3924" max="3926" width="11.28515625" style="523" bestFit="1" customWidth="1"/>
    <col min="3927" max="3927" width="12.5703125" style="523" customWidth="1"/>
    <col min="3928" max="4096" width="9.140625" style="523"/>
    <col min="4097" max="4097" width="25.28515625" style="523" customWidth="1"/>
    <col min="4098" max="4098" width="3.28515625" style="523" customWidth="1"/>
    <col min="4099" max="4155" width="0" style="523" hidden="1" customWidth="1"/>
    <col min="4156" max="4156" width="2.28515625" style="523" customWidth="1"/>
    <col min="4157" max="4158" width="10" style="523" customWidth="1"/>
    <col min="4159" max="4159" width="14.140625" style="523" customWidth="1"/>
    <col min="4160" max="4160" width="13.140625" style="523" customWidth="1"/>
    <col min="4161" max="4161" width="12.140625" style="523" customWidth="1"/>
    <col min="4162" max="4162" width="12" style="523" customWidth="1"/>
    <col min="4163" max="4163" width="9.140625" style="523"/>
    <col min="4164" max="4164" width="11.85546875" style="523" bestFit="1" customWidth="1"/>
    <col min="4165" max="4166" width="14.140625" style="523" customWidth="1"/>
    <col min="4167" max="4167" width="13.140625" style="523" customWidth="1"/>
    <col min="4168" max="4168" width="12.5703125" style="523" customWidth="1"/>
    <col min="4169" max="4169" width="12.140625" style="523" customWidth="1"/>
    <col min="4170" max="4170" width="12" style="523" customWidth="1"/>
    <col min="4171" max="4171" width="9.140625" style="523"/>
    <col min="4172" max="4172" width="11.85546875" style="523" bestFit="1" customWidth="1"/>
    <col min="4173" max="4174" width="14.140625" style="523" customWidth="1"/>
    <col min="4175" max="4175" width="13.140625" style="523" customWidth="1"/>
    <col min="4176" max="4176" width="12.5703125" style="523" customWidth="1"/>
    <col min="4177" max="4177" width="12.140625" style="523" customWidth="1"/>
    <col min="4178" max="4178" width="12" style="523" customWidth="1"/>
    <col min="4179" max="4179" width="9.140625" style="523"/>
    <col min="4180" max="4182" width="11.28515625" style="523" bestFit="1" customWidth="1"/>
    <col min="4183" max="4183" width="12.5703125" style="523" customWidth="1"/>
    <col min="4184" max="4352" width="9.140625" style="523"/>
    <col min="4353" max="4353" width="25.28515625" style="523" customWidth="1"/>
    <col min="4354" max="4354" width="3.28515625" style="523" customWidth="1"/>
    <col min="4355" max="4411" width="0" style="523" hidden="1" customWidth="1"/>
    <col min="4412" max="4412" width="2.28515625" style="523" customWidth="1"/>
    <col min="4413" max="4414" width="10" style="523" customWidth="1"/>
    <col min="4415" max="4415" width="14.140625" style="523" customWidth="1"/>
    <col min="4416" max="4416" width="13.140625" style="523" customWidth="1"/>
    <col min="4417" max="4417" width="12.140625" style="523" customWidth="1"/>
    <col min="4418" max="4418" width="12" style="523" customWidth="1"/>
    <col min="4419" max="4419" width="9.140625" style="523"/>
    <col min="4420" max="4420" width="11.85546875" style="523" bestFit="1" customWidth="1"/>
    <col min="4421" max="4422" width="14.140625" style="523" customWidth="1"/>
    <col min="4423" max="4423" width="13.140625" style="523" customWidth="1"/>
    <col min="4424" max="4424" width="12.5703125" style="523" customWidth="1"/>
    <col min="4425" max="4425" width="12.140625" style="523" customWidth="1"/>
    <col min="4426" max="4426" width="12" style="523" customWidth="1"/>
    <col min="4427" max="4427" width="9.140625" style="523"/>
    <col min="4428" max="4428" width="11.85546875" style="523" bestFit="1" customWidth="1"/>
    <col min="4429" max="4430" width="14.140625" style="523" customWidth="1"/>
    <col min="4431" max="4431" width="13.140625" style="523" customWidth="1"/>
    <col min="4432" max="4432" width="12.5703125" style="523" customWidth="1"/>
    <col min="4433" max="4433" width="12.140625" style="523" customWidth="1"/>
    <col min="4434" max="4434" width="12" style="523" customWidth="1"/>
    <col min="4435" max="4435" width="9.140625" style="523"/>
    <col min="4436" max="4438" width="11.28515625" style="523" bestFit="1" customWidth="1"/>
    <col min="4439" max="4439" width="12.5703125" style="523" customWidth="1"/>
    <col min="4440" max="4608" width="9.140625" style="523"/>
    <col min="4609" max="4609" width="25.28515625" style="523" customWidth="1"/>
    <col min="4610" max="4610" width="3.28515625" style="523" customWidth="1"/>
    <col min="4611" max="4667" width="0" style="523" hidden="1" customWidth="1"/>
    <col min="4668" max="4668" width="2.28515625" style="523" customWidth="1"/>
    <col min="4669" max="4670" width="10" style="523" customWidth="1"/>
    <col min="4671" max="4671" width="14.140625" style="523" customWidth="1"/>
    <col min="4672" max="4672" width="13.140625" style="523" customWidth="1"/>
    <col min="4673" max="4673" width="12.140625" style="523" customWidth="1"/>
    <col min="4674" max="4674" width="12" style="523" customWidth="1"/>
    <col min="4675" max="4675" width="9.140625" style="523"/>
    <col min="4676" max="4676" width="11.85546875" style="523" bestFit="1" customWidth="1"/>
    <col min="4677" max="4678" width="14.140625" style="523" customWidth="1"/>
    <col min="4679" max="4679" width="13.140625" style="523" customWidth="1"/>
    <col min="4680" max="4680" width="12.5703125" style="523" customWidth="1"/>
    <col min="4681" max="4681" width="12.140625" style="523" customWidth="1"/>
    <col min="4682" max="4682" width="12" style="523" customWidth="1"/>
    <col min="4683" max="4683" width="9.140625" style="523"/>
    <col min="4684" max="4684" width="11.85546875" style="523" bestFit="1" customWidth="1"/>
    <col min="4685" max="4686" width="14.140625" style="523" customWidth="1"/>
    <col min="4687" max="4687" width="13.140625" style="523" customWidth="1"/>
    <col min="4688" max="4688" width="12.5703125" style="523" customWidth="1"/>
    <col min="4689" max="4689" width="12.140625" style="523" customWidth="1"/>
    <col min="4690" max="4690" width="12" style="523" customWidth="1"/>
    <col min="4691" max="4691" width="9.140625" style="523"/>
    <col min="4692" max="4694" width="11.28515625" style="523" bestFit="1" customWidth="1"/>
    <col min="4695" max="4695" width="12.5703125" style="523" customWidth="1"/>
    <col min="4696" max="4864" width="9.140625" style="523"/>
    <col min="4865" max="4865" width="25.28515625" style="523" customWidth="1"/>
    <col min="4866" max="4866" width="3.28515625" style="523" customWidth="1"/>
    <col min="4867" max="4923" width="0" style="523" hidden="1" customWidth="1"/>
    <col min="4924" max="4924" width="2.28515625" style="523" customWidth="1"/>
    <col min="4925" max="4926" width="10" style="523" customWidth="1"/>
    <col min="4927" max="4927" width="14.140625" style="523" customWidth="1"/>
    <col min="4928" max="4928" width="13.140625" style="523" customWidth="1"/>
    <col min="4929" max="4929" width="12.140625" style="523" customWidth="1"/>
    <col min="4930" max="4930" width="12" style="523" customWidth="1"/>
    <col min="4931" max="4931" width="9.140625" style="523"/>
    <col min="4932" max="4932" width="11.85546875" style="523" bestFit="1" customWidth="1"/>
    <col min="4933" max="4934" width="14.140625" style="523" customWidth="1"/>
    <col min="4935" max="4935" width="13.140625" style="523" customWidth="1"/>
    <col min="4936" max="4936" width="12.5703125" style="523" customWidth="1"/>
    <col min="4937" max="4937" width="12.140625" style="523" customWidth="1"/>
    <col min="4938" max="4938" width="12" style="523" customWidth="1"/>
    <col min="4939" max="4939" width="9.140625" style="523"/>
    <col min="4940" max="4940" width="11.85546875" style="523" bestFit="1" customWidth="1"/>
    <col min="4941" max="4942" width="14.140625" style="523" customWidth="1"/>
    <col min="4943" max="4943" width="13.140625" style="523" customWidth="1"/>
    <col min="4944" max="4944" width="12.5703125" style="523" customWidth="1"/>
    <col min="4945" max="4945" width="12.140625" style="523" customWidth="1"/>
    <col min="4946" max="4946" width="12" style="523" customWidth="1"/>
    <col min="4947" max="4947" width="9.140625" style="523"/>
    <col min="4948" max="4950" width="11.28515625" style="523" bestFit="1" customWidth="1"/>
    <col min="4951" max="4951" width="12.5703125" style="523" customWidth="1"/>
    <col min="4952" max="5120" width="9.140625" style="523"/>
    <col min="5121" max="5121" width="25.28515625" style="523" customWidth="1"/>
    <col min="5122" max="5122" width="3.28515625" style="523" customWidth="1"/>
    <col min="5123" max="5179" width="0" style="523" hidden="1" customWidth="1"/>
    <col min="5180" max="5180" width="2.28515625" style="523" customWidth="1"/>
    <col min="5181" max="5182" width="10" style="523" customWidth="1"/>
    <col min="5183" max="5183" width="14.140625" style="523" customWidth="1"/>
    <col min="5184" max="5184" width="13.140625" style="523" customWidth="1"/>
    <col min="5185" max="5185" width="12.140625" style="523" customWidth="1"/>
    <col min="5186" max="5186" width="12" style="523" customWidth="1"/>
    <col min="5187" max="5187" width="9.140625" style="523"/>
    <col min="5188" max="5188" width="11.85546875" style="523" bestFit="1" customWidth="1"/>
    <col min="5189" max="5190" width="14.140625" style="523" customWidth="1"/>
    <col min="5191" max="5191" width="13.140625" style="523" customWidth="1"/>
    <col min="5192" max="5192" width="12.5703125" style="523" customWidth="1"/>
    <col min="5193" max="5193" width="12.140625" style="523" customWidth="1"/>
    <col min="5194" max="5194" width="12" style="523" customWidth="1"/>
    <col min="5195" max="5195" width="9.140625" style="523"/>
    <col min="5196" max="5196" width="11.85546875" style="523" bestFit="1" customWidth="1"/>
    <col min="5197" max="5198" width="14.140625" style="523" customWidth="1"/>
    <col min="5199" max="5199" width="13.140625" style="523" customWidth="1"/>
    <col min="5200" max="5200" width="12.5703125" style="523" customWidth="1"/>
    <col min="5201" max="5201" width="12.140625" style="523" customWidth="1"/>
    <col min="5202" max="5202" width="12" style="523" customWidth="1"/>
    <col min="5203" max="5203" width="9.140625" style="523"/>
    <col min="5204" max="5206" width="11.28515625" style="523" bestFit="1" customWidth="1"/>
    <col min="5207" max="5207" width="12.5703125" style="523" customWidth="1"/>
    <col min="5208" max="5376" width="9.140625" style="523"/>
    <col min="5377" max="5377" width="25.28515625" style="523" customWidth="1"/>
    <col min="5378" max="5378" width="3.28515625" style="523" customWidth="1"/>
    <col min="5379" max="5435" width="0" style="523" hidden="1" customWidth="1"/>
    <col min="5436" max="5436" width="2.28515625" style="523" customWidth="1"/>
    <col min="5437" max="5438" width="10" style="523" customWidth="1"/>
    <col min="5439" max="5439" width="14.140625" style="523" customWidth="1"/>
    <col min="5440" max="5440" width="13.140625" style="523" customWidth="1"/>
    <col min="5441" max="5441" width="12.140625" style="523" customWidth="1"/>
    <col min="5442" max="5442" width="12" style="523" customWidth="1"/>
    <col min="5443" max="5443" width="9.140625" style="523"/>
    <col min="5444" max="5444" width="11.85546875" style="523" bestFit="1" customWidth="1"/>
    <col min="5445" max="5446" width="14.140625" style="523" customWidth="1"/>
    <col min="5447" max="5447" width="13.140625" style="523" customWidth="1"/>
    <col min="5448" max="5448" width="12.5703125" style="523" customWidth="1"/>
    <col min="5449" max="5449" width="12.140625" style="523" customWidth="1"/>
    <col min="5450" max="5450" width="12" style="523" customWidth="1"/>
    <col min="5451" max="5451" width="9.140625" style="523"/>
    <col min="5452" max="5452" width="11.85546875" style="523" bestFit="1" customWidth="1"/>
    <col min="5453" max="5454" width="14.140625" style="523" customWidth="1"/>
    <col min="5455" max="5455" width="13.140625" style="523" customWidth="1"/>
    <col min="5456" max="5456" width="12.5703125" style="523" customWidth="1"/>
    <col min="5457" max="5457" width="12.140625" style="523" customWidth="1"/>
    <col min="5458" max="5458" width="12" style="523" customWidth="1"/>
    <col min="5459" max="5459" width="9.140625" style="523"/>
    <col min="5460" max="5462" width="11.28515625" style="523" bestFit="1" customWidth="1"/>
    <col min="5463" max="5463" width="12.5703125" style="523" customWidth="1"/>
    <col min="5464" max="5632" width="9.140625" style="523"/>
    <col min="5633" max="5633" width="25.28515625" style="523" customWidth="1"/>
    <col min="5634" max="5634" width="3.28515625" style="523" customWidth="1"/>
    <col min="5635" max="5691" width="0" style="523" hidden="1" customWidth="1"/>
    <col min="5692" max="5692" width="2.28515625" style="523" customWidth="1"/>
    <col min="5693" max="5694" width="10" style="523" customWidth="1"/>
    <col min="5695" max="5695" width="14.140625" style="523" customWidth="1"/>
    <col min="5696" max="5696" width="13.140625" style="523" customWidth="1"/>
    <col min="5697" max="5697" width="12.140625" style="523" customWidth="1"/>
    <col min="5698" max="5698" width="12" style="523" customWidth="1"/>
    <col min="5699" max="5699" width="9.140625" style="523"/>
    <col min="5700" max="5700" width="11.85546875" style="523" bestFit="1" customWidth="1"/>
    <col min="5701" max="5702" width="14.140625" style="523" customWidth="1"/>
    <col min="5703" max="5703" width="13.140625" style="523" customWidth="1"/>
    <col min="5704" max="5704" width="12.5703125" style="523" customWidth="1"/>
    <col min="5705" max="5705" width="12.140625" style="523" customWidth="1"/>
    <col min="5706" max="5706" width="12" style="523" customWidth="1"/>
    <col min="5707" max="5707" width="9.140625" style="523"/>
    <col min="5708" max="5708" width="11.85546875" style="523" bestFit="1" customWidth="1"/>
    <col min="5709" max="5710" width="14.140625" style="523" customWidth="1"/>
    <col min="5711" max="5711" width="13.140625" style="523" customWidth="1"/>
    <col min="5712" max="5712" width="12.5703125" style="523" customWidth="1"/>
    <col min="5713" max="5713" width="12.140625" style="523" customWidth="1"/>
    <col min="5714" max="5714" width="12" style="523" customWidth="1"/>
    <col min="5715" max="5715" width="9.140625" style="523"/>
    <col min="5716" max="5718" width="11.28515625" style="523" bestFit="1" customWidth="1"/>
    <col min="5719" max="5719" width="12.5703125" style="523" customWidth="1"/>
    <col min="5720" max="5888" width="9.140625" style="523"/>
    <col min="5889" max="5889" width="25.28515625" style="523" customWidth="1"/>
    <col min="5890" max="5890" width="3.28515625" style="523" customWidth="1"/>
    <col min="5891" max="5947" width="0" style="523" hidden="1" customWidth="1"/>
    <col min="5948" max="5948" width="2.28515625" style="523" customWidth="1"/>
    <col min="5949" max="5950" width="10" style="523" customWidth="1"/>
    <col min="5951" max="5951" width="14.140625" style="523" customWidth="1"/>
    <col min="5952" max="5952" width="13.140625" style="523" customWidth="1"/>
    <col min="5953" max="5953" width="12.140625" style="523" customWidth="1"/>
    <col min="5954" max="5954" width="12" style="523" customWidth="1"/>
    <col min="5955" max="5955" width="9.140625" style="523"/>
    <col min="5956" max="5956" width="11.85546875" style="523" bestFit="1" customWidth="1"/>
    <col min="5957" max="5958" width="14.140625" style="523" customWidth="1"/>
    <col min="5959" max="5959" width="13.140625" style="523" customWidth="1"/>
    <col min="5960" max="5960" width="12.5703125" style="523" customWidth="1"/>
    <col min="5961" max="5961" width="12.140625" style="523" customWidth="1"/>
    <col min="5962" max="5962" width="12" style="523" customWidth="1"/>
    <col min="5963" max="5963" width="9.140625" style="523"/>
    <col min="5964" max="5964" width="11.85546875" style="523" bestFit="1" customWidth="1"/>
    <col min="5965" max="5966" width="14.140625" style="523" customWidth="1"/>
    <col min="5967" max="5967" width="13.140625" style="523" customWidth="1"/>
    <col min="5968" max="5968" width="12.5703125" style="523" customWidth="1"/>
    <col min="5969" max="5969" width="12.140625" style="523" customWidth="1"/>
    <col min="5970" max="5970" width="12" style="523" customWidth="1"/>
    <col min="5971" max="5971" width="9.140625" style="523"/>
    <col min="5972" max="5974" width="11.28515625" style="523" bestFit="1" customWidth="1"/>
    <col min="5975" max="5975" width="12.5703125" style="523" customWidth="1"/>
    <col min="5976" max="6144" width="9.140625" style="523"/>
    <col min="6145" max="6145" width="25.28515625" style="523" customWidth="1"/>
    <col min="6146" max="6146" width="3.28515625" style="523" customWidth="1"/>
    <col min="6147" max="6203" width="0" style="523" hidden="1" customWidth="1"/>
    <col min="6204" max="6204" width="2.28515625" style="523" customWidth="1"/>
    <col min="6205" max="6206" width="10" style="523" customWidth="1"/>
    <col min="6207" max="6207" width="14.140625" style="523" customWidth="1"/>
    <col min="6208" max="6208" width="13.140625" style="523" customWidth="1"/>
    <col min="6209" max="6209" width="12.140625" style="523" customWidth="1"/>
    <col min="6210" max="6210" width="12" style="523" customWidth="1"/>
    <col min="6211" max="6211" width="9.140625" style="523"/>
    <col min="6212" max="6212" width="11.85546875" style="523" bestFit="1" customWidth="1"/>
    <col min="6213" max="6214" width="14.140625" style="523" customWidth="1"/>
    <col min="6215" max="6215" width="13.140625" style="523" customWidth="1"/>
    <col min="6216" max="6216" width="12.5703125" style="523" customWidth="1"/>
    <col min="6217" max="6217" width="12.140625" style="523" customWidth="1"/>
    <col min="6218" max="6218" width="12" style="523" customWidth="1"/>
    <col min="6219" max="6219" width="9.140625" style="523"/>
    <col min="6220" max="6220" width="11.85546875" style="523" bestFit="1" customWidth="1"/>
    <col min="6221" max="6222" width="14.140625" style="523" customWidth="1"/>
    <col min="6223" max="6223" width="13.140625" style="523" customWidth="1"/>
    <col min="6224" max="6224" width="12.5703125" style="523" customWidth="1"/>
    <col min="6225" max="6225" width="12.140625" style="523" customWidth="1"/>
    <col min="6226" max="6226" width="12" style="523" customWidth="1"/>
    <col min="6227" max="6227" width="9.140625" style="523"/>
    <col min="6228" max="6230" width="11.28515625" style="523" bestFit="1" customWidth="1"/>
    <col min="6231" max="6231" width="12.5703125" style="523" customWidth="1"/>
    <col min="6232" max="6400" width="9.140625" style="523"/>
    <col min="6401" max="6401" width="25.28515625" style="523" customWidth="1"/>
    <col min="6402" max="6402" width="3.28515625" style="523" customWidth="1"/>
    <col min="6403" max="6459" width="0" style="523" hidden="1" customWidth="1"/>
    <col min="6460" max="6460" width="2.28515625" style="523" customWidth="1"/>
    <col min="6461" max="6462" width="10" style="523" customWidth="1"/>
    <col min="6463" max="6463" width="14.140625" style="523" customWidth="1"/>
    <col min="6464" max="6464" width="13.140625" style="523" customWidth="1"/>
    <col min="6465" max="6465" width="12.140625" style="523" customWidth="1"/>
    <col min="6466" max="6466" width="12" style="523" customWidth="1"/>
    <col min="6467" max="6467" width="9.140625" style="523"/>
    <col min="6468" max="6468" width="11.85546875" style="523" bestFit="1" customWidth="1"/>
    <col min="6469" max="6470" width="14.140625" style="523" customWidth="1"/>
    <col min="6471" max="6471" width="13.140625" style="523" customWidth="1"/>
    <col min="6472" max="6472" width="12.5703125" style="523" customWidth="1"/>
    <col min="6473" max="6473" width="12.140625" style="523" customWidth="1"/>
    <col min="6474" max="6474" width="12" style="523" customWidth="1"/>
    <col min="6475" max="6475" width="9.140625" style="523"/>
    <col min="6476" max="6476" width="11.85546875" style="523" bestFit="1" customWidth="1"/>
    <col min="6477" max="6478" width="14.140625" style="523" customWidth="1"/>
    <col min="6479" max="6479" width="13.140625" style="523" customWidth="1"/>
    <col min="6480" max="6480" width="12.5703125" style="523" customWidth="1"/>
    <col min="6481" max="6481" width="12.140625" style="523" customWidth="1"/>
    <col min="6482" max="6482" width="12" style="523" customWidth="1"/>
    <col min="6483" max="6483" width="9.140625" style="523"/>
    <col min="6484" max="6486" width="11.28515625" style="523" bestFit="1" customWidth="1"/>
    <col min="6487" max="6487" width="12.5703125" style="523" customWidth="1"/>
    <col min="6488" max="6656" width="9.140625" style="523"/>
    <col min="6657" max="6657" width="25.28515625" style="523" customWidth="1"/>
    <col min="6658" max="6658" width="3.28515625" style="523" customWidth="1"/>
    <col min="6659" max="6715" width="0" style="523" hidden="1" customWidth="1"/>
    <col min="6716" max="6716" width="2.28515625" style="523" customWidth="1"/>
    <col min="6717" max="6718" width="10" style="523" customWidth="1"/>
    <col min="6719" max="6719" width="14.140625" style="523" customWidth="1"/>
    <col min="6720" max="6720" width="13.140625" style="523" customWidth="1"/>
    <col min="6721" max="6721" width="12.140625" style="523" customWidth="1"/>
    <col min="6722" max="6722" width="12" style="523" customWidth="1"/>
    <col min="6723" max="6723" width="9.140625" style="523"/>
    <col min="6724" max="6724" width="11.85546875" style="523" bestFit="1" customWidth="1"/>
    <col min="6725" max="6726" width="14.140625" style="523" customWidth="1"/>
    <col min="6727" max="6727" width="13.140625" style="523" customWidth="1"/>
    <col min="6728" max="6728" width="12.5703125" style="523" customWidth="1"/>
    <col min="6729" max="6729" width="12.140625" style="523" customWidth="1"/>
    <col min="6730" max="6730" width="12" style="523" customWidth="1"/>
    <col min="6731" max="6731" width="9.140625" style="523"/>
    <col min="6732" max="6732" width="11.85546875" style="523" bestFit="1" customWidth="1"/>
    <col min="6733" max="6734" width="14.140625" style="523" customWidth="1"/>
    <col min="6735" max="6735" width="13.140625" style="523" customWidth="1"/>
    <col min="6736" max="6736" width="12.5703125" style="523" customWidth="1"/>
    <col min="6737" max="6737" width="12.140625" style="523" customWidth="1"/>
    <col min="6738" max="6738" width="12" style="523" customWidth="1"/>
    <col min="6739" max="6739" width="9.140625" style="523"/>
    <col min="6740" max="6742" width="11.28515625" style="523" bestFit="1" customWidth="1"/>
    <col min="6743" max="6743" width="12.5703125" style="523" customWidth="1"/>
    <col min="6744" max="6912" width="9.140625" style="523"/>
    <col min="6913" max="6913" width="25.28515625" style="523" customWidth="1"/>
    <col min="6914" max="6914" width="3.28515625" style="523" customWidth="1"/>
    <col min="6915" max="6971" width="0" style="523" hidden="1" customWidth="1"/>
    <col min="6972" max="6972" width="2.28515625" style="523" customWidth="1"/>
    <col min="6973" max="6974" width="10" style="523" customWidth="1"/>
    <col min="6975" max="6975" width="14.140625" style="523" customWidth="1"/>
    <col min="6976" max="6976" width="13.140625" style="523" customWidth="1"/>
    <col min="6977" max="6977" width="12.140625" style="523" customWidth="1"/>
    <col min="6978" max="6978" width="12" style="523" customWidth="1"/>
    <col min="6979" max="6979" width="9.140625" style="523"/>
    <col min="6980" max="6980" width="11.85546875" style="523" bestFit="1" customWidth="1"/>
    <col min="6981" max="6982" width="14.140625" style="523" customWidth="1"/>
    <col min="6983" max="6983" width="13.140625" style="523" customWidth="1"/>
    <col min="6984" max="6984" width="12.5703125" style="523" customWidth="1"/>
    <col min="6985" max="6985" width="12.140625" style="523" customWidth="1"/>
    <col min="6986" max="6986" width="12" style="523" customWidth="1"/>
    <col min="6987" max="6987" width="9.140625" style="523"/>
    <col min="6988" max="6988" width="11.85546875" style="523" bestFit="1" customWidth="1"/>
    <col min="6989" max="6990" width="14.140625" style="523" customWidth="1"/>
    <col min="6991" max="6991" width="13.140625" style="523" customWidth="1"/>
    <col min="6992" max="6992" width="12.5703125" style="523" customWidth="1"/>
    <col min="6993" max="6993" width="12.140625" style="523" customWidth="1"/>
    <col min="6994" max="6994" width="12" style="523" customWidth="1"/>
    <col min="6995" max="6995" width="9.140625" style="523"/>
    <col min="6996" max="6998" width="11.28515625" style="523" bestFit="1" customWidth="1"/>
    <col min="6999" max="6999" width="12.5703125" style="523" customWidth="1"/>
    <col min="7000" max="7168" width="9.140625" style="523"/>
    <col min="7169" max="7169" width="25.28515625" style="523" customWidth="1"/>
    <col min="7170" max="7170" width="3.28515625" style="523" customWidth="1"/>
    <col min="7171" max="7227" width="0" style="523" hidden="1" customWidth="1"/>
    <col min="7228" max="7228" width="2.28515625" style="523" customWidth="1"/>
    <col min="7229" max="7230" width="10" style="523" customWidth="1"/>
    <col min="7231" max="7231" width="14.140625" style="523" customWidth="1"/>
    <col min="7232" max="7232" width="13.140625" style="523" customWidth="1"/>
    <col min="7233" max="7233" width="12.140625" style="523" customWidth="1"/>
    <col min="7234" max="7234" width="12" style="523" customWidth="1"/>
    <col min="7235" max="7235" width="9.140625" style="523"/>
    <col min="7236" max="7236" width="11.85546875" style="523" bestFit="1" customWidth="1"/>
    <col min="7237" max="7238" width="14.140625" style="523" customWidth="1"/>
    <col min="7239" max="7239" width="13.140625" style="523" customWidth="1"/>
    <col min="7240" max="7240" width="12.5703125" style="523" customWidth="1"/>
    <col min="7241" max="7241" width="12.140625" style="523" customWidth="1"/>
    <col min="7242" max="7242" width="12" style="523" customWidth="1"/>
    <col min="7243" max="7243" width="9.140625" style="523"/>
    <col min="7244" max="7244" width="11.85546875" style="523" bestFit="1" customWidth="1"/>
    <col min="7245" max="7246" width="14.140625" style="523" customWidth="1"/>
    <col min="7247" max="7247" width="13.140625" style="523" customWidth="1"/>
    <col min="7248" max="7248" width="12.5703125" style="523" customWidth="1"/>
    <col min="7249" max="7249" width="12.140625" style="523" customWidth="1"/>
    <col min="7250" max="7250" width="12" style="523" customWidth="1"/>
    <col min="7251" max="7251" width="9.140625" style="523"/>
    <col min="7252" max="7254" width="11.28515625" style="523" bestFit="1" customWidth="1"/>
    <col min="7255" max="7255" width="12.5703125" style="523" customWidth="1"/>
    <col min="7256" max="7424" width="9.140625" style="523"/>
    <col min="7425" max="7425" width="25.28515625" style="523" customWidth="1"/>
    <col min="7426" max="7426" width="3.28515625" style="523" customWidth="1"/>
    <col min="7427" max="7483" width="0" style="523" hidden="1" customWidth="1"/>
    <col min="7484" max="7484" width="2.28515625" style="523" customWidth="1"/>
    <col min="7485" max="7486" width="10" style="523" customWidth="1"/>
    <col min="7487" max="7487" width="14.140625" style="523" customWidth="1"/>
    <col min="7488" max="7488" width="13.140625" style="523" customWidth="1"/>
    <col min="7489" max="7489" width="12.140625" style="523" customWidth="1"/>
    <col min="7490" max="7490" width="12" style="523" customWidth="1"/>
    <col min="7491" max="7491" width="9.140625" style="523"/>
    <col min="7492" max="7492" width="11.85546875" style="523" bestFit="1" customWidth="1"/>
    <col min="7493" max="7494" width="14.140625" style="523" customWidth="1"/>
    <col min="7495" max="7495" width="13.140625" style="523" customWidth="1"/>
    <col min="7496" max="7496" width="12.5703125" style="523" customWidth="1"/>
    <col min="7497" max="7497" width="12.140625" style="523" customWidth="1"/>
    <col min="7498" max="7498" width="12" style="523" customWidth="1"/>
    <col min="7499" max="7499" width="9.140625" style="523"/>
    <col min="7500" max="7500" width="11.85546875" style="523" bestFit="1" customWidth="1"/>
    <col min="7501" max="7502" width="14.140625" style="523" customWidth="1"/>
    <col min="7503" max="7503" width="13.140625" style="523" customWidth="1"/>
    <col min="7504" max="7504" width="12.5703125" style="523" customWidth="1"/>
    <col min="7505" max="7505" width="12.140625" style="523" customWidth="1"/>
    <col min="7506" max="7506" width="12" style="523" customWidth="1"/>
    <col min="7507" max="7507" width="9.140625" style="523"/>
    <col min="7508" max="7510" width="11.28515625" style="523" bestFit="1" customWidth="1"/>
    <col min="7511" max="7511" width="12.5703125" style="523" customWidth="1"/>
    <col min="7512" max="7680" width="9.140625" style="523"/>
    <col min="7681" max="7681" width="25.28515625" style="523" customWidth="1"/>
    <col min="7682" max="7682" width="3.28515625" style="523" customWidth="1"/>
    <col min="7683" max="7739" width="0" style="523" hidden="1" customWidth="1"/>
    <col min="7740" max="7740" width="2.28515625" style="523" customWidth="1"/>
    <col min="7741" max="7742" width="10" style="523" customWidth="1"/>
    <col min="7743" max="7743" width="14.140625" style="523" customWidth="1"/>
    <col min="7744" max="7744" width="13.140625" style="523" customWidth="1"/>
    <col min="7745" max="7745" width="12.140625" style="523" customWidth="1"/>
    <col min="7746" max="7746" width="12" style="523" customWidth="1"/>
    <col min="7747" max="7747" width="9.140625" style="523"/>
    <col min="7748" max="7748" width="11.85546875" style="523" bestFit="1" customWidth="1"/>
    <col min="7749" max="7750" width="14.140625" style="523" customWidth="1"/>
    <col min="7751" max="7751" width="13.140625" style="523" customWidth="1"/>
    <col min="7752" max="7752" width="12.5703125" style="523" customWidth="1"/>
    <col min="7753" max="7753" width="12.140625" style="523" customWidth="1"/>
    <col min="7754" max="7754" width="12" style="523" customWidth="1"/>
    <col min="7755" max="7755" width="9.140625" style="523"/>
    <col min="7756" max="7756" width="11.85546875" style="523" bestFit="1" customWidth="1"/>
    <col min="7757" max="7758" width="14.140625" style="523" customWidth="1"/>
    <col min="7759" max="7759" width="13.140625" style="523" customWidth="1"/>
    <col min="7760" max="7760" width="12.5703125" style="523" customWidth="1"/>
    <col min="7761" max="7761" width="12.140625" style="523" customWidth="1"/>
    <col min="7762" max="7762" width="12" style="523" customWidth="1"/>
    <col min="7763" max="7763" width="9.140625" style="523"/>
    <col min="7764" max="7766" width="11.28515625" style="523" bestFit="1" customWidth="1"/>
    <col min="7767" max="7767" width="12.5703125" style="523" customWidth="1"/>
    <col min="7768" max="7936" width="9.140625" style="523"/>
    <col min="7937" max="7937" width="25.28515625" style="523" customWidth="1"/>
    <col min="7938" max="7938" width="3.28515625" style="523" customWidth="1"/>
    <col min="7939" max="7995" width="0" style="523" hidden="1" customWidth="1"/>
    <col min="7996" max="7996" width="2.28515625" style="523" customWidth="1"/>
    <col min="7997" max="7998" width="10" style="523" customWidth="1"/>
    <col min="7999" max="7999" width="14.140625" style="523" customWidth="1"/>
    <col min="8000" max="8000" width="13.140625" style="523" customWidth="1"/>
    <col min="8001" max="8001" width="12.140625" style="523" customWidth="1"/>
    <col min="8002" max="8002" width="12" style="523" customWidth="1"/>
    <col min="8003" max="8003" width="9.140625" style="523"/>
    <col min="8004" max="8004" width="11.85546875" style="523" bestFit="1" customWidth="1"/>
    <col min="8005" max="8006" width="14.140625" style="523" customWidth="1"/>
    <col min="8007" max="8007" width="13.140625" style="523" customWidth="1"/>
    <col min="8008" max="8008" width="12.5703125" style="523" customWidth="1"/>
    <col min="8009" max="8009" width="12.140625" style="523" customWidth="1"/>
    <col min="8010" max="8010" width="12" style="523" customWidth="1"/>
    <col min="8011" max="8011" width="9.140625" style="523"/>
    <col min="8012" max="8012" width="11.85546875" style="523" bestFit="1" customWidth="1"/>
    <col min="8013" max="8014" width="14.140625" style="523" customWidth="1"/>
    <col min="8015" max="8015" width="13.140625" style="523" customWidth="1"/>
    <col min="8016" max="8016" width="12.5703125" style="523" customWidth="1"/>
    <col min="8017" max="8017" width="12.140625" style="523" customWidth="1"/>
    <col min="8018" max="8018" width="12" style="523" customWidth="1"/>
    <col min="8019" max="8019" width="9.140625" style="523"/>
    <col min="8020" max="8022" width="11.28515625" style="523" bestFit="1" customWidth="1"/>
    <col min="8023" max="8023" width="12.5703125" style="523" customWidth="1"/>
    <col min="8024" max="8192" width="9.140625" style="523"/>
    <col min="8193" max="8193" width="25.28515625" style="523" customWidth="1"/>
    <col min="8194" max="8194" width="3.28515625" style="523" customWidth="1"/>
    <col min="8195" max="8251" width="0" style="523" hidden="1" customWidth="1"/>
    <col min="8252" max="8252" width="2.28515625" style="523" customWidth="1"/>
    <col min="8253" max="8254" width="10" style="523" customWidth="1"/>
    <col min="8255" max="8255" width="14.140625" style="523" customWidth="1"/>
    <col min="8256" max="8256" width="13.140625" style="523" customWidth="1"/>
    <col min="8257" max="8257" width="12.140625" style="523" customWidth="1"/>
    <col min="8258" max="8258" width="12" style="523" customWidth="1"/>
    <col min="8259" max="8259" width="9.140625" style="523"/>
    <col min="8260" max="8260" width="11.85546875" style="523" bestFit="1" customWidth="1"/>
    <col min="8261" max="8262" width="14.140625" style="523" customWidth="1"/>
    <col min="8263" max="8263" width="13.140625" style="523" customWidth="1"/>
    <col min="8264" max="8264" width="12.5703125" style="523" customWidth="1"/>
    <col min="8265" max="8265" width="12.140625" style="523" customWidth="1"/>
    <col min="8266" max="8266" width="12" style="523" customWidth="1"/>
    <col min="8267" max="8267" width="9.140625" style="523"/>
    <col min="8268" max="8268" width="11.85546875" style="523" bestFit="1" customWidth="1"/>
    <col min="8269" max="8270" width="14.140625" style="523" customWidth="1"/>
    <col min="8271" max="8271" width="13.140625" style="523" customWidth="1"/>
    <col min="8272" max="8272" width="12.5703125" style="523" customWidth="1"/>
    <col min="8273" max="8273" width="12.140625" style="523" customWidth="1"/>
    <col min="8274" max="8274" width="12" style="523" customWidth="1"/>
    <col min="8275" max="8275" width="9.140625" style="523"/>
    <col min="8276" max="8278" width="11.28515625" style="523" bestFit="1" customWidth="1"/>
    <col min="8279" max="8279" width="12.5703125" style="523" customWidth="1"/>
    <col min="8280" max="8448" width="9.140625" style="523"/>
    <col min="8449" max="8449" width="25.28515625" style="523" customWidth="1"/>
    <col min="8450" max="8450" width="3.28515625" style="523" customWidth="1"/>
    <col min="8451" max="8507" width="0" style="523" hidden="1" customWidth="1"/>
    <col min="8508" max="8508" width="2.28515625" style="523" customWidth="1"/>
    <col min="8509" max="8510" width="10" style="523" customWidth="1"/>
    <col min="8511" max="8511" width="14.140625" style="523" customWidth="1"/>
    <col min="8512" max="8512" width="13.140625" style="523" customWidth="1"/>
    <col min="8513" max="8513" width="12.140625" style="523" customWidth="1"/>
    <col min="8514" max="8514" width="12" style="523" customWidth="1"/>
    <col min="8515" max="8515" width="9.140625" style="523"/>
    <col min="8516" max="8516" width="11.85546875" style="523" bestFit="1" customWidth="1"/>
    <col min="8517" max="8518" width="14.140625" style="523" customWidth="1"/>
    <col min="8519" max="8519" width="13.140625" style="523" customWidth="1"/>
    <col min="8520" max="8520" width="12.5703125" style="523" customWidth="1"/>
    <col min="8521" max="8521" width="12.140625" style="523" customWidth="1"/>
    <col min="8522" max="8522" width="12" style="523" customWidth="1"/>
    <col min="8523" max="8523" width="9.140625" style="523"/>
    <col min="8524" max="8524" width="11.85546875" style="523" bestFit="1" customWidth="1"/>
    <col min="8525" max="8526" width="14.140625" style="523" customWidth="1"/>
    <col min="8527" max="8527" width="13.140625" style="523" customWidth="1"/>
    <col min="8528" max="8528" width="12.5703125" style="523" customWidth="1"/>
    <col min="8529" max="8529" width="12.140625" style="523" customWidth="1"/>
    <col min="8530" max="8530" width="12" style="523" customWidth="1"/>
    <col min="8531" max="8531" width="9.140625" style="523"/>
    <col min="8532" max="8534" width="11.28515625" style="523" bestFit="1" customWidth="1"/>
    <col min="8535" max="8535" width="12.5703125" style="523" customWidth="1"/>
    <col min="8536" max="8704" width="9.140625" style="523"/>
    <col min="8705" max="8705" width="25.28515625" style="523" customWidth="1"/>
    <col min="8706" max="8706" width="3.28515625" style="523" customWidth="1"/>
    <col min="8707" max="8763" width="0" style="523" hidden="1" customWidth="1"/>
    <col min="8764" max="8764" width="2.28515625" style="523" customWidth="1"/>
    <col min="8765" max="8766" width="10" style="523" customWidth="1"/>
    <col min="8767" max="8767" width="14.140625" style="523" customWidth="1"/>
    <col min="8768" max="8768" width="13.140625" style="523" customWidth="1"/>
    <col min="8769" max="8769" width="12.140625" style="523" customWidth="1"/>
    <col min="8770" max="8770" width="12" style="523" customWidth="1"/>
    <col min="8771" max="8771" width="9.140625" style="523"/>
    <col min="8772" max="8772" width="11.85546875" style="523" bestFit="1" customWidth="1"/>
    <col min="8773" max="8774" width="14.140625" style="523" customWidth="1"/>
    <col min="8775" max="8775" width="13.140625" style="523" customWidth="1"/>
    <col min="8776" max="8776" width="12.5703125" style="523" customWidth="1"/>
    <col min="8777" max="8777" width="12.140625" style="523" customWidth="1"/>
    <col min="8778" max="8778" width="12" style="523" customWidth="1"/>
    <col min="8779" max="8779" width="9.140625" style="523"/>
    <col min="8780" max="8780" width="11.85546875" style="523" bestFit="1" customWidth="1"/>
    <col min="8781" max="8782" width="14.140625" style="523" customWidth="1"/>
    <col min="8783" max="8783" width="13.140625" style="523" customWidth="1"/>
    <col min="8784" max="8784" width="12.5703125" style="523" customWidth="1"/>
    <col min="8785" max="8785" width="12.140625" style="523" customWidth="1"/>
    <col min="8786" max="8786" width="12" style="523" customWidth="1"/>
    <col min="8787" max="8787" width="9.140625" style="523"/>
    <col min="8788" max="8790" width="11.28515625" style="523" bestFit="1" customWidth="1"/>
    <col min="8791" max="8791" width="12.5703125" style="523" customWidth="1"/>
    <col min="8792" max="8960" width="9.140625" style="523"/>
    <col min="8961" max="8961" width="25.28515625" style="523" customWidth="1"/>
    <col min="8962" max="8962" width="3.28515625" style="523" customWidth="1"/>
    <col min="8963" max="9019" width="0" style="523" hidden="1" customWidth="1"/>
    <col min="9020" max="9020" width="2.28515625" style="523" customWidth="1"/>
    <col min="9021" max="9022" width="10" style="523" customWidth="1"/>
    <col min="9023" max="9023" width="14.140625" style="523" customWidth="1"/>
    <col min="9024" max="9024" width="13.140625" style="523" customWidth="1"/>
    <col min="9025" max="9025" width="12.140625" style="523" customWidth="1"/>
    <col min="9026" max="9026" width="12" style="523" customWidth="1"/>
    <col min="9027" max="9027" width="9.140625" style="523"/>
    <col min="9028" max="9028" width="11.85546875" style="523" bestFit="1" customWidth="1"/>
    <col min="9029" max="9030" width="14.140625" style="523" customWidth="1"/>
    <col min="9031" max="9031" width="13.140625" style="523" customWidth="1"/>
    <col min="9032" max="9032" width="12.5703125" style="523" customWidth="1"/>
    <col min="9033" max="9033" width="12.140625" style="523" customWidth="1"/>
    <col min="9034" max="9034" width="12" style="523" customWidth="1"/>
    <col min="9035" max="9035" width="9.140625" style="523"/>
    <col min="9036" max="9036" width="11.85546875" style="523" bestFit="1" customWidth="1"/>
    <col min="9037" max="9038" width="14.140625" style="523" customWidth="1"/>
    <col min="9039" max="9039" width="13.140625" style="523" customWidth="1"/>
    <col min="9040" max="9040" width="12.5703125" style="523" customWidth="1"/>
    <col min="9041" max="9041" width="12.140625" style="523" customWidth="1"/>
    <col min="9042" max="9042" width="12" style="523" customWidth="1"/>
    <col min="9043" max="9043" width="9.140625" style="523"/>
    <col min="9044" max="9046" width="11.28515625" style="523" bestFit="1" customWidth="1"/>
    <col min="9047" max="9047" width="12.5703125" style="523" customWidth="1"/>
    <col min="9048" max="9216" width="9.140625" style="523"/>
    <col min="9217" max="9217" width="25.28515625" style="523" customWidth="1"/>
    <col min="9218" max="9218" width="3.28515625" style="523" customWidth="1"/>
    <col min="9219" max="9275" width="0" style="523" hidden="1" customWidth="1"/>
    <col min="9276" max="9276" width="2.28515625" style="523" customWidth="1"/>
    <col min="9277" max="9278" width="10" style="523" customWidth="1"/>
    <col min="9279" max="9279" width="14.140625" style="523" customWidth="1"/>
    <col min="9280" max="9280" width="13.140625" style="523" customWidth="1"/>
    <col min="9281" max="9281" width="12.140625" style="523" customWidth="1"/>
    <col min="9282" max="9282" width="12" style="523" customWidth="1"/>
    <col min="9283" max="9283" width="9.140625" style="523"/>
    <col min="9284" max="9284" width="11.85546875" style="523" bestFit="1" customWidth="1"/>
    <col min="9285" max="9286" width="14.140625" style="523" customWidth="1"/>
    <col min="9287" max="9287" width="13.140625" style="523" customWidth="1"/>
    <col min="9288" max="9288" width="12.5703125" style="523" customWidth="1"/>
    <col min="9289" max="9289" width="12.140625" style="523" customWidth="1"/>
    <col min="9290" max="9290" width="12" style="523" customWidth="1"/>
    <col min="9291" max="9291" width="9.140625" style="523"/>
    <col min="9292" max="9292" width="11.85546875" style="523" bestFit="1" customWidth="1"/>
    <col min="9293" max="9294" width="14.140625" style="523" customWidth="1"/>
    <col min="9295" max="9295" width="13.140625" style="523" customWidth="1"/>
    <col min="9296" max="9296" width="12.5703125" style="523" customWidth="1"/>
    <col min="9297" max="9297" width="12.140625" style="523" customWidth="1"/>
    <col min="9298" max="9298" width="12" style="523" customWidth="1"/>
    <col min="9299" max="9299" width="9.140625" style="523"/>
    <col min="9300" max="9302" width="11.28515625" style="523" bestFit="1" customWidth="1"/>
    <col min="9303" max="9303" width="12.5703125" style="523" customWidth="1"/>
    <col min="9304" max="9472" width="9.140625" style="523"/>
    <col min="9473" max="9473" width="25.28515625" style="523" customWidth="1"/>
    <col min="9474" max="9474" width="3.28515625" style="523" customWidth="1"/>
    <col min="9475" max="9531" width="0" style="523" hidden="1" customWidth="1"/>
    <col min="9532" max="9532" width="2.28515625" style="523" customWidth="1"/>
    <col min="9533" max="9534" width="10" style="523" customWidth="1"/>
    <col min="9535" max="9535" width="14.140625" style="523" customWidth="1"/>
    <col min="9536" max="9536" width="13.140625" style="523" customWidth="1"/>
    <col min="9537" max="9537" width="12.140625" style="523" customWidth="1"/>
    <col min="9538" max="9538" width="12" style="523" customWidth="1"/>
    <col min="9539" max="9539" width="9.140625" style="523"/>
    <col min="9540" max="9540" width="11.85546875" style="523" bestFit="1" customWidth="1"/>
    <col min="9541" max="9542" width="14.140625" style="523" customWidth="1"/>
    <col min="9543" max="9543" width="13.140625" style="523" customWidth="1"/>
    <col min="9544" max="9544" width="12.5703125" style="523" customWidth="1"/>
    <col min="9545" max="9545" width="12.140625" style="523" customWidth="1"/>
    <col min="9546" max="9546" width="12" style="523" customWidth="1"/>
    <col min="9547" max="9547" width="9.140625" style="523"/>
    <col min="9548" max="9548" width="11.85546875" style="523" bestFit="1" customWidth="1"/>
    <col min="9549" max="9550" width="14.140625" style="523" customWidth="1"/>
    <col min="9551" max="9551" width="13.140625" style="523" customWidth="1"/>
    <col min="9552" max="9552" width="12.5703125" style="523" customWidth="1"/>
    <col min="9553" max="9553" width="12.140625" style="523" customWidth="1"/>
    <col min="9554" max="9554" width="12" style="523" customWidth="1"/>
    <col min="9555" max="9555" width="9.140625" style="523"/>
    <col min="9556" max="9558" width="11.28515625" style="523" bestFit="1" customWidth="1"/>
    <col min="9559" max="9559" width="12.5703125" style="523" customWidth="1"/>
    <col min="9560" max="9728" width="9.140625" style="523"/>
    <col min="9729" max="9729" width="25.28515625" style="523" customWidth="1"/>
    <col min="9730" max="9730" width="3.28515625" style="523" customWidth="1"/>
    <col min="9731" max="9787" width="0" style="523" hidden="1" customWidth="1"/>
    <col min="9788" max="9788" width="2.28515625" style="523" customWidth="1"/>
    <col min="9789" max="9790" width="10" style="523" customWidth="1"/>
    <col min="9791" max="9791" width="14.140625" style="523" customWidth="1"/>
    <col min="9792" max="9792" width="13.140625" style="523" customWidth="1"/>
    <col min="9793" max="9793" width="12.140625" style="523" customWidth="1"/>
    <col min="9794" max="9794" width="12" style="523" customWidth="1"/>
    <col min="9795" max="9795" width="9.140625" style="523"/>
    <col min="9796" max="9796" width="11.85546875" style="523" bestFit="1" customWidth="1"/>
    <col min="9797" max="9798" width="14.140625" style="523" customWidth="1"/>
    <col min="9799" max="9799" width="13.140625" style="523" customWidth="1"/>
    <col min="9800" max="9800" width="12.5703125" style="523" customWidth="1"/>
    <col min="9801" max="9801" width="12.140625" style="523" customWidth="1"/>
    <col min="9802" max="9802" width="12" style="523" customWidth="1"/>
    <col min="9803" max="9803" width="9.140625" style="523"/>
    <col min="9804" max="9804" width="11.85546875" style="523" bestFit="1" customWidth="1"/>
    <col min="9805" max="9806" width="14.140625" style="523" customWidth="1"/>
    <col min="9807" max="9807" width="13.140625" style="523" customWidth="1"/>
    <col min="9808" max="9808" width="12.5703125" style="523" customWidth="1"/>
    <col min="9809" max="9809" width="12.140625" style="523" customWidth="1"/>
    <col min="9810" max="9810" width="12" style="523" customWidth="1"/>
    <col min="9811" max="9811" width="9.140625" style="523"/>
    <col min="9812" max="9814" width="11.28515625" style="523" bestFit="1" customWidth="1"/>
    <col min="9815" max="9815" width="12.5703125" style="523" customWidth="1"/>
    <col min="9816" max="9984" width="9.140625" style="523"/>
    <col min="9985" max="9985" width="25.28515625" style="523" customWidth="1"/>
    <col min="9986" max="9986" width="3.28515625" style="523" customWidth="1"/>
    <col min="9987" max="10043" width="0" style="523" hidden="1" customWidth="1"/>
    <col min="10044" max="10044" width="2.28515625" style="523" customWidth="1"/>
    <col min="10045" max="10046" width="10" style="523" customWidth="1"/>
    <col min="10047" max="10047" width="14.140625" style="523" customWidth="1"/>
    <col min="10048" max="10048" width="13.140625" style="523" customWidth="1"/>
    <col min="10049" max="10049" width="12.140625" style="523" customWidth="1"/>
    <col min="10050" max="10050" width="12" style="523" customWidth="1"/>
    <col min="10051" max="10051" width="9.140625" style="523"/>
    <col min="10052" max="10052" width="11.85546875" style="523" bestFit="1" customWidth="1"/>
    <col min="10053" max="10054" width="14.140625" style="523" customWidth="1"/>
    <col min="10055" max="10055" width="13.140625" style="523" customWidth="1"/>
    <col min="10056" max="10056" width="12.5703125" style="523" customWidth="1"/>
    <col min="10057" max="10057" width="12.140625" style="523" customWidth="1"/>
    <col min="10058" max="10058" width="12" style="523" customWidth="1"/>
    <col min="10059" max="10059" width="9.140625" style="523"/>
    <col min="10060" max="10060" width="11.85546875" style="523" bestFit="1" customWidth="1"/>
    <col min="10061" max="10062" width="14.140625" style="523" customWidth="1"/>
    <col min="10063" max="10063" width="13.140625" style="523" customWidth="1"/>
    <col min="10064" max="10064" width="12.5703125" style="523" customWidth="1"/>
    <col min="10065" max="10065" width="12.140625" style="523" customWidth="1"/>
    <col min="10066" max="10066" width="12" style="523" customWidth="1"/>
    <col min="10067" max="10067" width="9.140625" style="523"/>
    <col min="10068" max="10070" width="11.28515625" style="523" bestFit="1" customWidth="1"/>
    <col min="10071" max="10071" width="12.5703125" style="523" customWidth="1"/>
    <col min="10072" max="10240" width="9.140625" style="523"/>
    <col min="10241" max="10241" width="25.28515625" style="523" customWidth="1"/>
    <col min="10242" max="10242" width="3.28515625" style="523" customWidth="1"/>
    <col min="10243" max="10299" width="0" style="523" hidden="1" customWidth="1"/>
    <col min="10300" max="10300" width="2.28515625" style="523" customWidth="1"/>
    <col min="10301" max="10302" width="10" style="523" customWidth="1"/>
    <col min="10303" max="10303" width="14.140625" style="523" customWidth="1"/>
    <col min="10304" max="10304" width="13.140625" style="523" customWidth="1"/>
    <col min="10305" max="10305" width="12.140625" style="523" customWidth="1"/>
    <col min="10306" max="10306" width="12" style="523" customWidth="1"/>
    <col min="10307" max="10307" width="9.140625" style="523"/>
    <col min="10308" max="10308" width="11.85546875" style="523" bestFit="1" customWidth="1"/>
    <col min="10309" max="10310" width="14.140625" style="523" customWidth="1"/>
    <col min="10311" max="10311" width="13.140625" style="523" customWidth="1"/>
    <col min="10312" max="10312" width="12.5703125" style="523" customWidth="1"/>
    <col min="10313" max="10313" width="12.140625" style="523" customWidth="1"/>
    <col min="10314" max="10314" width="12" style="523" customWidth="1"/>
    <col min="10315" max="10315" width="9.140625" style="523"/>
    <col min="10316" max="10316" width="11.85546875" style="523" bestFit="1" customWidth="1"/>
    <col min="10317" max="10318" width="14.140625" style="523" customWidth="1"/>
    <col min="10319" max="10319" width="13.140625" style="523" customWidth="1"/>
    <col min="10320" max="10320" width="12.5703125" style="523" customWidth="1"/>
    <col min="10321" max="10321" width="12.140625" style="523" customWidth="1"/>
    <col min="10322" max="10322" width="12" style="523" customWidth="1"/>
    <col min="10323" max="10323" width="9.140625" style="523"/>
    <col min="10324" max="10326" width="11.28515625" style="523" bestFit="1" customWidth="1"/>
    <col min="10327" max="10327" width="12.5703125" style="523" customWidth="1"/>
    <col min="10328" max="10496" width="9.140625" style="523"/>
    <col min="10497" max="10497" width="25.28515625" style="523" customWidth="1"/>
    <col min="10498" max="10498" width="3.28515625" style="523" customWidth="1"/>
    <col min="10499" max="10555" width="0" style="523" hidden="1" customWidth="1"/>
    <col min="10556" max="10556" width="2.28515625" style="523" customWidth="1"/>
    <col min="10557" max="10558" width="10" style="523" customWidth="1"/>
    <col min="10559" max="10559" width="14.140625" style="523" customWidth="1"/>
    <col min="10560" max="10560" width="13.140625" style="523" customWidth="1"/>
    <col min="10561" max="10561" width="12.140625" style="523" customWidth="1"/>
    <col min="10562" max="10562" width="12" style="523" customWidth="1"/>
    <col min="10563" max="10563" width="9.140625" style="523"/>
    <col min="10564" max="10564" width="11.85546875" style="523" bestFit="1" customWidth="1"/>
    <col min="10565" max="10566" width="14.140625" style="523" customWidth="1"/>
    <col min="10567" max="10567" width="13.140625" style="523" customWidth="1"/>
    <col min="10568" max="10568" width="12.5703125" style="523" customWidth="1"/>
    <col min="10569" max="10569" width="12.140625" style="523" customWidth="1"/>
    <col min="10570" max="10570" width="12" style="523" customWidth="1"/>
    <col min="10571" max="10571" width="9.140625" style="523"/>
    <col min="10572" max="10572" width="11.85546875" style="523" bestFit="1" customWidth="1"/>
    <col min="10573" max="10574" width="14.140625" style="523" customWidth="1"/>
    <col min="10575" max="10575" width="13.140625" style="523" customWidth="1"/>
    <col min="10576" max="10576" width="12.5703125" style="523" customWidth="1"/>
    <col min="10577" max="10577" width="12.140625" style="523" customWidth="1"/>
    <col min="10578" max="10578" width="12" style="523" customWidth="1"/>
    <col min="10579" max="10579" width="9.140625" style="523"/>
    <col min="10580" max="10582" width="11.28515625" style="523" bestFit="1" customWidth="1"/>
    <col min="10583" max="10583" width="12.5703125" style="523" customWidth="1"/>
    <col min="10584" max="10752" width="9.140625" style="523"/>
    <col min="10753" max="10753" width="25.28515625" style="523" customWidth="1"/>
    <col min="10754" max="10754" width="3.28515625" style="523" customWidth="1"/>
    <col min="10755" max="10811" width="0" style="523" hidden="1" customWidth="1"/>
    <col min="10812" max="10812" width="2.28515625" style="523" customWidth="1"/>
    <col min="10813" max="10814" width="10" style="523" customWidth="1"/>
    <col min="10815" max="10815" width="14.140625" style="523" customWidth="1"/>
    <col min="10816" max="10816" width="13.140625" style="523" customWidth="1"/>
    <col min="10817" max="10817" width="12.140625" style="523" customWidth="1"/>
    <col min="10818" max="10818" width="12" style="523" customWidth="1"/>
    <col min="10819" max="10819" width="9.140625" style="523"/>
    <col min="10820" max="10820" width="11.85546875" style="523" bestFit="1" customWidth="1"/>
    <col min="10821" max="10822" width="14.140625" style="523" customWidth="1"/>
    <col min="10823" max="10823" width="13.140625" style="523" customWidth="1"/>
    <col min="10824" max="10824" width="12.5703125" style="523" customWidth="1"/>
    <col min="10825" max="10825" width="12.140625" style="523" customWidth="1"/>
    <col min="10826" max="10826" width="12" style="523" customWidth="1"/>
    <col min="10827" max="10827" width="9.140625" style="523"/>
    <col min="10828" max="10828" width="11.85546875" style="523" bestFit="1" customWidth="1"/>
    <col min="10829" max="10830" width="14.140625" style="523" customWidth="1"/>
    <col min="10831" max="10831" width="13.140625" style="523" customWidth="1"/>
    <col min="10832" max="10832" width="12.5703125" style="523" customWidth="1"/>
    <col min="10833" max="10833" width="12.140625" style="523" customWidth="1"/>
    <col min="10834" max="10834" width="12" style="523" customWidth="1"/>
    <col min="10835" max="10835" width="9.140625" style="523"/>
    <col min="10836" max="10838" width="11.28515625" style="523" bestFit="1" customWidth="1"/>
    <col min="10839" max="10839" width="12.5703125" style="523" customWidth="1"/>
    <col min="10840" max="11008" width="9.140625" style="523"/>
    <col min="11009" max="11009" width="25.28515625" style="523" customWidth="1"/>
    <col min="11010" max="11010" width="3.28515625" style="523" customWidth="1"/>
    <col min="11011" max="11067" width="0" style="523" hidden="1" customWidth="1"/>
    <col min="11068" max="11068" width="2.28515625" style="523" customWidth="1"/>
    <col min="11069" max="11070" width="10" style="523" customWidth="1"/>
    <col min="11071" max="11071" width="14.140625" style="523" customWidth="1"/>
    <col min="11072" max="11072" width="13.140625" style="523" customWidth="1"/>
    <col min="11073" max="11073" width="12.140625" style="523" customWidth="1"/>
    <col min="11074" max="11074" width="12" style="523" customWidth="1"/>
    <col min="11075" max="11075" width="9.140625" style="523"/>
    <col min="11076" max="11076" width="11.85546875" style="523" bestFit="1" customWidth="1"/>
    <col min="11077" max="11078" width="14.140625" style="523" customWidth="1"/>
    <col min="11079" max="11079" width="13.140625" style="523" customWidth="1"/>
    <col min="11080" max="11080" width="12.5703125" style="523" customWidth="1"/>
    <col min="11081" max="11081" width="12.140625" style="523" customWidth="1"/>
    <col min="11082" max="11082" width="12" style="523" customWidth="1"/>
    <col min="11083" max="11083" width="9.140625" style="523"/>
    <col min="11084" max="11084" width="11.85546875" style="523" bestFit="1" customWidth="1"/>
    <col min="11085" max="11086" width="14.140625" style="523" customWidth="1"/>
    <col min="11087" max="11087" width="13.140625" style="523" customWidth="1"/>
    <col min="11088" max="11088" width="12.5703125" style="523" customWidth="1"/>
    <col min="11089" max="11089" width="12.140625" style="523" customWidth="1"/>
    <col min="11090" max="11090" width="12" style="523" customWidth="1"/>
    <col min="11091" max="11091" width="9.140625" style="523"/>
    <col min="11092" max="11094" width="11.28515625" style="523" bestFit="1" customWidth="1"/>
    <col min="11095" max="11095" width="12.5703125" style="523" customWidth="1"/>
    <col min="11096" max="11264" width="9.140625" style="523"/>
    <col min="11265" max="11265" width="25.28515625" style="523" customWidth="1"/>
    <col min="11266" max="11266" width="3.28515625" style="523" customWidth="1"/>
    <col min="11267" max="11323" width="0" style="523" hidden="1" customWidth="1"/>
    <col min="11324" max="11324" width="2.28515625" style="523" customWidth="1"/>
    <col min="11325" max="11326" width="10" style="523" customWidth="1"/>
    <col min="11327" max="11327" width="14.140625" style="523" customWidth="1"/>
    <col min="11328" max="11328" width="13.140625" style="523" customWidth="1"/>
    <col min="11329" max="11329" width="12.140625" style="523" customWidth="1"/>
    <col min="11330" max="11330" width="12" style="523" customWidth="1"/>
    <col min="11331" max="11331" width="9.140625" style="523"/>
    <col min="11332" max="11332" width="11.85546875" style="523" bestFit="1" customWidth="1"/>
    <col min="11333" max="11334" width="14.140625" style="523" customWidth="1"/>
    <col min="11335" max="11335" width="13.140625" style="523" customWidth="1"/>
    <col min="11336" max="11336" width="12.5703125" style="523" customWidth="1"/>
    <col min="11337" max="11337" width="12.140625" style="523" customWidth="1"/>
    <col min="11338" max="11338" width="12" style="523" customWidth="1"/>
    <col min="11339" max="11339" width="9.140625" style="523"/>
    <col min="11340" max="11340" width="11.85546875" style="523" bestFit="1" customWidth="1"/>
    <col min="11341" max="11342" width="14.140625" style="523" customWidth="1"/>
    <col min="11343" max="11343" width="13.140625" style="523" customWidth="1"/>
    <col min="11344" max="11344" width="12.5703125" style="523" customWidth="1"/>
    <col min="11345" max="11345" width="12.140625" style="523" customWidth="1"/>
    <col min="11346" max="11346" width="12" style="523" customWidth="1"/>
    <col min="11347" max="11347" width="9.140625" style="523"/>
    <col min="11348" max="11350" width="11.28515625" style="523" bestFit="1" customWidth="1"/>
    <col min="11351" max="11351" width="12.5703125" style="523" customWidth="1"/>
    <col min="11352" max="11520" width="9.140625" style="523"/>
    <col min="11521" max="11521" width="25.28515625" style="523" customWidth="1"/>
    <col min="11522" max="11522" width="3.28515625" style="523" customWidth="1"/>
    <col min="11523" max="11579" width="0" style="523" hidden="1" customWidth="1"/>
    <col min="11580" max="11580" width="2.28515625" style="523" customWidth="1"/>
    <col min="11581" max="11582" width="10" style="523" customWidth="1"/>
    <col min="11583" max="11583" width="14.140625" style="523" customWidth="1"/>
    <col min="11584" max="11584" width="13.140625" style="523" customWidth="1"/>
    <col min="11585" max="11585" width="12.140625" style="523" customWidth="1"/>
    <col min="11586" max="11586" width="12" style="523" customWidth="1"/>
    <col min="11587" max="11587" width="9.140625" style="523"/>
    <col min="11588" max="11588" width="11.85546875" style="523" bestFit="1" customWidth="1"/>
    <col min="11589" max="11590" width="14.140625" style="523" customWidth="1"/>
    <col min="11591" max="11591" width="13.140625" style="523" customWidth="1"/>
    <col min="11592" max="11592" width="12.5703125" style="523" customWidth="1"/>
    <col min="11593" max="11593" width="12.140625" style="523" customWidth="1"/>
    <col min="11594" max="11594" width="12" style="523" customWidth="1"/>
    <col min="11595" max="11595" width="9.140625" style="523"/>
    <col min="11596" max="11596" width="11.85546875" style="523" bestFit="1" customWidth="1"/>
    <col min="11597" max="11598" width="14.140625" style="523" customWidth="1"/>
    <col min="11599" max="11599" width="13.140625" style="523" customWidth="1"/>
    <col min="11600" max="11600" width="12.5703125" style="523" customWidth="1"/>
    <col min="11601" max="11601" width="12.140625" style="523" customWidth="1"/>
    <col min="11602" max="11602" width="12" style="523" customWidth="1"/>
    <col min="11603" max="11603" width="9.140625" style="523"/>
    <col min="11604" max="11606" width="11.28515625" style="523" bestFit="1" customWidth="1"/>
    <col min="11607" max="11607" width="12.5703125" style="523" customWidth="1"/>
    <col min="11608" max="11776" width="9.140625" style="523"/>
    <col min="11777" max="11777" width="25.28515625" style="523" customWidth="1"/>
    <col min="11778" max="11778" width="3.28515625" style="523" customWidth="1"/>
    <col min="11779" max="11835" width="0" style="523" hidden="1" customWidth="1"/>
    <col min="11836" max="11836" width="2.28515625" style="523" customWidth="1"/>
    <col min="11837" max="11838" width="10" style="523" customWidth="1"/>
    <col min="11839" max="11839" width="14.140625" style="523" customWidth="1"/>
    <col min="11840" max="11840" width="13.140625" style="523" customWidth="1"/>
    <col min="11841" max="11841" width="12.140625" style="523" customWidth="1"/>
    <col min="11842" max="11842" width="12" style="523" customWidth="1"/>
    <col min="11843" max="11843" width="9.140625" style="523"/>
    <col min="11844" max="11844" width="11.85546875" style="523" bestFit="1" customWidth="1"/>
    <col min="11845" max="11846" width="14.140625" style="523" customWidth="1"/>
    <col min="11847" max="11847" width="13.140625" style="523" customWidth="1"/>
    <col min="11848" max="11848" width="12.5703125" style="523" customWidth="1"/>
    <col min="11849" max="11849" width="12.140625" style="523" customWidth="1"/>
    <col min="11850" max="11850" width="12" style="523" customWidth="1"/>
    <col min="11851" max="11851" width="9.140625" style="523"/>
    <col min="11852" max="11852" width="11.85546875" style="523" bestFit="1" customWidth="1"/>
    <col min="11853" max="11854" width="14.140625" style="523" customWidth="1"/>
    <col min="11855" max="11855" width="13.140625" style="523" customWidth="1"/>
    <col min="11856" max="11856" width="12.5703125" style="523" customWidth="1"/>
    <col min="11857" max="11857" width="12.140625" style="523" customWidth="1"/>
    <col min="11858" max="11858" width="12" style="523" customWidth="1"/>
    <col min="11859" max="11859" width="9.140625" style="523"/>
    <col min="11860" max="11862" width="11.28515625" style="523" bestFit="1" customWidth="1"/>
    <col min="11863" max="11863" width="12.5703125" style="523" customWidth="1"/>
    <col min="11864" max="12032" width="9.140625" style="523"/>
    <col min="12033" max="12033" width="25.28515625" style="523" customWidth="1"/>
    <col min="12034" max="12034" width="3.28515625" style="523" customWidth="1"/>
    <col min="12035" max="12091" width="0" style="523" hidden="1" customWidth="1"/>
    <col min="12092" max="12092" width="2.28515625" style="523" customWidth="1"/>
    <col min="12093" max="12094" width="10" style="523" customWidth="1"/>
    <col min="12095" max="12095" width="14.140625" style="523" customWidth="1"/>
    <col min="12096" max="12096" width="13.140625" style="523" customWidth="1"/>
    <col min="12097" max="12097" width="12.140625" style="523" customWidth="1"/>
    <col min="12098" max="12098" width="12" style="523" customWidth="1"/>
    <col min="12099" max="12099" width="9.140625" style="523"/>
    <col min="12100" max="12100" width="11.85546875" style="523" bestFit="1" customWidth="1"/>
    <col min="12101" max="12102" width="14.140625" style="523" customWidth="1"/>
    <col min="12103" max="12103" width="13.140625" style="523" customWidth="1"/>
    <col min="12104" max="12104" width="12.5703125" style="523" customWidth="1"/>
    <col min="12105" max="12105" width="12.140625" style="523" customWidth="1"/>
    <col min="12106" max="12106" width="12" style="523" customWidth="1"/>
    <col min="12107" max="12107" width="9.140625" style="523"/>
    <col min="12108" max="12108" width="11.85546875" style="523" bestFit="1" customWidth="1"/>
    <col min="12109" max="12110" width="14.140625" style="523" customWidth="1"/>
    <col min="12111" max="12111" width="13.140625" style="523" customWidth="1"/>
    <col min="12112" max="12112" width="12.5703125" style="523" customWidth="1"/>
    <col min="12113" max="12113" width="12.140625" style="523" customWidth="1"/>
    <col min="12114" max="12114" width="12" style="523" customWidth="1"/>
    <col min="12115" max="12115" width="9.140625" style="523"/>
    <col min="12116" max="12118" width="11.28515625" style="523" bestFit="1" customWidth="1"/>
    <col min="12119" max="12119" width="12.5703125" style="523" customWidth="1"/>
    <col min="12120" max="12288" width="9.140625" style="523"/>
    <col min="12289" max="12289" width="25.28515625" style="523" customWidth="1"/>
    <col min="12290" max="12290" width="3.28515625" style="523" customWidth="1"/>
    <col min="12291" max="12347" width="0" style="523" hidden="1" customWidth="1"/>
    <col min="12348" max="12348" width="2.28515625" style="523" customWidth="1"/>
    <col min="12349" max="12350" width="10" style="523" customWidth="1"/>
    <col min="12351" max="12351" width="14.140625" style="523" customWidth="1"/>
    <col min="12352" max="12352" width="13.140625" style="523" customWidth="1"/>
    <col min="12353" max="12353" width="12.140625" style="523" customWidth="1"/>
    <col min="12354" max="12354" width="12" style="523" customWidth="1"/>
    <col min="12355" max="12355" width="9.140625" style="523"/>
    <col min="12356" max="12356" width="11.85546875" style="523" bestFit="1" customWidth="1"/>
    <col min="12357" max="12358" width="14.140625" style="523" customWidth="1"/>
    <col min="12359" max="12359" width="13.140625" style="523" customWidth="1"/>
    <col min="12360" max="12360" width="12.5703125" style="523" customWidth="1"/>
    <col min="12361" max="12361" width="12.140625" style="523" customWidth="1"/>
    <col min="12362" max="12362" width="12" style="523" customWidth="1"/>
    <col min="12363" max="12363" width="9.140625" style="523"/>
    <col min="12364" max="12364" width="11.85546875" style="523" bestFit="1" customWidth="1"/>
    <col min="12365" max="12366" width="14.140625" style="523" customWidth="1"/>
    <col min="12367" max="12367" width="13.140625" style="523" customWidth="1"/>
    <col min="12368" max="12368" width="12.5703125" style="523" customWidth="1"/>
    <col min="12369" max="12369" width="12.140625" style="523" customWidth="1"/>
    <col min="12370" max="12370" width="12" style="523" customWidth="1"/>
    <col min="12371" max="12371" width="9.140625" style="523"/>
    <col min="12372" max="12374" width="11.28515625" style="523" bestFit="1" customWidth="1"/>
    <col min="12375" max="12375" width="12.5703125" style="523" customWidth="1"/>
    <col min="12376" max="12544" width="9.140625" style="523"/>
    <col min="12545" max="12545" width="25.28515625" style="523" customWidth="1"/>
    <col min="12546" max="12546" width="3.28515625" style="523" customWidth="1"/>
    <col min="12547" max="12603" width="0" style="523" hidden="1" customWidth="1"/>
    <col min="12604" max="12604" width="2.28515625" style="523" customWidth="1"/>
    <col min="12605" max="12606" width="10" style="523" customWidth="1"/>
    <col min="12607" max="12607" width="14.140625" style="523" customWidth="1"/>
    <col min="12608" max="12608" width="13.140625" style="523" customWidth="1"/>
    <col min="12609" max="12609" width="12.140625" style="523" customWidth="1"/>
    <col min="12610" max="12610" width="12" style="523" customWidth="1"/>
    <col min="12611" max="12611" width="9.140625" style="523"/>
    <col min="12612" max="12612" width="11.85546875" style="523" bestFit="1" customWidth="1"/>
    <col min="12613" max="12614" width="14.140625" style="523" customWidth="1"/>
    <col min="12615" max="12615" width="13.140625" style="523" customWidth="1"/>
    <col min="12616" max="12616" width="12.5703125" style="523" customWidth="1"/>
    <col min="12617" max="12617" width="12.140625" style="523" customWidth="1"/>
    <col min="12618" max="12618" width="12" style="523" customWidth="1"/>
    <col min="12619" max="12619" width="9.140625" style="523"/>
    <col min="12620" max="12620" width="11.85546875" style="523" bestFit="1" customWidth="1"/>
    <col min="12621" max="12622" width="14.140625" style="523" customWidth="1"/>
    <col min="12623" max="12623" width="13.140625" style="523" customWidth="1"/>
    <col min="12624" max="12624" width="12.5703125" style="523" customWidth="1"/>
    <col min="12625" max="12625" width="12.140625" style="523" customWidth="1"/>
    <col min="12626" max="12626" width="12" style="523" customWidth="1"/>
    <col min="12627" max="12627" width="9.140625" style="523"/>
    <col min="12628" max="12630" width="11.28515625" style="523" bestFit="1" customWidth="1"/>
    <col min="12631" max="12631" width="12.5703125" style="523" customWidth="1"/>
    <col min="12632" max="12800" width="9.140625" style="523"/>
    <col min="12801" max="12801" width="25.28515625" style="523" customWidth="1"/>
    <col min="12802" max="12802" width="3.28515625" style="523" customWidth="1"/>
    <col min="12803" max="12859" width="0" style="523" hidden="1" customWidth="1"/>
    <col min="12860" max="12860" width="2.28515625" style="523" customWidth="1"/>
    <col min="12861" max="12862" width="10" style="523" customWidth="1"/>
    <col min="12863" max="12863" width="14.140625" style="523" customWidth="1"/>
    <col min="12864" max="12864" width="13.140625" style="523" customWidth="1"/>
    <col min="12865" max="12865" width="12.140625" style="523" customWidth="1"/>
    <col min="12866" max="12866" width="12" style="523" customWidth="1"/>
    <col min="12867" max="12867" width="9.140625" style="523"/>
    <col min="12868" max="12868" width="11.85546875" style="523" bestFit="1" customWidth="1"/>
    <col min="12869" max="12870" width="14.140625" style="523" customWidth="1"/>
    <col min="12871" max="12871" width="13.140625" style="523" customWidth="1"/>
    <col min="12872" max="12872" width="12.5703125" style="523" customWidth="1"/>
    <col min="12873" max="12873" width="12.140625" style="523" customWidth="1"/>
    <col min="12874" max="12874" width="12" style="523" customWidth="1"/>
    <col min="12875" max="12875" width="9.140625" style="523"/>
    <col min="12876" max="12876" width="11.85546875" style="523" bestFit="1" customWidth="1"/>
    <col min="12877" max="12878" width="14.140625" style="523" customWidth="1"/>
    <col min="12879" max="12879" width="13.140625" style="523" customWidth="1"/>
    <col min="12880" max="12880" width="12.5703125" style="523" customWidth="1"/>
    <col min="12881" max="12881" width="12.140625" style="523" customWidth="1"/>
    <col min="12882" max="12882" width="12" style="523" customWidth="1"/>
    <col min="12883" max="12883" width="9.140625" style="523"/>
    <col min="12884" max="12886" width="11.28515625" style="523" bestFit="1" customWidth="1"/>
    <col min="12887" max="12887" width="12.5703125" style="523" customWidth="1"/>
    <col min="12888" max="13056" width="9.140625" style="523"/>
    <col min="13057" max="13057" width="25.28515625" style="523" customWidth="1"/>
    <col min="13058" max="13058" width="3.28515625" style="523" customWidth="1"/>
    <col min="13059" max="13115" width="0" style="523" hidden="1" customWidth="1"/>
    <col min="13116" max="13116" width="2.28515625" style="523" customWidth="1"/>
    <col min="13117" max="13118" width="10" style="523" customWidth="1"/>
    <col min="13119" max="13119" width="14.140625" style="523" customWidth="1"/>
    <col min="13120" max="13120" width="13.140625" style="523" customWidth="1"/>
    <col min="13121" max="13121" width="12.140625" style="523" customWidth="1"/>
    <col min="13122" max="13122" width="12" style="523" customWidth="1"/>
    <col min="13123" max="13123" width="9.140625" style="523"/>
    <col min="13124" max="13124" width="11.85546875" style="523" bestFit="1" customWidth="1"/>
    <col min="13125" max="13126" width="14.140625" style="523" customWidth="1"/>
    <col min="13127" max="13127" width="13.140625" style="523" customWidth="1"/>
    <col min="13128" max="13128" width="12.5703125" style="523" customWidth="1"/>
    <col min="13129" max="13129" width="12.140625" style="523" customWidth="1"/>
    <col min="13130" max="13130" width="12" style="523" customWidth="1"/>
    <col min="13131" max="13131" width="9.140625" style="523"/>
    <col min="13132" max="13132" width="11.85546875" style="523" bestFit="1" customWidth="1"/>
    <col min="13133" max="13134" width="14.140625" style="523" customWidth="1"/>
    <col min="13135" max="13135" width="13.140625" style="523" customWidth="1"/>
    <col min="13136" max="13136" width="12.5703125" style="523" customWidth="1"/>
    <col min="13137" max="13137" width="12.140625" style="523" customWidth="1"/>
    <col min="13138" max="13138" width="12" style="523" customWidth="1"/>
    <col min="13139" max="13139" width="9.140625" style="523"/>
    <col min="13140" max="13142" width="11.28515625" style="523" bestFit="1" customWidth="1"/>
    <col min="13143" max="13143" width="12.5703125" style="523" customWidth="1"/>
    <col min="13144" max="13312" width="9.140625" style="523"/>
    <col min="13313" max="13313" width="25.28515625" style="523" customWidth="1"/>
    <col min="13314" max="13314" width="3.28515625" style="523" customWidth="1"/>
    <col min="13315" max="13371" width="0" style="523" hidden="1" customWidth="1"/>
    <col min="13372" max="13372" width="2.28515625" style="523" customWidth="1"/>
    <col min="13373" max="13374" width="10" style="523" customWidth="1"/>
    <col min="13375" max="13375" width="14.140625" style="523" customWidth="1"/>
    <col min="13376" max="13376" width="13.140625" style="523" customWidth="1"/>
    <col min="13377" max="13377" width="12.140625" style="523" customWidth="1"/>
    <col min="13378" max="13378" width="12" style="523" customWidth="1"/>
    <col min="13379" max="13379" width="9.140625" style="523"/>
    <col min="13380" max="13380" width="11.85546875" style="523" bestFit="1" customWidth="1"/>
    <col min="13381" max="13382" width="14.140625" style="523" customWidth="1"/>
    <col min="13383" max="13383" width="13.140625" style="523" customWidth="1"/>
    <col min="13384" max="13384" width="12.5703125" style="523" customWidth="1"/>
    <col min="13385" max="13385" width="12.140625" style="523" customWidth="1"/>
    <col min="13386" max="13386" width="12" style="523" customWidth="1"/>
    <col min="13387" max="13387" width="9.140625" style="523"/>
    <col min="13388" max="13388" width="11.85546875" style="523" bestFit="1" customWidth="1"/>
    <col min="13389" max="13390" width="14.140625" style="523" customWidth="1"/>
    <col min="13391" max="13391" width="13.140625" style="523" customWidth="1"/>
    <col min="13392" max="13392" width="12.5703125" style="523" customWidth="1"/>
    <col min="13393" max="13393" width="12.140625" style="523" customWidth="1"/>
    <col min="13394" max="13394" width="12" style="523" customWidth="1"/>
    <col min="13395" max="13395" width="9.140625" style="523"/>
    <col min="13396" max="13398" width="11.28515625" style="523" bestFit="1" customWidth="1"/>
    <col min="13399" max="13399" width="12.5703125" style="523" customWidth="1"/>
    <col min="13400" max="13568" width="9.140625" style="523"/>
    <col min="13569" max="13569" width="25.28515625" style="523" customWidth="1"/>
    <col min="13570" max="13570" width="3.28515625" style="523" customWidth="1"/>
    <col min="13571" max="13627" width="0" style="523" hidden="1" customWidth="1"/>
    <col min="13628" max="13628" width="2.28515625" style="523" customWidth="1"/>
    <col min="13629" max="13630" width="10" style="523" customWidth="1"/>
    <col min="13631" max="13631" width="14.140625" style="523" customWidth="1"/>
    <col min="13632" max="13632" width="13.140625" style="523" customWidth="1"/>
    <col min="13633" max="13633" width="12.140625" style="523" customWidth="1"/>
    <col min="13634" max="13634" width="12" style="523" customWidth="1"/>
    <col min="13635" max="13635" width="9.140625" style="523"/>
    <col min="13636" max="13636" width="11.85546875" style="523" bestFit="1" customWidth="1"/>
    <col min="13637" max="13638" width="14.140625" style="523" customWidth="1"/>
    <col min="13639" max="13639" width="13.140625" style="523" customWidth="1"/>
    <col min="13640" max="13640" width="12.5703125" style="523" customWidth="1"/>
    <col min="13641" max="13641" width="12.140625" style="523" customWidth="1"/>
    <col min="13642" max="13642" width="12" style="523" customWidth="1"/>
    <col min="13643" max="13643" width="9.140625" style="523"/>
    <col min="13644" max="13644" width="11.85546875" style="523" bestFit="1" customWidth="1"/>
    <col min="13645" max="13646" width="14.140625" style="523" customWidth="1"/>
    <col min="13647" max="13647" width="13.140625" style="523" customWidth="1"/>
    <col min="13648" max="13648" width="12.5703125" style="523" customWidth="1"/>
    <col min="13649" max="13649" width="12.140625" style="523" customWidth="1"/>
    <col min="13650" max="13650" width="12" style="523" customWidth="1"/>
    <col min="13651" max="13651" width="9.140625" style="523"/>
    <col min="13652" max="13654" width="11.28515625" style="523" bestFit="1" customWidth="1"/>
    <col min="13655" max="13655" width="12.5703125" style="523" customWidth="1"/>
    <col min="13656" max="13824" width="9.140625" style="523"/>
    <col min="13825" max="13825" width="25.28515625" style="523" customWidth="1"/>
    <col min="13826" max="13826" width="3.28515625" style="523" customWidth="1"/>
    <col min="13827" max="13883" width="0" style="523" hidden="1" customWidth="1"/>
    <col min="13884" max="13884" width="2.28515625" style="523" customWidth="1"/>
    <col min="13885" max="13886" width="10" style="523" customWidth="1"/>
    <col min="13887" max="13887" width="14.140625" style="523" customWidth="1"/>
    <col min="13888" max="13888" width="13.140625" style="523" customWidth="1"/>
    <col min="13889" max="13889" width="12.140625" style="523" customWidth="1"/>
    <col min="13890" max="13890" width="12" style="523" customWidth="1"/>
    <col min="13891" max="13891" width="9.140625" style="523"/>
    <col min="13892" max="13892" width="11.85546875" style="523" bestFit="1" customWidth="1"/>
    <col min="13893" max="13894" width="14.140625" style="523" customWidth="1"/>
    <col min="13895" max="13895" width="13.140625" style="523" customWidth="1"/>
    <col min="13896" max="13896" width="12.5703125" style="523" customWidth="1"/>
    <col min="13897" max="13897" width="12.140625" style="523" customWidth="1"/>
    <col min="13898" max="13898" width="12" style="523" customWidth="1"/>
    <col min="13899" max="13899" width="9.140625" style="523"/>
    <col min="13900" max="13900" width="11.85546875" style="523" bestFit="1" customWidth="1"/>
    <col min="13901" max="13902" width="14.140625" style="523" customWidth="1"/>
    <col min="13903" max="13903" width="13.140625" style="523" customWidth="1"/>
    <col min="13904" max="13904" width="12.5703125" style="523" customWidth="1"/>
    <col min="13905" max="13905" width="12.140625" style="523" customWidth="1"/>
    <col min="13906" max="13906" width="12" style="523" customWidth="1"/>
    <col min="13907" max="13907" width="9.140625" style="523"/>
    <col min="13908" max="13910" width="11.28515625" style="523" bestFit="1" customWidth="1"/>
    <col min="13911" max="13911" width="12.5703125" style="523" customWidth="1"/>
    <col min="13912" max="14080" width="9.140625" style="523"/>
    <col min="14081" max="14081" width="25.28515625" style="523" customWidth="1"/>
    <col min="14082" max="14082" width="3.28515625" style="523" customWidth="1"/>
    <col min="14083" max="14139" width="0" style="523" hidden="1" customWidth="1"/>
    <col min="14140" max="14140" width="2.28515625" style="523" customWidth="1"/>
    <col min="14141" max="14142" width="10" style="523" customWidth="1"/>
    <col min="14143" max="14143" width="14.140625" style="523" customWidth="1"/>
    <col min="14144" max="14144" width="13.140625" style="523" customWidth="1"/>
    <col min="14145" max="14145" width="12.140625" style="523" customWidth="1"/>
    <col min="14146" max="14146" width="12" style="523" customWidth="1"/>
    <col min="14147" max="14147" width="9.140625" style="523"/>
    <col min="14148" max="14148" width="11.85546875" style="523" bestFit="1" customWidth="1"/>
    <col min="14149" max="14150" width="14.140625" style="523" customWidth="1"/>
    <col min="14151" max="14151" width="13.140625" style="523" customWidth="1"/>
    <col min="14152" max="14152" width="12.5703125" style="523" customWidth="1"/>
    <col min="14153" max="14153" width="12.140625" style="523" customWidth="1"/>
    <col min="14154" max="14154" width="12" style="523" customWidth="1"/>
    <col min="14155" max="14155" width="9.140625" style="523"/>
    <col min="14156" max="14156" width="11.85546875" style="523" bestFit="1" customWidth="1"/>
    <col min="14157" max="14158" width="14.140625" style="523" customWidth="1"/>
    <col min="14159" max="14159" width="13.140625" style="523" customWidth="1"/>
    <col min="14160" max="14160" width="12.5703125" style="523" customWidth="1"/>
    <col min="14161" max="14161" width="12.140625" style="523" customWidth="1"/>
    <col min="14162" max="14162" width="12" style="523" customWidth="1"/>
    <col min="14163" max="14163" width="9.140625" style="523"/>
    <col min="14164" max="14166" width="11.28515625" style="523" bestFit="1" customWidth="1"/>
    <col min="14167" max="14167" width="12.5703125" style="523" customWidth="1"/>
    <col min="14168" max="14336" width="9.140625" style="523"/>
    <col min="14337" max="14337" width="25.28515625" style="523" customWidth="1"/>
    <col min="14338" max="14338" width="3.28515625" style="523" customWidth="1"/>
    <col min="14339" max="14395" width="0" style="523" hidden="1" customWidth="1"/>
    <col min="14396" max="14396" width="2.28515625" style="523" customWidth="1"/>
    <col min="14397" max="14398" width="10" style="523" customWidth="1"/>
    <col min="14399" max="14399" width="14.140625" style="523" customWidth="1"/>
    <col min="14400" max="14400" width="13.140625" style="523" customWidth="1"/>
    <col min="14401" max="14401" width="12.140625" style="523" customWidth="1"/>
    <col min="14402" max="14402" width="12" style="523" customWidth="1"/>
    <col min="14403" max="14403" width="9.140625" style="523"/>
    <col min="14404" max="14404" width="11.85546875" style="523" bestFit="1" customWidth="1"/>
    <col min="14405" max="14406" width="14.140625" style="523" customWidth="1"/>
    <col min="14407" max="14407" width="13.140625" style="523" customWidth="1"/>
    <col min="14408" max="14408" width="12.5703125" style="523" customWidth="1"/>
    <col min="14409" max="14409" width="12.140625" style="523" customWidth="1"/>
    <col min="14410" max="14410" width="12" style="523" customWidth="1"/>
    <col min="14411" max="14411" width="9.140625" style="523"/>
    <col min="14412" max="14412" width="11.85546875" style="523" bestFit="1" customWidth="1"/>
    <col min="14413" max="14414" width="14.140625" style="523" customWidth="1"/>
    <col min="14415" max="14415" width="13.140625" style="523" customWidth="1"/>
    <col min="14416" max="14416" width="12.5703125" style="523" customWidth="1"/>
    <col min="14417" max="14417" width="12.140625" style="523" customWidth="1"/>
    <col min="14418" max="14418" width="12" style="523" customWidth="1"/>
    <col min="14419" max="14419" width="9.140625" style="523"/>
    <col min="14420" max="14422" width="11.28515625" style="523" bestFit="1" customWidth="1"/>
    <col min="14423" max="14423" width="12.5703125" style="523" customWidth="1"/>
    <col min="14424" max="14592" width="9.140625" style="523"/>
    <col min="14593" max="14593" width="25.28515625" style="523" customWidth="1"/>
    <col min="14594" max="14594" width="3.28515625" style="523" customWidth="1"/>
    <col min="14595" max="14651" width="0" style="523" hidden="1" customWidth="1"/>
    <col min="14652" max="14652" width="2.28515625" style="523" customWidth="1"/>
    <col min="14653" max="14654" width="10" style="523" customWidth="1"/>
    <col min="14655" max="14655" width="14.140625" style="523" customWidth="1"/>
    <col min="14656" max="14656" width="13.140625" style="523" customWidth="1"/>
    <col min="14657" max="14657" width="12.140625" style="523" customWidth="1"/>
    <col min="14658" max="14658" width="12" style="523" customWidth="1"/>
    <col min="14659" max="14659" width="9.140625" style="523"/>
    <col min="14660" max="14660" width="11.85546875" style="523" bestFit="1" customWidth="1"/>
    <col min="14661" max="14662" width="14.140625" style="523" customWidth="1"/>
    <col min="14663" max="14663" width="13.140625" style="523" customWidth="1"/>
    <col min="14664" max="14664" width="12.5703125" style="523" customWidth="1"/>
    <col min="14665" max="14665" width="12.140625" style="523" customWidth="1"/>
    <col min="14666" max="14666" width="12" style="523" customWidth="1"/>
    <col min="14667" max="14667" width="9.140625" style="523"/>
    <col min="14668" max="14668" width="11.85546875" style="523" bestFit="1" customWidth="1"/>
    <col min="14669" max="14670" width="14.140625" style="523" customWidth="1"/>
    <col min="14671" max="14671" width="13.140625" style="523" customWidth="1"/>
    <col min="14672" max="14672" width="12.5703125" style="523" customWidth="1"/>
    <col min="14673" max="14673" width="12.140625" style="523" customWidth="1"/>
    <col min="14674" max="14674" width="12" style="523" customWidth="1"/>
    <col min="14675" max="14675" width="9.140625" style="523"/>
    <col min="14676" max="14678" width="11.28515625" style="523" bestFit="1" customWidth="1"/>
    <col min="14679" max="14679" width="12.5703125" style="523" customWidth="1"/>
    <col min="14680" max="14848" width="9.140625" style="523"/>
    <col min="14849" max="14849" width="25.28515625" style="523" customWidth="1"/>
    <col min="14850" max="14850" width="3.28515625" style="523" customWidth="1"/>
    <col min="14851" max="14907" width="0" style="523" hidden="1" customWidth="1"/>
    <col min="14908" max="14908" width="2.28515625" style="523" customWidth="1"/>
    <col min="14909" max="14910" width="10" style="523" customWidth="1"/>
    <col min="14911" max="14911" width="14.140625" style="523" customWidth="1"/>
    <col min="14912" max="14912" width="13.140625" style="523" customWidth="1"/>
    <col min="14913" max="14913" width="12.140625" style="523" customWidth="1"/>
    <col min="14914" max="14914" width="12" style="523" customWidth="1"/>
    <col min="14915" max="14915" width="9.140625" style="523"/>
    <col min="14916" max="14916" width="11.85546875" style="523" bestFit="1" customWidth="1"/>
    <col min="14917" max="14918" width="14.140625" style="523" customWidth="1"/>
    <col min="14919" max="14919" width="13.140625" style="523" customWidth="1"/>
    <col min="14920" max="14920" width="12.5703125" style="523" customWidth="1"/>
    <col min="14921" max="14921" width="12.140625" style="523" customWidth="1"/>
    <col min="14922" max="14922" width="12" style="523" customWidth="1"/>
    <col min="14923" max="14923" width="9.140625" style="523"/>
    <col min="14924" max="14924" width="11.85546875" style="523" bestFit="1" customWidth="1"/>
    <col min="14925" max="14926" width="14.140625" style="523" customWidth="1"/>
    <col min="14927" max="14927" width="13.140625" style="523" customWidth="1"/>
    <col min="14928" max="14928" width="12.5703125" style="523" customWidth="1"/>
    <col min="14929" max="14929" width="12.140625" style="523" customWidth="1"/>
    <col min="14930" max="14930" width="12" style="523" customWidth="1"/>
    <col min="14931" max="14931" width="9.140625" style="523"/>
    <col min="14932" max="14934" width="11.28515625" style="523" bestFit="1" customWidth="1"/>
    <col min="14935" max="14935" width="12.5703125" style="523" customWidth="1"/>
    <col min="14936" max="15104" width="9.140625" style="523"/>
    <col min="15105" max="15105" width="25.28515625" style="523" customWidth="1"/>
    <col min="15106" max="15106" width="3.28515625" style="523" customWidth="1"/>
    <col min="15107" max="15163" width="0" style="523" hidden="1" customWidth="1"/>
    <col min="15164" max="15164" width="2.28515625" style="523" customWidth="1"/>
    <col min="15165" max="15166" width="10" style="523" customWidth="1"/>
    <col min="15167" max="15167" width="14.140625" style="523" customWidth="1"/>
    <col min="15168" max="15168" width="13.140625" style="523" customWidth="1"/>
    <col min="15169" max="15169" width="12.140625" style="523" customWidth="1"/>
    <col min="15170" max="15170" width="12" style="523" customWidth="1"/>
    <col min="15171" max="15171" width="9.140625" style="523"/>
    <col min="15172" max="15172" width="11.85546875" style="523" bestFit="1" customWidth="1"/>
    <col min="15173" max="15174" width="14.140625" style="523" customWidth="1"/>
    <col min="15175" max="15175" width="13.140625" style="523" customWidth="1"/>
    <col min="15176" max="15176" width="12.5703125" style="523" customWidth="1"/>
    <col min="15177" max="15177" width="12.140625" style="523" customWidth="1"/>
    <col min="15178" max="15178" width="12" style="523" customWidth="1"/>
    <col min="15179" max="15179" width="9.140625" style="523"/>
    <col min="15180" max="15180" width="11.85546875" style="523" bestFit="1" customWidth="1"/>
    <col min="15181" max="15182" width="14.140625" style="523" customWidth="1"/>
    <col min="15183" max="15183" width="13.140625" style="523" customWidth="1"/>
    <col min="15184" max="15184" width="12.5703125" style="523" customWidth="1"/>
    <col min="15185" max="15185" width="12.140625" style="523" customWidth="1"/>
    <col min="15186" max="15186" width="12" style="523" customWidth="1"/>
    <col min="15187" max="15187" width="9.140625" style="523"/>
    <col min="15188" max="15190" width="11.28515625" style="523" bestFit="1" customWidth="1"/>
    <col min="15191" max="15191" width="12.5703125" style="523" customWidth="1"/>
    <col min="15192" max="15360" width="9.140625" style="523"/>
    <col min="15361" max="15361" width="25.28515625" style="523" customWidth="1"/>
    <col min="15362" max="15362" width="3.28515625" style="523" customWidth="1"/>
    <col min="15363" max="15419" width="0" style="523" hidden="1" customWidth="1"/>
    <col min="15420" max="15420" width="2.28515625" style="523" customWidth="1"/>
    <col min="15421" max="15422" width="10" style="523" customWidth="1"/>
    <col min="15423" max="15423" width="14.140625" style="523" customWidth="1"/>
    <col min="15424" max="15424" width="13.140625" style="523" customWidth="1"/>
    <col min="15425" max="15425" width="12.140625" style="523" customWidth="1"/>
    <col min="15426" max="15426" width="12" style="523" customWidth="1"/>
    <col min="15427" max="15427" width="9.140625" style="523"/>
    <col min="15428" max="15428" width="11.85546875" style="523" bestFit="1" customWidth="1"/>
    <col min="15429" max="15430" width="14.140625" style="523" customWidth="1"/>
    <col min="15431" max="15431" width="13.140625" style="523" customWidth="1"/>
    <col min="15432" max="15432" width="12.5703125" style="523" customWidth="1"/>
    <col min="15433" max="15433" width="12.140625" style="523" customWidth="1"/>
    <col min="15434" max="15434" width="12" style="523" customWidth="1"/>
    <col min="15435" max="15435" width="9.140625" style="523"/>
    <col min="15436" max="15436" width="11.85546875" style="523" bestFit="1" customWidth="1"/>
    <col min="15437" max="15438" width="14.140625" style="523" customWidth="1"/>
    <col min="15439" max="15439" width="13.140625" style="523" customWidth="1"/>
    <col min="15440" max="15440" width="12.5703125" style="523" customWidth="1"/>
    <col min="15441" max="15441" width="12.140625" style="523" customWidth="1"/>
    <col min="15442" max="15442" width="12" style="523" customWidth="1"/>
    <col min="15443" max="15443" width="9.140625" style="523"/>
    <col min="15444" max="15446" width="11.28515625" style="523" bestFit="1" customWidth="1"/>
    <col min="15447" max="15447" width="12.5703125" style="523" customWidth="1"/>
    <col min="15448" max="15616" width="9.140625" style="523"/>
    <col min="15617" max="15617" width="25.28515625" style="523" customWidth="1"/>
    <col min="15618" max="15618" width="3.28515625" style="523" customWidth="1"/>
    <col min="15619" max="15675" width="0" style="523" hidden="1" customWidth="1"/>
    <col min="15676" max="15676" width="2.28515625" style="523" customWidth="1"/>
    <col min="15677" max="15678" width="10" style="523" customWidth="1"/>
    <col min="15679" max="15679" width="14.140625" style="523" customWidth="1"/>
    <col min="15680" max="15680" width="13.140625" style="523" customWidth="1"/>
    <col min="15681" max="15681" width="12.140625" style="523" customWidth="1"/>
    <col min="15682" max="15682" width="12" style="523" customWidth="1"/>
    <col min="15683" max="15683" width="9.140625" style="523"/>
    <col min="15684" max="15684" width="11.85546875" style="523" bestFit="1" customWidth="1"/>
    <col min="15685" max="15686" width="14.140625" style="523" customWidth="1"/>
    <col min="15687" max="15687" width="13.140625" style="523" customWidth="1"/>
    <col min="15688" max="15688" width="12.5703125" style="523" customWidth="1"/>
    <col min="15689" max="15689" width="12.140625" style="523" customWidth="1"/>
    <col min="15690" max="15690" width="12" style="523" customWidth="1"/>
    <col min="15691" max="15691" width="9.140625" style="523"/>
    <col min="15692" max="15692" width="11.85546875" style="523" bestFit="1" customWidth="1"/>
    <col min="15693" max="15694" width="14.140625" style="523" customWidth="1"/>
    <col min="15695" max="15695" width="13.140625" style="523" customWidth="1"/>
    <col min="15696" max="15696" width="12.5703125" style="523" customWidth="1"/>
    <col min="15697" max="15697" width="12.140625" style="523" customWidth="1"/>
    <col min="15698" max="15698" width="12" style="523" customWidth="1"/>
    <col min="15699" max="15699" width="9.140625" style="523"/>
    <col min="15700" max="15702" width="11.28515625" style="523" bestFit="1" customWidth="1"/>
    <col min="15703" max="15703" width="12.5703125" style="523" customWidth="1"/>
    <col min="15704" max="15872" width="9.140625" style="523"/>
    <col min="15873" max="15873" width="25.28515625" style="523" customWidth="1"/>
    <col min="15874" max="15874" width="3.28515625" style="523" customWidth="1"/>
    <col min="15875" max="15931" width="0" style="523" hidden="1" customWidth="1"/>
    <col min="15932" max="15932" width="2.28515625" style="523" customWidth="1"/>
    <col min="15933" max="15934" width="10" style="523" customWidth="1"/>
    <col min="15935" max="15935" width="14.140625" style="523" customWidth="1"/>
    <col min="15936" max="15936" width="13.140625" style="523" customWidth="1"/>
    <col min="15937" max="15937" width="12.140625" style="523" customWidth="1"/>
    <col min="15938" max="15938" width="12" style="523" customWidth="1"/>
    <col min="15939" max="15939" width="9.140625" style="523"/>
    <col min="15940" max="15940" width="11.85546875" style="523" bestFit="1" customWidth="1"/>
    <col min="15941" max="15942" width="14.140625" style="523" customWidth="1"/>
    <col min="15943" max="15943" width="13.140625" style="523" customWidth="1"/>
    <col min="15944" max="15944" width="12.5703125" style="523" customWidth="1"/>
    <col min="15945" max="15945" width="12.140625" style="523" customWidth="1"/>
    <col min="15946" max="15946" width="12" style="523" customWidth="1"/>
    <col min="15947" max="15947" width="9.140625" style="523"/>
    <col min="15948" max="15948" width="11.85546875" style="523" bestFit="1" customWidth="1"/>
    <col min="15949" max="15950" width="14.140625" style="523" customWidth="1"/>
    <col min="15951" max="15951" width="13.140625" style="523" customWidth="1"/>
    <col min="15952" max="15952" width="12.5703125" style="523" customWidth="1"/>
    <col min="15953" max="15953" width="12.140625" style="523" customWidth="1"/>
    <col min="15954" max="15954" width="12" style="523" customWidth="1"/>
    <col min="15955" max="15955" width="9.140625" style="523"/>
    <col min="15956" max="15958" width="11.28515625" style="523" bestFit="1" customWidth="1"/>
    <col min="15959" max="15959" width="12.5703125" style="523" customWidth="1"/>
    <col min="15960" max="16128" width="9.140625" style="523"/>
    <col min="16129" max="16129" width="25.28515625" style="523" customWidth="1"/>
    <col min="16130" max="16130" width="3.28515625" style="523" customWidth="1"/>
    <col min="16131" max="16187" width="0" style="523" hidden="1" customWidth="1"/>
    <col min="16188" max="16188" width="2.28515625" style="523" customWidth="1"/>
    <col min="16189" max="16190" width="10" style="523" customWidth="1"/>
    <col min="16191" max="16191" width="14.140625" style="523" customWidth="1"/>
    <col min="16192" max="16192" width="13.140625" style="523" customWidth="1"/>
    <col min="16193" max="16193" width="12.140625" style="523" customWidth="1"/>
    <col min="16194" max="16194" width="12" style="523" customWidth="1"/>
    <col min="16195" max="16195" width="9.140625" style="523"/>
    <col min="16196" max="16196" width="11.85546875" style="523" bestFit="1" customWidth="1"/>
    <col min="16197" max="16198" width="14.140625" style="523" customWidth="1"/>
    <col min="16199" max="16199" width="13.140625" style="523" customWidth="1"/>
    <col min="16200" max="16200" width="12.5703125" style="523" customWidth="1"/>
    <col min="16201" max="16201" width="12.140625" style="523" customWidth="1"/>
    <col min="16202" max="16202" width="12" style="523" customWidth="1"/>
    <col min="16203" max="16203" width="9.140625" style="523"/>
    <col min="16204" max="16204" width="11.85546875" style="523" bestFit="1" customWidth="1"/>
    <col min="16205" max="16206" width="14.140625" style="523" customWidth="1"/>
    <col min="16207" max="16207" width="13.140625" style="523" customWidth="1"/>
    <col min="16208" max="16208" width="12.5703125" style="523" customWidth="1"/>
    <col min="16209" max="16209" width="12.140625" style="523" customWidth="1"/>
    <col min="16210" max="16210" width="12" style="523" customWidth="1"/>
    <col min="16211" max="16211" width="9.140625" style="523"/>
    <col min="16212" max="16214" width="11.28515625" style="523" bestFit="1" customWidth="1"/>
    <col min="16215" max="16215" width="12.5703125" style="523" customWidth="1"/>
    <col min="16216" max="16384" width="9.140625" style="523"/>
  </cols>
  <sheetData>
    <row r="1" spans="1:87" ht="15">
      <c r="A1" s="522" t="s">
        <v>624</v>
      </c>
      <c r="I1" s="524"/>
      <c r="J1" s="525">
        <v>0</v>
      </c>
      <c r="K1" s="526"/>
      <c r="M1" s="524"/>
      <c r="N1" s="524"/>
      <c r="O1" s="524"/>
      <c r="P1" s="527"/>
      <c r="Q1" s="527"/>
      <c r="R1" s="528">
        <v>4367</v>
      </c>
      <c r="S1" s="529">
        <v>5.9200000000000003E-2</v>
      </c>
      <c r="T1" s="530" t="s">
        <v>625</v>
      </c>
    </row>
    <row r="2" spans="1:87" ht="15.75" thickBot="1">
      <c r="A2" s="531" t="s">
        <v>626</v>
      </c>
      <c r="B2" s="532"/>
      <c r="I2" s="524"/>
      <c r="J2" s="527"/>
      <c r="K2" s="527"/>
      <c r="L2" s="533"/>
      <c r="M2" s="534"/>
      <c r="N2" s="534"/>
      <c r="O2" s="534"/>
      <c r="P2" s="527"/>
      <c r="Q2" s="527"/>
      <c r="R2" s="528">
        <v>2626</v>
      </c>
      <c r="S2" s="535"/>
      <c r="V2" s="523" t="s">
        <v>627</v>
      </c>
      <c r="AL2" s="536"/>
      <c r="AM2" s="536"/>
      <c r="AN2" s="536"/>
      <c r="AO2" s="537" t="s">
        <v>628</v>
      </c>
      <c r="AP2" s="536"/>
      <c r="AQ2" s="536"/>
      <c r="AR2" s="536"/>
      <c r="AT2" s="536"/>
      <c r="AU2" s="536"/>
      <c r="AV2" s="536"/>
      <c r="AW2" s="537" t="s">
        <v>629</v>
      </c>
      <c r="AX2" s="536"/>
      <c r="AY2" s="536"/>
      <c r="AZ2" s="536"/>
      <c r="BB2" s="536"/>
      <c r="BC2" s="536"/>
      <c r="BD2" s="536" t="s">
        <v>630</v>
      </c>
      <c r="BE2" s="536"/>
      <c r="BF2" s="536"/>
      <c r="BG2" s="536"/>
      <c r="BI2" s="536"/>
      <c r="BJ2" s="536"/>
      <c r="BK2" s="536"/>
      <c r="BL2" s="536"/>
      <c r="BM2" s="536"/>
      <c r="BN2" s="536"/>
      <c r="BP2" s="536"/>
      <c r="BQ2" s="536"/>
      <c r="BR2" s="536"/>
      <c r="BS2" s="536"/>
      <c r="BU2" s="536"/>
      <c r="BV2" s="536"/>
      <c r="BX2" s="536"/>
      <c r="BY2" s="536"/>
      <c r="BZ2" s="536"/>
      <c r="CA2" s="536"/>
      <c r="CC2" s="536"/>
      <c r="CD2" s="536"/>
    </row>
    <row r="3" spans="1:87" ht="15">
      <c r="A3" s="538" t="s">
        <v>631</v>
      </c>
      <c r="B3" s="539"/>
      <c r="C3" s="540"/>
      <c r="D3" s="540"/>
      <c r="E3" s="540"/>
      <c r="F3" s="540"/>
      <c r="G3" s="540"/>
      <c r="I3" s="524"/>
      <c r="J3" s="527"/>
      <c r="K3" s="527"/>
      <c r="L3" s="533"/>
      <c r="M3" s="534"/>
      <c r="N3" s="534"/>
      <c r="O3" s="534"/>
      <c r="P3" s="527"/>
      <c r="Q3" s="527"/>
      <c r="R3" s="528">
        <v>3092</v>
      </c>
      <c r="S3" s="535"/>
      <c r="V3" s="541"/>
      <c r="AI3" s="535">
        <f>AD12+AE12</f>
        <v>4306524</v>
      </c>
    </row>
    <row r="4" spans="1:87" ht="178.5">
      <c r="B4" s="530"/>
      <c r="H4" s="542"/>
      <c r="I4" s="542"/>
      <c r="J4" s="524"/>
      <c r="K4" s="524"/>
      <c r="L4" s="360">
        <v>2.41E-2</v>
      </c>
      <c r="M4" s="524">
        <v>4.2299999999999997E-2</v>
      </c>
      <c r="N4" s="543" t="s">
        <v>632</v>
      </c>
      <c r="O4" s="543"/>
      <c r="P4" s="527"/>
      <c r="Q4" s="527"/>
      <c r="S4" s="211">
        <f>ROUND(S5*1.0592,0)</f>
        <v>4521532</v>
      </c>
      <c r="V4" s="544">
        <v>4.53E-2</v>
      </c>
      <c r="AD4" s="544">
        <v>0</v>
      </c>
      <c r="AL4" s="544">
        <v>0</v>
      </c>
      <c r="AQ4" s="545" t="s">
        <v>633</v>
      </c>
      <c r="AT4" s="544">
        <v>0</v>
      </c>
      <c r="BB4" s="523">
        <v>0</v>
      </c>
      <c r="BQ4" s="546" t="s">
        <v>634</v>
      </c>
      <c r="BV4" s="546" t="s">
        <v>635</v>
      </c>
      <c r="BX4" s="546" t="s">
        <v>635</v>
      </c>
      <c r="CD4" s="546" t="s">
        <v>635</v>
      </c>
    </row>
    <row r="5" spans="1:87">
      <c r="A5" s="523" t="s">
        <v>636</v>
      </c>
      <c r="J5" s="211">
        <v>0</v>
      </c>
      <c r="K5" s="211"/>
      <c r="L5" s="211">
        <v>0</v>
      </c>
      <c r="M5" s="211"/>
      <c r="N5" s="211"/>
      <c r="O5" s="211"/>
      <c r="P5" s="211">
        <v>9113458</v>
      </c>
      <c r="Q5" s="211"/>
      <c r="R5" s="535">
        <f>SUM(J5:P5)</f>
        <v>9113458</v>
      </c>
      <c r="S5" s="39">
        <f>M31</f>
        <v>4268818</v>
      </c>
      <c r="T5" s="535">
        <f>R5-S5</f>
        <v>4844640</v>
      </c>
      <c r="V5" s="211">
        <v>0</v>
      </c>
      <c r="W5" s="547">
        <f>ROUND(P5*1.0453,0)</f>
        <v>9526298</v>
      </c>
      <c r="X5" s="547"/>
      <c r="Y5" s="547">
        <f>ROUND(13333661*1.0453,0)</f>
        <v>13937676</v>
      </c>
      <c r="Z5" s="548">
        <f>SUM(V5:Y5)</f>
        <v>23463974</v>
      </c>
      <c r="AA5" s="211">
        <v>0</v>
      </c>
      <c r="AB5" s="211">
        <f>Z5-AA5</f>
        <v>23463974</v>
      </c>
      <c r="AD5" s="547">
        <f>W5</f>
        <v>9526298</v>
      </c>
      <c r="AE5" s="547">
        <f>Y5</f>
        <v>13937676</v>
      </c>
      <c r="AF5" s="547"/>
      <c r="AG5" s="547">
        <v>8086370</v>
      </c>
      <c r="AH5" s="535">
        <f>SUM(AD5:AG5)</f>
        <v>31550344</v>
      </c>
      <c r="AI5" s="211">
        <v>2318788</v>
      </c>
      <c r="AJ5" s="211">
        <f>AH5-AI5</f>
        <v>29231556</v>
      </c>
      <c r="AL5" s="211">
        <v>5109843</v>
      </c>
      <c r="AM5" s="211">
        <v>0</v>
      </c>
      <c r="AN5" s="211"/>
      <c r="AO5" s="211">
        <v>0</v>
      </c>
      <c r="AP5" s="535">
        <f>SUM(AL5:AO5)</f>
        <v>5109843</v>
      </c>
      <c r="AT5" s="211"/>
      <c r="AU5" s="211"/>
      <c r="AV5" s="211"/>
      <c r="AW5" s="211"/>
      <c r="AX5" s="535"/>
    </row>
    <row r="6" spans="1:87" ht="13.5" thickBot="1">
      <c r="A6" s="549" t="s">
        <v>637</v>
      </c>
      <c r="B6" s="549"/>
      <c r="C6" s="549"/>
      <c r="D6" s="549"/>
      <c r="E6" s="549"/>
      <c r="F6" s="549"/>
      <c r="G6" s="549"/>
      <c r="H6" s="549"/>
      <c r="I6" s="549"/>
      <c r="J6" s="550">
        <v>0</v>
      </c>
      <c r="K6" s="550"/>
      <c r="L6" s="550">
        <v>0</v>
      </c>
      <c r="M6" s="550"/>
      <c r="N6" s="550"/>
      <c r="O6" s="550"/>
      <c r="P6" s="550">
        <f>ROUND(7713517*1.0592,0)</f>
        <v>8170157</v>
      </c>
      <c r="Q6" s="550"/>
      <c r="R6" s="551">
        <f>SUM(J6:P6)</f>
        <v>8170157</v>
      </c>
      <c r="S6" s="550">
        <v>0</v>
      </c>
      <c r="T6" s="551">
        <f>R6-S6</f>
        <v>8170157</v>
      </c>
      <c r="U6" s="549"/>
      <c r="V6" s="550">
        <v>0</v>
      </c>
      <c r="W6" s="550">
        <f>ROUND(P6*1.0453,0)</f>
        <v>8540265</v>
      </c>
      <c r="X6" s="550"/>
      <c r="Y6" s="550">
        <v>6989938</v>
      </c>
      <c r="Z6" s="551">
        <f>SUM(V6:Y6)</f>
        <v>15530203</v>
      </c>
      <c r="AA6" s="550">
        <v>2923933</v>
      </c>
      <c r="AB6" s="550">
        <f>Z6-AA6</f>
        <v>12606270</v>
      </c>
      <c r="AC6" s="549"/>
      <c r="AD6" s="550">
        <f>W6-AA6</f>
        <v>5616332</v>
      </c>
      <c r="AE6" s="550">
        <f>Y6</f>
        <v>6989938</v>
      </c>
      <c r="AF6" s="550"/>
      <c r="AG6" s="550">
        <v>0</v>
      </c>
      <c r="AH6" s="551">
        <f>SUM(AD6:AG6)</f>
        <v>12606270</v>
      </c>
      <c r="AI6" s="550">
        <v>7496427</v>
      </c>
      <c r="AJ6" s="550">
        <f>AH6-AI6</f>
        <v>5109843</v>
      </c>
      <c r="AK6" s="549"/>
      <c r="AL6" s="550">
        <f>AE6+AD6-AI6</f>
        <v>5109843</v>
      </c>
      <c r="AM6" s="550">
        <v>0</v>
      </c>
      <c r="AN6" s="550"/>
      <c r="AO6" s="550">
        <v>0</v>
      </c>
      <c r="AP6" s="551">
        <f>SUM(AL6:AO6)</f>
        <v>5109843</v>
      </c>
      <c r="AQ6" s="549"/>
      <c r="AS6" s="549"/>
      <c r="AT6" s="550"/>
      <c r="AU6" s="550"/>
      <c r="AV6" s="550"/>
      <c r="AW6" s="550"/>
      <c r="AX6" s="551"/>
      <c r="AY6" s="549"/>
      <c r="AZ6" s="549"/>
    </row>
    <row r="7" spans="1:87" ht="15.75" thickBot="1">
      <c r="F7" s="552" t="s">
        <v>576</v>
      </c>
      <c r="G7" s="552" t="s">
        <v>576</v>
      </c>
      <c r="H7" s="552" t="s">
        <v>576</v>
      </c>
      <c r="I7" s="553" t="s">
        <v>576</v>
      </c>
      <c r="J7" s="554"/>
      <c r="K7" s="552" t="s">
        <v>576</v>
      </c>
      <c r="L7" s="211"/>
      <c r="M7" s="552" t="s">
        <v>576</v>
      </c>
      <c r="N7" s="555"/>
      <c r="O7" s="555"/>
      <c r="Q7" s="556" t="s">
        <v>638</v>
      </c>
      <c r="R7" s="535"/>
      <c r="S7" s="211"/>
      <c r="T7" s="535"/>
      <c r="V7" s="211"/>
      <c r="W7" s="142"/>
      <c r="X7" s="142"/>
      <c r="Y7" s="142"/>
      <c r="Z7" s="527"/>
      <c r="AA7" s="211"/>
      <c r="AB7" s="211"/>
      <c r="AD7" s="142"/>
      <c r="AE7" s="142"/>
      <c r="AF7" s="142"/>
      <c r="AG7" s="142"/>
      <c r="AH7" s="535"/>
      <c r="AI7" s="211"/>
      <c r="AJ7" s="211"/>
      <c r="AL7" s="211"/>
      <c r="AM7" s="211"/>
      <c r="AN7" s="211"/>
      <c r="AO7" s="211"/>
      <c r="AP7" s="535"/>
      <c r="AT7" s="211"/>
      <c r="AU7" s="211"/>
      <c r="AV7" s="211"/>
      <c r="AW7" s="211"/>
      <c r="AX7" s="535"/>
      <c r="CF7" s="621" t="s">
        <v>639</v>
      </c>
      <c r="CG7" s="621"/>
      <c r="CH7" s="621"/>
    </row>
    <row r="8" spans="1:87" ht="58.5" customHeight="1">
      <c r="A8" s="557" t="s">
        <v>640</v>
      </c>
      <c r="B8" s="557"/>
      <c r="C8" s="536"/>
      <c r="D8" s="558"/>
      <c r="F8" s="559" t="s">
        <v>641</v>
      </c>
      <c r="G8" s="560" t="s">
        <v>642</v>
      </c>
      <c r="H8" s="559" t="s">
        <v>643</v>
      </c>
      <c r="I8" s="559" t="s">
        <v>644</v>
      </c>
      <c r="J8" s="561" t="s">
        <v>645</v>
      </c>
      <c r="K8" s="559" t="s">
        <v>646</v>
      </c>
      <c r="L8" s="562" t="s">
        <v>647</v>
      </c>
      <c r="M8" s="559" t="s">
        <v>648</v>
      </c>
      <c r="N8" s="560" t="s">
        <v>649</v>
      </c>
      <c r="O8" s="560" t="s">
        <v>650</v>
      </c>
      <c r="P8" s="560" t="s">
        <v>651</v>
      </c>
      <c r="Q8" s="563" t="s">
        <v>652</v>
      </c>
      <c r="R8" s="564" t="s">
        <v>653</v>
      </c>
      <c r="S8" s="565" t="s">
        <v>654</v>
      </c>
      <c r="T8" s="565" t="s">
        <v>655</v>
      </c>
      <c r="V8" s="562" t="s">
        <v>647</v>
      </c>
      <c r="W8" s="562" t="s">
        <v>656</v>
      </c>
      <c r="X8" s="559" t="s">
        <v>657</v>
      </c>
      <c r="Y8" s="562" t="s">
        <v>658</v>
      </c>
      <c r="Z8" s="564" t="s">
        <v>659</v>
      </c>
      <c r="AA8" s="565" t="s">
        <v>660</v>
      </c>
      <c r="AB8" s="565" t="s">
        <v>655</v>
      </c>
      <c r="AD8" s="562" t="s">
        <v>656</v>
      </c>
      <c r="AE8" s="562" t="s">
        <v>658</v>
      </c>
      <c r="AF8" s="559" t="s">
        <v>661</v>
      </c>
      <c r="AG8" s="566" t="s">
        <v>662</v>
      </c>
      <c r="AH8" s="564" t="s">
        <v>663</v>
      </c>
      <c r="AI8" s="565" t="s">
        <v>664</v>
      </c>
      <c r="AJ8" s="565" t="s">
        <v>655</v>
      </c>
      <c r="AL8" s="562" t="s">
        <v>658</v>
      </c>
      <c r="AM8" s="566" t="s">
        <v>662</v>
      </c>
      <c r="AN8" s="559" t="s">
        <v>665</v>
      </c>
      <c r="AO8" s="566" t="s">
        <v>666</v>
      </c>
      <c r="AP8" s="564" t="s">
        <v>667</v>
      </c>
      <c r="AQ8" s="565" t="s">
        <v>668</v>
      </c>
      <c r="AR8" s="565" t="s">
        <v>655</v>
      </c>
      <c r="AT8" s="562" t="s">
        <v>662</v>
      </c>
      <c r="AU8" s="566" t="s">
        <v>666</v>
      </c>
      <c r="AV8" s="559" t="s">
        <v>669</v>
      </c>
      <c r="AW8" s="566" t="s">
        <v>628</v>
      </c>
      <c r="AX8" s="564" t="s">
        <v>670</v>
      </c>
      <c r="AY8" s="565" t="s">
        <v>671</v>
      </c>
      <c r="AZ8" s="565" t="s">
        <v>655</v>
      </c>
      <c r="BA8" s="565"/>
      <c r="BB8" s="565" t="s">
        <v>672</v>
      </c>
      <c r="BC8" s="565" t="s">
        <v>673</v>
      </c>
      <c r="BD8" s="565" t="s">
        <v>674</v>
      </c>
      <c r="BE8" s="564" t="s">
        <v>675</v>
      </c>
      <c r="BF8" s="565" t="s">
        <v>676</v>
      </c>
      <c r="BG8" s="565" t="s">
        <v>655</v>
      </c>
      <c r="BH8" s="565"/>
      <c r="BI8" s="565" t="s">
        <v>673</v>
      </c>
      <c r="BJ8" s="565" t="s">
        <v>677</v>
      </c>
      <c r="BK8" s="559" t="s">
        <v>678</v>
      </c>
      <c r="BL8" s="564" t="s">
        <v>679</v>
      </c>
      <c r="BM8" s="567" t="s">
        <v>680</v>
      </c>
      <c r="BN8" s="565" t="s">
        <v>655</v>
      </c>
      <c r="BP8" s="565" t="s">
        <v>677</v>
      </c>
      <c r="BQ8" s="565" t="s">
        <v>681</v>
      </c>
      <c r="BR8" s="559" t="s">
        <v>682</v>
      </c>
      <c r="BS8" s="567" t="s">
        <v>683</v>
      </c>
      <c r="BT8" s="564" t="s">
        <v>684</v>
      </c>
      <c r="BU8" s="567" t="s">
        <v>685</v>
      </c>
      <c r="BV8" s="565" t="s">
        <v>655</v>
      </c>
      <c r="BX8" s="565" t="s">
        <v>681</v>
      </c>
      <c r="BY8" s="565" t="s">
        <v>686</v>
      </c>
      <c r="BZ8" s="559" t="s">
        <v>687</v>
      </c>
      <c r="CA8" s="567" t="s">
        <v>688</v>
      </c>
      <c r="CB8" s="564" t="s">
        <v>689</v>
      </c>
      <c r="CC8" s="567" t="s">
        <v>690</v>
      </c>
      <c r="CD8" s="565" t="s">
        <v>655</v>
      </c>
      <c r="CF8" s="565" t="s">
        <v>681</v>
      </c>
      <c r="CG8" s="565" t="s">
        <v>686</v>
      </c>
      <c r="CH8" s="559" t="s">
        <v>687</v>
      </c>
      <c r="CI8" s="564" t="s">
        <v>689</v>
      </c>
    </row>
    <row r="9" spans="1:87" ht="15">
      <c r="A9" s="523" t="s">
        <v>110</v>
      </c>
      <c r="F9" s="211"/>
      <c r="G9" s="568"/>
      <c r="H9" s="211"/>
      <c r="I9" s="211"/>
      <c r="J9" s="569">
        <f>ROUND(I9*1.0241*1.0423*1.0592,0)</f>
        <v>0</v>
      </c>
      <c r="K9" s="211"/>
      <c r="L9" s="211">
        <f t="shared" ref="L9:L17" si="0">ROUND(K9,0)</f>
        <v>0</v>
      </c>
      <c r="M9" s="211">
        <v>417210</v>
      </c>
      <c r="N9" s="570">
        <v>-130.79</v>
      </c>
      <c r="O9" s="570">
        <v>64.69</v>
      </c>
      <c r="P9" s="211">
        <f>ROUND(M9*1.0592,0)</f>
        <v>441909</v>
      </c>
      <c r="Q9" s="211">
        <f>ROUND(-N9*$R$1-O9*$R$2,0)</f>
        <v>401284</v>
      </c>
      <c r="R9" s="535">
        <f>IF(P9&gt;Q9,J9+L9+P9,J9+L9+Q9)</f>
        <v>441909</v>
      </c>
      <c r="S9" s="211">
        <v>0</v>
      </c>
      <c r="T9" s="535">
        <f>IF(R9-S9&gt;=0,R9-S9,0)</f>
        <v>441909</v>
      </c>
      <c r="V9" s="211">
        <v>0</v>
      </c>
      <c r="W9" s="211">
        <f>ROUND(P9*1.0453,0)+1</f>
        <v>461928</v>
      </c>
      <c r="X9" s="211">
        <v>306607</v>
      </c>
      <c r="Y9" s="211">
        <f>ROUND(X9*1.0453,0)</f>
        <v>320496</v>
      </c>
      <c r="Z9" s="535">
        <f>SUM(V9:Y9)-X9</f>
        <v>782424</v>
      </c>
      <c r="AA9" s="211">
        <v>782424</v>
      </c>
      <c r="AB9" s="535">
        <f>IF(Z9-AA9&gt;=0,Z9-AA9,0)</f>
        <v>0</v>
      </c>
      <c r="AD9" s="211">
        <v>0</v>
      </c>
      <c r="AE9" s="211">
        <v>0</v>
      </c>
      <c r="AF9" s="211">
        <v>0</v>
      </c>
      <c r="AG9" s="211">
        <v>0</v>
      </c>
      <c r="AH9" s="535">
        <f>SUM(AD9:AG9)-AF9</f>
        <v>0</v>
      </c>
      <c r="AI9" s="211">
        <v>0</v>
      </c>
      <c r="AJ9" s="535">
        <f>IF(AH9-AI9&gt;=0,AH9-AI9,0)</f>
        <v>0</v>
      </c>
      <c r="AL9" s="211">
        <v>0</v>
      </c>
      <c r="AM9" s="211">
        <v>0</v>
      </c>
      <c r="AN9" s="211">
        <v>0</v>
      </c>
      <c r="AO9" s="211">
        <v>0</v>
      </c>
      <c r="AP9" s="535">
        <f>SUM(AL9:AO9)-AN9</f>
        <v>0</v>
      </c>
      <c r="AQ9" s="211">
        <v>0</v>
      </c>
      <c r="AR9" s="145">
        <f>IF(AQ9&lt;AL9,SUM(AM9:AN9),SUM(AL9:AN9)-AQ9)</f>
        <v>0</v>
      </c>
      <c r="AT9" s="211">
        <v>0</v>
      </c>
      <c r="AU9" s="211">
        <v>0</v>
      </c>
      <c r="AV9" s="211">
        <v>0</v>
      </c>
      <c r="AW9" s="211">
        <v>0</v>
      </c>
      <c r="AX9" s="535">
        <f>SUM(AT9:AW9)-AV9</f>
        <v>0</v>
      </c>
      <c r="AY9" s="211">
        <v>0</v>
      </c>
      <c r="AZ9" s="535">
        <f t="shared" ref="AZ9:AZ72" si="1">AX9-AY9</f>
        <v>0</v>
      </c>
      <c r="BB9" s="571">
        <v>0</v>
      </c>
      <c r="BC9" s="571">
        <v>0</v>
      </c>
      <c r="BD9" s="198">
        <v>0</v>
      </c>
      <c r="BE9" s="535">
        <f t="shared" ref="BE9:BE72" si="2">SUM(BB9:BD9)</f>
        <v>0</v>
      </c>
      <c r="BF9" s="571">
        <v>0</v>
      </c>
      <c r="BG9" s="535">
        <f t="shared" ref="BG9:BG72" si="3">BE9-BF9</f>
        <v>0</v>
      </c>
      <c r="BI9" s="571">
        <v>0</v>
      </c>
      <c r="BJ9" s="571">
        <v>0</v>
      </c>
      <c r="BK9" s="198">
        <v>0</v>
      </c>
      <c r="BL9" s="535">
        <f t="shared" ref="BL9:BL72" si="4">SUM(BI9:BK9)</f>
        <v>0</v>
      </c>
      <c r="BM9" s="571">
        <v>0</v>
      </c>
      <c r="BN9" s="535">
        <f t="shared" ref="BN9:BN72" si="5">BL9-BM9</f>
        <v>0</v>
      </c>
      <c r="BP9" s="571">
        <v>0</v>
      </c>
      <c r="BQ9" s="198">
        <v>0</v>
      </c>
      <c r="BR9" s="198">
        <v>0</v>
      </c>
      <c r="BS9" s="535">
        <f>SUM(BP9:BR9)</f>
        <v>0</v>
      </c>
      <c r="BT9" s="211">
        <f>ROUND(+BS9*1.0157,0)</f>
        <v>0</v>
      </c>
      <c r="BU9" s="572">
        <v>0</v>
      </c>
      <c r="BV9" s="535">
        <f t="shared" ref="BV9:BV72" si="6">BT9-BU9</f>
        <v>0</v>
      </c>
      <c r="BX9" s="198">
        <v>0</v>
      </c>
      <c r="BY9" s="198">
        <v>0</v>
      </c>
      <c r="BZ9" s="198">
        <v>0</v>
      </c>
      <c r="CA9" s="535">
        <f>SUM(BX9:BZ9)</f>
        <v>0</v>
      </c>
      <c r="CB9" s="211">
        <f>ROUND(+CA9*1.0085,0)</f>
        <v>0</v>
      </c>
      <c r="CC9" s="572">
        <f>+'[3]14-15 $140M Workload Restore'!AP7</f>
        <v>0</v>
      </c>
      <c r="CD9" s="535">
        <f t="shared" ref="CD9:CD72" si="7">CB9-CC9</f>
        <v>0</v>
      </c>
      <c r="CF9" s="211">
        <f>ROUND(+BX9*(1.0085),0)</f>
        <v>0</v>
      </c>
      <c r="CG9" s="211">
        <f t="shared" ref="CG9:CH72" si="8">ROUND(+BY9*(1.0085),0)</f>
        <v>0</v>
      </c>
      <c r="CH9" s="211">
        <f t="shared" si="8"/>
        <v>0</v>
      </c>
      <c r="CI9" s="211">
        <f>SUM(CF9:CH9)</f>
        <v>0</v>
      </c>
    </row>
    <row r="10" spans="1:87" ht="15">
      <c r="A10" s="523" t="s">
        <v>111</v>
      </c>
      <c r="F10" s="211"/>
      <c r="G10" s="568"/>
      <c r="H10" s="211"/>
      <c r="I10" s="211"/>
      <c r="J10" s="569">
        <f t="shared" ref="J10:J73" si="9">ROUND(I10*1.0241*1.0423*1.0592,0)</f>
        <v>0</v>
      </c>
      <c r="K10" s="211"/>
      <c r="L10" s="211">
        <f t="shared" si="0"/>
        <v>0</v>
      </c>
      <c r="M10" s="211">
        <v>116976</v>
      </c>
      <c r="N10" s="570">
        <v>1.05</v>
      </c>
      <c r="O10" s="570">
        <v>-64.67</v>
      </c>
      <c r="P10" s="211">
        <f t="shared" ref="P10:P18" si="10">ROUND(M10*1.0592,0)</f>
        <v>123901</v>
      </c>
      <c r="Q10" s="39">
        <f>ROUND(-N10*$R$1-O10*$R$2,0)</f>
        <v>165238</v>
      </c>
      <c r="R10" s="535">
        <f>IF(P10&gt;Q10,J10+L10+P10,J10+L10+Q10)</f>
        <v>165238</v>
      </c>
      <c r="S10" s="211">
        <v>165238</v>
      </c>
      <c r="T10" s="535">
        <f>IF(R10-S10&gt;=0,R10-S10,0)</f>
        <v>0</v>
      </c>
      <c r="V10" s="211">
        <v>0</v>
      </c>
      <c r="W10" s="211">
        <v>0</v>
      </c>
      <c r="X10" s="211">
        <v>0</v>
      </c>
      <c r="Y10" s="211">
        <f t="shared" ref="Y10:Y18" si="11">ROUND(X10*1.0453,0)</f>
        <v>0</v>
      </c>
      <c r="Z10" s="535">
        <f t="shared" ref="Z10:Z73" si="12">SUM(V10:Y10)-X10</f>
        <v>0</v>
      </c>
      <c r="AA10" s="211">
        <v>0</v>
      </c>
      <c r="AB10" s="535">
        <f t="shared" ref="AB10:AB73" si="13">IF(Z10-AA10&gt;=0,Z10-AA10,0)</f>
        <v>0</v>
      </c>
      <c r="AD10" s="211">
        <v>0</v>
      </c>
      <c r="AE10" s="211">
        <v>0</v>
      </c>
      <c r="AF10" s="211">
        <v>0</v>
      </c>
      <c r="AG10" s="211">
        <v>0</v>
      </c>
      <c r="AH10" s="535">
        <f t="shared" ref="AH10:AH73" si="14">SUM(AD10:AG10)-AF10</f>
        <v>0</v>
      </c>
      <c r="AI10" s="211">
        <v>0</v>
      </c>
      <c r="AJ10" s="535">
        <f t="shared" ref="AJ10:AJ73" si="15">IF(AH10-AI10&gt;=0,AH10-AI10,0)</f>
        <v>0</v>
      </c>
      <c r="AL10" s="211">
        <v>0</v>
      </c>
      <c r="AM10" s="211">
        <v>0</v>
      </c>
      <c r="AN10" s="211">
        <v>0</v>
      </c>
      <c r="AO10" s="211">
        <v>0</v>
      </c>
      <c r="AP10" s="535">
        <f t="shared" ref="AP10:AP73" si="16">SUM(AL10:AO10)-AN10</f>
        <v>0</v>
      </c>
      <c r="AQ10" s="211">
        <v>0</v>
      </c>
      <c r="AR10" s="145">
        <f t="shared" ref="AR10:AR18" si="17">IF(AQ10&lt;AL10,SUM(AM10:AN10),SUM(AL10:AN10)-AQ10)</f>
        <v>0</v>
      </c>
      <c r="AT10" s="211">
        <v>0</v>
      </c>
      <c r="AU10" s="211">
        <v>0</v>
      </c>
      <c r="AV10" s="211">
        <v>0</v>
      </c>
      <c r="AW10" s="211">
        <v>0</v>
      </c>
      <c r="AX10" s="535">
        <f t="shared" ref="AX10:AX18" si="18">SUM(AT10:AW10)-AV10</f>
        <v>0</v>
      </c>
      <c r="AY10" s="211">
        <v>0</v>
      </c>
      <c r="AZ10" s="535">
        <f t="shared" si="1"/>
        <v>0</v>
      </c>
      <c r="BB10" s="571">
        <v>0</v>
      </c>
      <c r="BC10" s="571">
        <v>0</v>
      </c>
      <c r="BD10" s="198">
        <v>0</v>
      </c>
      <c r="BE10" s="535">
        <f t="shared" si="2"/>
        <v>0</v>
      </c>
      <c r="BF10" s="571">
        <v>0</v>
      </c>
      <c r="BG10" s="535">
        <f t="shared" si="3"/>
        <v>0</v>
      </c>
      <c r="BI10" s="571">
        <v>0</v>
      </c>
      <c r="BJ10" s="571">
        <v>0</v>
      </c>
      <c r="BK10" s="198">
        <v>0</v>
      </c>
      <c r="BL10" s="535">
        <f t="shared" si="4"/>
        <v>0</v>
      </c>
      <c r="BM10" s="571">
        <v>0</v>
      </c>
      <c r="BN10" s="535">
        <f t="shared" si="5"/>
        <v>0</v>
      </c>
      <c r="BP10" s="571">
        <v>0</v>
      </c>
      <c r="BQ10" s="198">
        <v>0</v>
      </c>
      <c r="BR10" s="198">
        <v>0</v>
      </c>
      <c r="BS10" s="535">
        <f t="shared" ref="BS10:BS73" si="19">SUM(BP10:BR10)</f>
        <v>0</v>
      </c>
      <c r="BT10" s="211">
        <f t="shared" ref="BT10:BT73" si="20">ROUND(+BS10*1.0157,0)</f>
        <v>0</v>
      </c>
      <c r="BU10" s="572">
        <v>0</v>
      </c>
      <c r="BV10" s="535">
        <f t="shared" si="6"/>
        <v>0</v>
      </c>
      <c r="BX10" s="198">
        <v>0</v>
      </c>
      <c r="BY10" s="198">
        <v>0</v>
      </c>
      <c r="BZ10" s="198">
        <v>0</v>
      </c>
      <c r="CA10" s="535">
        <f t="shared" ref="CA10:CA73" si="21">SUM(BX10:BZ10)</f>
        <v>0</v>
      </c>
      <c r="CB10" s="211">
        <f t="shared" ref="CB10:CB73" si="22">ROUND(+CA10*1.0085,0)</f>
        <v>0</v>
      </c>
      <c r="CC10" s="572">
        <f>+'[3]14-15 $140M Workload Restore'!AP8</f>
        <v>0</v>
      </c>
      <c r="CD10" s="535">
        <f t="shared" si="7"/>
        <v>0</v>
      </c>
      <c r="CF10" s="211">
        <f t="shared" ref="CF10:CH73" si="23">ROUND(+BX10*(1.0085),0)</f>
        <v>0</v>
      </c>
      <c r="CG10" s="211">
        <f t="shared" si="8"/>
        <v>0</v>
      </c>
      <c r="CH10" s="211">
        <f t="shared" si="8"/>
        <v>0</v>
      </c>
      <c r="CI10" s="211">
        <f t="shared" ref="CI10:CI73" si="24">SUM(CF10:CH10)</f>
        <v>0</v>
      </c>
    </row>
    <row r="11" spans="1:87" ht="15.75" thickBot="1">
      <c r="A11" s="523" t="s">
        <v>112</v>
      </c>
      <c r="F11" s="211"/>
      <c r="G11" s="568"/>
      <c r="H11" s="211"/>
      <c r="I11" s="211"/>
      <c r="J11" s="569">
        <f t="shared" si="9"/>
        <v>0</v>
      </c>
      <c r="K11" s="211"/>
      <c r="L11" s="211">
        <f t="shared" si="0"/>
        <v>0</v>
      </c>
      <c r="M11" s="211">
        <v>1306568</v>
      </c>
      <c r="N11" s="570">
        <v>-338.07</v>
      </c>
      <c r="O11" s="570">
        <v>41.66</v>
      </c>
      <c r="P11" s="211">
        <f t="shared" si="10"/>
        <v>1383917</v>
      </c>
      <c r="Q11" s="211">
        <f t="shared" ref="Q11:Q74" si="25">ROUND(-N11*$R$1-O11*$R$2,0)</f>
        <v>1366953</v>
      </c>
      <c r="R11" s="535">
        <f>IF(P11&gt;Q11,J11+L11+P11,J11+L11+Q11)</f>
        <v>1383917</v>
      </c>
      <c r="S11" s="211">
        <v>1322609</v>
      </c>
      <c r="T11" s="535">
        <f t="shared" ref="T11:T74" si="26">IF(R11-S11&gt;=0,R11-S11,0)</f>
        <v>61308</v>
      </c>
      <c r="V11" s="211">
        <v>0</v>
      </c>
      <c r="W11" s="211">
        <f>ROUND((R11-S11)*1.0453,0)</f>
        <v>64085</v>
      </c>
      <c r="X11" s="211">
        <v>0</v>
      </c>
      <c r="Y11" s="211">
        <f t="shared" si="11"/>
        <v>0</v>
      </c>
      <c r="Z11" s="535">
        <f t="shared" si="12"/>
        <v>64085</v>
      </c>
      <c r="AA11" s="211">
        <v>64085</v>
      </c>
      <c r="AB11" s="535">
        <f t="shared" si="13"/>
        <v>0</v>
      </c>
      <c r="AD11" s="211">
        <v>0</v>
      </c>
      <c r="AE11" s="211">
        <v>0</v>
      </c>
      <c r="AF11" s="211">
        <v>0</v>
      </c>
      <c r="AG11" s="211">
        <v>0</v>
      </c>
      <c r="AH11" s="535">
        <f t="shared" si="14"/>
        <v>0</v>
      </c>
      <c r="AI11" s="211">
        <v>0</v>
      </c>
      <c r="AJ11" s="535">
        <f t="shared" si="15"/>
        <v>0</v>
      </c>
      <c r="AL11" s="211">
        <v>0</v>
      </c>
      <c r="AM11" s="211">
        <v>0</v>
      </c>
      <c r="AN11" s="211">
        <v>0</v>
      </c>
      <c r="AO11" s="211">
        <v>0</v>
      </c>
      <c r="AP11" s="535">
        <f t="shared" si="16"/>
        <v>0</v>
      </c>
      <c r="AQ11" s="211">
        <v>0</v>
      </c>
      <c r="AR11" s="145">
        <f t="shared" si="17"/>
        <v>0</v>
      </c>
      <c r="AT11" s="211">
        <v>0</v>
      </c>
      <c r="AU11" s="211">
        <v>0</v>
      </c>
      <c r="AV11" s="211">
        <v>0</v>
      </c>
      <c r="AW11" s="211">
        <v>0</v>
      </c>
      <c r="AX11" s="535">
        <f t="shared" si="18"/>
        <v>0</v>
      </c>
      <c r="AY11" s="211">
        <v>0</v>
      </c>
      <c r="AZ11" s="535">
        <f t="shared" si="1"/>
        <v>0</v>
      </c>
      <c r="BB11" s="571">
        <v>0</v>
      </c>
      <c r="BC11" s="571">
        <v>0</v>
      </c>
      <c r="BD11" s="198">
        <v>0</v>
      </c>
      <c r="BE11" s="535">
        <f t="shared" si="2"/>
        <v>0</v>
      </c>
      <c r="BF11" s="571">
        <v>0</v>
      </c>
      <c r="BG11" s="535">
        <f t="shared" si="3"/>
        <v>0</v>
      </c>
      <c r="BI11" s="571">
        <v>0</v>
      </c>
      <c r="BJ11" s="571">
        <v>0</v>
      </c>
      <c r="BK11" s="198">
        <v>0</v>
      </c>
      <c r="BL11" s="535">
        <f t="shared" si="4"/>
        <v>0</v>
      </c>
      <c r="BM11" s="571">
        <v>0</v>
      </c>
      <c r="BN11" s="535">
        <f t="shared" si="5"/>
        <v>0</v>
      </c>
      <c r="BP11" s="571">
        <v>0</v>
      </c>
      <c r="BQ11" s="198">
        <v>0</v>
      </c>
      <c r="BR11" s="198">
        <v>0</v>
      </c>
      <c r="BS11" s="535">
        <f t="shared" si="19"/>
        <v>0</v>
      </c>
      <c r="BT11" s="211">
        <f t="shared" si="20"/>
        <v>0</v>
      </c>
      <c r="BU11" s="572">
        <v>0</v>
      </c>
      <c r="BV11" s="535">
        <f t="shared" si="6"/>
        <v>0</v>
      </c>
      <c r="BX11" s="198">
        <v>0</v>
      </c>
      <c r="BY11" s="198">
        <v>0</v>
      </c>
      <c r="BZ11" s="198">
        <v>0</v>
      </c>
      <c r="CA11" s="535">
        <f t="shared" si="21"/>
        <v>0</v>
      </c>
      <c r="CB11" s="211">
        <f t="shared" si="22"/>
        <v>0</v>
      </c>
      <c r="CC11" s="572">
        <f>+'[3]14-15 $140M Workload Restore'!AP9</f>
        <v>0</v>
      </c>
      <c r="CD11" s="535">
        <f t="shared" si="7"/>
        <v>0</v>
      </c>
      <c r="CF11" s="211">
        <f t="shared" si="23"/>
        <v>0</v>
      </c>
      <c r="CG11" s="211">
        <f t="shared" si="8"/>
        <v>0</v>
      </c>
      <c r="CH11" s="211">
        <f t="shared" si="8"/>
        <v>0</v>
      </c>
      <c r="CI11" s="211">
        <f t="shared" si="24"/>
        <v>0</v>
      </c>
    </row>
    <row r="12" spans="1:87" ht="15.75" thickBot="1">
      <c r="A12" s="523" t="s">
        <v>113</v>
      </c>
      <c r="B12" s="556" t="s">
        <v>691</v>
      </c>
      <c r="F12" s="211"/>
      <c r="G12" s="568"/>
      <c r="H12" s="39">
        <v>70703</v>
      </c>
      <c r="I12" s="573">
        <v>70703</v>
      </c>
      <c r="J12" s="569">
        <v>0</v>
      </c>
      <c r="K12" s="211">
        <v>235606</v>
      </c>
      <c r="L12" s="211">
        <f t="shared" si="0"/>
        <v>235606</v>
      </c>
      <c r="M12" s="211">
        <v>1151639</v>
      </c>
      <c r="N12" s="570">
        <v>-387.21</v>
      </c>
      <c r="O12" s="570">
        <v>-51.15</v>
      </c>
      <c r="P12" s="211">
        <f t="shared" si="10"/>
        <v>1219816</v>
      </c>
      <c r="Q12" s="39">
        <f t="shared" si="25"/>
        <v>1825266</v>
      </c>
      <c r="R12" s="535">
        <f t="shared" ref="R12:R75" si="27">IF(P12&gt;Q12,J12+L12+P12,J12+L12+Q12)</f>
        <v>2060872</v>
      </c>
      <c r="S12" s="211">
        <v>0</v>
      </c>
      <c r="T12" s="535">
        <f t="shared" si="26"/>
        <v>2060872</v>
      </c>
      <c r="V12" s="211">
        <f>ROUND(L12,0)</f>
        <v>235606</v>
      </c>
      <c r="W12" s="211">
        <f>ROUND(Q12*1.0453,0)</f>
        <v>1907951</v>
      </c>
      <c r="X12" s="211">
        <v>2294626</v>
      </c>
      <c r="Y12" s="211">
        <f t="shared" si="11"/>
        <v>2398573</v>
      </c>
      <c r="Z12" s="535">
        <f t="shared" si="12"/>
        <v>4542130</v>
      </c>
      <c r="AA12" s="211">
        <v>0</v>
      </c>
      <c r="AB12" s="535">
        <f t="shared" si="13"/>
        <v>4542130</v>
      </c>
      <c r="AD12" s="211">
        <f>W12</f>
        <v>1907951</v>
      </c>
      <c r="AE12" s="211">
        <f>Y12</f>
        <v>2398573</v>
      </c>
      <c r="AF12" s="211">
        <v>957592</v>
      </c>
      <c r="AG12" s="211">
        <v>957592</v>
      </c>
      <c r="AH12" s="535">
        <f t="shared" si="14"/>
        <v>5264116</v>
      </c>
      <c r="AI12" s="211">
        <v>4261497</v>
      </c>
      <c r="AJ12" s="535">
        <f t="shared" si="15"/>
        <v>1002619</v>
      </c>
      <c r="AL12" s="211">
        <f>ROUND(AD12+AE12-AI12,0)</f>
        <v>45027</v>
      </c>
      <c r="AM12" s="211">
        <f>AG12</f>
        <v>957592</v>
      </c>
      <c r="AN12" s="211">
        <v>0</v>
      </c>
      <c r="AO12" s="211">
        <v>0</v>
      </c>
      <c r="AP12" s="535">
        <f t="shared" si="16"/>
        <v>1002619</v>
      </c>
      <c r="AQ12" s="211">
        <v>1002619</v>
      </c>
      <c r="AR12" s="145">
        <f t="shared" si="17"/>
        <v>0</v>
      </c>
      <c r="AT12" s="211">
        <v>0</v>
      </c>
      <c r="AU12" s="211">
        <v>0</v>
      </c>
      <c r="AV12" s="211">
        <v>0</v>
      </c>
      <c r="AW12" s="211">
        <v>0</v>
      </c>
      <c r="AX12" s="535">
        <f t="shared" si="18"/>
        <v>0</v>
      </c>
      <c r="AY12" s="211">
        <v>0</v>
      </c>
      <c r="AZ12" s="535">
        <f t="shared" si="1"/>
        <v>0</v>
      </c>
      <c r="BB12" s="571">
        <v>0</v>
      </c>
      <c r="BC12" s="571">
        <v>0</v>
      </c>
      <c r="BD12" s="198">
        <v>0</v>
      </c>
      <c r="BE12" s="535">
        <f t="shared" si="2"/>
        <v>0</v>
      </c>
      <c r="BF12" s="571">
        <v>0</v>
      </c>
      <c r="BG12" s="535">
        <f t="shared" si="3"/>
        <v>0</v>
      </c>
      <c r="BI12" s="571">
        <v>0</v>
      </c>
      <c r="BJ12" s="571">
        <v>0</v>
      </c>
      <c r="BK12" s="198">
        <v>0</v>
      </c>
      <c r="BL12" s="535">
        <f t="shared" si="4"/>
        <v>0</v>
      </c>
      <c r="BM12" s="571">
        <v>0</v>
      </c>
      <c r="BN12" s="535">
        <f t="shared" si="5"/>
        <v>0</v>
      </c>
      <c r="BP12" s="571">
        <v>0</v>
      </c>
      <c r="BQ12" s="198">
        <v>0</v>
      </c>
      <c r="BR12" s="198">
        <v>0</v>
      </c>
      <c r="BS12" s="535">
        <f t="shared" si="19"/>
        <v>0</v>
      </c>
      <c r="BT12" s="211">
        <f t="shared" si="20"/>
        <v>0</v>
      </c>
      <c r="BU12" s="572">
        <v>0</v>
      </c>
      <c r="BV12" s="535">
        <f t="shared" si="6"/>
        <v>0</v>
      </c>
      <c r="BX12" s="198">
        <v>0</v>
      </c>
      <c r="BY12" s="198">
        <v>0</v>
      </c>
      <c r="BZ12" s="198">
        <v>0</v>
      </c>
      <c r="CA12" s="535">
        <f t="shared" si="21"/>
        <v>0</v>
      </c>
      <c r="CB12" s="211">
        <f t="shared" si="22"/>
        <v>0</v>
      </c>
      <c r="CC12" s="572">
        <f>+'[3]14-15 $140M Workload Restore'!AP10</f>
        <v>0</v>
      </c>
      <c r="CD12" s="535">
        <f t="shared" si="7"/>
        <v>0</v>
      </c>
      <c r="CF12" s="211">
        <f t="shared" si="23"/>
        <v>0</v>
      </c>
      <c r="CG12" s="211">
        <f t="shared" si="8"/>
        <v>0</v>
      </c>
      <c r="CH12" s="211">
        <f t="shared" si="8"/>
        <v>0</v>
      </c>
      <c r="CI12" s="211">
        <f t="shared" si="24"/>
        <v>0</v>
      </c>
    </row>
    <row r="13" spans="1:87" ht="15">
      <c r="A13" s="523" t="s">
        <v>114</v>
      </c>
      <c r="F13" s="211"/>
      <c r="G13" s="568"/>
      <c r="H13" s="211"/>
      <c r="I13" s="211"/>
      <c r="J13" s="569">
        <f t="shared" si="9"/>
        <v>0</v>
      </c>
      <c r="K13" s="211">
        <v>956952</v>
      </c>
      <c r="L13" s="211">
        <f t="shared" si="0"/>
        <v>956952</v>
      </c>
      <c r="M13" s="211">
        <v>81563</v>
      </c>
      <c r="N13" s="570">
        <v>14.2</v>
      </c>
      <c r="O13" s="570">
        <v>-14.3</v>
      </c>
      <c r="P13" s="211">
        <f t="shared" si="10"/>
        <v>86392</v>
      </c>
      <c r="Q13" s="211">
        <f t="shared" si="25"/>
        <v>-24460</v>
      </c>
      <c r="R13" s="535">
        <f t="shared" si="27"/>
        <v>1043344</v>
      </c>
      <c r="S13" s="211">
        <v>1224518</v>
      </c>
      <c r="T13" s="535">
        <f t="shared" si="26"/>
        <v>0</v>
      </c>
      <c r="V13" s="211">
        <v>0</v>
      </c>
      <c r="W13" s="211">
        <v>0</v>
      </c>
      <c r="X13" s="211">
        <v>0</v>
      </c>
      <c r="Y13" s="211">
        <f t="shared" si="11"/>
        <v>0</v>
      </c>
      <c r="Z13" s="535">
        <f t="shared" si="12"/>
        <v>0</v>
      </c>
      <c r="AA13" s="211">
        <v>13018</v>
      </c>
      <c r="AB13" s="535">
        <f t="shared" si="13"/>
        <v>0</v>
      </c>
      <c r="AD13" s="211">
        <v>0</v>
      </c>
      <c r="AE13" s="211">
        <v>0</v>
      </c>
      <c r="AF13" s="211">
        <v>0</v>
      </c>
      <c r="AG13" s="211">
        <v>0</v>
      </c>
      <c r="AH13" s="535">
        <f t="shared" si="14"/>
        <v>0</v>
      </c>
      <c r="AI13" s="211">
        <v>0</v>
      </c>
      <c r="AJ13" s="535">
        <f t="shared" si="15"/>
        <v>0</v>
      </c>
      <c r="AL13" s="211">
        <v>0</v>
      </c>
      <c r="AM13" s="211">
        <v>0</v>
      </c>
      <c r="AN13" s="211">
        <v>0</v>
      </c>
      <c r="AO13" s="211">
        <v>0</v>
      </c>
      <c r="AP13" s="535">
        <f t="shared" si="16"/>
        <v>0</v>
      </c>
      <c r="AQ13" s="211">
        <v>0</v>
      </c>
      <c r="AR13" s="145">
        <f t="shared" si="17"/>
        <v>0</v>
      </c>
      <c r="AT13" s="211">
        <v>0</v>
      </c>
      <c r="AU13" s="211">
        <v>0</v>
      </c>
      <c r="AV13" s="211">
        <v>0</v>
      </c>
      <c r="AW13" s="211">
        <v>0</v>
      </c>
      <c r="AX13" s="535">
        <f t="shared" si="18"/>
        <v>0</v>
      </c>
      <c r="AY13" s="211">
        <v>0</v>
      </c>
      <c r="AZ13" s="535">
        <f t="shared" si="1"/>
        <v>0</v>
      </c>
      <c r="BB13" s="571">
        <v>0</v>
      </c>
      <c r="BC13" s="571">
        <v>0</v>
      </c>
      <c r="BD13" s="198">
        <v>0</v>
      </c>
      <c r="BE13" s="535">
        <f t="shared" si="2"/>
        <v>0</v>
      </c>
      <c r="BF13" s="571">
        <v>0</v>
      </c>
      <c r="BG13" s="535">
        <f t="shared" si="3"/>
        <v>0</v>
      </c>
      <c r="BI13" s="571">
        <v>0</v>
      </c>
      <c r="BJ13" s="571">
        <v>0</v>
      </c>
      <c r="BK13" s="198">
        <v>0</v>
      </c>
      <c r="BL13" s="535">
        <f t="shared" si="4"/>
        <v>0</v>
      </c>
      <c r="BM13" s="571">
        <v>0</v>
      </c>
      <c r="BN13" s="535">
        <f t="shared" si="5"/>
        <v>0</v>
      </c>
      <c r="BP13" s="571">
        <v>0</v>
      </c>
      <c r="BQ13" s="198">
        <v>0</v>
      </c>
      <c r="BR13" s="198">
        <v>0</v>
      </c>
      <c r="BS13" s="535">
        <f t="shared" si="19"/>
        <v>0</v>
      </c>
      <c r="BT13" s="211">
        <f t="shared" si="20"/>
        <v>0</v>
      </c>
      <c r="BU13" s="572">
        <v>0</v>
      </c>
      <c r="BV13" s="535">
        <f t="shared" si="6"/>
        <v>0</v>
      </c>
      <c r="BX13" s="198">
        <v>0</v>
      </c>
      <c r="BY13" s="198">
        <v>0</v>
      </c>
      <c r="BZ13" s="198">
        <v>3503295</v>
      </c>
      <c r="CA13" s="535">
        <f t="shared" si="21"/>
        <v>3503295</v>
      </c>
      <c r="CB13" s="211">
        <f t="shared" si="22"/>
        <v>3533073</v>
      </c>
      <c r="CC13" s="572">
        <f>+'[3]14-15 $140M Workload Restore'!AP11</f>
        <v>3533073</v>
      </c>
      <c r="CD13" s="535">
        <f t="shared" si="7"/>
        <v>0</v>
      </c>
      <c r="CF13" s="211">
        <f t="shared" si="23"/>
        <v>0</v>
      </c>
      <c r="CG13" s="211">
        <f t="shared" si="8"/>
        <v>0</v>
      </c>
      <c r="CH13" s="211">
        <f t="shared" si="8"/>
        <v>3533073</v>
      </c>
      <c r="CI13" s="211">
        <f t="shared" si="24"/>
        <v>3533073</v>
      </c>
    </row>
    <row r="14" spans="1:87" ht="15">
      <c r="A14" s="523" t="s">
        <v>115</v>
      </c>
      <c r="F14" s="211"/>
      <c r="G14" s="568"/>
      <c r="H14" s="211"/>
      <c r="I14" s="211"/>
      <c r="J14" s="569">
        <f t="shared" si="9"/>
        <v>0</v>
      </c>
      <c r="K14" s="211"/>
      <c r="L14" s="211">
        <f t="shared" si="0"/>
        <v>0</v>
      </c>
      <c r="M14" s="211">
        <v>2095444</v>
      </c>
      <c r="N14" s="570">
        <v>-493.51</v>
      </c>
      <c r="O14" s="570">
        <v>-52.92</v>
      </c>
      <c r="P14" s="211">
        <f t="shared" si="10"/>
        <v>2219494</v>
      </c>
      <c r="Q14" s="39">
        <f t="shared" si="25"/>
        <v>2294126</v>
      </c>
      <c r="R14" s="535">
        <f t="shared" si="27"/>
        <v>2294126</v>
      </c>
      <c r="S14" s="211">
        <v>0</v>
      </c>
      <c r="T14" s="535">
        <f t="shared" si="26"/>
        <v>2294126</v>
      </c>
      <c r="V14" s="211">
        <v>0</v>
      </c>
      <c r="W14" s="211">
        <f>ROUND(Q14*1.0453,0)</f>
        <v>2398050</v>
      </c>
      <c r="X14" s="211">
        <v>463818</v>
      </c>
      <c r="Y14" s="211">
        <f t="shared" si="11"/>
        <v>484829</v>
      </c>
      <c r="Z14" s="535">
        <f t="shared" si="12"/>
        <v>2882879</v>
      </c>
      <c r="AA14" s="211">
        <v>2697708</v>
      </c>
      <c r="AB14" s="535">
        <f t="shared" si="13"/>
        <v>185171</v>
      </c>
      <c r="AD14" s="211">
        <v>0</v>
      </c>
      <c r="AE14" s="211">
        <f>Z14-AA14</f>
        <v>185171</v>
      </c>
      <c r="AF14" s="211">
        <v>0</v>
      </c>
      <c r="AG14" s="211">
        <v>0</v>
      </c>
      <c r="AH14" s="535">
        <f t="shared" si="14"/>
        <v>185171</v>
      </c>
      <c r="AI14" s="211">
        <v>185171</v>
      </c>
      <c r="AJ14" s="535">
        <f t="shared" si="15"/>
        <v>0</v>
      </c>
      <c r="AL14" s="211">
        <v>0</v>
      </c>
      <c r="AM14" s="211">
        <v>0</v>
      </c>
      <c r="AN14" s="211">
        <v>0</v>
      </c>
      <c r="AO14" s="211">
        <v>0</v>
      </c>
      <c r="AP14" s="535">
        <f t="shared" si="16"/>
        <v>0</v>
      </c>
      <c r="AQ14" s="211">
        <v>0</v>
      </c>
      <c r="AR14" s="145">
        <f t="shared" si="17"/>
        <v>0</v>
      </c>
      <c r="AT14" s="211">
        <v>0</v>
      </c>
      <c r="AU14" s="211">
        <v>0</v>
      </c>
      <c r="AV14" s="211">
        <v>0</v>
      </c>
      <c r="AW14" s="211">
        <v>0</v>
      </c>
      <c r="AX14" s="535">
        <f t="shared" si="18"/>
        <v>0</v>
      </c>
      <c r="AY14" s="211">
        <v>0</v>
      </c>
      <c r="AZ14" s="535">
        <f t="shared" si="1"/>
        <v>0</v>
      </c>
      <c r="BB14" s="571">
        <v>0</v>
      </c>
      <c r="BC14" s="571">
        <v>0</v>
      </c>
      <c r="BD14" s="198">
        <v>0</v>
      </c>
      <c r="BE14" s="535">
        <f t="shared" si="2"/>
        <v>0</v>
      </c>
      <c r="BF14" s="571">
        <v>0</v>
      </c>
      <c r="BG14" s="535">
        <f t="shared" si="3"/>
        <v>0</v>
      </c>
      <c r="BI14" s="571">
        <v>0</v>
      </c>
      <c r="BJ14" s="571">
        <v>0</v>
      </c>
      <c r="BK14" s="198">
        <v>0</v>
      </c>
      <c r="BL14" s="535">
        <f t="shared" si="4"/>
        <v>0</v>
      </c>
      <c r="BM14" s="571">
        <v>0</v>
      </c>
      <c r="BN14" s="535">
        <f t="shared" si="5"/>
        <v>0</v>
      </c>
      <c r="BP14" s="571">
        <v>0</v>
      </c>
      <c r="BQ14" s="198">
        <v>0</v>
      </c>
      <c r="BR14" s="198">
        <v>0</v>
      </c>
      <c r="BS14" s="535">
        <f t="shared" si="19"/>
        <v>0</v>
      </c>
      <c r="BT14" s="211">
        <f t="shared" si="20"/>
        <v>0</v>
      </c>
      <c r="BU14" s="572">
        <v>0</v>
      </c>
      <c r="BV14" s="535">
        <f t="shared" si="6"/>
        <v>0</v>
      </c>
      <c r="BX14" s="198">
        <v>0</v>
      </c>
      <c r="BY14" s="198">
        <v>0</v>
      </c>
      <c r="BZ14" s="198">
        <v>0</v>
      </c>
      <c r="CA14" s="535">
        <f t="shared" si="21"/>
        <v>0</v>
      </c>
      <c r="CB14" s="211">
        <f t="shared" si="22"/>
        <v>0</v>
      </c>
      <c r="CC14" s="572">
        <f>+'[3]14-15 $140M Workload Restore'!AP12</f>
        <v>0</v>
      </c>
      <c r="CD14" s="535">
        <f t="shared" si="7"/>
        <v>0</v>
      </c>
      <c r="CF14" s="211">
        <f t="shared" si="23"/>
        <v>0</v>
      </c>
      <c r="CG14" s="211">
        <f t="shared" si="8"/>
        <v>0</v>
      </c>
      <c r="CH14" s="211">
        <f t="shared" si="8"/>
        <v>0</v>
      </c>
      <c r="CI14" s="211">
        <f t="shared" si="24"/>
        <v>0</v>
      </c>
    </row>
    <row r="15" spans="1:87" ht="15">
      <c r="A15" s="523" t="s">
        <v>116</v>
      </c>
      <c r="F15" s="211"/>
      <c r="G15" s="568"/>
      <c r="H15" s="211"/>
      <c r="I15" s="211"/>
      <c r="J15" s="569">
        <f t="shared" si="9"/>
        <v>0</v>
      </c>
      <c r="K15" s="211"/>
      <c r="L15" s="211">
        <f t="shared" si="0"/>
        <v>0</v>
      </c>
      <c r="M15" s="211"/>
      <c r="N15" s="570">
        <v>0</v>
      </c>
      <c r="O15" s="570">
        <v>0</v>
      </c>
      <c r="P15" s="211">
        <f t="shared" si="10"/>
        <v>0</v>
      </c>
      <c r="Q15" s="211">
        <f t="shared" si="25"/>
        <v>0</v>
      </c>
      <c r="R15" s="535">
        <f t="shared" si="27"/>
        <v>0</v>
      </c>
      <c r="S15" s="211">
        <v>0</v>
      </c>
      <c r="T15" s="535">
        <f t="shared" si="26"/>
        <v>0</v>
      </c>
      <c r="V15" s="211">
        <v>0</v>
      </c>
      <c r="W15" s="211">
        <v>0</v>
      </c>
      <c r="X15" s="211">
        <v>0</v>
      </c>
      <c r="Y15" s="211">
        <f t="shared" si="11"/>
        <v>0</v>
      </c>
      <c r="Z15" s="535">
        <f t="shared" si="12"/>
        <v>0</v>
      </c>
      <c r="AA15" s="211">
        <v>0</v>
      </c>
      <c r="AB15" s="535">
        <f t="shared" si="13"/>
        <v>0</v>
      </c>
      <c r="AD15" s="211">
        <v>0</v>
      </c>
      <c r="AE15" s="211">
        <v>0</v>
      </c>
      <c r="AF15" s="211">
        <v>0</v>
      </c>
      <c r="AG15" s="211">
        <v>0</v>
      </c>
      <c r="AH15" s="535">
        <f t="shared" si="14"/>
        <v>0</v>
      </c>
      <c r="AI15" s="211">
        <v>0</v>
      </c>
      <c r="AJ15" s="535">
        <f t="shared" si="15"/>
        <v>0</v>
      </c>
      <c r="AL15" s="211">
        <v>0</v>
      </c>
      <c r="AM15" s="211">
        <v>0</v>
      </c>
      <c r="AN15" s="211">
        <v>0</v>
      </c>
      <c r="AO15" s="211">
        <v>0</v>
      </c>
      <c r="AP15" s="535">
        <f t="shared" si="16"/>
        <v>0</v>
      </c>
      <c r="AQ15" s="211">
        <v>0</v>
      </c>
      <c r="AR15" s="145">
        <f t="shared" si="17"/>
        <v>0</v>
      </c>
      <c r="AT15" s="211">
        <v>0</v>
      </c>
      <c r="AU15" s="211">
        <v>0</v>
      </c>
      <c r="AV15" s="211">
        <v>0</v>
      </c>
      <c r="AW15" s="211">
        <v>0</v>
      </c>
      <c r="AX15" s="535">
        <f t="shared" si="18"/>
        <v>0</v>
      </c>
      <c r="AY15" s="211">
        <v>0</v>
      </c>
      <c r="AZ15" s="535">
        <f t="shared" si="1"/>
        <v>0</v>
      </c>
      <c r="BB15" s="571">
        <v>0</v>
      </c>
      <c r="BC15" s="571">
        <v>0</v>
      </c>
      <c r="BD15" s="198">
        <v>0</v>
      </c>
      <c r="BE15" s="535">
        <f t="shared" si="2"/>
        <v>0</v>
      </c>
      <c r="BF15" s="571">
        <v>0</v>
      </c>
      <c r="BG15" s="535">
        <f t="shared" si="3"/>
        <v>0</v>
      </c>
      <c r="BI15" s="571">
        <v>0</v>
      </c>
      <c r="BJ15" s="571">
        <v>0</v>
      </c>
      <c r="BK15" s="198">
        <v>0</v>
      </c>
      <c r="BL15" s="535">
        <f t="shared" si="4"/>
        <v>0</v>
      </c>
      <c r="BM15" s="571">
        <v>0</v>
      </c>
      <c r="BN15" s="535">
        <f t="shared" si="5"/>
        <v>0</v>
      </c>
      <c r="BP15" s="571">
        <v>0</v>
      </c>
      <c r="BQ15" s="198">
        <v>0</v>
      </c>
      <c r="BR15" s="198">
        <v>0</v>
      </c>
      <c r="BS15" s="535">
        <f t="shared" si="19"/>
        <v>0</v>
      </c>
      <c r="BT15" s="211">
        <f t="shared" si="20"/>
        <v>0</v>
      </c>
      <c r="BU15" s="572">
        <v>0</v>
      </c>
      <c r="BV15" s="535">
        <f t="shared" si="6"/>
        <v>0</v>
      </c>
      <c r="BX15" s="198">
        <v>0</v>
      </c>
      <c r="BY15" s="198">
        <v>0</v>
      </c>
      <c r="BZ15" s="198">
        <v>0</v>
      </c>
      <c r="CA15" s="535">
        <f t="shared" si="21"/>
        <v>0</v>
      </c>
      <c r="CB15" s="211">
        <f t="shared" si="22"/>
        <v>0</v>
      </c>
      <c r="CC15" s="572">
        <f>+'[3]14-15 $140M Workload Restore'!AP13</f>
        <v>0</v>
      </c>
      <c r="CD15" s="535">
        <f t="shared" si="7"/>
        <v>0</v>
      </c>
      <c r="CF15" s="211">
        <f t="shared" si="23"/>
        <v>0</v>
      </c>
      <c r="CG15" s="211">
        <f t="shared" si="8"/>
        <v>0</v>
      </c>
      <c r="CH15" s="211">
        <f t="shared" si="8"/>
        <v>0</v>
      </c>
      <c r="CI15" s="211">
        <f t="shared" si="24"/>
        <v>0</v>
      </c>
    </row>
    <row r="16" spans="1:87" ht="15">
      <c r="A16" s="523" t="s">
        <v>117</v>
      </c>
      <c r="F16" s="211"/>
      <c r="G16" s="568"/>
      <c r="H16" s="211"/>
      <c r="I16" s="211"/>
      <c r="J16" s="569">
        <f t="shared" si="9"/>
        <v>0</v>
      </c>
      <c r="K16" s="211"/>
      <c r="L16" s="211">
        <f t="shared" si="0"/>
        <v>0</v>
      </c>
      <c r="M16" s="211">
        <v>3818127</v>
      </c>
      <c r="N16" s="570">
        <v>-1137.31</v>
      </c>
      <c r="O16" s="570">
        <v>114.95</v>
      </c>
      <c r="P16" s="211">
        <f t="shared" si="10"/>
        <v>4044160</v>
      </c>
      <c r="Q16" s="39">
        <f t="shared" si="25"/>
        <v>4664774</v>
      </c>
      <c r="R16" s="535">
        <f t="shared" si="27"/>
        <v>4664774</v>
      </c>
      <c r="S16" s="211">
        <v>4664774</v>
      </c>
      <c r="T16" s="535">
        <f t="shared" si="26"/>
        <v>0</v>
      </c>
      <c r="V16" s="211">
        <v>0</v>
      </c>
      <c r="W16" s="211">
        <v>0</v>
      </c>
      <c r="X16" s="211">
        <v>0</v>
      </c>
      <c r="Y16" s="211">
        <f t="shared" si="11"/>
        <v>0</v>
      </c>
      <c r="Z16" s="535">
        <f t="shared" si="12"/>
        <v>0</v>
      </c>
      <c r="AA16" s="211">
        <v>0</v>
      </c>
      <c r="AB16" s="535">
        <f t="shared" si="13"/>
        <v>0</v>
      </c>
      <c r="AD16" s="211">
        <v>0</v>
      </c>
      <c r="AE16" s="211">
        <v>0</v>
      </c>
      <c r="AF16" s="211">
        <v>0</v>
      </c>
      <c r="AG16" s="211">
        <v>0</v>
      </c>
      <c r="AH16" s="535">
        <f t="shared" si="14"/>
        <v>0</v>
      </c>
      <c r="AI16" s="211">
        <v>0</v>
      </c>
      <c r="AJ16" s="535">
        <f t="shared" si="15"/>
        <v>0</v>
      </c>
      <c r="AL16" s="211">
        <v>0</v>
      </c>
      <c r="AM16" s="211">
        <v>0</v>
      </c>
      <c r="AN16" s="211">
        <v>0</v>
      </c>
      <c r="AO16" s="211">
        <v>0</v>
      </c>
      <c r="AP16" s="535">
        <f t="shared" si="16"/>
        <v>0</v>
      </c>
      <c r="AQ16" s="211">
        <v>0</v>
      </c>
      <c r="AR16" s="145">
        <f t="shared" si="17"/>
        <v>0</v>
      </c>
      <c r="AT16" s="211">
        <v>0</v>
      </c>
      <c r="AU16" s="211">
        <v>0</v>
      </c>
      <c r="AV16" s="211">
        <v>0</v>
      </c>
      <c r="AW16" s="211">
        <v>0</v>
      </c>
      <c r="AX16" s="535">
        <f t="shared" si="18"/>
        <v>0</v>
      </c>
      <c r="AY16" s="211">
        <v>0</v>
      </c>
      <c r="AZ16" s="535">
        <f t="shared" si="1"/>
        <v>0</v>
      </c>
      <c r="BB16" s="571">
        <v>0</v>
      </c>
      <c r="BC16" s="571">
        <v>0</v>
      </c>
      <c r="BD16" s="198">
        <v>0</v>
      </c>
      <c r="BE16" s="535">
        <f t="shared" si="2"/>
        <v>0</v>
      </c>
      <c r="BF16" s="571">
        <v>0</v>
      </c>
      <c r="BG16" s="535">
        <f t="shared" si="3"/>
        <v>0</v>
      </c>
      <c r="BI16" s="571">
        <v>0</v>
      </c>
      <c r="BJ16" s="571">
        <v>0</v>
      </c>
      <c r="BK16" s="198">
        <v>0</v>
      </c>
      <c r="BL16" s="535">
        <f t="shared" si="4"/>
        <v>0</v>
      </c>
      <c r="BM16" s="571">
        <v>0</v>
      </c>
      <c r="BN16" s="535">
        <f t="shared" si="5"/>
        <v>0</v>
      </c>
      <c r="BP16" s="571">
        <v>0</v>
      </c>
      <c r="BQ16" s="198">
        <v>0</v>
      </c>
      <c r="BR16" s="198">
        <v>5134387</v>
      </c>
      <c r="BS16" s="535">
        <f t="shared" si="19"/>
        <v>5134387</v>
      </c>
      <c r="BT16" s="211">
        <f t="shared" si="20"/>
        <v>5214997</v>
      </c>
      <c r="BU16" s="572">
        <v>5214997</v>
      </c>
      <c r="BV16" s="535">
        <f t="shared" si="6"/>
        <v>0</v>
      </c>
      <c r="BX16" s="198">
        <v>0</v>
      </c>
      <c r="BY16" s="164">
        <v>0</v>
      </c>
      <c r="BZ16" s="198">
        <v>0</v>
      </c>
      <c r="CA16" s="535">
        <f t="shared" si="21"/>
        <v>0</v>
      </c>
      <c r="CB16" s="211">
        <f t="shared" si="22"/>
        <v>0</v>
      </c>
      <c r="CC16" s="572">
        <f>+'[3]14-15 $140M Workload Restore'!AP14</f>
        <v>0</v>
      </c>
      <c r="CD16" s="535">
        <f t="shared" si="7"/>
        <v>0</v>
      </c>
      <c r="CF16" s="211">
        <f t="shared" si="23"/>
        <v>0</v>
      </c>
      <c r="CG16" s="211">
        <f t="shared" si="8"/>
        <v>0</v>
      </c>
      <c r="CH16" s="211">
        <f t="shared" si="8"/>
        <v>0</v>
      </c>
      <c r="CI16" s="211">
        <f t="shared" si="24"/>
        <v>0</v>
      </c>
    </row>
    <row r="17" spans="1:87" ht="15.75" thickBot="1">
      <c r="A17" s="523" t="s">
        <v>118</v>
      </c>
      <c r="F17" s="211"/>
      <c r="G17" s="568"/>
      <c r="H17" s="211"/>
      <c r="I17" s="211"/>
      <c r="J17" s="569">
        <f t="shared" si="9"/>
        <v>0</v>
      </c>
      <c r="K17" s="211"/>
      <c r="L17" s="211">
        <f t="shared" si="0"/>
        <v>0</v>
      </c>
      <c r="M17" s="211"/>
      <c r="N17" s="570">
        <v>0</v>
      </c>
      <c r="O17" s="570">
        <v>0</v>
      </c>
      <c r="P17" s="211">
        <f t="shared" si="10"/>
        <v>0</v>
      </c>
      <c r="Q17" s="211">
        <f t="shared" si="25"/>
        <v>0</v>
      </c>
      <c r="R17" s="535">
        <f t="shared" si="27"/>
        <v>0</v>
      </c>
      <c r="S17" s="211">
        <v>0</v>
      </c>
      <c r="T17" s="535">
        <f t="shared" si="26"/>
        <v>0</v>
      </c>
      <c r="V17" s="211">
        <v>0</v>
      </c>
      <c r="W17" s="211">
        <v>0</v>
      </c>
      <c r="X17" s="211">
        <v>0</v>
      </c>
      <c r="Y17" s="211">
        <f t="shared" si="11"/>
        <v>0</v>
      </c>
      <c r="Z17" s="535">
        <f t="shared" si="12"/>
        <v>0</v>
      </c>
      <c r="AA17" s="211">
        <v>0</v>
      </c>
      <c r="AB17" s="535">
        <f t="shared" si="13"/>
        <v>0</v>
      </c>
      <c r="AD17" s="211">
        <v>0</v>
      </c>
      <c r="AE17" s="211">
        <v>0</v>
      </c>
      <c r="AF17" s="211">
        <v>0</v>
      </c>
      <c r="AG17" s="211">
        <v>0</v>
      </c>
      <c r="AH17" s="535">
        <f t="shared" si="14"/>
        <v>0</v>
      </c>
      <c r="AI17" s="211">
        <v>0</v>
      </c>
      <c r="AJ17" s="535">
        <f t="shared" si="15"/>
        <v>0</v>
      </c>
      <c r="AL17" s="211">
        <v>0</v>
      </c>
      <c r="AM17" s="211">
        <v>0</v>
      </c>
      <c r="AN17" s="211">
        <v>0</v>
      </c>
      <c r="AO17" s="211">
        <v>0</v>
      </c>
      <c r="AP17" s="535">
        <f t="shared" si="16"/>
        <v>0</v>
      </c>
      <c r="AQ17" s="211">
        <v>0</v>
      </c>
      <c r="AR17" s="145">
        <f t="shared" si="17"/>
        <v>0</v>
      </c>
      <c r="AT17" s="211">
        <v>0</v>
      </c>
      <c r="AU17" s="211">
        <v>0</v>
      </c>
      <c r="AV17" s="211">
        <v>0</v>
      </c>
      <c r="AW17" s="211">
        <v>0</v>
      </c>
      <c r="AX17" s="535">
        <f t="shared" si="18"/>
        <v>0</v>
      </c>
      <c r="AY17" s="211">
        <v>0</v>
      </c>
      <c r="AZ17" s="535">
        <f t="shared" si="1"/>
        <v>0</v>
      </c>
      <c r="BB17" s="571">
        <v>0</v>
      </c>
      <c r="BC17" s="571">
        <v>0</v>
      </c>
      <c r="BD17" s="198">
        <v>0</v>
      </c>
      <c r="BE17" s="535">
        <f t="shared" si="2"/>
        <v>0</v>
      </c>
      <c r="BF17" s="571">
        <v>0</v>
      </c>
      <c r="BG17" s="535">
        <f t="shared" si="3"/>
        <v>0</v>
      </c>
      <c r="BI17" s="571">
        <v>0</v>
      </c>
      <c r="BJ17" s="571">
        <v>0</v>
      </c>
      <c r="BK17" s="198">
        <v>0</v>
      </c>
      <c r="BL17" s="535">
        <f t="shared" si="4"/>
        <v>0</v>
      </c>
      <c r="BM17" s="571">
        <v>0</v>
      </c>
      <c r="BN17" s="535">
        <f t="shared" si="5"/>
        <v>0</v>
      </c>
      <c r="BP17" s="571">
        <v>0</v>
      </c>
      <c r="BQ17" s="198">
        <v>0</v>
      </c>
      <c r="BR17" s="198">
        <v>0</v>
      </c>
      <c r="BS17" s="535">
        <f t="shared" si="19"/>
        <v>0</v>
      </c>
      <c r="BT17" s="211">
        <f t="shared" si="20"/>
        <v>0</v>
      </c>
      <c r="BU17" s="572">
        <v>0</v>
      </c>
      <c r="BV17" s="535">
        <f t="shared" si="6"/>
        <v>0</v>
      </c>
      <c r="BX17" s="198">
        <v>0</v>
      </c>
      <c r="BY17" s="198">
        <v>0</v>
      </c>
      <c r="BZ17" s="198">
        <v>0</v>
      </c>
      <c r="CA17" s="535">
        <f t="shared" si="21"/>
        <v>0</v>
      </c>
      <c r="CB17" s="211">
        <f t="shared" si="22"/>
        <v>0</v>
      </c>
      <c r="CC17" s="572">
        <f>+'[3]14-15 $140M Workload Restore'!AP15</f>
        <v>0</v>
      </c>
      <c r="CD17" s="535">
        <f t="shared" si="7"/>
        <v>0</v>
      </c>
      <c r="CF17" s="211">
        <f t="shared" si="23"/>
        <v>0</v>
      </c>
      <c r="CG17" s="211">
        <f t="shared" si="8"/>
        <v>0</v>
      </c>
      <c r="CH17" s="211">
        <f t="shared" si="8"/>
        <v>0</v>
      </c>
      <c r="CI17" s="211">
        <f t="shared" si="24"/>
        <v>0</v>
      </c>
    </row>
    <row r="18" spans="1:87" ht="15.75" thickBot="1">
      <c r="A18" s="523" t="s">
        <v>119</v>
      </c>
      <c r="F18" s="211"/>
      <c r="G18" s="568"/>
      <c r="H18" s="211"/>
      <c r="I18" s="39">
        <v>4648022</v>
      </c>
      <c r="J18" s="569">
        <v>0</v>
      </c>
      <c r="K18" s="574">
        <v>4648022</v>
      </c>
      <c r="L18" s="211">
        <v>0</v>
      </c>
      <c r="M18" s="211">
        <v>13343017</v>
      </c>
      <c r="N18" s="570">
        <v>-3826.38</v>
      </c>
      <c r="O18" s="570">
        <v>42.32</v>
      </c>
      <c r="P18" s="211">
        <f t="shared" si="10"/>
        <v>14132924</v>
      </c>
      <c r="Q18" s="39">
        <f t="shared" si="25"/>
        <v>16598669</v>
      </c>
      <c r="R18" s="535">
        <f t="shared" si="27"/>
        <v>16598669</v>
      </c>
      <c r="S18" s="211">
        <v>16598669</v>
      </c>
      <c r="T18" s="535">
        <f t="shared" si="26"/>
        <v>0</v>
      </c>
      <c r="V18" s="211">
        <v>0</v>
      </c>
      <c r="W18" s="211">
        <v>0</v>
      </c>
      <c r="X18" s="211">
        <v>0</v>
      </c>
      <c r="Y18" s="211">
        <f t="shared" si="11"/>
        <v>0</v>
      </c>
      <c r="Z18" s="535">
        <f t="shared" si="12"/>
        <v>0</v>
      </c>
      <c r="AA18" s="211">
        <v>0</v>
      </c>
      <c r="AB18" s="535">
        <f t="shared" si="13"/>
        <v>0</v>
      </c>
      <c r="AD18" s="211">
        <v>0</v>
      </c>
      <c r="AE18" s="211">
        <v>0</v>
      </c>
      <c r="AF18" s="211">
        <v>0</v>
      </c>
      <c r="AG18" s="211">
        <v>0</v>
      </c>
      <c r="AH18" s="535">
        <f t="shared" si="14"/>
        <v>0</v>
      </c>
      <c r="AI18" s="211">
        <v>0</v>
      </c>
      <c r="AJ18" s="535">
        <f t="shared" si="15"/>
        <v>0</v>
      </c>
      <c r="AL18" s="211">
        <v>0</v>
      </c>
      <c r="AM18" s="211">
        <v>0</v>
      </c>
      <c r="AN18" s="211">
        <v>0</v>
      </c>
      <c r="AO18" s="211">
        <v>0</v>
      </c>
      <c r="AP18" s="535">
        <f t="shared" si="16"/>
        <v>0</v>
      </c>
      <c r="AQ18" s="211">
        <v>0</v>
      </c>
      <c r="AR18" s="145">
        <f t="shared" si="17"/>
        <v>0</v>
      </c>
      <c r="AT18" s="211">
        <v>0</v>
      </c>
      <c r="AU18" s="211">
        <v>0</v>
      </c>
      <c r="AV18" s="211">
        <v>0</v>
      </c>
      <c r="AW18" s="211">
        <v>0</v>
      </c>
      <c r="AX18" s="535">
        <f t="shared" si="18"/>
        <v>0</v>
      </c>
      <c r="AY18" s="211">
        <v>0</v>
      </c>
      <c r="AZ18" s="535">
        <f t="shared" si="1"/>
        <v>0</v>
      </c>
      <c r="BB18" s="571">
        <v>0</v>
      </c>
      <c r="BC18" s="571">
        <v>0</v>
      </c>
      <c r="BD18" s="198">
        <v>0</v>
      </c>
      <c r="BE18" s="535">
        <f t="shared" si="2"/>
        <v>0</v>
      </c>
      <c r="BF18" s="571">
        <v>0</v>
      </c>
      <c r="BG18" s="535">
        <f t="shared" si="3"/>
        <v>0</v>
      </c>
      <c r="BI18" s="571">
        <v>0</v>
      </c>
      <c r="BJ18" s="571">
        <v>0</v>
      </c>
      <c r="BK18" s="198">
        <v>0</v>
      </c>
      <c r="BL18" s="535">
        <f t="shared" si="4"/>
        <v>0</v>
      </c>
      <c r="BM18" s="571">
        <v>0</v>
      </c>
      <c r="BN18" s="535">
        <f t="shared" si="5"/>
        <v>0</v>
      </c>
      <c r="BP18" s="571">
        <v>0</v>
      </c>
      <c r="BQ18" s="198">
        <v>0</v>
      </c>
      <c r="BR18" s="198">
        <v>10571923</v>
      </c>
      <c r="BS18" s="535">
        <f t="shared" si="19"/>
        <v>10571923</v>
      </c>
      <c r="BT18" s="211">
        <f t="shared" si="20"/>
        <v>10737902</v>
      </c>
      <c r="BU18" s="572">
        <v>10737902</v>
      </c>
      <c r="BV18" s="535">
        <f t="shared" si="6"/>
        <v>0</v>
      </c>
      <c r="BX18" s="198">
        <v>0</v>
      </c>
      <c r="BY18" s="164">
        <v>0</v>
      </c>
      <c r="BZ18" s="198">
        <v>0</v>
      </c>
      <c r="CA18" s="535">
        <f t="shared" si="21"/>
        <v>0</v>
      </c>
      <c r="CB18" s="211">
        <f t="shared" si="22"/>
        <v>0</v>
      </c>
      <c r="CC18" s="572">
        <f>+'[3]14-15 $140M Workload Restore'!AP16</f>
        <v>0</v>
      </c>
      <c r="CD18" s="535">
        <f t="shared" si="7"/>
        <v>0</v>
      </c>
      <c r="CF18" s="211">
        <f t="shared" si="23"/>
        <v>0</v>
      </c>
      <c r="CG18" s="211">
        <f t="shared" si="8"/>
        <v>0</v>
      </c>
      <c r="CH18" s="211">
        <f t="shared" si="8"/>
        <v>0</v>
      </c>
      <c r="CI18" s="211">
        <f t="shared" si="24"/>
        <v>0</v>
      </c>
    </row>
    <row r="19" spans="1:87" ht="15.75" thickBot="1">
      <c r="A19" s="549" t="s">
        <v>637</v>
      </c>
      <c r="B19" s="549"/>
      <c r="C19" s="549"/>
      <c r="D19" s="549"/>
      <c r="E19" s="550"/>
      <c r="F19" s="550"/>
      <c r="G19" s="575"/>
      <c r="H19" s="550"/>
      <c r="I19" s="550"/>
      <c r="J19" s="576"/>
      <c r="K19" s="550"/>
      <c r="L19" s="550">
        <v>0</v>
      </c>
      <c r="M19" s="550">
        <v>7713517</v>
      </c>
      <c r="N19" s="577">
        <v>-2086.85</v>
      </c>
      <c r="O19" s="577">
        <v>-7.0000000000000007E-2</v>
      </c>
      <c r="P19" s="550">
        <f>ROUND(7713517*1.0592,0)</f>
        <v>8170157</v>
      </c>
      <c r="Q19" s="550"/>
      <c r="R19" s="578">
        <f t="shared" si="27"/>
        <v>8170157</v>
      </c>
      <c r="S19" s="550">
        <v>0</v>
      </c>
      <c r="T19" s="551">
        <f>R19-S19</f>
        <v>8170157</v>
      </c>
      <c r="U19" s="549"/>
      <c r="V19" s="550">
        <v>0</v>
      </c>
      <c r="W19" s="550">
        <f>ROUND(P19*1.0453,0)</f>
        <v>8540265</v>
      </c>
      <c r="X19" s="579">
        <v>6989938</v>
      </c>
      <c r="Y19" s="550">
        <f>ROUND(6989938*1.0453,0)</f>
        <v>7306582</v>
      </c>
      <c r="Z19" s="578">
        <f t="shared" si="12"/>
        <v>15846847</v>
      </c>
      <c r="AA19" s="550">
        <v>2923930</v>
      </c>
      <c r="AB19" s="550">
        <f>Z19-AA19</f>
        <v>12922917</v>
      </c>
      <c r="AC19" s="549"/>
      <c r="AD19" s="550">
        <f>W19-AA19</f>
        <v>5616335</v>
      </c>
      <c r="AE19" s="550">
        <f>Y19</f>
        <v>7306582</v>
      </c>
      <c r="AF19" s="550">
        <v>0</v>
      </c>
      <c r="AG19" s="550">
        <v>0</v>
      </c>
      <c r="AH19" s="578">
        <f>SUM(AD19:AG19)-AF19</f>
        <v>12922917</v>
      </c>
      <c r="AI19" s="550">
        <v>7492742</v>
      </c>
      <c r="AJ19" s="550">
        <f>AH19-AI19</f>
        <v>5430175</v>
      </c>
      <c r="AK19" s="549"/>
      <c r="AL19" s="580">
        <v>2911285</v>
      </c>
      <c r="AM19" s="580">
        <v>2911285</v>
      </c>
      <c r="AN19" s="550">
        <v>0</v>
      </c>
      <c r="AO19" s="550">
        <v>0</v>
      </c>
      <c r="AP19" s="578">
        <f>SUM(AL19:AO19)-AN19</f>
        <v>5822570</v>
      </c>
      <c r="AQ19" s="145">
        <v>2318788</v>
      </c>
      <c r="AR19" s="145">
        <f>IF(AQ19&lt;AL19,SUM(AM19:AN19),SUM(AL19:AN19)-AQ19)</f>
        <v>2911285</v>
      </c>
      <c r="AS19" s="549"/>
      <c r="AT19" s="580">
        <f>+AR19</f>
        <v>2911285</v>
      </c>
      <c r="AU19" s="550">
        <v>0</v>
      </c>
      <c r="AV19" s="550">
        <v>0</v>
      </c>
      <c r="AW19" s="550">
        <v>0</v>
      </c>
      <c r="AX19" s="551">
        <f>SUM(AT19:AW19)</f>
        <v>2911285</v>
      </c>
      <c r="AY19" s="580">
        <v>4794079</v>
      </c>
      <c r="AZ19" s="581">
        <v>0</v>
      </c>
      <c r="BB19" s="571">
        <v>0</v>
      </c>
      <c r="BC19" s="571">
        <v>0</v>
      </c>
      <c r="BD19" s="198">
        <v>0</v>
      </c>
      <c r="BE19" s="535">
        <f t="shared" si="2"/>
        <v>0</v>
      </c>
      <c r="BF19" s="571">
        <v>0</v>
      </c>
      <c r="BG19" s="535">
        <f t="shared" si="3"/>
        <v>0</v>
      </c>
      <c r="BI19" s="571">
        <v>0</v>
      </c>
      <c r="BJ19" s="571">
        <v>0</v>
      </c>
      <c r="BK19" s="198">
        <v>0</v>
      </c>
      <c r="BL19" s="535">
        <f t="shared" si="4"/>
        <v>0</v>
      </c>
      <c r="BM19" s="571">
        <v>0</v>
      </c>
      <c r="BN19" s="535">
        <f t="shared" si="5"/>
        <v>0</v>
      </c>
      <c r="BP19" s="571">
        <v>0</v>
      </c>
      <c r="BQ19" s="198">
        <v>0</v>
      </c>
      <c r="BR19" s="198">
        <v>0</v>
      </c>
      <c r="BS19" s="535">
        <f t="shared" si="19"/>
        <v>0</v>
      </c>
      <c r="BT19" s="211">
        <f t="shared" si="20"/>
        <v>0</v>
      </c>
      <c r="BU19" s="572">
        <v>0</v>
      </c>
      <c r="BV19" s="535">
        <f t="shared" si="6"/>
        <v>0</v>
      </c>
      <c r="BX19" s="198">
        <v>0</v>
      </c>
      <c r="BY19" s="198">
        <v>0</v>
      </c>
      <c r="BZ19" s="198">
        <v>0</v>
      </c>
      <c r="CA19" s="535">
        <f t="shared" si="21"/>
        <v>0</v>
      </c>
      <c r="CB19" s="211">
        <f t="shared" si="22"/>
        <v>0</v>
      </c>
      <c r="CC19" s="572">
        <f>+'[3]14-15 $140M Workload Restore'!AP17</f>
        <v>0</v>
      </c>
      <c r="CD19" s="535">
        <f t="shared" si="7"/>
        <v>0</v>
      </c>
      <c r="CF19" s="211">
        <f t="shared" si="23"/>
        <v>0</v>
      </c>
      <c r="CG19" s="211">
        <f t="shared" si="8"/>
        <v>0</v>
      </c>
      <c r="CH19" s="211">
        <f t="shared" si="8"/>
        <v>0</v>
      </c>
      <c r="CI19" s="211">
        <f t="shared" si="24"/>
        <v>0</v>
      </c>
    </row>
    <row r="20" spans="1:87" ht="15.75" thickBot="1">
      <c r="A20" s="523" t="s">
        <v>121</v>
      </c>
      <c r="F20" s="211"/>
      <c r="G20" s="568"/>
      <c r="H20" s="211"/>
      <c r="I20" s="211"/>
      <c r="J20" s="569">
        <f t="shared" si="9"/>
        <v>0</v>
      </c>
      <c r="K20" s="39">
        <v>15595756</v>
      </c>
      <c r="L20" s="211">
        <f>ROUND(K20-M20,0)</f>
        <v>843290</v>
      </c>
      <c r="M20" s="574">
        <v>14752466</v>
      </c>
      <c r="N20" s="582">
        <v>0</v>
      </c>
      <c r="O20" s="582">
        <v>0</v>
      </c>
      <c r="P20" s="211">
        <v>0</v>
      </c>
      <c r="Q20" s="211">
        <f t="shared" si="25"/>
        <v>0</v>
      </c>
      <c r="R20" s="535">
        <f t="shared" si="27"/>
        <v>843290</v>
      </c>
      <c r="S20" s="211">
        <v>0</v>
      </c>
      <c r="T20" s="535">
        <f t="shared" si="26"/>
        <v>843290</v>
      </c>
      <c r="V20" s="211">
        <f>ROUND(L20,0)</f>
        <v>843290</v>
      </c>
      <c r="W20" s="211">
        <v>0</v>
      </c>
      <c r="X20" s="211">
        <v>21419653</v>
      </c>
      <c r="Y20" s="211">
        <f>ROUND(21419653*1.0453,0)</f>
        <v>22389963</v>
      </c>
      <c r="Z20" s="535">
        <f t="shared" si="12"/>
        <v>23233253</v>
      </c>
      <c r="AA20" s="211">
        <v>24219924</v>
      </c>
      <c r="AB20" s="535">
        <f t="shared" si="13"/>
        <v>0</v>
      </c>
      <c r="AD20" s="211">
        <v>0</v>
      </c>
      <c r="AE20" s="211">
        <v>0</v>
      </c>
      <c r="AF20" s="211">
        <v>0</v>
      </c>
      <c r="AG20" s="211">
        <v>0</v>
      </c>
      <c r="AH20" s="535">
        <f t="shared" si="14"/>
        <v>0</v>
      </c>
      <c r="AI20" s="211">
        <v>0</v>
      </c>
      <c r="AJ20" s="535">
        <f t="shared" si="15"/>
        <v>0</v>
      </c>
      <c r="AL20" s="211">
        <f>AE20</f>
        <v>0</v>
      </c>
      <c r="AM20" s="211">
        <v>0</v>
      </c>
      <c r="AN20" s="211">
        <v>10049939</v>
      </c>
      <c r="AO20" s="211">
        <f>SUM(AL20:AN20)</f>
        <v>10049939</v>
      </c>
      <c r="AP20" s="535">
        <f t="shared" si="16"/>
        <v>10049939</v>
      </c>
      <c r="AQ20" s="211">
        <v>10049939</v>
      </c>
      <c r="AR20" s="145">
        <f t="shared" ref="AR20:AR80" si="28">IF(AQ20&lt;AL20,SUM(AM20:AN20),SUM(AL20:AN20)-AQ20)</f>
        <v>0</v>
      </c>
      <c r="AT20" s="211">
        <v>0</v>
      </c>
      <c r="AU20" s="211">
        <v>0</v>
      </c>
      <c r="AV20" s="211">
        <v>0</v>
      </c>
      <c r="AW20" s="211">
        <v>0</v>
      </c>
      <c r="AX20" s="535">
        <f t="shared" ref="AX20:AX80" si="29">SUM(AT20:AW20)-AV20</f>
        <v>0</v>
      </c>
      <c r="AY20" s="211">
        <v>0</v>
      </c>
      <c r="AZ20" s="535">
        <f t="shared" si="1"/>
        <v>0</v>
      </c>
      <c r="BB20" s="571">
        <v>0</v>
      </c>
      <c r="BC20" s="571">
        <v>0</v>
      </c>
      <c r="BD20" s="198">
        <v>0</v>
      </c>
      <c r="BE20" s="535">
        <f t="shared" si="2"/>
        <v>0</v>
      </c>
      <c r="BF20" s="571">
        <v>0</v>
      </c>
      <c r="BG20" s="535">
        <f t="shared" si="3"/>
        <v>0</v>
      </c>
      <c r="BI20" s="571">
        <v>0</v>
      </c>
      <c r="BJ20" s="571">
        <v>0</v>
      </c>
      <c r="BK20" s="198">
        <v>0</v>
      </c>
      <c r="BL20" s="535">
        <f t="shared" si="4"/>
        <v>0</v>
      </c>
      <c r="BM20" s="571">
        <v>0</v>
      </c>
      <c r="BN20" s="535">
        <f t="shared" si="5"/>
        <v>0</v>
      </c>
      <c r="BP20" s="571">
        <v>0</v>
      </c>
      <c r="BQ20" s="198">
        <v>0</v>
      </c>
      <c r="BR20" s="198">
        <v>2785663</v>
      </c>
      <c r="BS20" s="535">
        <f t="shared" si="19"/>
        <v>2785663</v>
      </c>
      <c r="BT20" s="211">
        <f t="shared" si="20"/>
        <v>2829398</v>
      </c>
      <c r="BU20" s="572">
        <v>2829398</v>
      </c>
      <c r="BV20" s="535">
        <f t="shared" si="6"/>
        <v>0</v>
      </c>
      <c r="BX20" s="198">
        <v>0</v>
      </c>
      <c r="BY20" s="164">
        <v>0</v>
      </c>
      <c r="BZ20" s="198">
        <v>0</v>
      </c>
      <c r="CA20" s="535">
        <f t="shared" si="21"/>
        <v>0</v>
      </c>
      <c r="CB20" s="211">
        <f t="shared" si="22"/>
        <v>0</v>
      </c>
      <c r="CC20" s="572">
        <f>+'[3]14-15 $140M Workload Restore'!AP18</f>
        <v>0</v>
      </c>
      <c r="CD20" s="535">
        <f t="shared" si="7"/>
        <v>0</v>
      </c>
      <c r="CF20" s="211">
        <f t="shared" si="23"/>
        <v>0</v>
      </c>
      <c r="CG20" s="211">
        <f t="shared" si="8"/>
        <v>0</v>
      </c>
      <c r="CH20" s="211">
        <f t="shared" si="8"/>
        <v>0</v>
      </c>
      <c r="CI20" s="211">
        <f t="shared" si="24"/>
        <v>0</v>
      </c>
    </row>
    <row r="21" spans="1:87" ht="15.75" thickBot="1">
      <c r="A21" s="523" t="s">
        <v>122</v>
      </c>
      <c r="F21" s="211"/>
      <c r="G21" s="568"/>
      <c r="H21" s="211"/>
      <c r="I21" s="211">
        <v>25617</v>
      </c>
      <c r="J21" s="569">
        <f t="shared" si="9"/>
        <v>28963</v>
      </c>
      <c r="K21" s="211"/>
      <c r="L21" s="211">
        <f>ROUND(K21,0)</f>
        <v>0</v>
      </c>
      <c r="M21" s="211">
        <v>709892</v>
      </c>
      <c r="N21" s="583">
        <v>-155.43</v>
      </c>
      <c r="O21" s="583">
        <v>7.11</v>
      </c>
      <c r="P21" s="211">
        <f t="shared" ref="P21:P45" si="30">ROUND(M21*1.0592,0)</f>
        <v>751918</v>
      </c>
      <c r="Q21" s="211">
        <f t="shared" si="25"/>
        <v>660092</v>
      </c>
      <c r="R21" s="535">
        <f t="shared" si="27"/>
        <v>780881</v>
      </c>
      <c r="S21" s="211">
        <v>0</v>
      </c>
      <c r="T21" s="535">
        <f t="shared" si="26"/>
        <v>780881</v>
      </c>
      <c r="V21" s="211">
        <v>0</v>
      </c>
      <c r="W21" s="211">
        <f>ROUND(P21*1.0453,0)</f>
        <v>785980</v>
      </c>
      <c r="X21" s="211">
        <v>77438</v>
      </c>
      <c r="Y21" s="211">
        <f>ROUND(77438*1.0453,0)</f>
        <v>80946</v>
      </c>
      <c r="Z21" s="535">
        <f t="shared" si="12"/>
        <v>866926</v>
      </c>
      <c r="AA21" s="211">
        <v>354619</v>
      </c>
      <c r="AB21" s="535">
        <f t="shared" si="13"/>
        <v>512307</v>
      </c>
      <c r="AD21" s="211">
        <f>W21-AA21-1</f>
        <v>431360</v>
      </c>
      <c r="AE21" s="211">
        <f>Y21</f>
        <v>80946</v>
      </c>
      <c r="AF21" s="211">
        <v>0</v>
      </c>
      <c r="AG21" s="211">
        <v>0</v>
      </c>
      <c r="AH21" s="535">
        <f t="shared" si="14"/>
        <v>512306</v>
      </c>
      <c r="AI21" s="211">
        <v>512306</v>
      </c>
      <c r="AJ21" s="535">
        <f t="shared" si="15"/>
        <v>0</v>
      </c>
      <c r="AL21" s="211">
        <v>0</v>
      </c>
      <c r="AM21" s="211">
        <v>0</v>
      </c>
      <c r="AN21" s="211">
        <v>0</v>
      </c>
      <c r="AO21" s="211">
        <v>0</v>
      </c>
      <c r="AP21" s="535">
        <f t="shared" si="16"/>
        <v>0</v>
      </c>
      <c r="AQ21" s="211">
        <v>0</v>
      </c>
      <c r="AR21" s="145">
        <f t="shared" si="28"/>
        <v>0</v>
      </c>
      <c r="AT21" s="211">
        <v>0</v>
      </c>
      <c r="AU21" s="211">
        <v>0</v>
      </c>
      <c r="AV21" s="211">
        <v>0</v>
      </c>
      <c r="AW21" s="211">
        <v>0</v>
      </c>
      <c r="AX21" s="535">
        <f t="shared" si="29"/>
        <v>0</v>
      </c>
      <c r="AY21" s="211">
        <v>0</v>
      </c>
      <c r="AZ21" s="535">
        <f t="shared" si="1"/>
        <v>0</v>
      </c>
      <c r="BB21" s="571">
        <v>0</v>
      </c>
      <c r="BC21" s="571">
        <v>0</v>
      </c>
      <c r="BD21" s="198">
        <v>0</v>
      </c>
      <c r="BE21" s="535">
        <f t="shared" si="2"/>
        <v>0</v>
      </c>
      <c r="BF21" s="571">
        <v>0</v>
      </c>
      <c r="BG21" s="535">
        <f t="shared" si="3"/>
        <v>0</v>
      </c>
      <c r="BI21" s="571">
        <v>0</v>
      </c>
      <c r="BJ21" s="571">
        <v>0</v>
      </c>
      <c r="BK21" s="198">
        <v>0</v>
      </c>
      <c r="BL21" s="535">
        <f t="shared" si="4"/>
        <v>0</v>
      </c>
      <c r="BM21" s="571">
        <v>0</v>
      </c>
      <c r="BN21" s="535">
        <f t="shared" si="5"/>
        <v>0</v>
      </c>
      <c r="BP21" s="571">
        <v>0</v>
      </c>
      <c r="BQ21" s="198">
        <v>0</v>
      </c>
      <c r="BR21" s="198">
        <v>0</v>
      </c>
      <c r="BS21" s="535">
        <f t="shared" si="19"/>
        <v>0</v>
      </c>
      <c r="BT21" s="211">
        <f t="shared" si="20"/>
        <v>0</v>
      </c>
      <c r="BU21" s="572">
        <v>0</v>
      </c>
      <c r="BV21" s="535">
        <f t="shared" si="6"/>
        <v>0</v>
      </c>
      <c r="BX21" s="198">
        <v>0</v>
      </c>
      <c r="BY21" s="198">
        <v>0</v>
      </c>
      <c r="BZ21" s="198">
        <v>466754</v>
      </c>
      <c r="CA21" s="535">
        <f t="shared" si="21"/>
        <v>466754</v>
      </c>
      <c r="CB21" s="211">
        <f t="shared" si="22"/>
        <v>470721</v>
      </c>
      <c r="CC21" s="572">
        <f>+'[3]14-15 $140M Workload Restore'!AP19</f>
        <v>0</v>
      </c>
      <c r="CD21" s="535">
        <f t="shared" si="7"/>
        <v>470721</v>
      </c>
      <c r="CF21" s="211">
        <f t="shared" si="23"/>
        <v>0</v>
      </c>
      <c r="CG21" s="211">
        <f t="shared" si="8"/>
        <v>0</v>
      </c>
      <c r="CH21" s="211">
        <f t="shared" si="8"/>
        <v>470721</v>
      </c>
      <c r="CI21" s="211">
        <f t="shared" si="24"/>
        <v>470721</v>
      </c>
    </row>
    <row r="22" spans="1:87" ht="15.75" thickBot="1">
      <c r="A22" s="523" t="s">
        <v>123</v>
      </c>
      <c r="F22" s="584">
        <v>710125</v>
      </c>
      <c r="G22" s="585"/>
      <c r="H22" s="211"/>
      <c r="I22" s="211"/>
      <c r="J22" s="569">
        <f t="shared" si="9"/>
        <v>0</v>
      </c>
      <c r="K22" s="211"/>
      <c r="L22" s="211">
        <f t="shared" ref="L22:L28" si="31">ROUND(K22,0)</f>
        <v>0</v>
      </c>
      <c r="M22" s="211"/>
      <c r="N22" s="583">
        <v>0</v>
      </c>
      <c r="O22" s="583">
        <v>0</v>
      </c>
      <c r="P22" s="211">
        <f t="shared" si="30"/>
        <v>0</v>
      </c>
      <c r="Q22" s="211">
        <f t="shared" si="25"/>
        <v>0</v>
      </c>
      <c r="R22" s="535">
        <f t="shared" si="27"/>
        <v>0</v>
      </c>
      <c r="S22" s="211">
        <v>0</v>
      </c>
      <c r="T22" s="535">
        <f t="shared" si="26"/>
        <v>0</v>
      </c>
      <c r="V22" s="211">
        <v>0</v>
      </c>
      <c r="W22" s="211">
        <v>0</v>
      </c>
      <c r="X22" s="211">
        <v>0</v>
      </c>
      <c r="Y22" s="211">
        <v>0</v>
      </c>
      <c r="Z22" s="535">
        <f t="shared" si="12"/>
        <v>0</v>
      </c>
      <c r="AA22" s="211">
        <v>0</v>
      </c>
      <c r="AB22" s="535">
        <f t="shared" si="13"/>
        <v>0</v>
      </c>
      <c r="AD22" s="211">
        <v>0</v>
      </c>
      <c r="AE22" s="211">
        <v>0</v>
      </c>
      <c r="AF22" s="211">
        <v>0</v>
      </c>
      <c r="AG22" s="211">
        <v>0</v>
      </c>
      <c r="AH22" s="535">
        <f t="shared" si="14"/>
        <v>0</v>
      </c>
      <c r="AI22" s="211">
        <v>0</v>
      </c>
      <c r="AJ22" s="535">
        <f t="shared" si="15"/>
        <v>0</v>
      </c>
      <c r="AL22" s="211">
        <v>0</v>
      </c>
      <c r="AM22" s="211">
        <v>0</v>
      </c>
      <c r="AN22" s="211">
        <v>0</v>
      </c>
      <c r="AO22" s="211">
        <v>0</v>
      </c>
      <c r="AP22" s="535">
        <f t="shared" si="16"/>
        <v>0</v>
      </c>
      <c r="AQ22" s="211">
        <v>0</v>
      </c>
      <c r="AR22" s="145">
        <f t="shared" si="28"/>
        <v>0</v>
      </c>
      <c r="AT22" s="211">
        <v>0</v>
      </c>
      <c r="AU22" s="211">
        <v>0</v>
      </c>
      <c r="AV22" s="211">
        <v>0</v>
      </c>
      <c r="AW22" s="211">
        <v>0</v>
      </c>
      <c r="AX22" s="535">
        <f t="shared" si="29"/>
        <v>0</v>
      </c>
      <c r="AY22" s="211">
        <v>0</v>
      </c>
      <c r="AZ22" s="535">
        <f t="shared" si="1"/>
        <v>0</v>
      </c>
      <c r="BB22" s="571">
        <v>0</v>
      </c>
      <c r="BC22" s="571">
        <v>0</v>
      </c>
      <c r="BD22" s="198">
        <v>0</v>
      </c>
      <c r="BE22" s="535">
        <f t="shared" si="2"/>
        <v>0</v>
      </c>
      <c r="BF22" s="571">
        <v>0</v>
      </c>
      <c r="BG22" s="535">
        <f t="shared" si="3"/>
        <v>0</v>
      </c>
      <c r="BI22" s="571">
        <v>0</v>
      </c>
      <c r="BJ22" s="571">
        <v>0</v>
      </c>
      <c r="BK22" s="198">
        <v>0</v>
      </c>
      <c r="BL22" s="535">
        <f t="shared" si="4"/>
        <v>0</v>
      </c>
      <c r="BM22" s="571">
        <v>0</v>
      </c>
      <c r="BN22" s="535">
        <f t="shared" si="5"/>
        <v>0</v>
      </c>
      <c r="BP22" s="571">
        <v>0</v>
      </c>
      <c r="BQ22" s="145">
        <f>ROUND(951516*1.0157,0)</f>
        <v>966455</v>
      </c>
      <c r="BR22" s="198">
        <v>0</v>
      </c>
      <c r="BS22" s="535">
        <f t="shared" si="19"/>
        <v>966455</v>
      </c>
      <c r="BT22" s="211">
        <f t="shared" si="20"/>
        <v>981628</v>
      </c>
      <c r="BU22" s="572">
        <v>0</v>
      </c>
      <c r="BV22" s="579">
        <f>BT22-BU22-130280</f>
        <v>851348</v>
      </c>
      <c r="BX22" s="579">
        <f>851348-851348</f>
        <v>0</v>
      </c>
      <c r="BY22" s="198">
        <v>0</v>
      </c>
      <c r="BZ22" s="198">
        <v>0</v>
      </c>
      <c r="CA22" s="535">
        <f t="shared" si="21"/>
        <v>0</v>
      </c>
      <c r="CB22" s="211">
        <f t="shared" si="22"/>
        <v>0</v>
      </c>
      <c r="CC22" s="572">
        <f>+'[3]14-15 $140M Workload Restore'!AP20</f>
        <v>0</v>
      </c>
      <c r="CD22" s="579">
        <f t="shared" si="7"/>
        <v>0</v>
      </c>
      <c r="CF22" s="211">
        <f t="shared" si="23"/>
        <v>0</v>
      </c>
      <c r="CG22" s="211">
        <f t="shared" si="8"/>
        <v>0</v>
      </c>
      <c r="CH22" s="211">
        <f t="shared" si="8"/>
        <v>0</v>
      </c>
      <c r="CI22" s="211">
        <f t="shared" si="24"/>
        <v>0</v>
      </c>
    </row>
    <row r="23" spans="1:87" ht="15.75" thickBot="1">
      <c r="A23" s="523" t="s">
        <v>124</v>
      </c>
      <c r="F23" s="211"/>
      <c r="G23" s="568"/>
      <c r="H23" s="211"/>
      <c r="I23" s="211"/>
      <c r="J23" s="569">
        <f t="shared" si="9"/>
        <v>0</v>
      </c>
      <c r="K23" s="211"/>
      <c r="L23" s="211">
        <f t="shared" si="31"/>
        <v>0</v>
      </c>
      <c r="M23" s="211">
        <v>4368348</v>
      </c>
      <c r="N23" s="583">
        <v>-1105.53</v>
      </c>
      <c r="O23" s="583">
        <v>-4.87</v>
      </c>
      <c r="P23" s="211">
        <f t="shared" si="30"/>
        <v>4626954</v>
      </c>
      <c r="Q23" s="39">
        <f t="shared" si="25"/>
        <v>4840638</v>
      </c>
      <c r="R23" s="535">
        <f t="shared" si="27"/>
        <v>4840638</v>
      </c>
      <c r="S23" s="211">
        <v>4771706</v>
      </c>
      <c r="T23" s="535">
        <f t="shared" si="26"/>
        <v>68932</v>
      </c>
      <c r="V23" s="211">
        <v>0</v>
      </c>
      <c r="W23" s="211">
        <f>ROUND(T23*1.0453,0)</f>
        <v>72055</v>
      </c>
      <c r="X23" s="211">
        <v>0</v>
      </c>
      <c r="Y23" s="211">
        <v>0</v>
      </c>
      <c r="Z23" s="535">
        <f t="shared" si="12"/>
        <v>72055</v>
      </c>
      <c r="AA23" s="211">
        <v>66687</v>
      </c>
      <c r="AB23" s="535">
        <f t="shared" si="13"/>
        <v>5368</v>
      </c>
      <c r="AD23" s="211">
        <f>AB23</f>
        <v>5368</v>
      </c>
      <c r="AE23" s="211">
        <v>0</v>
      </c>
      <c r="AF23" s="211">
        <v>0</v>
      </c>
      <c r="AG23" s="211">
        <v>0</v>
      </c>
      <c r="AH23" s="535">
        <f t="shared" si="14"/>
        <v>5368</v>
      </c>
      <c r="AI23" s="211">
        <v>5368</v>
      </c>
      <c r="AJ23" s="535">
        <f t="shared" si="15"/>
        <v>0</v>
      </c>
      <c r="AL23" s="211">
        <v>0</v>
      </c>
      <c r="AM23" s="211">
        <v>0</v>
      </c>
      <c r="AN23" s="211">
        <v>0</v>
      </c>
      <c r="AO23" s="211">
        <v>0</v>
      </c>
      <c r="AP23" s="535">
        <f t="shared" si="16"/>
        <v>0</v>
      </c>
      <c r="AQ23" s="211">
        <v>0</v>
      </c>
      <c r="AR23" s="145">
        <f t="shared" si="28"/>
        <v>0</v>
      </c>
      <c r="AT23" s="211">
        <v>0</v>
      </c>
      <c r="AU23" s="211">
        <v>0</v>
      </c>
      <c r="AV23" s="211">
        <v>0</v>
      </c>
      <c r="AW23" s="211">
        <v>0</v>
      </c>
      <c r="AX23" s="535">
        <f t="shared" si="29"/>
        <v>0</v>
      </c>
      <c r="AY23" s="211">
        <v>0</v>
      </c>
      <c r="AZ23" s="535">
        <f t="shared" si="1"/>
        <v>0</v>
      </c>
      <c r="BB23" s="571">
        <v>0</v>
      </c>
      <c r="BC23" s="571">
        <v>0</v>
      </c>
      <c r="BD23" s="198">
        <v>0</v>
      </c>
      <c r="BE23" s="535">
        <f t="shared" si="2"/>
        <v>0</v>
      </c>
      <c r="BF23" s="571">
        <v>0</v>
      </c>
      <c r="BG23" s="535">
        <f t="shared" si="3"/>
        <v>0</v>
      </c>
      <c r="BI23" s="571">
        <v>0</v>
      </c>
      <c r="BJ23" s="571">
        <v>0</v>
      </c>
      <c r="BK23" s="198">
        <v>0</v>
      </c>
      <c r="BL23" s="535">
        <f t="shared" si="4"/>
        <v>0</v>
      </c>
      <c r="BM23" s="571">
        <v>0</v>
      </c>
      <c r="BN23" s="535">
        <f t="shared" si="5"/>
        <v>0</v>
      </c>
      <c r="BP23" s="571">
        <v>0</v>
      </c>
      <c r="BQ23" s="198">
        <v>0</v>
      </c>
      <c r="BR23" s="198">
        <v>0</v>
      </c>
      <c r="BS23" s="535">
        <f t="shared" si="19"/>
        <v>0</v>
      </c>
      <c r="BT23" s="211">
        <f t="shared" si="20"/>
        <v>0</v>
      </c>
      <c r="BU23" s="572">
        <v>0</v>
      </c>
      <c r="BV23" s="535">
        <f t="shared" si="6"/>
        <v>0</v>
      </c>
      <c r="BX23" s="198">
        <v>0</v>
      </c>
      <c r="BY23" s="198">
        <v>0</v>
      </c>
      <c r="BZ23" s="198">
        <v>0</v>
      </c>
      <c r="CA23" s="535">
        <f t="shared" si="21"/>
        <v>0</v>
      </c>
      <c r="CB23" s="211">
        <f t="shared" si="22"/>
        <v>0</v>
      </c>
      <c r="CC23" s="572">
        <f>+'[3]14-15 $140M Workload Restore'!AP21</f>
        <v>0</v>
      </c>
      <c r="CD23" s="535">
        <f t="shared" si="7"/>
        <v>0</v>
      </c>
      <c r="CF23" s="211">
        <f t="shared" si="23"/>
        <v>0</v>
      </c>
      <c r="CG23" s="211">
        <f t="shared" si="8"/>
        <v>0</v>
      </c>
      <c r="CH23" s="211">
        <f t="shared" si="8"/>
        <v>0</v>
      </c>
      <c r="CI23" s="211">
        <f t="shared" si="24"/>
        <v>0</v>
      </c>
    </row>
    <row r="24" spans="1:87" ht="15.75" thickBot="1">
      <c r="A24" s="523" t="s">
        <v>125</v>
      </c>
      <c r="F24" s="211"/>
      <c r="G24" s="568"/>
      <c r="H24" s="39">
        <v>120479</v>
      </c>
      <c r="I24" s="39">
        <v>48739</v>
      </c>
      <c r="J24" s="569">
        <v>0</v>
      </c>
      <c r="K24" s="574">
        <v>169218</v>
      </c>
      <c r="L24" s="211">
        <v>0</v>
      </c>
      <c r="M24" s="211">
        <v>122291</v>
      </c>
      <c r="N24" s="583">
        <v>-25.3</v>
      </c>
      <c r="O24" s="583">
        <v>2.66</v>
      </c>
      <c r="P24" s="211">
        <f t="shared" si="30"/>
        <v>129531</v>
      </c>
      <c r="Q24" s="211">
        <f t="shared" si="25"/>
        <v>103500</v>
      </c>
      <c r="R24" s="535">
        <f t="shared" si="27"/>
        <v>129531</v>
      </c>
      <c r="S24" s="211">
        <v>0</v>
      </c>
      <c r="T24" s="535">
        <f t="shared" si="26"/>
        <v>129531</v>
      </c>
      <c r="V24" s="211">
        <v>0</v>
      </c>
      <c r="W24" s="211">
        <f>ROUND(P24*1.0453,0)</f>
        <v>135399</v>
      </c>
      <c r="X24" s="211">
        <v>280795</v>
      </c>
      <c r="Y24" s="211">
        <f>ROUND(280795*1.0453,0)</f>
        <v>293515</v>
      </c>
      <c r="Z24" s="535">
        <f t="shared" si="12"/>
        <v>428914</v>
      </c>
      <c r="AA24" s="211">
        <v>428914</v>
      </c>
      <c r="AB24" s="535">
        <f t="shared" si="13"/>
        <v>0</v>
      </c>
      <c r="AD24" s="211">
        <v>0</v>
      </c>
      <c r="AE24" s="211">
        <v>0</v>
      </c>
      <c r="AF24" s="211">
        <v>0</v>
      </c>
      <c r="AG24" s="211">
        <v>0</v>
      </c>
      <c r="AH24" s="535">
        <f t="shared" si="14"/>
        <v>0</v>
      </c>
      <c r="AI24" s="211">
        <v>0</v>
      </c>
      <c r="AJ24" s="535">
        <f t="shared" si="15"/>
        <v>0</v>
      </c>
      <c r="AL24" s="211">
        <v>0</v>
      </c>
      <c r="AM24" s="211">
        <v>0</v>
      </c>
      <c r="AN24" s="211">
        <v>0</v>
      </c>
      <c r="AO24" s="211">
        <v>0</v>
      </c>
      <c r="AP24" s="535">
        <f t="shared" si="16"/>
        <v>0</v>
      </c>
      <c r="AQ24" s="211">
        <v>0</v>
      </c>
      <c r="AR24" s="145">
        <f t="shared" si="28"/>
        <v>0</v>
      </c>
      <c r="AT24" s="211">
        <v>0</v>
      </c>
      <c r="AU24" s="211">
        <v>0</v>
      </c>
      <c r="AV24" s="211">
        <v>0</v>
      </c>
      <c r="AW24" s="211">
        <v>0</v>
      </c>
      <c r="AX24" s="535">
        <f t="shared" si="29"/>
        <v>0</v>
      </c>
      <c r="AY24" s="211">
        <v>0</v>
      </c>
      <c r="AZ24" s="535">
        <f t="shared" si="1"/>
        <v>0</v>
      </c>
      <c r="BB24" s="571">
        <v>0</v>
      </c>
      <c r="BC24" s="571">
        <v>0</v>
      </c>
      <c r="BD24" s="198">
        <v>0</v>
      </c>
      <c r="BE24" s="535">
        <f t="shared" si="2"/>
        <v>0</v>
      </c>
      <c r="BF24" s="571">
        <v>0</v>
      </c>
      <c r="BG24" s="535">
        <f t="shared" si="3"/>
        <v>0</v>
      </c>
      <c r="BI24" s="571">
        <v>0</v>
      </c>
      <c r="BJ24" s="571">
        <v>0</v>
      </c>
      <c r="BK24" s="198">
        <v>8176</v>
      </c>
      <c r="BL24" s="535">
        <f t="shared" si="4"/>
        <v>8176</v>
      </c>
      <c r="BM24" s="571">
        <v>0</v>
      </c>
      <c r="BN24" s="535">
        <f t="shared" si="5"/>
        <v>8176</v>
      </c>
      <c r="BP24" s="571">
        <v>0</v>
      </c>
      <c r="BQ24" s="198">
        <v>8176</v>
      </c>
      <c r="BR24" s="198">
        <v>819795</v>
      </c>
      <c r="BS24" s="535">
        <f t="shared" si="19"/>
        <v>827971</v>
      </c>
      <c r="BT24" s="211">
        <f t="shared" si="20"/>
        <v>840970</v>
      </c>
      <c r="BU24" s="572">
        <v>416007</v>
      </c>
      <c r="BV24" s="535">
        <f t="shared" si="6"/>
        <v>424963</v>
      </c>
      <c r="BX24" s="164">
        <v>0</v>
      </c>
      <c r="BY24" s="586">
        <f>+BV24</f>
        <v>424963</v>
      </c>
      <c r="BZ24" s="198">
        <v>0</v>
      </c>
      <c r="CA24" s="535">
        <f t="shared" si="21"/>
        <v>424963</v>
      </c>
      <c r="CB24" s="211">
        <f t="shared" si="22"/>
        <v>428575</v>
      </c>
      <c r="CC24" s="572">
        <f>+'[3]14-15 $140M Workload Restore'!AP22</f>
        <v>266716</v>
      </c>
      <c r="CD24" s="535">
        <f t="shared" si="7"/>
        <v>161859</v>
      </c>
      <c r="CF24" s="211">
        <f t="shared" si="23"/>
        <v>0</v>
      </c>
      <c r="CG24" s="211">
        <f t="shared" si="8"/>
        <v>428575</v>
      </c>
      <c r="CH24" s="211">
        <f t="shared" si="8"/>
        <v>0</v>
      </c>
      <c r="CI24" s="211">
        <f t="shared" si="24"/>
        <v>428575</v>
      </c>
    </row>
    <row r="25" spans="1:87" ht="15.75" thickBot="1">
      <c r="A25" s="523" t="s">
        <v>126</v>
      </c>
      <c r="F25" s="211"/>
      <c r="G25" s="568"/>
      <c r="H25" s="211"/>
      <c r="I25" s="211"/>
      <c r="J25" s="569">
        <f t="shared" si="9"/>
        <v>0</v>
      </c>
      <c r="K25" s="39">
        <v>2784994</v>
      </c>
      <c r="L25" s="211">
        <v>0</v>
      </c>
      <c r="M25" s="574">
        <v>2784994</v>
      </c>
      <c r="N25" s="583">
        <v>0</v>
      </c>
      <c r="O25" s="583">
        <v>0</v>
      </c>
      <c r="P25" s="211">
        <v>0</v>
      </c>
      <c r="Q25" s="211">
        <f t="shared" si="25"/>
        <v>0</v>
      </c>
      <c r="R25" s="535">
        <f t="shared" si="27"/>
        <v>0</v>
      </c>
      <c r="S25" s="211">
        <v>0</v>
      </c>
      <c r="T25" s="535">
        <f t="shared" si="26"/>
        <v>0</v>
      </c>
      <c r="V25" s="211">
        <v>0</v>
      </c>
      <c r="W25" s="211">
        <v>0</v>
      </c>
      <c r="X25" s="211">
        <v>819989</v>
      </c>
      <c r="Y25" s="211">
        <f>ROUND(819989*1.0453,0)</f>
        <v>857135</v>
      </c>
      <c r="Z25" s="535">
        <f t="shared" si="12"/>
        <v>857135</v>
      </c>
      <c r="AA25" s="211">
        <v>857135</v>
      </c>
      <c r="AB25" s="535">
        <f t="shared" si="13"/>
        <v>0</v>
      </c>
      <c r="AD25" s="211">
        <v>0</v>
      </c>
      <c r="AE25" s="211">
        <v>0</v>
      </c>
      <c r="AF25" s="211">
        <v>0</v>
      </c>
      <c r="AG25" s="211">
        <v>0</v>
      </c>
      <c r="AH25" s="535">
        <f t="shared" si="14"/>
        <v>0</v>
      </c>
      <c r="AI25" s="211">
        <v>0</v>
      </c>
      <c r="AJ25" s="535">
        <f t="shared" si="15"/>
        <v>0</v>
      </c>
      <c r="AL25" s="211">
        <v>0</v>
      </c>
      <c r="AM25" s="211">
        <v>0</v>
      </c>
      <c r="AN25" s="211">
        <v>0</v>
      </c>
      <c r="AO25" s="211">
        <v>0</v>
      </c>
      <c r="AP25" s="535">
        <f t="shared" si="16"/>
        <v>0</v>
      </c>
      <c r="AQ25" s="211">
        <v>0</v>
      </c>
      <c r="AR25" s="145">
        <f t="shared" si="28"/>
        <v>0</v>
      </c>
      <c r="AT25" s="211">
        <v>0</v>
      </c>
      <c r="AU25" s="211">
        <v>0</v>
      </c>
      <c r="AV25" s="211">
        <v>0</v>
      </c>
      <c r="AW25" s="211">
        <v>0</v>
      </c>
      <c r="AX25" s="535">
        <f t="shared" si="29"/>
        <v>0</v>
      </c>
      <c r="AY25" s="211">
        <v>0</v>
      </c>
      <c r="AZ25" s="535">
        <f t="shared" si="1"/>
        <v>0</v>
      </c>
      <c r="BB25" s="571">
        <v>0</v>
      </c>
      <c r="BC25" s="571">
        <v>0</v>
      </c>
      <c r="BD25" s="198">
        <v>6236294</v>
      </c>
      <c r="BE25" s="535">
        <f t="shared" si="2"/>
        <v>6236294</v>
      </c>
      <c r="BF25" s="571">
        <v>4986650</v>
      </c>
      <c r="BG25" s="535">
        <f t="shared" si="3"/>
        <v>1249644</v>
      </c>
      <c r="BI25" s="571">
        <v>0</v>
      </c>
      <c r="BJ25" s="571">
        <v>1249644</v>
      </c>
      <c r="BK25" s="198">
        <v>0</v>
      </c>
      <c r="BL25" s="535">
        <f t="shared" si="4"/>
        <v>1249644</v>
      </c>
      <c r="BM25" s="571">
        <v>0</v>
      </c>
      <c r="BN25" s="535">
        <f t="shared" si="5"/>
        <v>1249644</v>
      </c>
      <c r="BP25" s="571">
        <v>1249644</v>
      </c>
      <c r="BQ25" s="198">
        <v>0</v>
      </c>
      <c r="BR25" s="198">
        <v>7621190</v>
      </c>
      <c r="BS25" s="535">
        <f t="shared" si="19"/>
        <v>8870834</v>
      </c>
      <c r="BT25" s="211">
        <f t="shared" si="20"/>
        <v>9010106</v>
      </c>
      <c r="BU25" s="572">
        <v>0</v>
      </c>
      <c r="BV25" s="535">
        <f t="shared" si="6"/>
        <v>9010106</v>
      </c>
      <c r="BX25" s="198">
        <v>0</v>
      </c>
      <c r="BY25" s="164">
        <f>ROUND(BR25*(1.0157),0)</f>
        <v>7740843</v>
      </c>
      <c r="BZ25" s="198">
        <v>1676463</v>
      </c>
      <c r="CA25" s="535">
        <f t="shared" si="21"/>
        <v>9417306</v>
      </c>
      <c r="CB25" s="211">
        <f t="shared" si="22"/>
        <v>9497353</v>
      </c>
      <c r="CC25" s="572">
        <f>+'[3]14-15 $140M Workload Restore'!AP23</f>
        <v>0</v>
      </c>
      <c r="CD25" s="535">
        <f t="shared" si="7"/>
        <v>9497353</v>
      </c>
      <c r="CF25" s="211">
        <f t="shared" si="23"/>
        <v>0</v>
      </c>
      <c r="CG25" s="211">
        <f t="shared" si="8"/>
        <v>7806640</v>
      </c>
      <c r="CH25" s="211">
        <f t="shared" si="8"/>
        <v>1690713</v>
      </c>
      <c r="CI25" s="211">
        <f t="shared" si="24"/>
        <v>9497353</v>
      </c>
    </row>
    <row r="26" spans="1:87" ht="15">
      <c r="A26" s="523" t="s">
        <v>127</v>
      </c>
      <c r="F26" s="211"/>
      <c r="G26" s="568"/>
      <c r="H26" s="211"/>
      <c r="I26" s="211"/>
      <c r="J26" s="569">
        <f t="shared" si="9"/>
        <v>0</v>
      </c>
      <c r="K26" s="211"/>
      <c r="L26" s="211">
        <f t="shared" si="31"/>
        <v>0</v>
      </c>
      <c r="M26" s="211"/>
      <c r="N26" s="583">
        <v>0</v>
      </c>
      <c r="O26" s="583">
        <v>0</v>
      </c>
      <c r="P26" s="211">
        <f t="shared" si="30"/>
        <v>0</v>
      </c>
      <c r="Q26" s="211">
        <f t="shared" si="25"/>
        <v>0</v>
      </c>
      <c r="R26" s="535">
        <f t="shared" si="27"/>
        <v>0</v>
      </c>
      <c r="S26" s="211">
        <v>0</v>
      </c>
      <c r="T26" s="535">
        <f t="shared" si="26"/>
        <v>0</v>
      </c>
      <c r="V26" s="211">
        <v>0</v>
      </c>
      <c r="W26" s="211">
        <v>0</v>
      </c>
      <c r="X26" s="211">
        <v>0</v>
      </c>
      <c r="Y26" s="211">
        <v>0</v>
      </c>
      <c r="Z26" s="535">
        <f t="shared" si="12"/>
        <v>0</v>
      </c>
      <c r="AA26" s="211">
        <v>0</v>
      </c>
      <c r="AB26" s="535">
        <f t="shared" si="13"/>
        <v>0</v>
      </c>
      <c r="AD26" s="211">
        <v>0</v>
      </c>
      <c r="AE26" s="211">
        <v>0</v>
      </c>
      <c r="AF26" s="211">
        <v>0</v>
      </c>
      <c r="AG26" s="211">
        <v>0</v>
      </c>
      <c r="AH26" s="535">
        <f t="shared" si="14"/>
        <v>0</v>
      </c>
      <c r="AI26" s="211">
        <v>0</v>
      </c>
      <c r="AJ26" s="535">
        <f t="shared" si="15"/>
        <v>0</v>
      </c>
      <c r="AL26" s="211">
        <v>0</v>
      </c>
      <c r="AM26" s="211">
        <v>0</v>
      </c>
      <c r="AN26" s="211">
        <v>0</v>
      </c>
      <c r="AO26" s="211">
        <v>0</v>
      </c>
      <c r="AP26" s="535">
        <f t="shared" si="16"/>
        <v>0</v>
      </c>
      <c r="AQ26" s="211">
        <v>0</v>
      </c>
      <c r="AR26" s="145">
        <f t="shared" si="28"/>
        <v>0</v>
      </c>
      <c r="AT26" s="211">
        <v>0</v>
      </c>
      <c r="AU26" s="211">
        <v>0</v>
      </c>
      <c r="AV26" s="211">
        <v>0</v>
      </c>
      <c r="AW26" s="211">
        <v>0</v>
      </c>
      <c r="AX26" s="535">
        <f t="shared" si="29"/>
        <v>0</v>
      </c>
      <c r="AY26" s="211">
        <v>0</v>
      </c>
      <c r="AZ26" s="535">
        <f t="shared" si="1"/>
        <v>0</v>
      </c>
      <c r="BB26" s="571">
        <v>0</v>
      </c>
      <c r="BC26" s="571">
        <v>0</v>
      </c>
      <c r="BD26" s="198">
        <v>0</v>
      </c>
      <c r="BE26" s="535">
        <f t="shared" si="2"/>
        <v>0</v>
      </c>
      <c r="BF26" s="571">
        <v>0</v>
      </c>
      <c r="BG26" s="535">
        <f t="shared" si="3"/>
        <v>0</v>
      </c>
      <c r="BI26" s="571">
        <v>0</v>
      </c>
      <c r="BJ26" s="571">
        <v>0</v>
      </c>
      <c r="BK26" s="198">
        <v>0</v>
      </c>
      <c r="BL26" s="535">
        <f t="shared" si="4"/>
        <v>0</v>
      </c>
      <c r="BM26" s="571">
        <v>0</v>
      </c>
      <c r="BN26" s="535">
        <f t="shared" si="5"/>
        <v>0</v>
      </c>
      <c r="BP26" s="571">
        <v>0</v>
      </c>
      <c r="BQ26" s="198">
        <v>0</v>
      </c>
      <c r="BR26" s="198">
        <v>0</v>
      </c>
      <c r="BS26" s="535">
        <f t="shared" si="19"/>
        <v>0</v>
      </c>
      <c r="BT26" s="211">
        <f t="shared" si="20"/>
        <v>0</v>
      </c>
      <c r="BU26" s="572">
        <v>0</v>
      </c>
      <c r="BV26" s="535">
        <f t="shared" si="6"/>
        <v>0</v>
      </c>
      <c r="BX26" s="198">
        <v>0</v>
      </c>
      <c r="BY26" s="198">
        <v>0</v>
      </c>
      <c r="BZ26" s="198">
        <v>0</v>
      </c>
      <c r="CA26" s="535">
        <f t="shared" si="21"/>
        <v>0</v>
      </c>
      <c r="CB26" s="211">
        <f t="shared" si="22"/>
        <v>0</v>
      </c>
      <c r="CC26" s="572">
        <f>+'[3]14-15 $140M Workload Restore'!AP24</f>
        <v>0</v>
      </c>
      <c r="CD26" s="535">
        <f t="shared" si="7"/>
        <v>0</v>
      </c>
      <c r="CF26" s="211">
        <f t="shared" si="23"/>
        <v>0</v>
      </c>
      <c r="CG26" s="211">
        <f t="shared" si="8"/>
        <v>0</v>
      </c>
      <c r="CH26" s="211">
        <f t="shared" si="8"/>
        <v>0</v>
      </c>
      <c r="CI26" s="211">
        <f t="shared" si="24"/>
        <v>0</v>
      </c>
    </row>
    <row r="27" spans="1:87" ht="15">
      <c r="A27" s="523" t="s">
        <v>128</v>
      </c>
      <c r="F27" s="211"/>
      <c r="G27" s="568"/>
      <c r="H27" s="211"/>
      <c r="I27" s="211"/>
      <c r="J27" s="569">
        <f t="shared" si="9"/>
        <v>0</v>
      </c>
      <c r="K27" s="211"/>
      <c r="L27" s="211">
        <f t="shared" si="31"/>
        <v>0</v>
      </c>
      <c r="M27" s="211"/>
      <c r="N27" s="583">
        <v>0</v>
      </c>
      <c r="O27" s="583">
        <v>0</v>
      </c>
      <c r="P27" s="211">
        <f t="shared" si="30"/>
        <v>0</v>
      </c>
      <c r="Q27" s="211">
        <f t="shared" si="25"/>
        <v>0</v>
      </c>
      <c r="R27" s="535">
        <f t="shared" si="27"/>
        <v>0</v>
      </c>
      <c r="S27" s="211">
        <v>0</v>
      </c>
      <c r="T27" s="535">
        <f t="shared" si="26"/>
        <v>0</v>
      </c>
      <c r="V27" s="211">
        <v>0</v>
      </c>
      <c r="W27" s="211">
        <v>0</v>
      </c>
      <c r="X27" s="211">
        <v>5450365</v>
      </c>
      <c r="Y27" s="211">
        <f>ROUND(5450365*1.0453,0)</f>
        <v>5697267</v>
      </c>
      <c r="Z27" s="535">
        <f t="shared" si="12"/>
        <v>5697267</v>
      </c>
      <c r="AA27" s="211">
        <v>5697267</v>
      </c>
      <c r="AB27" s="535">
        <f t="shared" si="13"/>
        <v>0</v>
      </c>
      <c r="AD27" s="211">
        <v>0</v>
      </c>
      <c r="AE27" s="211">
        <v>0</v>
      </c>
      <c r="AF27" s="211">
        <v>0</v>
      </c>
      <c r="AG27" s="211">
        <v>0</v>
      </c>
      <c r="AH27" s="535">
        <f t="shared" si="14"/>
        <v>0</v>
      </c>
      <c r="AI27" s="211">
        <v>0</v>
      </c>
      <c r="AJ27" s="535">
        <f t="shared" si="15"/>
        <v>0</v>
      </c>
      <c r="AL27" s="211">
        <v>0</v>
      </c>
      <c r="AM27" s="211">
        <v>0</v>
      </c>
      <c r="AN27" s="211">
        <v>0</v>
      </c>
      <c r="AO27" s="211">
        <v>0</v>
      </c>
      <c r="AP27" s="535">
        <f t="shared" si="16"/>
        <v>0</v>
      </c>
      <c r="AQ27" s="211">
        <v>0</v>
      </c>
      <c r="AR27" s="145">
        <f t="shared" si="28"/>
        <v>0</v>
      </c>
      <c r="AT27" s="211">
        <v>0</v>
      </c>
      <c r="AU27" s="211">
        <v>0</v>
      </c>
      <c r="AV27" s="211">
        <v>0</v>
      </c>
      <c r="AW27" s="211">
        <v>0</v>
      </c>
      <c r="AX27" s="535">
        <f t="shared" si="29"/>
        <v>0</v>
      </c>
      <c r="AY27" s="211">
        <v>0</v>
      </c>
      <c r="AZ27" s="535">
        <f t="shared" si="1"/>
        <v>0</v>
      </c>
      <c r="BB27" s="571">
        <v>0</v>
      </c>
      <c r="BC27" s="571">
        <v>0</v>
      </c>
      <c r="BD27" s="198">
        <v>0</v>
      </c>
      <c r="BE27" s="535">
        <f t="shared" si="2"/>
        <v>0</v>
      </c>
      <c r="BF27" s="571">
        <v>0</v>
      </c>
      <c r="BG27" s="535">
        <f t="shared" si="3"/>
        <v>0</v>
      </c>
      <c r="BI27" s="571">
        <v>0</v>
      </c>
      <c r="BJ27" s="571">
        <v>0</v>
      </c>
      <c r="BK27" s="198">
        <v>0</v>
      </c>
      <c r="BL27" s="535">
        <f t="shared" si="4"/>
        <v>0</v>
      </c>
      <c r="BM27" s="571">
        <v>0</v>
      </c>
      <c r="BN27" s="535">
        <f t="shared" si="5"/>
        <v>0</v>
      </c>
      <c r="BP27" s="571">
        <v>0</v>
      </c>
      <c r="BQ27" s="198">
        <v>0</v>
      </c>
      <c r="BR27" s="198">
        <v>0</v>
      </c>
      <c r="BS27" s="535">
        <f t="shared" si="19"/>
        <v>0</v>
      </c>
      <c r="BT27" s="211">
        <f t="shared" si="20"/>
        <v>0</v>
      </c>
      <c r="BU27" s="572">
        <v>0</v>
      </c>
      <c r="BV27" s="535">
        <f t="shared" si="6"/>
        <v>0</v>
      </c>
      <c r="BX27" s="198">
        <v>0</v>
      </c>
      <c r="BY27" s="198">
        <v>0</v>
      </c>
      <c r="BZ27" s="198">
        <v>0</v>
      </c>
      <c r="CA27" s="535">
        <f t="shared" si="21"/>
        <v>0</v>
      </c>
      <c r="CB27" s="211">
        <f t="shared" si="22"/>
        <v>0</v>
      </c>
      <c r="CC27" s="572">
        <f>+'[3]14-15 $140M Workload Restore'!AP25</f>
        <v>0</v>
      </c>
      <c r="CD27" s="535">
        <f t="shared" si="7"/>
        <v>0</v>
      </c>
      <c r="CF27" s="211">
        <f t="shared" si="23"/>
        <v>0</v>
      </c>
      <c r="CG27" s="211">
        <f t="shared" si="8"/>
        <v>0</v>
      </c>
      <c r="CH27" s="211">
        <f t="shared" si="8"/>
        <v>0</v>
      </c>
      <c r="CI27" s="211">
        <f t="shared" si="24"/>
        <v>0</v>
      </c>
    </row>
    <row r="28" spans="1:87" ht="15">
      <c r="A28" s="523" t="s">
        <v>129</v>
      </c>
      <c r="F28" s="211"/>
      <c r="G28" s="568"/>
      <c r="H28" s="211"/>
      <c r="I28" s="211"/>
      <c r="J28" s="569">
        <f t="shared" si="9"/>
        <v>0</v>
      </c>
      <c r="K28" s="211"/>
      <c r="L28" s="211">
        <f t="shared" si="31"/>
        <v>0</v>
      </c>
      <c r="M28" s="211">
        <v>3140141</v>
      </c>
      <c r="N28" s="583">
        <v>-729.44</v>
      </c>
      <c r="O28" s="583">
        <v>-223.79</v>
      </c>
      <c r="P28" s="211">
        <f t="shared" si="30"/>
        <v>3326037</v>
      </c>
      <c r="Q28" s="39">
        <f t="shared" si="25"/>
        <v>3773137</v>
      </c>
      <c r="R28" s="535">
        <f t="shared" si="27"/>
        <v>3773137</v>
      </c>
      <c r="S28" s="211">
        <v>3773137</v>
      </c>
      <c r="T28" s="535">
        <f t="shared" si="26"/>
        <v>0</v>
      </c>
      <c r="V28" s="211">
        <v>0</v>
      </c>
      <c r="W28" s="211">
        <v>0</v>
      </c>
      <c r="X28" s="211">
        <v>0</v>
      </c>
      <c r="Y28" s="211">
        <v>0</v>
      </c>
      <c r="Z28" s="535">
        <f t="shared" si="12"/>
        <v>0</v>
      </c>
      <c r="AA28" s="211">
        <v>0</v>
      </c>
      <c r="AB28" s="535">
        <f t="shared" si="13"/>
        <v>0</v>
      </c>
      <c r="AD28" s="211">
        <v>0</v>
      </c>
      <c r="AE28" s="211">
        <v>0</v>
      </c>
      <c r="AF28" s="211">
        <v>0</v>
      </c>
      <c r="AG28" s="211">
        <v>0</v>
      </c>
      <c r="AH28" s="535">
        <f t="shared" si="14"/>
        <v>0</v>
      </c>
      <c r="AI28" s="211">
        <v>0</v>
      </c>
      <c r="AJ28" s="535">
        <f t="shared" si="15"/>
        <v>0</v>
      </c>
      <c r="AL28" s="211">
        <v>0</v>
      </c>
      <c r="AM28" s="211">
        <v>0</v>
      </c>
      <c r="AN28" s="211">
        <v>0</v>
      </c>
      <c r="AO28" s="211">
        <v>0</v>
      </c>
      <c r="AP28" s="535">
        <f t="shared" si="16"/>
        <v>0</v>
      </c>
      <c r="AQ28" s="211">
        <v>0</v>
      </c>
      <c r="AR28" s="145">
        <f t="shared" si="28"/>
        <v>0</v>
      </c>
      <c r="AT28" s="211">
        <v>0</v>
      </c>
      <c r="AU28" s="211">
        <v>0</v>
      </c>
      <c r="AV28" s="211">
        <v>0</v>
      </c>
      <c r="AW28" s="211">
        <v>0</v>
      </c>
      <c r="AX28" s="535">
        <f t="shared" si="29"/>
        <v>0</v>
      </c>
      <c r="AY28" s="211">
        <v>0</v>
      </c>
      <c r="AZ28" s="535">
        <f t="shared" si="1"/>
        <v>0</v>
      </c>
      <c r="BB28" s="571">
        <v>0</v>
      </c>
      <c r="BC28" s="571">
        <v>0</v>
      </c>
      <c r="BD28" s="198">
        <v>0</v>
      </c>
      <c r="BE28" s="535">
        <f t="shared" si="2"/>
        <v>0</v>
      </c>
      <c r="BF28" s="571">
        <v>0</v>
      </c>
      <c r="BG28" s="535">
        <f t="shared" si="3"/>
        <v>0</v>
      </c>
      <c r="BI28" s="571">
        <v>0</v>
      </c>
      <c r="BJ28" s="571">
        <v>0</v>
      </c>
      <c r="BK28" s="198">
        <v>0</v>
      </c>
      <c r="BL28" s="535">
        <f t="shared" si="4"/>
        <v>0</v>
      </c>
      <c r="BM28" s="571">
        <v>0</v>
      </c>
      <c r="BN28" s="535">
        <f t="shared" si="5"/>
        <v>0</v>
      </c>
      <c r="BP28" s="571">
        <v>0</v>
      </c>
      <c r="BQ28" s="198">
        <v>0</v>
      </c>
      <c r="BR28" s="198">
        <v>0</v>
      </c>
      <c r="BS28" s="535">
        <f t="shared" si="19"/>
        <v>0</v>
      </c>
      <c r="BT28" s="211">
        <f t="shared" si="20"/>
        <v>0</v>
      </c>
      <c r="BU28" s="572">
        <v>0</v>
      </c>
      <c r="BV28" s="535">
        <f t="shared" si="6"/>
        <v>0</v>
      </c>
      <c r="BX28" s="198">
        <v>0</v>
      </c>
      <c r="BY28" s="198">
        <v>0</v>
      </c>
      <c r="BZ28" s="198">
        <v>0</v>
      </c>
      <c r="CA28" s="535">
        <f t="shared" si="21"/>
        <v>0</v>
      </c>
      <c r="CB28" s="211">
        <f t="shared" si="22"/>
        <v>0</v>
      </c>
      <c r="CC28" s="572">
        <f>+'[3]14-15 $140M Workload Restore'!AP26</f>
        <v>0</v>
      </c>
      <c r="CD28" s="535">
        <f t="shared" si="7"/>
        <v>0</v>
      </c>
      <c r="CF28" s="211">
        <f t="shared" si="23"/>
        <v>0</v>
      </c>
      <c r="CG28" s="211">
        <f t="shared" si="8"/>
        <v>0</v>
      </c>
      <c r="CH28" s="211">
        <f t="shared" si="8"/>
        <v>0</v>
      </c>
      <c r="CI28" s="211">
        <f t="shared" si="24"/>
        <v>0</v>
      </c>
    </row>
    <row r="29" spans="1:87" ht="15.75" thickBot="1">
      <c r="A29" s="523" t="s">
        <v>130</v>
      </c>
      <c r="F29" s="211"/>
      <c r="G29" s="568"/>
      <c r="H29" s="211"/>
      <c r="I29" s="211"/>
      <c r="J29" s="569">
        <f t="shared" si="9"/>
        <v>0</v>
      </c>
      <c r="K29" s="211">
        <v>1623421</v>
      </c>
      <c r="L29" s="211">
        <f>ROUND(K29,0)</f>
        <v>1623421</v>
      </c>
      <c r="M29" s="211">
        <v>1853244</v>
      </c>
      <c r="N29" s="583">
        <v>-512.76</v>
      </c>
      <c r="O29" s="583">
        <v>2.72</v>
      </c>
      <c r="P29" s="211">
        <f t="shared" si="30"/>
        <v>1962956</v>
      </c>
      <c r="Q29" s="39">
        <f t="shared" si="25"/>
        <v>2232080</v>
      </c>
      <c r="R29" s="535">
        <f t="shared" si="27"/>
        <v>3855501</v>
      </c>
      <c r="S29" s="211">
        <v>2247234</v>
      </c>
      <c r="T29" s="535">
        <f t="shared" si="26"/>
        <v>1608267</v>
      </c>
      <c r="V29" s="211">
        <v>0</v>
      </c>
      <c r="W29" s="211">
        <f>ROUND((Q29+L29-S29)*1.0453,0)</f>
        <v>1681121</v>
      </c>
      <c r="X29" s="211">
        <v>0</v>
      </c>
      <c r="Y29" s="211">
        <v>0</v>
      </c>
      <c r="Z29" s="535">
        <f t="shared" si="12"/>
        <v>1681121</v>
      </c>
      <c r="AA29" s="211">
        <v>385474</v>
      </c>
      <c r="AB29" s="535">
        <f t="shared" si="13"/>
        <v>1295647</v>
      </c>
      <c r="AD29" s="211">
        <f>W29-AA29+1</f>
        <v>1295648</v>
      </c>
      <c r="AE29" s="211">
        <v>0</v>
      </c>
      <c r="AF29" s="211">
        <v>0</v>
      </c>
      <c r="AG29" s="211">
        <v>0</v>
      </c>
      <c r="AH29" s="535">
        <f t="shared" si="14"/>
        <v>1295648</v>
      </c>
      <c r="AI29" s="211">
        <v>1742097</v>
      </c>
      <c r="AJ29" s="535">
        <f t="shared" si="15"/>
        <v>0</v>
      </c>
      <c r="AL29" s="211">
        <v>0</v>
      </c>
      <c r="AM29" s="211">
        <v>0</v>
      </c>
      <c r="AN29" s="211">
        <v>0</v>
      </c>
      <c r="AO29" s="211">
        <v>0</v>
      </c>
      <c r="AP29" s="535">
        <f t="shared" si="16"/>
        <v>0</v>
      </c>
      <c r="AQ29" s="211">
        <v>0</v>
      </c>
      <c r="AR29" s="145">
        <f t="shared" si="28"/>
        <v>0</v>
      </c>
      <c r="AT29" s="211">
        <v>0</v>
      </c>
      <c r="AU29" s="211">
        <v>0</v>
      </c>
      <c r="AV29" s="211">
        <v>0</v>
      </c>
      <c r="AW29" s="211">
        <v>0</v>
      </c>
      <c r="AX29" s="535">
        <f t="shared" si="29"/>
        <v>0</v>
      </c>
      <c r="AY29" s="211">
        <v>0</v>
      </c>
      <c r="AZ29" s="535">
        <f t="shared" si="1"/>
        <v>0</v>
      </c>
      <c r="BB29" s="571">
        <v>0</v>
      </c>
      <c r="BC29" s="571">
        <v>0</v>
      </c>
      <c r="BD29" s="198">
        <v>0</v>
      </c>
      <c r="BE29" s="535">
        <f t="shared" si="2"/>
        <v>0</v>
      </c>
      <c r="BF29" s="571">
        <v>0</v>
      </c>
      <c r="BG29" s="535">
        <f t="shared" si="3"/>
        <v>0</v>
      </c>
      <c r="BI29" s="571">
        <v>0</v>
      </c>
      <c r="BJ29" s="571">
        <v>0</v>
      </c>
      <c r="BK29" s="198">
        <v>0</v>
      </c>
      <c r="BL29" s="535">
        <f t="shared" si="4"/>
        <v>0</v>
      </c>
      <c r="BM29" s="571">
        <v>0</v>
      </c>
      <c r="BN29" s="535">
        <f t="shared" si="5"/>
        <v>0</v>
      </c>
      <c r="BP29" s="571">
        <v>0</v>
      </c>
      <c r="BQ29" s="198">
        <v>0</v>
      </c>
      <c r="BR29" s="198">
        <v>0</v>
      </c>
      <c r="BS29" s="535">
        <f t="shared" si="19"/>
        <v>0</v>
      </c>
      <c r="BT29" s="211">
        <f t="shared" si="20"/>
        <v>0</v>
      </c>
      <c r="BU29" s="572">
        <v>0</v>
      </c>
      <c r="BV29" s="535">
        <f t="shared" si="6"/>
        <v>0</v>
      </c>
      <c r="BX29" s="198">
        <v>0</v>
      </c>
      <c r="BY29" s="198">
        <v>0</v>
      </c>
      <c r="BZ29" s="198">
        <v>0</v>
      </c>
      <c r="CA29" s="535">
        <f t="shared" si="21"/>
        <v>0</v>
      </c>
      <c r="CB29" s="211">
        <f t="shared" si="22"/>
        <v>0</v>
      </c>
      <c r="CC29" s="572">
        <f>+'[3]14-15 $140M Workload Restore'!AP27</f>
        <v>0</v>
      </c>
      <c r="CD29" s="535">
        <f t="shared" si="7"/>
        <v>0</v>
      </c>
      <c r="CF29" s="211">
        <f t="shared" si="23"/>
        <v>0</v>
      </c>
      <c r="CG29" s="211">
        <f t="shared" si="8"/>
        <v>0</v>
      </c>
      <c r="CH29" s="211">
        <f t="shared" si="8"/>
        <v>0</v>
      </c>
      <c r="CI29" s="211">
        <f t="shared" si="24"/>
        <v>0</v>
      </c>
    </row>
    <row r="30" spans="1:87" ht="15.75" thickBot="1">
      <c r="A30" s="523" t="s">
        <v>131</v>
      </c>
      <c r="F30" s="584">
        <v>225766</v>
      </c>
      <c r="G30" s="585"/>
      <c r="H30" s="211"/>
      <c r="I30" s="211"/>
      <c r="J30" s="569">
        <f t="shared" si="9"/>
        <v>0</v>
      </c>
      <c r="K30" s="211"/>
      <c r="L30" s="211">
        <f>ROUND(K30,0)</f>
        <v>0</v>
      </c>
      <c r="M30" s="211"/>
      <c r="N30" s="583">
        <v>0</v>
      </c>
      <c r="O30" s="583">
        <v>0</v>
      </c>
      <c r="P30" s="211">
        <f t="shared" si="30"/>
        <v>0</v>
      </c>
      <c r="Q30" s="211">
        <f t="shared" si="25"/>
        <v>0</v>
      </c>
      <c r="R30" s="535">
        <f t="shared" si="27"/>
        <v>0</v>
      </c>
      <c r="S30" s="211">
        <v>0</v>
      </c>
      <c r="T30" s="535">
        <f t="shared" si="26"/>
        <v>0</v>
      </c>
      <c r="V30" s="211">
        <v>0</v>
      </c>
      <c r="W30" s="211">
        <v>0</v>
      </c>
      <c r="X30" s="211">
        <v>0</v>
      </c>
      <c r="Y30" s="211">
        <v>0</v>
      </c>
      <c r="Z30" s="535">
        <f t="shared" si="12"/>
        <v>0</v>
      </c>
      <c r="AA30" s="211">
        <v>0</v>
      </c>
      <c r="AB30" s="535">
        <f t="shared" si="13"/>
        <v>0</v>
      </c>
      <c r="AD30" s="211">
        <v>0</v>
      </c>
      <c r="AE30" s="211">
        <v>0</v>
      </c>
      <c r="AF30" s="211">
        <v>0</v>
      </c>
      <c r="AG30" s="211">
        <v>0</v>
      </c>
      <c r="AH30" s="535">
        <f t="shared" si="14"/>
        <v>0</v>
      </c>
      <c r="AI30" s="211">
        <v>0</v>
      </c>
      <c r="AJ30" s="535">
        <f t="shared" si="15"/>
        <v>0</v>
      </c>
      <c r="AL30" s="211">
        <v>0</v>
      </c>
      <c r="AM30" s="211">
        <v>0</v>
      </c>
      <c r="AN30" s="211">
        <v>0</v>
      </c>
      <c r="AO30" s="211">
        <v>0</v>
      </c>
      <c r="AP30" s="535">
        <f t="shared" si="16"/>
        <v>0</v>
      </c>
      <c r="AQ30" s="211">
        <v>0</v>
      </c>
      <c r="AR30" s="145">
        <f t="shared" si="28"/>
        <v>0</v>
      </c>
      <c r="AT30" s="211">
        <v>0</v>
      </c>
      <c r="AU30" s="211">
        <v>0</v>
      </c>
      <c r="AV30" s="211">
        <v>0</v>
      </c>
      <c r="AW30" s="211">
        <v>0</v>
      </c>
      <c r="AX30" s="535">
        <f t="shared" si="29"/>
        <v>0</v>
      </c>
      <c r="AY30" s="211">
        <v>0</v>
      </c>
      <c r="AZ30" s="535">
        <f t="shared" si="1"/>
        <v>0</v>
      </c>
      <c r="BB30" s="571">
        <v>0</v>
      </c>
      <c r="BC30" s="571">
        <v>0</v>
      </c>
      <c r="BD30" s="198">
        <v>0</v>
      </c>
      <c r="BE30" s="535">
        <f t="shared" si="2"/>
        <v>0</v>
      </c>
      <c r="BF30" s="571">
        <v>0</v>
      </c>
      <c r="BG30" s="535">
        <f t="shared" si="3"/>
        <v>0</v>
      </c>
      <c r="BI30" s="571">
        <v>0</v>
      </c>
      <c r="BJ30" s="571">
        <v>0</v>
      </c>
      <c r="BK30" s="198">
        <v>2001759</v>
      </c>
      <c r="BL30" s="535">
        <f t="shared" si="4"/>
        <v>2001759</v>
      </c>
      <c r="BM30" s="571">
        <v>0</v>
      </c>
      <c r="BN30" s="535">
        <f t="shared" si="5"/>
        <v>2001759</v>
      </c>
      <c r="BP30" s="571">
        <v>0</v>
      </c>
      <c r="BQ30" s="198">
        <v>2001759</v>
      </c>
      <c r="BR30" s="198">
        <v>292208</v>
      </c>
      <c r="BS30" s="535">
        <f t="shared" si="19"/>
        <v>2293967</v>
      </c>
      <c r="BT30" s="211">
        <f t="shared" si="20"/>
        <v>2329982</v>
      </c>
      <c r="BU30" s="572">
        <v>2329982</v>
      </c>
      <c r="BV30" s="535">
        <f t="shared" si="6"/>
        <v>0</v>
      </c>
      <c r="BX30" s="164">
        <v>0</v>
      </c>
      <c r="BY30" s="164">
        <v>0</v>
      </c>
      <c r="BZ30" s="198">
        <v>0</v>
      </c>
      <c r="CA30" s="535">
        <f t="shared" si="21"/>
        <v>0</v>
      </c>
      <c r="CB30" s="211">
        <f t="shared" si="22"/>
        <v>0</v>
      </c>
      <c r="CC30" s="572">
        <f>+'[3]14-15 $140M Workload Restore'!AP28</f>
        <v>0</v>
      </c>
      <c r="CD30" s="535">
        <f t="shared" si="7"/>
        <v>0</v>
      </c>
      <c r="CF30" s="211">
        <f t="shared" si="23"/>
        <v>0</v>
      </c>
      <c r="CG30" s="211">
        <f t="shared" si="8"/>
        <v>0</v>
      </c>
      <c r="CH30" s="211">
        <f t="shared" si="8"/>
        <v>0</v>
      </c>
      <c r="CI30" s="211">
        <f t="shared" si="24"/>
        <v>0</v>
      </c>
    </row>
    <row r="31" spans="1:87" ht="15.75" thickBot="1">
      <c r="A31" s="523" t="s">
        <v>132</v>
      </c>
      <c r="F31" s="211"/>
      <c r="G31" s="568"/>
      <c r="H31" s="211"/>
      <c r="I31" s="211"/>
      <c r="J31" s="569">
        <f t="shared" si="9"/>
        <v>0</v>
      </c>
      <c r="K31" s="211"/>
      <c r="L31" s="211">
        <f>ROUND(K31,0)</f>
        <v>0</v>
      </c>
      <c r="M31" s="211">
        <v>4268818</v>
      </c>
      <c r="N31" s="583">
        <v>-1195.24</v>
      </c>
      <c r="O31" s="583">
        <v>60.09</v>
      </c>
      <c r="P31" s="211">
        <f t="shared" si="30"/>
        <v>4521532</v>
      </c>
      <c r="Q31" s="39">
        <f t="shared" si="25"/>
        <v>5061817</v>
      </c>
      <c r="R31" s="535">
        <f t="shared" si="27"/>
        <v>5061817</v>
      </c>
      <c r="S31" s="211">
        <v>2896714</v>
      </c>
      <c r="T31" s="535">
        <f t="shared" si="26"/>
        <v>2165103</v>
      </c>
      <c r="V31" s="211">
        <v>0</v>
      </c>
      <c r="W31" s="211">
        <f>ROUND((R31-S31)*1.0453,0)</f>
        <v>2263182</v>
      </c>
      <c r="X31" s="211">
        <v>0</v>
      </c>
      <c r="Y31" s="211">
        <v>0</v>
      </c>
      <c r="Z31" s="535">
        <f t="shared" si="12"/>
        <v>2263182</v>
      </c>
      <c r="AA31" s="211">
        <v>2263182</v>
      </c>
      <c r="AB31" s="535">
        <f t="shared" si="13"/>
        <v>0</v>
      </c>
      <c r="AD31" s="211">
        <v>0</v>
      </c>
      <c r="AE31" s="211">
        <v>0</v>
      </c>
      <c r="AF31" s="211">
        <v>0</v>
      </c>
      <c r="AG31" s="211">
        <v>0</v>
      </c>
      <c r="AH31" s="535">
        <f t="shared" si="14"/>
        <v>0</v>
      </c>
      <c r="AI31" s="211">
        <v>0</v>
      </c>
      <c r="AJ31" s="535">
        <f t="shared" si="15"/>
        <v>0</v>
      </c>
      <c r="AL31" s="211">
        <v>0</v>
      </c>
      <c r="AM31" s="211">
        <v>0</v>
      </c>
      <c r="AN31" s="211">
        <v>0</v>
      </c>
      <c r="AO31" s="211">
        <v>0</v>
      </c>
      <c r="AP31" s="535">
        <f t="shared" si="16"/>
        <v>0</v>
      </c>
      <c r="AQ31" s="211">
        <v>0</v>
      </c>
      <c r="AR31" s="145">
        <f t="shared" si="28"/>
        <v>0</v>
      </c>
      <c r="AT31" s="211">
        <v>0</v>
      </c>
      <c r="AU31" s="211">
        <v>0</v>
      </c>
      <c r="AV31" s="211">
        <v>0</v>
      </c>
      <c r="AW31" s="211">
        <v>0</v>
      </c>
      <c r="AX31" s="535">
        <f t="shared" si="29"/>
        <v>0</v>
      </c>
      <c r="AY31" s="211">
        <v>0</v>
      </c>
      <c r="AZ31" s="535">
        <f t="shared" si="1"/>
        <v>0</v>
      </c>
      <c r="BB31" s="571">
        <v>0</v>
      </c>
      <c r="BC31" s="571">
        <v>0</v>
      </c>
      <c r="BD31" s="198">
        <v>0</v>
      </c>
      <c r="BE31" s="535">
        <f t="shared" si="2"/>
        <v>0</v>
      </c>
      <c r="BF31" s="571">
        <v>0</v>
      </c>
      <c r="BG31" s="535">
        <f t="shared" si="3"/>
        <v>0</v>
      </c>
      <c r="BI31" s="571">
        <v>0</v>
      </c>
      <c r="BJ31" s="571">
        <v>0</v>
      </c>
      <c r="BK31" s="198">
        <v>0</v>
      </c>
      <c r="BL31" s="535">
        <f t="shared" si="4"/>
        <v>0</v>
      </c>
      <c r="BM31" s="571">
        <v>0</v>
      </c>
      <c r="BN31" s="535">
        <f t="shared" si="5"/>
        <v>0</v>
      </c>
      <c r="BP31" s="571">
        <v>0</v>
      </c>
      <c r="BQ31" s="198">
        <v>0</v>
      </c>
      <c r="BR31" s="198">
        <v>0</v>
      </c>
      <c r="BS31" s="535">
        <f t="shared" si="19"/>
        <v>0</v>
      </c>
      <c r="BT31" s="211">
        <f t="shared" si="20"/>
        <v>0</v>
      </c>
      <c r="BU31" s="572">
        <v>0</v>
      </c>
      <c r="BV31" s="535">
        <f t="shared" si="6"/>
        <v>0</v>
      </c>
      <c r="BX31" s="198">
        <v>0</v>
      </c>
      <c r="BY31" s="198">
        <v>0</v>
      </c>
      <c r="BZ31" s="198">
        <v>0</v>
      </c>
      <c r="CA31" s="535">
        <f t="shared" si="21"/>
        <v>0</v>
      </c>
      <c r="CB31" s="211">
        <f t="shared" si="22"/>
        <v>0</v>
      </c>
      <c r="CC31" s="572">
        <f>+'[3]14-15 $140M Workload Restore'!AP29</f>
        <v>0</v>
      </c>
      <c r="CD31" s="535">
        <f t="shared" si="7"/>
        <v>0</v>
      </c>
      <c r="CF31" s="211">
        <f t="shared" si="23"/>
        <v>0</v>
      </c>
      <c r="CG31" s="211">
        <f t="shared" si="8"/>
        <v>0</v>
      </c>
      <c r="CH31" s="211">
        <f t="shared" si="8"/>
        <v>0</v>
      </c>
      <c r="CI31" s="211">
        <f t="shared" si="24"/>
        <v>0</v>
      </c>
    </row>
    <row r="32" spans="1:87" ht="15.75" thickBot="1">
      <c r="A32" s="523" t="s">
        <v>133</v>
      </c>
      <c r="F32" s="584">
        <v>24775</v>
      </c>
      <c r="G32" s="585"/>
      <c r="H32" s="211"/>
      <c r="I32" s="211">
        <v>138108</v>
      </c>
      <c r="J32" s="569">
        <f>ROUND(I32,0)</f>
        <v>138108</v>
      </c>
      <c r="K32" s="211">
        <v>275373</v>
      </c>
      <c r="L32" s="211">
        <f t="shared" ref="L32:L79" si="32">ROUND(K32,0)</f>
        <v>275373</v>
      </c>
      <c r="M32" s="211">
        <v>403990</v>
      </c>
      <c r="N32" s="583">
        <v>-84.39</v>
      </c>
      <c r="O32" s="583">
        <v>-31.67</v>
      </c>
      <c r="P32" s="211">
        <f t="shared" si="30"/>
        <v>427906</v>
      </c>
      <c r="Q32" s="39">
        <f t="shared" si="25"/>
        <v>451697</v>
      </c>
      <c r="R32" s="535">
        <f t="shared" si="27"/>
        <v>865178</v>
      </c>
      <c r="S32" s="211">
        <v>432708</v>
      </c>
      <c r="T32" s="535">
        <f t="shared" si="26"/>
        <v>432470</v>
      </c>
      <c r="V32" s="211">
        <v>0</v>
      </c>
      <c r="W32" s="211">
        <f>ROUND((J32+L32+Q32-S32)*1.0453,0)</f>
        <v>452061</v>
      </c>
      <c r="X32" s="211">
        <v>0</v>
      </c>
      <c r="Y32" s="211">
        <v>0</v>
      </c>
      <c r="Z32" s="535">
        <f t="shared" si="12"/>
        <v>452061</v>
      </c>
      <c r="AA32" s="211">
        <v>176145</v>
      </c>
      <c r="AB32" s="535">
        <f t="shared" si="13"/>
        <v>275916</v>
      </c>
      <c r="AD32" s="211">
        <f>V32+W32-AA32-1</f>
        <v>275915</v>
      </c>
      <c r="AE32" s="211">
        <v>0</v>
      </c>
      <c r="AF32" s="211">
        <v>0</v>
      </c>
      <c r="AG32" s="211">
        <v>0</v>
      </c>
      <c r="AH32" s="535">
        <f t="shared" si="14"/>
        <v>275915</v>
      </c>
      <c r="AI32" s="211">
        <v>371400</v>
      </c>
      <c r="AJ32" s="535">
        <f t="shared" si="15"/>
        <v>0</v>
      </c>
      <c r="AL32" s="211">
        <v>0</v>
      </c>
      <c r="AM32" s="211">
        <v>0</v>
      </c>
      <c r="AN32" s="211">
        <v>0</v>
      </c>
      <c r="AO32" s="211">
        <v>0</v>
      </c>
      <c r="AP32" s="535">
        <f t="shared" si="16"/>
        <v>0</v>
      </c>
      <c r="AQ32" s="211">
        <v>0</v>
      </c>
      <c r="AR32" s="145">
        <f t="shared" si="28"/>
        <v>0</v>
      </c>
      <c r="AT32" s="211">
        <v>0</v>
      </c>
      <c r="AU32" s="211">
        <v>0</v>
      </c>
      <c r="AV32" s="211">
        <v>0</v>
      </c>
      <c r="AW32" s="211">
        <v>0</v>
      </c>
      <c r="AX32" s="535">
        <f t="shared" si="29"/>
        <v>0</v>
      </c>
      <c r="AY32" s="211">
        <v>0</v>
      </c>
      <c r="AZ32" s="535">
        <f t="shared" si="1"/>
        <v>0</v>
      </c>
      <c r="BB32" s="571">
        <v>0</v>
      </c>
      <c r="BC32" s="571">
        <v>0</v>
      </c>
      <c r="BD32" s="198">
        <v>0</v>
      </c>
      <c r="BE32" s="535">
        <f t="shared" si="2"/>
        <v>0</v>
      </c>
      <c r="BF32" s="571">
        <v>0</v>
      </c>
      <c r="BG32" s="535">
        <f t="shared" si="3"/>
        <v>0</v>
      </c>
      <c r="BI32" s="571">
        <v>0</v>
      </c>
      <c r="BJ32" s="571">
        <v>0</v>
      </c>
      <c r="BK32" s="198">
        <v>11289</v>
      </c>
      <c r="BL32" s="535">
        <f t="shared" si="4"/>
        <v>11289</v>
      </c>
      <c r="BM32" s="571">
        <v>0</v>
      </c>
      <c r="BN32" s="535">
        <f t="shared" si="5"/>
        <v>11289</v>
      </c>
      <c r="BP32" s="571">
        <v>0</v>
      </c>
      <c r="BQ32" s="198">
        <v>11289</v>
      </c>
      <c r="BR32" s="198">
        <v>1928032</v>
      </c>
      <c r="BS32" s="535">
        <f t="shared" si="19"/>
        <v>1939321</v>
      </c>
      <c r="BT32" s="211">
        <f t="shared" si="20"/>
        <v>1969768</v>
      </c>
      <c r="BU32" s="572">
        <v>921911</v>
      </c>
      <c r="BV32" s="535">
        <f t="shared" si="6"/>
        <v>1047857</v>
      </c>
      <c r="BX32" s="164">
        <v>0</v>
      </c>
      <c r="BY32" s="164">
        <f>+BV32</f>
        <v>1047857</v>
      </c>
      <c r="BZ32" s="198">
        <v>0</v>
      </c>
      <c r="CA32" s="535">
        <f t="shared" si="21"/>
        <v>1047857</v>
      </c>
      <c r="CB32" s="211">
        <f t="shared" si="22"/>
        <v>1056764</v>
      </c>
      <c r="CC32" s="572">
        <f>+'[3]14-15 $140M Workload Restore'!AP30</f>
        <v>449290</v>
      </c>
      <c r="CD32" s="535">
        <f t="shared" si="7"/>
        <v>607474</v>
      </c>
      <c r="CF32" s="211">
        <f t="shared" si="23"/>
        <v>0</v>
      </c>
      <c r="CG32" s="211">
        <f t="shared" si="8"/>
        <v>1056764</v>
      </c>
      <c r="CH32" s="211">
        <f t="shared" si="8"/>
        <v>0</v>
      </c>
      <c r="CI32" s="211">
        <f t="shared" si="24"/>
        <v>1056764</v>
      </c>
    </row>
    <row r="33" spans="1:87" ht="15.75" thickBot="1">
      <c r="A33" s="523" t="s">
        <v>134</v>
      </c>
      <c r="D33" s="523">
        <v>181029</v>
      </c>
      <c r="F33" s="587">
        <v>769840</v>
      </c>
      <c r="G33" s="584">
        <v>181029</v>
      </c>
      <c r="H33" s="211"/>
      <c r="I33" s="211">
        <v>716134</v>
      </c>
      <c r="J33" s="569">
        <f>ROUND(I33,0)</f>
        <v>716134</v>
      </c>
      <c r="K33" s="211">
        <v>1097760</v>
      </c>
      <c r="L33" s="211">
        <f t="shared" si="32"/>
        <v>1097760</v>
      </c>
      <c r="M33" s="211">
        <v>925466</v>
      </c>
      <c r="N33" s="583">
        <v>-189.44</v>
      </c>
      <c r="O33" s="583">
        <v>-36.64</v>
      </c>
      <c r="P33" s="211">
        <f t="shared" si="30"/>
        <v>980254</v>
      </c>
      <c r="Q33" s="211">
        <f t="shared" si="25"/>
        <v>923501</v>
      </c>
      <c r="R33" s="535">
        <f t="shared" si="27"/>
        <v>2794148</v>
      </c>
      <c r="S33" s="211">
        <v>0</v>
      </c>
      <c r="T33" s="535">
        <f t="shared" si="26"/>
        <v>2794148</v>
      </c>
      <c r="V33" s="211">
        <f>ROUND(L33,0)</f>
        <v>1097760</v>
      </c>
      <c r="W33" s="211">
        <f>ROUND(P33*1.0453,0)</f>
        <v>1024660</v>
      </c>
      <c r="X33" s="211">
        <v>702356</v>
      </c>
      <c r="Y33" s="211">
        <f>ROUND(702356*1.0453,0)</f>
        <v>734173</v>
      </c>
      <c r="Z33" s="535">
        <f t="shared" si="12"/>
        <v>2856593</v>
      </c>
      <c r="AA33" s="211">
        <v>0</v>
      </c>
      <c r="AB33" s="535">
        <f t="shared" si="13"/>
        <v>2856593</v>
      </c>
      <c r="AD33" s="211">
        <f>W33</f>
        <v>1024660</v>
      </c>
      <c r="AE33" s="211">
        <f>Y33</f>
        <v>734173</v>
      </c>
      <c r="AF33" s="211">
        <v>737577</v>
      </c>
      <c r="AG33" s="211">
        <v>737577</v>
      </c>
      <c r="AH33" s="535">
        <f t="shared" si="14"/>
        <v>2496410</v>
      </c>
      <c r="AI33" s="211">
        <v>1220584</v>
      </c>
      <c r="AJ33" s="535">
        <f t="shared" si="15"/>
        <v>1275826</v>
      </c>
      <c r="AL33" s="211">
        <f>AD33+AE33-AI33</f>
        <v>538249</v>
      </c>
      <c r="AM33" s="211">
        <f>AG33</f>
        <v>737577</v>
      </c>
      <c r="AN33" s="211">
        <v>0</v>
      </c>
      <c r="AO33" s="211">
        <v>0</v>
      </c>
      <c r="AP33" s="535">
        <f t="shared" si="16"/>
        <v>1275826</v>
      </c>
      <c r="AQ33" s="211">
        <v>1207479</v>
      </c>
      <c r="AR33" s="145">
        <f t="shared" si="28"/>
        <v>68347</v>
      </c>
      <c r="AT33" s="580">
        <f>+AR33</f>
        <v>68347</v>
      </c>
      <c r="AU33" s="211">
        <v>0</v>
      </c>
      <c r="AV33" s="211">
        <v>0</v>
      </c>
      <c r="AW33" s="211">
        <v>0</v>
      </c>
      <c r="AX33" s="535">
        <f t="shared" si="29"/>
        <v>68347</v>
      </c>
      <c r="AY33" s="211">
        <v>68347</v>
      </c>
      <c r="AZ33" s="535">
        <f t="shared" si="1"/>
        <v>0</v>
      </c>
      <c r="BB33" s="571">
        <v>0</v>
      </c>
      <c r="BC33" s="571">
        <v>0</v>
      </c>
      <c r="BD33" s="198">
        <v>0</v>
      </c>
      <c r="BE33" s="535">
        <f t="shared" si="2"/>
        <v>0</v>
      </c>
      <c r="BF33" s="571">
        <v>0</v>
      </c>
      <c r="BG33" s="535">
        <f t="shared" si="3"/>
        <v>0</v>
      </c>
      <c r="BI33" s="571">
        <v>0</v>
      </c>
      <c r="BJ33" s="571">
        <v>0</v>
      </c>
      <c r="BK33" s="198">
        <v>0</v>
      </c>
      <c r="BL33" s="535">
        <f t="shared" si="4"/>
        <v>0</v>
      </c>
      <c r="BM33" s="571">
        <v>0</v>
      </c>
      <c r="BN33" s="535">
        <f t="shared" si="5"/>
        <v>0</v>
      </c>
      <c r="BP33" s="571">
        <v>0</v>
      </c>
      <c r="BQ33" s="198">
        <v>0</v>
      </c>
      <c r="BR33" s="198">
        <v>1451971</v>
      </c>
      <c r="BS33" s="535">
        <f t="shared" si="19"/>
        <v>1451971</v>
      </c>
      <c r="BT33" s="211">
        <f t="shared" si="20"/>
        <v>1474767</v>
      </c>
      <c r="BU33" s="572">
        <v>0</v>
      </c>
      <c r="BV33" s="535">
        <f t="shared" si="6"/>
        <v>1474767</v>
      </c>
      <c r="BX33" s="198">
        <v>0</v>
      </c>
      <c r="BY33" s="586">
        <f>+BV33</f>
        <v>1474767</v>
      </c>
      <c r="BZ33" s="198">
        <v>557318</v>
      </c>
      <c r="CA33" s="535">
        <f t="shared" si="21"/>
        <v>2032085</v>
      </c>
      <c r="CB33" s="211">
        <f t="shared" si="22"/>
        <v>2049358</v>
      </c>
      <c r="CC33" s="572">
        <f>+'[3]14-15 $140M Workload Restore'!AP31</f>
        <v>1372751</v>
      </c>
      <c r="CD33" s="535">
        <f t="shared" si="7"/>
        <v>676607</v>
      </c>
      <c r="CF33" s="211">
        <f t="shared" si="23"/>
        <v>0</v>
      </c>
      <c r="CG33" s="211">
        <f t="shared" si="8"/>
        <v>1487303</v>
      </c>
      <c r="CH33" s="211">
        <f t="shared" si="8"/>
        <v>562055</v>
      </c>
      <c r="CI33" s="211">
        <f t="shared" si="24"/>
        <v>2049358</v>
      </c>
    </row>
    <row r="34" spans="1:87" ht="15">
      <c r="A34" s="523" t="s">
        <v>135</v>
      </c>
      <c r="F34" s="211"/>
      <c r="G34" s="568"/>
      <c r="H34" s="211"/>
      <c r="I34" s="211"/>
      <c r="J34" s="569">
        <f t="shared" si="9"/>
        <v>0</v>
      </c>
      <c r="K34" s="211"/>
      <c r="L34" s="211">
        <f t="shared" si="32"/>
        <v>0</v>
      </c>
      <c r="M34" s="211">
        <v>8103648</v>
      </c>
      <c r="N34" s="583">
        <v>-2193.69</v>
      </c>
      <c r="O34" s="583">
        <v>77.010000000000005</v>
      </c>
      <c r="P34" s="211">
        <f t="shared" si="30"/>
        <v>8583384</v>
      </c>
      <c r="Q34" s="39">
        <f t="shared" si="25"/>
        <v>9377616</v>
      </c>
      <c r="R34" s="535">
        <f t="shared" si="27"/>
        <v>9377616</v>
      </c>
      <c r="S34" s="211">
        <v>9377616</v>
      </c>
      <c r="T34" s="535">
        <f t="shared" si="26"/>
        <v>0</v>
      </c>
      <c r="V34" s="211">
        <v>0</v>
      </c>
      <c r="W34" s="211">
        <v>0</v>
      </c>
      <c r="X34" s="211">
        <v>0</v>
      </c>
      <c r="Y34" s="211">
        <v>0</v>
      </c>
      <c r="Z34" s="535">
        <f t="shared" si="12"/>
        <v>0</v>
      </c>
      <c r="AA34" s="211">
        <v>0</v>
      </c>
      <c r="AB34" s="535">
        <f t="shared" si="13"/>
        <v>0</v>
      </c>
      <c r="AD34" s="211">
        <v>0</v>
      </c>
      <c r="AE34" s="211">
        <v>0</v>
      </c>
      <c r="AF34" s="211">
        <v>0</v>
      </c>
      <c r="AG34" s="211">
        <v>0</v>
      </c>
      <c r="AH34" s="535">
        <f t="shared" si="14"/>
        <v>0</v>
      </c>
      <c r="AI34" s="211">
        <v>0</v>
      </c>
      <c r="AJ34" s="535">
        <f t="shared" si="15"/>
        <v>0</v>
      </c>
      <c r="AL34" s="211">
        <v>0</v>
      </c>
      <c r="AM34" s="211">
        <v>0</v>
      </c>
      <c r="AN34" s="211">
        <v>0</v>
      </c>
      <c r="AO34" s="211">
        <v>0</v>
      </c>
      <c r="AP34" s="535">
        <f t="shared" si="16"/>
        <v>0</v>
      </c>
      <c r="AQ34" s="211">
        <v>0</v>
      </c>
      <c r="AR34" s="145">
        <f t="shared" si="28"/>
        <v>0</v>
      </c>
      <c r="AT34" s="211">
        <v>0</v>
      </c>
      <c r="AU34" s="211">
        <v>0</v>
      </c>
      <c r="AV34" s="211">
        <v>0</v>
      </c>
      <c r="AW34" s="211">
        <v>0</v>
      </c>
      <c r="AX34" s="535">
        <f t="shared" si="29"/>
        <v>0</v>
      </c>
      <c r="AY34" s="211">
        <v>0</v>
      </c>
      <c r="AZ34" s="535">
        <f t="shared" si="1"/>
        <v>0</v>
      </c>
      <c r="BB34" s="571">
        <v>0</v>
      </c>
      <c r="BC34" s="571">
        <v>0</v>
      </c>
      <c r="BD34" s="198">
        <v>0</v>
      </c>
      <c r="BE34" s="535">
        <f t="shared" si="2"/>
        <v>0</v>
      </c>
      <c r="BF34" s="571">
        <v>0</v>
      </c>
      <c r="BG34" s="535">
        <f t="shared" si="3"/>
        <v>0</v>
      </c>
      <c r="BI34" s="571">
        <v>0</v>
      </c>
      <c r="BJ34" s="571">
        <v>0</v>
      </c>
      <c r="BK34" s="198">
        <v>0</v>
      </c>
      <c r="BL34" s="535">
        <f t="shared" si="4"/>
        <v>0</v>
      </c>
      <c r="BM34" s="571">
        <v>0</v>
      </c>
      <c r="BN34" s="535">
        <f t="shared" si="5"/>
        <v>0</v>
      </c>
      <c r="BP34" s="571">
        <v>0</v>
      </c>
      <c r="BQ34" s="198">
        <v>0</v>
      </c>
      <c r="BR34" s="198">
        <v>0</v>
      </c>
      <c r="BS34" s="535">
        <f t="shared" si="19"/>
        <v>0</v>
      </c>
      <c r="BT34" s="211">
        <f t="shared" si="20"/>
        <v>0</v>
      </c>
      <c r="BU34" s="572">
        <v>0</v>
      </c>
      <c r="BV34" s="535">
        <f t="shared" si="6"/>
        <v>0</v>
      </c>
      <c r="BX34" s="198">
        <v>0</v>
      </c>
      <c r="BY34" s="198">
        <v>0</v>
      </c>
      <c r="BZ34" s="198">
        <v>0</v>
      </c>
      <c r="CA34" s="535">
        <f t="shared" si="21"/>
        <v>0</v>
      </c>
      <c r="CB34" s="211">
        <f t="shared" si="22"/>
        <v>0</v>
      </c>
      <c r="CC34" s="572">
        <f>+'[3]14-15 $140M Workload Restore'!AP32</f>
        <v>0</v>
      </c>
      <c r="CD34" s="535">
        <f t="shared" si="7"/>
        <v>0</v>
      </c>
      <c r="CF34" s="211">
        <f t="shared" si="23"/>
        <v>0</v>
      </c>
      <c r="CG34" s="211">
        <f t="shared" si="8"/>
        <v>0</v>
      </c>
      <c r="CH34" s="211">
        <f t="shared" si="8"/>
        <v>0</v>
      </c>
      <c r="CI34" s="211">
        <f t="shared" si="24"/>
        <v>0</v>
      </c>
    </row>
    <row r="35" spans="1:87" ht="15">
      <c r="A35" s="523" t="s">
        <v>136</v>
      </c>
      <c r="F35" s="211"/>
      <c r="G35" s="568"/>
      <c r="H35" s="211"/>
      <c r="I35" s="211"/>
      <c r="J35" s="569">
        <f t="shared" si="9"/>
        <v>0</v>
      </c>
      <c r="K35" s="211"/>
      <c r="L35" s="211">
        <f t="shared" si="32"/>
        <v>0</v>
      </c>
      <c r="M35" s="211">
        <v>29778732</v>
      </c>
      <c r="N35" s="583">
        <v>-8816.18</v>
      </c>
      <c r="O35" s="583">
        <v>272.3</v>
      </c>
      <c r="P35" s="211">
        <f t="shared" si="30"/>
        <v>31541633</v>
      </c>
      <c r="Q35" s="39">
        <f t="shared" si="25"/>
        <v>37785198</v>
      </c>
      <c r="R35" s="535">
        <f t="shared" si="27"/>
        <v>37785198</v>
      </c>
      <c r="S35" s="211">
        <v>37785198</v>
      </c>
      <c r="T35" s="535">
        <f t="shared" si="26"/>
        <v>0</v>
      </c>
      <c r="V35" s="211">
        <v>0</v>
      </c>
      <c r="W35" s="211">
        <v>0</v>
      </c>
      <c r="X35" s="211">
        <v>0</v>
      </c>
      <c r="Y35" s="211">
        <v>0</v>
      </c>
      <c r="Z35" s="535">
        <f t="shared" si="12"/>
        <v>0</v>
      </c>
      <c r="AA35" s="211">
        <v>0</v>
      </c>
      <c r="AB35" s="535">
        <f t="shared" si="13"/>
        <v>0</v>
      </c>
      <c r="AD35" s="211">
        <v>0</v>
      </c>
      <c r="AE35" s="211">
        <v>0</v>
      </c>
      <c r="AF35" s="211">
        <v>0</v>
      </c>
      <c r="AG35" s="211">
        <v>0</v>
      </c>
      <c r="AH35" s="535">
        <f t="shared" si="14"/>
        <v>0</v>
      </c>
      <c r="AI35" s="211">
        <v>0</v>
      </c>
      <c r="AJ35" s="535">
        <f t="shared" si="15"/>
        <v>0</v>
      </c>
      <c r="AL35" s="211">
        <v>0</v>
      </c>
      <c r="AM35" s="211">
        <v>0</v>
      </c>
      <c r="AN35" s="211">
        <v>0</v>
      </c>
      <c r="AO35" s="211">
        <v>0</v>
      </c>
      <c r="AP35" s="535">
        <f t="shared" si="16"/>
        <v>0</v>
      </c>
      <c r="AQ35" s="211">
        <v>0</v>
      </c>
      <c r="AR35" s="145">
        <f t="shared" si="28"/>
        <v>0</v>
      </c>
      <c r="AT35" s="211">
        <v>0</v>
      </c>
      <c r="AU35" s="211">
        <v>0</v>
      </c>
      <c r="AV35" s="211">
        <v>0</v>
      </c>
      <c r="AW35" s="211">
        <v>0</v>
      </c>
      <c r="AX35" s="535">
        <f t="shared" si="29"/>
        <v>0</v>
      </c>
      <c r="AY35" s="211">
        <v>0</v>
      </c>
      <c r="AZ35" s="535">
        <f t="shared" si="1"/>
        <v>0</v>
      </c>
      <c r="BB35" s="571">
        <v>0</v>
      </c>
      <c r="BC35" s="571">
        <v>0</v>
      </c>
      <c r="BD35" s="198">
        <v>0</v>
      </c>
      <c r="BE35" s="535">
        <f t="shared" si="2"/>
        <v>0</v>
      </c>
      <c r="BF35" s="571">
        <v>0</v>
      </c>
      <c r="BG35" s="535">
        <f t="shared" si="3"/>
        <v>0</v>
      </c>
      <c r="BI35" s="571">
        <v>0</v>
      </c>
      <c r="BJ35" s="571">
        <v>0</v>
      </c>
      <c r="BK35" s="198">
        <v>0</v>
      </c>
      <c r="BL35" s="535">
        <f t="shared" si="4"/>
        <v>0</v>
      </c>
      <c r="BM35" s="571">
        <v>0</v>
      </c>
      <c r="BN35" s="535">
        <f t="shared" si="5"/>
        <v>0</v>
      </c>
      <c r="BP35" s="571">
        <v>0</v>
      </c>
      <c r="BQ35" s="198">
        <v>0</v>
      </c>
      <c r="BR35" s="198">
        <v>0</v>
      </c>
      <c r="BS35" s="535">
        <f t="shared" si="19"/>
        <v>0</v>
      </c>
      <c r="BT35" s="211">
        <f t="shared" si="20"/>
        <v>0</v>
      </c>
      <c r="BU35" s="572">
        <v>0</v>
      </c>
      <c r="BV35" s="535">
        <f t="shared" si="6"/>
        <v>0</v>
      </c>
      <c r="BX35" s="198">
        <v>0</v>
      </c>
      <c r="BY35" s="198">
        <v>0</v>
      </c>
      <c r="BZ35" s="198">
        <v>0</v>
      </c>
      <c r="CA35" s="535">
        <f t="shared" si="21"/>
        <v>0</v>
      </c>
      <c r="CB35" s="211">
        <f t="shared" si="22"/>
        <v>0</v>
      </c>
      <c r="CC35" s="572">
        <f>+'[3]14-15 $140M Workload Restore'!AP33</f>
        <v>0</v>
      </c>
      <c r="CD35" s="535">
        <f t="shared" si="7"/>
        <v>0</v>
      </c>
      <c r="CF35" s="211">
        <f t="shared" si="23"/>
        <v>0</v>
      </c>
      <c r="CG35" s="211">
        <f t="shared" si="8"/>
        <v>0</v>
      </c>
      <c r="CH35" s="211">
        <f t="shared" si="8"/>
        <v>0</v>
      </c>
      <c r="CI35" s="211">
        <f t="shared" si="24"/>
        <v>0</v>
      </c>
    </row>
    <row r="36" spans="1:87" ht="15.75" thickBot="1">
      <c r="A36" s="523" t="s">
        <v>137</v>
      </c>
      <c r="F36" s="211"/>
      <c r="G36" s="568"/>
      <c r="H36" s="211"/>
      <c r="I36" s="211"/>
      <c r="J36" s="569">
        <f t="shared" si="9"/>
        <v>0</v>
      </c>
      <c r="K36" s="211"/>
      <c r="L36" s="211">
        <f t="shared" si="32"/>
        <v>0</v>
      </c>
      <c r="M36" s="211"/>
      <c r="N36" s="583">
        <v>0</v>
      </c>
      <c r="O36" s="583">
        <v>0</v>
      </c>
      <c r="P36" s="211">
        <f t="shared" si="30"/>
        <v>0</v>
      </c>
      <c r="Q36" s="211">
        <f t="shared" si="25"/>
        <v>0</v>
      </c>
      <c r="R36" s="535">
        <f t="shared" si="27"/>
        <v>0</v>
      </c>
      <c r="S36" s="211">
        <v>0</v>
      </c>
      <c r="T36" s="535">
        <f t="shared" si="26"/>
        <v>0</v>
      </c>
      <c r="V36" s="211">
        <v>0</v>
      </c>
      <c r="W36" s="211">
        <v>0</v>
      </c>
      <c r="X36" s="211">
        <v>0</v>
      </c>
      <c r="Y36" s="211">
        <v>0</v>
      </c>
      <c r="Z36" s="535">
        <f t="shared" si="12"/>
        <v>0</v>
      </c>
      <c r="AA36" s="211">
        <v>0</v>
      </c>
      <c r="AB36" s="535">
        <f t="shared" si="13"/>
        <v>0</v>
      </c>
      <c r="AD36" s="211">
        <v>0</v>
      </c>
      <c r="AE36" s="211">
        <v>0</v>
      </c>
      <c r="AF36" s="211">
        <v>0</v>
      </c>
      <c r="AG36" s="211">
        <v>0</v>
      </c>
      <c r="AH36" s="535">
        <f t="shared" si="14"/>
        <v>0</v>
      </c>
      <c r="AI36" s="211">
        <v>0</v>
      </c>
      <c r="AJ36" s="535">
        <f t="shared" si="15"/>
        <v>0</v>
      </c>
      <c r="AL36" s="211">
        <v>0</v>
      </c>
      <c r="AM36" s="211">
        <v>0</v>
      </c>
      <c r="AN36" s="211">
        <v>0</v>
      </c>
      <c r="AO36" s="211">
        <v>0</v>
      </c>
      <c r="AP36" s="535">
        <f t="shared" si="16"/>
        <v>0</v>
      </c>
      <c r="AQ36" s="211">
        <v>0</v>
      </c>
      <c r="AR36" s="145">
        <f t="shared" si="28"/>
        <v>0</v>
      </c>
      <c r="AT36" s="211">
        <v>0</v>
      </c>
      <c r="AU36" s="211">
        <v>0</v>
      </c>
      <c r="AV36" s="211">
        <v>0</v>
      </c>
      <c r="AW36" s="211">
        <v>0</v>
      </c>
      <c r="AX36" s="535">
        <f t="shared" si="29"/>
        <v>0</v>
      </c>
      <c r="AY36" s="211">
        <v>0</v>
      </c>
      <c r="AZ36" s="535">
        <f t="shared" si="1"/>
        <v>0</v>
      </c>
      <c r="BB36" s="571">
        <v>0</v>
      </c>
      <c r="BC36" s="571">
        <v>0</v>
      </c>
      <c r="BD36" s="198">
        <v>0</v>
      </c>
      <c r="BE36" s="535">
        <f t="shared" si="2"/>
        <v>0</v>
      </c>
      <c r="BF36" s="571">
        <v>0</v>
      </c>
      <c r="BG36" s="535">
        <f t="shared" si="3"/>
        <v>0</v>
      </c>
      <c r="BI36" s="571">
        <v>0</v>
      </c>
      <c r="BJ36" s="571">
        <v>0</v>
      </c>
      <c r="BK36" s="198">
        <v>0</v>
      </c>
      <c r="BL36" s="535">
        <f t="shared" si="4"/>
        <v>0</v>
      </c>
      <c r="BM36" s="571">
        <v>0</v>
      </c>
      <c r="BN36" s="535">
        <f t="shared" si="5"/>
        <v>0</v>
      </c>
      <c r="BP36" s="571">
        <v>0</v>
      </c>
      <c r="BQ36" s="198">
        <v>0</v>
      </c>
      <c r="BR36" s="198">
        <v>0</v>
      </c>
      <c r="BS36" s="535">
        <f t="shared" si="19"/>
        <v>0</v>
      </c>
      <c r="BT36" s="211">
        <f t="shared" si="20"/>
        <v>0</v>
      </c>
      <c r="BU36" s="572">
        <v>0</v>
      </c>
      <c r="BV36" s="535">
        <f t="shared" si="6"/>
        <v>0</v>
      </c>
      <c r="BX36" s="198">
        <v>0</v>
      </c>
      <c r="BY36" s="198">
        <v>0</v>
      </c>
      <c r="BZ36" s="198">
        <v>0</v>
      </c>
      <c r="CA36" s="535">
        <f t="shared" si="21"/>
        <v>0</v>
      </c>
      <c r="CB36" s="211">
        <f t="shared" si="22"/>
        <v>0</v>
      </c>
      <c r="CC36" s="572">
        <f>+'[3]14-15 $140M Workload Restore'!AP34</f>
        <v>0</v>
      </c>
      <c r="CD36" s="535">
        <f t="shared" si="7"/>
        <v>0</v>
      </c>
      <c r="CF36" s="211">
        <f t="shared" si="23"/>
        <v>0</v>
      </c>
      <c r="CG36" s="211">
        <f t="shared" si="8"/>
        <v>0</v>
      </c>
      <c r="CH36" s="211">
        <f t="shared" si="8"/>
        <v>0</v>
      </c>
      <c r="CI36" s="211">
        <f t="shared" si="24"/>
        <v>0</v>
      </c>
    </row>
    <row r="37" spans="1:87" ht="15.75" thickBot="1">
      <c r="A37" s="556" t="s">
        <v>138</v>
      </c>
      <c r="C37" s="523">
        <v>985979</v>
      </c>
      <c r="F37" s="584">
        <v>425584</v>
      </c>
      <c r="G37" s="588">
        <v>1478695</v>
      </c>
      <c r="H37" s="211">
        <v>880143</v>
      </c>
      <c r="I37" s="142">
        <v>1590881</v>
      </c>
      <c r="J37" s="589">
        <f t="shared" si="9"/>
        <v>1798667</v>
      </c>
      <c r="K37" s="211">
        <v>2665559</v>
      </c>
      <c r="L37" s="211">
        <f t="shared" si="32"/>
        <v>2665559</v>
      </c>
      <c r="M37" s="211">
        <v>845589</v>
      </c>
      <c r="N37" s="583">
        <v>-175.84</v>
      </c>
      <c r="O37" s="583">
        <v>-23.1</v>
      </c>
      <c r="P37" s="211">
        <f t="shared" si="30"/>
        <v>895648</v>
      </c>
      <c r="Q37" s="211">
        <f t="shared" si="25"/>
        <v>828554</v>
      </c>
      <c r="R37" s="535">
        <f t="shared" si="27"/>
        <v>5359874</v>
      </c>
      <c r="S37" s="211">
        <v>576010</v>
      </c>
      <c r="T37" s="535">
        <f t="shared" si="26"/>
        <v>4783864</v>
      </c>
      <c r="V37" s="211">
        <f>ROUND(L37,0)</f>
        <v>2665559</v>
      </c>
      <c r="W37" s="211">
        <f>ROUND(P37*1.0453,0)</f>
        <v>936221</v>
      </c>
      <c r="X37" s="211">
        <v>0</v>
      </c>
      <c r="Y37" s="211">
        <v>0</v>
      </c>
      <c r="Z37" s="535">
        <f t="shared" si="12"/>
        <v>3601780</v>
      </c>
      <c r="AA37" s="211">
        <v>313480</v>
      </c>
      <c r="AB37" s="535">
        <f t="shared" si="13"/>
        <v>3288300</v>
      </c>
      <c r="AD37" s="211">
        <f>W37</f>
        <v>936221</v>
      </c>
      <c r="AE37" s="211">
        <v>0</v>
      </c>
      <c r="AF37" s="211">
        <v>0</v>
      </c>
      <c r="AG37" s="211">
        <v>0</v>
      </c>
      <c r="AH37" s="535">
        <f t="shared" si="14"/>
        <v>936221</v>
      </c>
      <c r="AI37" s="211">
        <v>936221</v>
      </c>
      <c r="AJ37" s="535">
        <f t="shared" si="15"/>
        <v>0</v>
      </c>
      <c r="AL37" s="39">
        <v>0</v>
      </c>
      <c r="AM37" s="39">
        <v>0</v>
      </c>
      <c r="AN37" s="39">
        <v>0</v>
      </c>
      <c r="AO37" s="39">
        <v>0</v>
      </c>
      <c r="AP37" s="590">
        <f t="shared" si="16"/>
        <v>0</v>
      </c>
      <c r="AQ37" s="39">
        <v>0</v>
      </c>
      <c r="AR37" s="145">
        <f t="shared" si="28"/>
        <v>0</v>
      </c>
      <c r="AT37" s="39">
        <v>0</v>
      </c>
      <c r="AU37" s="39">
        <v>0</v>
      </c>
      <c r="AV37" s="39">
        <v>0</v>
      </c>
      <c r="AW37" s="39">
        <v>0</v>
      </c>
      <c r="AX37" s="590">
        <f t="shared" si="29"/>
        <v>0</v>
      </c>
      <c r="AY37" s="39">
        <v>0</v>
      </c>
      <c r="AZ37" s="590">
        <f t="shared" si="1"/>
        <v>0</v>
      </c>
      <c r="BB37" s="571">
        <v>0</v>
      </c>
      <c r="BC37" s="571">
        <v>0</v>
      </c>
      <c r="BD37" s="198">
        <v>250224</v>
      </c>
      <c r="BE37" s="535">
        <f t="shared" si="2"/>
        <v>250224</v>
      </c>
      <c r="BF37" s="571">
        <v>0</v>
      </c>
      <c r="BG37" s="535">
        <f t="shared" si="3"/>
        <v>250224</v>
      </c>
      <c r="BI37" s="590">
        <v>0</v>
      </c>
      <c r="BJ37" s="590">
        <v>250224</v>
      </c>
      <c r="BK37" s="198">
        <v>1564916</v>
      </c>
      <c r="BL37" s="535">
        <f t="shared" si="4"/>
        <v>1815140</v>
      </c>
      <c r="BM37" s="571">
        <v>0</v>
      </c>
      <c r="BN37" s="535">
        <f t="shared" si="5"/>
        <v>1815140</v>
      </c>
      <c r="BP37" s="590">
        <v>250224</v>
      </c>
      <c r="BQ37" s="198">
        <v>1564916</v>
      </c>
      <c r="BR37" s="198">
        <v>1523043</v>
      </c>
      <c r="BS37" s="535">
        <f t="shared" si="19"/>
        <v>3338183</v>
      </c>
      <c r="BT37" s="211">
        <f t="shared" si="20"/>
        <v>3390592</v>
      </c>
      <c r="BU37" s="572">
        <v>0</v>
      </c>
      <c r="BV37" s="535">
        <f t="shared" si="6"/>
        <v>3390592</v>
      </c>
      <c r="BX37" s="164">
        <f>ROUND(BQ37*(1.0157),0)</f>
        <v>1589485</v>
      </c>
      <c r="BY37" s="164">
        <f>ROUND(BR37*(1.0157),0)</f>
        <v>1546955</v>
      </c>
      <c r="BZ37" s="198">
        <v>1458254</v>
      </c>
      <c r="CA37" s="535">
        <f t="shared" si="21"/>
        <v>4594694</v>
      </c>
      <c r="CB37" s="211">
        <f t="shared" si="22"/>
        <v>4633749</v>
      </c>
      <c r="CC37" s="572">
        <f>+'[3]14-15 $140M Workload Restore'!AP35</f>
        <v>0</v>
      </c>
      <c r="CD37" s="535">
        <f t="shared" si="7"/>
        <v>4633749</v>
      </c>
      <c r="CF37" s="211">
        <f t="shared" si="23"/>
        <v>1602996</v>
      </c>
      <c r="CG37" s="211">
        <f t="shared" si="8"/>
        <v>1560104</v>
      </c>
      <c r="CH37" s="211">
        <f t="shared" si="8"/>
        <v>1470649</v>
      </c>
      <c r="CI37" s="211">
        <f t="shared" si="24"/>
        <v>4633749</v>
      </c>
    </row>
    <row r="38" spans="1:87" ht="15">
      <c r="A38" s="523" t="s">
        <v>139</v>
      </c>
      <c r="F38" s="211"/>
      <c r="G38" s="568"/>
      <c r="H38" s="211"/>
      <c r="I38" s="211"/>
      <c r="J38" s="569">
        <f t="shared" si="9"/>
        <v>0</v>
      </c>
      <c r="K38" s="211"/>
      <c r="L38" s="211">
        <f t="shared" si="32"/>
        <v>0</v>
      </c>
      <c r="M38" s="211">
        <v>1023767</v>
      </c>
      <c r="N38" s="583">
        <v>-273.24</v>
      </c>
      <c r="O38" s="583">
        <v>-26.37</v>
      </c>
      <c r="P38" s="211">
        <f t="shared" si="30"/>
        <v>1084374</v>
      </c>
      <c r="Q38" s="39">
        <f t="shared" si="25"/>
        <v>1262487</v>
      </c>
      <c r="R38" s="535">
        <f t="shared" si="27"/>
        <v>1262487</v>
      </c>
      <c r="S38" s="211">
        <v>1262487</v>
      </c>
      <c r="T38" s="535">
        <f t="shared" si="26"/>
        <v>0</v>
      </c>
      <c r="V38" s="211">
        <v>0</v>
      </c>
      <c r="W38" s="211">
        <v>0</v>
      </c>
      <c r="X38" s="211">
        <v>0</v>
      </c>
      <c r="Y38" s="211">
        <v>0</v>
      </c>
      <c r="Z38" s="535">
        <f t="shared" si="12"/>
        <v>0</v>
      </c>
      <c r="AA38" s="211">
        <v>0</v>
      </c>
      <c r="AB38" s="535">
        <f t="shared" si="13"/>
        <v>0</v>
      </c>
      <c r="AD38" s="211">
        <v>0</v>
      </c>
      <c r="AE38" s="211">
        <v>0</v>
      </c>
      <c r="AF38" s="211">
        <v>1359942</v>
      </c>
      <c r="AG38" s="211">
        <v>1359942</v>
      </c>
      <c r="AH38" s="535">
        <f t="shared" si="14"/>
        <v>1359942</v>
      </c>
      <c r="AI38" s="211">
        <v>1359942</v>
      </c>
      <c r="AJ38" s="535">
        <f t="shared" si="15"/>
        <v>0</v>
      </c>
      <c r="AL38" s="211">
        <v>0</v>
      </c>
      <c r="AM38" s="211">
        <v>0</v>
      </c>
      <c r="AN38" s="211">
        <v>0</v>
      </c>
      <c r="AO38" s="211">
        <v>0</v>
      </c>
      <c r="AP38" s="535">
        <f t="shared" si="16"/>
        <v>0</v>
      </c>
      <c r="AQ38" s="211">
        <v>0</v>
      </c>
      <c r="AR38" s="145">
        <f t="shared" si="28"/>
        <v>0</v>
      </c>
      <c r="AT38" s="211">
        <v>0</v>
      </c>
      <c r="AU38" s="211">
        <v>0</v>
      </c>
      <c r="AV38" s="211">
        <v>347595</v>
      </c>
      <c r="AW38" s="211">
        <f>AV38</f>
        <v>347595</v>
      </c>
      <c r="AX38" s="535">
        <f t="shared" si="29"/>
        <v>347595</v>
      </c>
      <c r="AY38" s="211">
        <v>347595</v>
      </c>
      <c r="AZ38" s="535">
        <f t="shared" si="1"/>
        <v>0</v>
      </c>
      <c r="BB38" s="571">
        <v>0</v>
      </c>
      <c r="BC38" s="571">
        <v>0</v>
      </c>
      <c r="BD38" s="198">
        <v>0</v>
      </c>
      <c r="BE38" s="535">
        <f t="shared" si="2"/>
        <v>0</v>
      </c>
      <c r="BF38" s="571">
        <v>0</v>
      </c>
      <c r="BG38" s="535">
        <f t="shared" si="3"/>
        <v>0</v>
      </c>
      <c r="BI38" s="571">
        <v>0</v>
      </c>
      <c r="BJ38" s="571">
        <v>0</v>
      </c>
      <c r="BK38" s="198">
        <v>1856214</v>
      </c>
      <c r="BL38" s="535">
        <f t="shared" si="4"/>
        <v>1856214</v>
      </c>
      <c r="BM38" s="571">
        <v>1716057</v>
      </c>
      <c r="BN38" s="535">
        <f t="shared" si="5"/>
        <v>140157</v>
      </c>
      <c r="BP38" s="571">
        <v>0</v>
      </c>
      <c r="BQ38" s="198">
        <v>140157</v>
      </c>
      <c r="BR38" s="198">
        <v>0</v>
      </c>
      <c r="BS38" s="535">
        <f t="shared" si="19"/>
        <v>140157</v>
      </c>
      <c r="BT38" s="211">
        <f t="shared" si="20"/>
        <v>142357</v>
      </c>
      <c r="BU38" s="572">
        <v>0</v>
      </c>
      <c r="BV38" s="535">
        <f t="shared" si="6"/>
        <v>142357</v>
      </c>
      <c r="BX38" s="164">
        <f>ROUND(BQ38*(1.0157),0)</f>
        <v>142357</v>
      </c>
      <c r="BY38" s="198">
        <v>0</v>
      </c>
      <c r="BZ38" s="198">
        <v>3261348</v>
      </c>
      <c r="CA38" s="535">
        <f t="shared" si="21"/>
        <v>3403705</v>
      </c>
      <c r="CB38" s="211">
        <f t="shared" si="22"/>
        <v>3432636</v>
      </c>
      <c r="CC38" s="572">
        <f>+'[3]14-15 $140M Workload Restore'!AP36</f>
        <v>1476403</v>
      </c>
      <c r="CD38" s="535">
        <f t="shared" si="7"/>
        <v>1956233</v>
      </c>
      <c r="CF38" s="211">
        <f t="shared" si="23"/>
        <v>143567</v>
      </c>
      <c r="CG38" s="211">
        <f t="shared" si="8"/>
        <v>0</v>
      </c>
      <c r="CH38" s="211">
        <f t="shared" si="8"/>
        <v>3289069</v>
      </c>
      <c r="CI38" s="211">
        <f t="shared" si="24"/>
        <v>3432636</v>
      </c>
    </row>
    <row r="39" spans="1:87" ht="15.75" thickBot="1">
      <c r="A39" s="523" t="s">
        <v>140</v>
      </c>
      <c r="F39" s="211"/>
      <c r="G39" s="568"/>
      <c r="H39" s="211"/>
      <c r="I39" s="211"/>
      <c r="J39" s="569">
        <f t="shared" si="9"/>
        <v>0</v>
      </c>
      <c r="K39" s="211"/>
      <c r="L39" s="211">
        <f t="shared" si="32"/>
        <v>0</v>
      </c>
      <c r="M39" s="211">
        <v>245048</v>
      </c>
      <c r="N39" s="583">
        <v>33.880000000000003</v>
      </c>
      <c r="O39" s="583">
        <v>-106.09</v>
      </c>
      <c r="P39" s="211">
        <f t="shared" si="30"/>
        <v>259555</v>
      </c>
      <c r="Q39" s="211">
        <f t="shared" si="25"/>
        <v>130638</v>
      </c>
      <c r="R39" s="535">
        <f t="shared" si="27"/>
        <v>259555</v>
      </c>
      <c r="S39" s="211">
        <v>170629</v>
      </c>
      <c r="T39" s="535">
        <f t="shared" si="26"/>
        <v>88926</v>
      </c>
      <c r="V39" s="211">
        <v>0</v>
      </c>
      <c r="W39" s="211">
        <f>ROUND((R39-S39)*1.0453,0)</f>
        <v>92954</v>
      </c>
      <c r="X39" s="211">
        <v>0</v>
      </c>
      <c r="Y39" s="211">
        <v>0</v>
      </c>
      <c r="Z39" s="535">
        <f t="shared" si="12"/>
        <v>92954</v>
      </c>
      <c r="AA39" s="211">
        <v>92954</v>
      </c>
      <c r="AB39" s="535">
        <f t="shared" si="13"/>
        <v>0</v>
      </c>
      <c r="AD39" s="211">
        <v>0</v>
      </c>
      <c r="AE39" s="211">
        <v>0</v>
      </c>
      <c r="AF39" s="211">
        <v>0</v>
      </c>
      <c r="AG39" s="211">
        <v>0</v>
      </c>
      <c r="AH39" s="535">
        <f t="shared" si="14"/>
        <v>0</v>
      </c>
      <c r="AI39" s="211">
        <v>0</v>
      </c>
      <c r="AJ39" s="535">
        <f t="shared" si="15"/>
        <v>0</v>
      </c>
      <c r="AL39" s="211">
        <v>0</v>
      </c>
      <c r="AM39" s="211">
        <v>0</v>
      </c>
      <c r="AN39" s="211">
        <v>0</v>
      </c>
      <c r="AO39" s="211">
        <v>0</v>
      </c>
      <c r="AP39" s="535">
        <f t="shared" si="16"/>
        <v>0</v>
      </c>
      <c r="AQ39" s="211">
        <v>0</v>
      </c>
      <c r="AR39" s="145">
        <f t="shared" si="28"/>
        <v>0</v>
      </c>
      <c r="AT39" s="211">
        <v>0</v>
      </c>
      <c r="AU39" s="211">
        <v>0</v>
      </c>
      <c r="AV39" s="211">
        <v>0</v>
      </c>
      <c r="AW39" s="211">
        <v>0</v>
      </c>
      <c r="AX39" s="535">
        <f t="shared" si="29"/>
        <v>0</v>
      </c>
      <c r="AY39" s="211">
        <v>0</v>
      </c>
      <c r="AZ39" s="535">
        <f t="shared" si="1"/>
        <v>0</v>
      </c>
      <c r="BB39" s="571">
        <v>0</v>
      </c>
      <c r="BC39" s="571">
        <v>0</v>
      </c>
      <c r="BD39" s="198">
        <v>0</v>
      </c>
      <c r="BE39" s="535">
        <f t="shared" si="2"/>
        <v>0</v>
      </c>
      <c r="BF39" s="571">
        <v>0</v>
      </c>
      <c r="BG39" s="535">
        <f t="shared" si="3"/>
        <v>0</v>
      </c>
      <c r="BI39" s="571">
        <v>0</v>
      </c>
      <c r="BJ39" s="571">
        <v>0</v>
      </c>
      <c r="BK39" s="198">
        <v>0</v>
      </c>
      <c r="BL39" s="535">
        <f t="shared" si="4"/>
        <v>0</v>
      </c>
      <c r="BM39" s="571">
        <v>0</v>
      </c>
      <c r="BN39" s="535">
        <f t="shared" si="5"/>
        <v>0</v>
      </c>
      <c r="BP39" s="571">
        <v>0</v>
      </c>
      <c r="BQ39" s="198">
        <v>0</v>
      </c>
      <c r="BR39" s="198">
        <v>0</v>
      </c>
      <c r="BS39" s="535">
        <f t="shared" si="19"/>
        <v>0</v>
      </c>
      <c r="BT39" s="211">
        <f t="shared" si="20"/>
        <v>0</v>
      </c>
      <c r="BU39" s="572">
        <v>0</v>
      </c>
      <c r="BV39" s="535">
        <f t="shared" si="6"/>
        <v>0</v>
      </c>
      <c r="BX39" s="198">
        <v>0</v>
      </c>
      <c r="BY39" s="198">
        <v>0</v>
      </c>
      <c r="BZ39" s="198">
        <v>0</v>
      </c>
      <c r="CA39" s="535">
        <f t="shared" si="21"/>
        <v>0</v>
      </c>
      <c r="CB39" s="211">
        <f t="shared" si="22"/>
        <v>0</v>
      </c>
      <c r="CC39" s="572">
        <f>+'[3]14-15 $140M Workload Restore'!AP37</f>
        <v>0</v>
      </c>
      <c r="CD39" s="535">
        <f t="shared" si="7"/>
        <v>0</v>
      </c>
      <c r="CF39" s="211">
        <f t="shared" si="23"/>
        <v>0</v>
      </c>
      <c r="CG39" s="211">
        <f t="shared" si="8"/>
        <v>0</v>
      </c>
      <c r="CH39" s="211">
        <f t="shared" si="8"/>
        <v>0</v>
      </c>
      <c r="CI39" s="211">
        <f t="shared" si="24"/>
        <v>0</v>
      </c>
    </row>
    <row r="40" spans="1:87" ht="15.75" thickBot="1">
      <c r="A40" s="556" t="s">
        <v>141</v>
      </c>
      <c r="F40" s="211"/>
      <c r="G40" s="568"/>
      <c r="H40" s="211">
        <v>0</v>
      </c>
      <c r="I40" s="39">
        <v>475945</v>
      </c>
      <c r="J40" s="569">
        <v>0</v>
      </c>
      <c r="K40" s="39">
        <v>544840</v>
      </c>
      <c r="L40" s="211">
        <v>0</v>
      </c>
      <c r="M40" s="574">
        <v>1020785</v>
      </c>
      <c r="N40" s="583">
        <v>0</v>
      </c>
      <c r="O40" s="583">
        <v>0</v>
      </c>
      <c r="P40" s="211">
        <v>0</v>
      </c>
      <c r="Q40" s="211">
        <f t="shared" si="25"/>
        <v>0</v>
      </c>
      <c r="R40" s="535">
        <f t="shared" si="27"/>
        <v>0</v>
      </c>
      <c r="S40" s="211">
        <v>0</v>
      </c>
      <c r="T40" s="535">
        <f t="shared" si="26"/>
        <v>0</v>
      </c>
      <c r="V40" s="211">
        <v>0</v>
      </c>
      <c r="W40" s="211">
        <v>0</v>
      </c>
      <c r="X40" s="211">
        <v>0</v>
      </c>
      <c r="Y40" s="211">
        <v>0</v>
      </c>
      <c r="Z40" s="535">
        <f t="shared" si="12"/>
        <v>0</v>
      </c>
      <c r="AA40" s="211">
        <v>0</v>
      </c>
      <c r="AB40" s="535">
        <f t="shared" si="13"/>
        <v>0</v>
      </c>
      <c r="AD40" s="211">
        <v>0</v>
      </c>
      <c r="AE40" s="211">
        <v>0</v>
      </c>
      <c r="AF40" s="211">
        <v>0</v>
      </c>
      <c r="AG40" s="211">
        <v>0</v>
      </c>
      <c r="AH40" s="535">
        <f t="shared" si="14"/>
        <v>0</v>
      </c>
      <c r="AI40" s="211">
        <v>0</v>
      </c>
      <c r="AJ40" s="535">
        <f t="shared" si="15"/>
        <v>0</v>
      </c>
      <c r="AL40" s="39">
        <v>0</v>
      </c>
      <c r="AM40" s="39">
        <v>0</v>
      </c>
      <c r="AN40" s="39">
        <v>0</v>
      </c>
      <c r="AO40" s="39">
        <v>0</v>
      </c>
      <c r="AP40" s="590">
        <f t="shared" si="16"/>
        <v>0</v>
      </c>
      <c r="AQ40" s="39">
        <v>0</v>
      </c>
      <c r="AR40" s="145">
        <f t="shared" si="28"/>
        <v>0</v>
      </c>
      <c r="AT40" s="39">
        <v>0</v>
      </c>
      <c r="AU40" s="39">
        <v>0</v>
      </c>
      <c r="AV40" s="39">
        <v>0</v>
      </c>
      <c r="AW40" s="39">
        <v>0</v>
      </c>
      <c r="AX40" s="590">
        <f t="shared" si="29"/>
        <v>0</v>
      </c>
      <c r="AY40" s="39">
        <v>0</v>
      </c>
      <c r="AZ40" s="590">
        <f t="shared" si="1"/>
        <v>0</v>
      </c>
      <c r="BB40" s="571">
        <v>0</v>
      </c>
      <c r="BC40" s="571">
        <v>0</v>
      </c>
      <c r="BD40" s="198">
        <v>1082917</v>
      </c>
      <c r="BE40" s="590">
        <f t="shared" si="2"/>
        <v>1082917</v>
      </c>
      <c r="BF40" s="571">
        <v>0</v>
      </c>
      <c r="BG40" s="535">
        <f t="shared" si="3"/>
        <v>1082917</v>
      </c>
      <c r="BI40" s="590">
        <v>0</v>
      </c>
      <c r="BJ40" s="590">
        <v>1082917</v>
      </c>
      <c r="BK40" s="198">
        <v>0</v>
      </c>
      <c r="BL40" s="535">
        <f t="shared" si="4"/>
        <v>1082917</v>
      </c>
      <c r="BM40" s="571">
        <v>1082917</v>
      </c>
      <c r="BN40" s="535">
        <f t="shared" si="5"/>
        <v>0</v>
      </c>
      <c r="BP40" s="198">
        <v>0</v>
      </c>
      <c r="BQ40" s="198">
        <v>0</v>
      </c>
      <c r="BR40" s="198">
        <v>0</v>
      </c>
      <c r="BS40" s="535">
        <f t="shared" si="19"/>
        <v>0</v>
      </c>
      <c r="BT40" s="211">
        <f t="shared" si="20"/>
        <v>0</v>
      </c>
      <c r="BU40" s="572">
        <v>0</v>
      </c>
      <c r="BV40" s="535">
        <f t="shared" si="6"/>
        <v>0</v>
      </c>
      <c r="BX40" s="198">
        <v>0</v>
      </c>
      <c r="BY40" s="198">
        <v>0</v>
      </c>
      <c r="BZ40" s="198">
        <v>0</v>
      </c>
      <c r="CA40" s="535">
        <f t="shared" si="21"/>
        <v>0</v>
      </c>
      <c r="CB40" s="211">
        <f t="shared" si="22"/>
        <v>0</v>
      </c>
      <c r="CC40" s="572">
        <f>+'[3]14-15 $140M Workload Restore'!AP38</f>
        <v>0</v>
      </c>
      <c r="CD40" s="535">
        <f t="shared" si="7"/>
        <v>0</v>
      </c>
      <c r="CF40" s="211">
        <f t="shared" si="23"/>
        <v>0</v>
      </c>
      <c r="CG40" s="211">
        <f t="shared" si="8"/>
        <v>0</v>
      </c>
      <c r="CH40" s="211">
        <f t="shared" si="8"/>
        <v>0</v>
      </c>
      <c r="CI40" s="211">
        <f t="shared" si="24"/>
        <v>0</v>
      </c>
    </row>
    <row r="41" spans="1:87" ht="15">
      <c r="A41" s="523" t="s">
        <v>142</v>
      </c>
      <c r="F41" s="211"/>
      <c r="G41" s="568"/>
      <c r="H41" s="211"/>
      <c r="I41" s="211"/>
      <c r="J41" s="569">
        <f t="shared" si="9"/>
        <v>0</v>
      </c>
      <c r="K41" s="211">
        <v>275692</v>
      </c>
      <c r="L41" s="211">
        <f t="shared" si="32"/>
        <v>275692</v>
      </c>
      <c r="M41" s="211">
        <v>1333830</v>
      </c>
      <c r="N41" s="583">
        <v>-369.95</v>
      </c>
      <c r="O41" s="583">
        <v>62.47</v>
      </c>
      <c r="P41" s="211">
        <f t="shared" si="30"/>
        <v>1412793</v>
      </c>
      <c r="Q41" s="39">
        <f t="shared" si="25"/>
        <v>1451525</v>
      </c>
      <c r="R41" s="535">
        <f t="shared" si="27"/>
        <v>1727217</v>
      </c>
      <c r="S41" s="211">
        <v>88867</v>
      </c>
      <c r="T41" s="535">
        <f t="shared" si="26"/>
        <v>1638350</v>
      </c>
      <c r="V41" s="211">
        <f>ROUND((L41-S41),0)</f>
        <v>186825</v>
      </c>
      <c r="W41" s="211">
        <f>ROUND(Q41*1.0453,0)</f>
        <v>1517279</v>
      </c>
      <c r="X41" s="211">
        <v>0</v>
      </c>
      <c r="Y41" s="211">
        <v>0</v>
      </c>
      <c r="Z41" s="535">
        <f t="shared" si="12"/>
        <v>1704104</v>
      </c>
      <c r="AA41" s="211">
        <v>157787</v>
      </c>
      <c r="AB41" s="535">
        <f t="shared" si="13"/>
        <v>1546317</v>
      </c>
      <c r="AD41" s="211">
        <f>W41+1</f>
        <v>1517280</v>
      </c>
      <c r="AE41" s="211">
        <v>0</v>
      </c>
      <c r="AF41" s="211">
        <v>0</v>
      </c>
      <c r="AG41" s="211">
        <v>0</v>
      </c>
      <c r="AH41" s="535">
        <f t="shared" si="14"/>
        <v>1517280</v>
      </c>
      <c r="AI41" s="211">
        <v>1517280</v>
      </c>
      <c r="AJ41" s="535">
        <f t="shared" si="15"/>
        <v>0</v>
      </c>
      <c r="AL41" s="211">
        <v>0</v>
      </c>
      <c r="AM41" s="211">
        <v>0</v>
      </c>
      <c r="AN41" s="211">
        <v>0</v>
      </c>
      <c r="AO41" s="211">
        <v>0</v>
      </c>
      <c r="AP41" s="535">
        <f t="shared" si="16"/>
        <v>0</v>
      </c>
      <c r="AQ41" s="211">
        <v>0</v>
      </c>
      <c r="AR41" s="145">
        <f t="shared" si="28"/>
        <v>0</v>
      </c>
      <c r="AT41" s="211">
        <v>0</v>
      </c>
      <c r="AU41" s="211">
        <v>0</v>
      </c>
      <c r="AV41" s="211">
        <v>0</v>
      </c>
      <c r="AW41" s="211">
        <v>0</v>
      </c>
      <c r="AX41" s="535">
        <f t="shared" si="29"/>
        <v>0</v>
      </c>
      <c r="AY41" s="211">
        <v>0</v>
      </c>
      <c r="AZ41" s="535">
        <f t="shared" si="1"/>
        <v>0</v>
      </c>
      <c r="BB41" s="571">
        <v>0</v>
      </c>
      <c r="BC41" s="571">
        <v>0</v>
      </c>
      <c r="BD41" s="198">
        <v>0</v>
      </c>
      <c r="BE41" s="535">
        <f t="shared" si="2"/>
        <v>0</v>
      </c>
      <c r="BF41" s="571">
        <v>0</v>
      </c>
      <c r="BG41" s="535">
        <f t="shared" si="3"/>
        <v>0</v>
      </c>
      <c r="BI41" s="571">
        <v>0</v>
      </c>
      <c r="BJ41" s="571">
        <v>0</v>
      </c>
      <c r="BK41" s="198">
        <v>1387840</v>
      </c>
      <c r="BL41" s="535">
        <f t="shared" si="4"/>
        <v>1387840</v>
      </c>
      <c r="BM41" s="571">
        <v>111454</v>
      </c>
      <c r="BN41" s="535">
        <f t="shared" si="5"/>
        <v>1276386</v>
      </c>
      <c r="BP41" s="571">
        <v>0</v>
      </c>
      <c r="BQ41" s="198">
        <v>1276386</v>
      </c>
      <c r="BR41" s="198">
        <v>0</v>
      </c>
      <c r="BS41" s="535">
        <f t="shared" si="19"/>
        <v>1276386</v>
      </c>
      <c r="BT41" s="211">
        <f t="shared" si="20"/>
        <v>1296425</v>
      </c>
      <c r="BU41" s="572">
        <v>0</v>
      </c>
      <c r="BV41" s="535">
        <f t="shared" si="6"/>
        <v>1296425</v>
      </c>
      <c r="BX41" s="164">
        <f>ROUND(BQ41*(1.0157),0)</f>
        <v>1296425</v>
      </c>
      <c r="BY41" s="198">
        <v>0</v>
      </c>
      <c r="BZ41" s="198">
        <v>1251953</v>
      </c>
      <c r="CA41" s="535">
        <f t="shared" si="21"/>
        <v>2548378</v>
      </c>
      <c r="CB41" s="211">
        <f t="shared" si="22"/>
        <v>2570039</v>
      </c>
      <c r="CC41" s="572">
        <f>+'[3]14-15 $140M Workload Restore'!AP39</f>
        <v>0</v>
      </c>
      <c r="CD41" s="535">
        <f t="shared" si="7"/>
        <v>2570039</v>
      </c>
      <c r="CF41" s="211">
        <f t="shared" si="23"/>
        <v>1307445</v>
      </c>
      <c r="CG41" s="211">
        <f t="shared" si="8"/>
        <v>0</v>
      </c>
      <c r="CH41" s="211">
        <f t="shared" si="8"/>
        <v>1262595</v>
      </c>
      <c r="CI41" s="211">
        <f t="shared" si="24"/>
        <v>2570040</v>
      </c>
    </row>
    <row r="42" spans="1:87" ht="15">
      <c r="A42" s="523" t="s">
        <v>143</v>
      </c>
      <c r="F42" s="211"/>
      <c r="G42" s="568"/>
      <c r="H42" s="211"/>
      <c r="I42" s="211"/>
      <c r="J42" s="569">
        <f t="shared" si="9"/>
        <v>0</v>
      </c>
      <c r="K42" s="211"/>
      <c r="L42" s="211">
        <f t="shared" si="32"/>
        <v>0</v>
      </c>
      <c r="M42" s="211"/>
      <c r="N42" s="583">
        <v>0</v>
      </c>
      <c r="O42" s="583">
        <v>0</v>
      </c>
      <c r="P42" s="211">
        <f t="shared" si="30"/>
        <v>0</v>
      </c>
      <c r="Q42" s="211">
        <f t="shared" si="25"/>
        <v>0</v>
      </c>
      <c r="R42" s="535">
        <f t="shared" si="27"/>
        <v>0</v>
      </c>
      <c r="S42" s="211">
        <v>0</v>
      </c>
      <c r="T42" s="535">
        <f t="shared" si="26"/>
        <v>0</v>
      </c>
      <c r="V42" s="211">
        <v>0</v>
      </c>
      <c r="W42" s="211">
        <v>0</v>
      </c>
      <c r="X42" s="211">
        <v>0</v>
      </c>
      <c r="Y42" s="211">
        <v>0</v>
      </c>
      <c r="Z42" s="535">
        <f t="shared" si="12"/>
        <v>0</v>
      </c>
      <c r="AA42" s="211">
        <v>0</v>
      </c>
      <c r="AB42" s="535">
        <f t="shared" si="13"/>
        <v>0</v>
      </c>
      <c r="AD42" s="211">
        <v>0</v>
      </c>
      <c r="AE42" s="211">
        <v>0</v>
      </c>
      <c r="AF42" s="211">
        <v>0</v>
      </c>
      <c r="AG42" s="211">
        <v>0</v>
      </c>
      <c r="AH42" s="535">
        <f t="shared" si="14"/>
        <v>0</v>
      </c>
      <c r="AI42" s="211">
        <v>0</v>
      </c>
      <c r="AJ42" s="535">
        <f t="shared" si="15"/>
        <v>0</v>
      </c>
      <c r="AL42" s="211">
        <v>0</v>
      </c>
      <c r="AM42" s="211">
        <v>0</v>
      </c>
      <c r="AN42" s="211">
        <v>0</v>
      </c>
      <c r="AO42" s="211">
        <v>0</v>
      </c>
      <c r="AP42" s="535">
        <f t="shared" si="16"/>
        <v>0</v>
      </c>
      <c r="AQ42" s="211">
        <v>0</v>
      </c>
      <c r="AR42" s="145">
        <f t="shared" si="28"/>
        <v>0</v>
      </c>
      <c r="AT42" s="211">
        <v>0</v>
      </c>
      <c r="AU42" s="211">
        <v>0</v>
      </c>
      <c r="AV42" s="211">
        <v>0</v>
      </c>
      <c r="AW42" s="211">
        <v>0</v>
      </c>
      <c r="AX42" s="535">
        <f t="shared" si="29"/>
        <v>0</v>
      </c>
      <c r="AY42" s="211">
        <v>0</v>
      </c>
      <c r="AZ42" s="535">
        <f t="shared" si="1"/>
        <v>0</v>
      </c>
      <c r="BB42" s="571">
        <v>0</v>
      </c>
      <c r="BC42" s="571">
        <v>0</v>
      </c>
      <c r="BD42" s="198">
        <v>0</v>
      </c>
      <c r="BE42" s="535">
        <f t="shared" si="2"/>
        <v>0</v>
      </c>
      <c r="BF42" s="571">
        <v>0</v>
      </c>
      <c r="BG42" s="535">
        <f t="shared" si="3"/>
        <v>0</v>
      </c>
      <c r="BI42" s="571">
        <v>0</v>
      </c>
      <c r="BJ42" s="571">
        <v>0</v>
      </c>
      <c r="BK42" s="198">
        <v>0</v>
      </c>
      <c r="BL42" s="535">
        <f t="shared" si="4"/>
        <v>0</v>
      </c>
      <c r="BM42" s="571">
        <v>0</v>
      </c>
      <c r="BN42" s="535">
        <f t="shared" si="5"/>
        <v>0</v>
      </c>
      <c r="BP42" s="571">
        <v>0</v>
      </c>
      <c r="BQ42" s="198">
        <v>0</v>
      </c>
      <c r="BR42" s="198">
        <v>0</v>
      </c>
      <c r="BS42" s="535">
        <f t="shared" si="19"/>
        <v>0</v>
      </c>
      <c r="BT42" s="211">
        <f t="shared" si="20"/>
        <v>0</v>
      </c>
      <c r="BU42" s="572">
        <v>0</v>
      </c>
      <c r="BV42" s="535">
        <f t="shared" si="6"/>
        <v>0</v>
      </c>
      <c r="BX42" s="198">
        <v>0</v>
      </c>
      <c r="BY42" s="198">
        <v>0</v>
      </c>
      <c r="BZ42" s="198">
        <v>0</v>
      </c>
      <c r="CA42" s="535">
        <f t="shared" si="21"/>
        <v>0</v>
      </c>
      <c r="CB42" s="211">
        <f t="shared" si="22"/>
        <v>0</v>
      </c>
      <c r="CC42" s="572">
        <f>+'[3]14-15 $140M Workload Restore'!AP40</f>
        <v>0</v>
      </c>
      <c r="CD42" s="535">
        <f t="shared" si="7"/>
        <v>0</v>
      </c>
      <c r="CF42" s="211">
        <f t="shared" si="23"/>
        <v>0</v>
      </c>
      <c r="CG42" s="211">
        <f t="shared" si="8"/>
        <v>0</v>
      </c>
      <c r="CH42" s="211">
        <f t="shared" si="8"/>
        <v>0</v>
      </c>
      <c r="CI42" s="211">
        <f t="shared" si="24"/>
        <v>0</v>
      </c>
    </row>
    <row r="43" spans="1:87" ht="15">
      <c r="A43" s="523" t="s">
        <v>144</v>
      </c>
      <c r="F43" s="211"/>
      <c r="G43" s="568"/>
      <c r="H43" s="211"/>
      <c r="I43" s="211"/>
      <c r="J43" s="569">
        <f t="shared" si="9"/>
        <v>0</v>
      </c>
      <c r="K43" s="211"/>
      <c r="L43" s="211">
        <f t="shared" si="32"/>
        <v>0</v>
      </c>
      <c r="M43" s="211"/>
      <c r="N43" s="583">
        <v>0</v>
      </c>
      <c r="O43" s="583">
        <v>0</v>
      </c>
      <c r="P43" s="211">
        <f t="shared" si="30"/>
        <v>0</v>
      </c>
      <c r="Q43" s="211">
        <f t="shared" si="25"/>
        <v>0</v>
      </c>
      <c r="R43" s="535">
        <f t="shared" si="27"/>
        <v>0</v>
      </c>
      <c r="S43" s="211">
        <v>0</v>
      </c>
      <c r="T43" s="535">
        <f t="shared" si="26"/>
        <v>0</v>
      </c>
      <c r="V43" s="211">
        <v>0</v>
      </c>
      <c r="W43" s="211">
        <v>0</v>
      </c>
      <c r="X43" s="211">
        <v>0</v>
      </c>
      <c r="Y43" s="211">
        <v>0</v>
      </c>
      <c r="Z43" s="535">
        <f t="shared" si="12"/>
        <v>0</v>
      </c>
      <c r="AA43" s="211">
        <v>0</v>
      </c>
      <c r="AB43" s="535">
        <f t="shared" si="13"/>
        <v>0</v>
      </c>
      <c r="AD43" s="211">
        <v>0</v>
      </c>
      <c r="AE43" s="211">
        <v>0</v>
      </c>
      <c r="AF43" s="211">
        <v>0</v>
      </c>
      <c r="AG43" s="211">
        <v>0</v>
      </c>
      <c r="AH43" s="535">
        <f t="shared" si="14"/>
        <v>0</v>
      </c>
      <c r="AI43" s="211">
        <v>0</v>
      </c>
      <c r="AJ43" s="535">
        <f t="shared" si="15"/>
        <v>0</v>
      </c>
      <c r="AL43" s="211">
        <v>0</v>
      </c>
      <c r="AM43" s="211">
        <v>0</v>
      </c>
      <c r="AN43" s="211">
        <v>0</v>
      </c>
      <c r="AO43" s="211">
        <v>0</v>
      </c>
      <c r="AP43" s="535">
        <f t="shared" si="16"/>
        <v>0</v>
      </c>
      <c r="AQ43" s="211">
        <v>0</v>
      </c>
      <c r="AR43" s="145">
        <f t="shared" si="28"/>
        <v>0</v>
      </c>
      <c r="AT43" s="211">
        <v>0</v>
      </c>
      <c r="AU43" s="211">
        <v>0</v>
      </c>
      <c r="AV43" s="211">
        <v>0</v>
      </c>
      <c r="AW43" s="211">
        <v>0</v>
      </c>
      <c r="AX43" s="535">
        <f t="shared" si="29"/>
        <v>0</v>
      </c>
      <c r="AY43" s="211">
        <v>0</v>
      </c>
      <c r="AZ43" s="535">
        <f t="shared" si="1"/>
        <v>0</v>
      </c>
      <c r="BB43" s="571">
        <v>0</v>
      </c>
      <c r="BC43" s="571">
        <v>0</v>
      </c>
      <c r="BD43" s="198">
        <v>0</v>
      </c>
      <c r="BE43" s="535">
        <f t="shared" si="2"/>
        <v>0</v>
      </c>
      <c r="BF43" s="571">
        <v>0</v>
      </c>
      <c r="BG43" s="535">
        <f t="shared" si="3"/>
        <v>0</v>
      </c>
      <c r="BI43" s="571">
        <v>0</v>
      </c>
      <c r="BJ43" s="571">
        <v>0</v>
      </c>
      <c r="BK43" s="198">
        <v>0</v>
      </c>
      <c r="BL43" s="535">
        <f t="shared" si="4"/>
        <v>0</v>
      </c>
      <c r="BM43" s="571">
        <v>0</v>
      </c>
      <c r="BN43" s="535">
        <f t="shared" si="5"/>
        <v>0</v>
      </c>
      <c r="BP43" s="571">
        <v>0</v>
      </c>
      <c r="BQ43" s="198">
        <v>0</v>
      </c>
      <c r="BR43" s="198">
        <v>0</v>
      </c>
      <c r="BS43" s="535">
        <f t="shared" si="19"/>
        <v>0</v>
      </c>
      <c r="BT43" s="211">
        <f t="shared" si="20"/>
        <v>0</v>
      </c>
      <c r="BU43" s="572">
        <v>0</v>
      </c>
      <c r="BV43" s="535">
        <f t="shared" si="6"/>
        <v>0</v>
      </c>
      <c r="BX43" s="198">
        <v>0</v>
      </c>
      <c r="BY43" s="198">
        <v>0</v>
      </c>
      <c r="BZ43" s="198">
        <v>0</v>
      </c>
      <c r="CA43" s="535">
        <f t="shared" si="21"/>
        <v>0</v>
      </c>
      <c r="CB43" s="211">
        <f t="shared" si="22"/>
        <v>0</v>
      </c>
      <c r="CC43" s="572">
        <f>+'[3]14-15 $140M Workload Restore'!AP41</f>
        <v>0</v>
      </c>
      <c r="CD43" s="535">
        <f t="shared" si="7"/>
        <v>0</v>
      </c>
      <c r="CF43" s="211">
        <f t="shared" si="23"/>
        <v>0</v>
      </c>
      <c r="CG43" s="211">
        <f t="shared" si="8"/>
        <v>0</v>
      </c>
      <c r="CH43" s="211">
        <f t="shared" si="8"/>
        <v>0</v>
      </c>
      <c r="CI43" s="211">
        <f t="shared" si="24"/>
        <v>0</v>
      </c>
    </row>
    <row r="44" spans="1:87" ht="15.75" thickBot="1">
      <c r="A44" s="523" t="s">
        <v>145</v>
      </c>
      <c r="F44" s="211"/>
      <c r="G44" s="568"/>
      <c r="H44" s="211"/>
      <c r="I44" s="211"/>
      <c r="J44" s="569">
        <f t="shared" si="9"/>
        <v>0</v>
      </c>
      <c r="K44" s="211">
        <v>166136</v>
      </c>
      <c r="L44" s="211">
        <f t="shared" si="32"/>
        <v>166136</v>
      </c>
      <c r="M44" s="211">
        <v>563710</v>
      </c>
      <c r="N44" s="583">
        <v>-125.06</v>
      </c>
      <c r="O44" s="583">
        <v>80.760000000000005</v>
      </c>
      <c r="P44" s="211">
        <f t="shared" si="30"/>
        <v>597082</v>
      </c>
      <c r="Q44" s="211">
        <f t="shared" si="25"/>
        <v>334061</v>
      </c>
      <c r="R44" s="535">
        <f t="shared" si="27"/>
        <v>763218</v>
      </c>
      <c r="S44" s="211">
        <v>450797</v>
      </c>
      <c r="T44" s="535">
        <f t="shared" si="26"/>
        <v>312421</v>
      </c>
      <c r="V44" s="211">
        <v>0</v>
      </c>
      <c r="W44" s="211">
        <f>ROUND((R44-S44)*1.0453,0)-1</f>
        <v>326573</v>
      </c>
      <c r="X44" s="211">
        <v>0</v>
      </c>
      <c r="Y44" s="211">
        <v>0</v>
      </c>
      <c r="Z44" s="535">
        <f t="shared" si="12"/>
        <v>326573</v>
      </c>
      <c r="AA44" s="211">
        <v>344634</v>
      </c>
      <c r="AB44" s="535">
        <f t="shared" si="13"/>
        <v>0</v>
      </c>
      <c r="AD44" s="211">
        <v>0</v>
      </c>
      <c r="AE44" s="211">
        <v>0</v>
      </c>
      <c r="AF44" s="211">
        <v>0</v>
      </c>
      <c r="AG44" s="211">
        <v>0</v>
      </c>
      <c r="AH44" s="535">
        <f t="shared" si="14"/>
        <v>0</v>
      </c>
      <c r="AI44" s="211">
        <v>0</v>
      </c>
      <c r="AJ44" s="535">
        <f t="shared" si="15"/>
        <v>0</v>
      </c>
      <c r="AL44" s="211">
        <v>0</v>
      </c>
      <c r="AM44" s="211">
        <v>0</v>
      </c>
      <c r="AN44" s="211">
        <v>0</v>
      </c>
      <c r="AO44" s="211">
        <v>0</v>
      </c>
      <c r="AP44" s="535">
        <f t="shared" si="16"/>
        <v>0</v>
      </c>
      <c r="AQ44" s="211">
        <v>0</v>
      </c>
      <c r="AR44" s="145">
        <f t="shared" si="28"/>
        <v>0</v>
      </c>
      <c r="AT44" s="211">
        <v>0</v>
      </c>
      <c r="AU44" s="211">
        <v>0</v>
      </c>
      <c r="AV44" s="211">
        <v>0</v>
      </c>
      <c r="AW44" s="211">
        <v>0</v>
      </c>
      <c r="AX44" s="535">
        <f t="shared" si="29"/>
        <v>0</v>
      </c>
      <c r="AY44" s="211">
        <v>0</v>
      </c>
      <c r="AZ44" s="535">
        <f t="shared" si="1"/>
        <v>0</v>
      </c>
      <c r="BB44" s="571">
        <v>0</v>
      </c>
      <c r="BC44" s="571">
        <v>0</v>
      </c>
      <c r="BD44" s="198">
        <v>0</v>
      </c>
      <c r="BE44" s="535">
        <f t="shared" si="2"/>
        <v>0</v>
      </c>
      <c r="BF44" s="571">
        <v>0</v>
      </c>
      <c r="BG44" s="535">
        <f t="shared" si="3"/>
        <v>0</v>
      </c>
      <c r="BI44" s="571">
        <v>0</v>
      </c>
      <c r="BJ44" s="571">
        <v>0</v>
      </c>
      <c r="BK44" s="198">
        <v>0</v>
      </c>
      <c r="BL44" s="535">
        <f t="shared" si="4"/>
        <v>0</v>
      </c>
      <c r="BM44" s="571">
        <v>0</v>
      </c>
      <c r="BN44" s="535">
        <f t="shared" si="5"/>
        <v>0</v>
      </c>
      <c r="BP44" s="571">
        <v>0</v>
      </c>
      <c r="BQ44" s="198">
        <v>0</v>
      </c>
      <c r="BR44" s="198">
        <v>0</v>
      </c>
      <c r="BS44" s="535">
        <f t="shared" si="19"/>
        <v>0</v>
      </c>
      <c r="BT44" s="211">
        <f t="shared" si="20"/>
        <v>0</v>
      </c>
      <c r="BU44" s="572">
        <v>0</v>
      </c>
      <c r="BV44" s="535">
        <f t="shared" si="6"/>
        <v>0</v>
      </c>
      <c r="BX44" s="198">
        <v>0</v>
      </c>
      <c r="BY44" s="198">
        <v>0</v>
      </c>
      <c r="BZ44" s="198">
        <v>104360</v>
      </c>
      <c r="CA44" s="535">
        <f t="shared" si="21"/>
        <v>104360</v>
      </c>
      <c r="CB44" s="211">
        <f t="shared" si="22"/>
        <v>105247</v>
      </c>
      <c r="CC44" s="572">
        <f>+'[3]14-15 $140M Workload Restore'!AP42</f>
        <v>105247</v>
      </c>
      <c r="CD44" s="535">
        <f t="shared" si="7"/>
        <v>0</v>
      </c>
      <c r="CF44" s="211">
        <f t="shared" si="23"/>
        <v>0</v>
      </c>
      <c r="CG44" s="211">
        <f t="shared" si="8"/>
        <v>0</v>
      </c>
      <c r="CH44" s="211">
        <f t="shared" si="8"/>
        <v>105247</v>
      </c>
      <c r="CI44" s="211">
        <f t="shared" si="24"/>
        <v>105247</v>
      </c>
    </row>
    <row r="45" spans="1:87" ht="15.75" thickBot="1">
      <c r="A45" s="591" t="s">
        <v>146</v>
      </c>
      <c r="B45" s="591"/>
      <c r="F45" s="211"/>
      <c r="G45" s="568"/>
      <c r="H45" s="211"/>
      <c r="I45" s="39">
        <v>578480</v>
      </c>
      <c r="J45" s="569">
        <v>0</v>
      </c>
      <c r="K45" s="574">
        <v>578480</v>
      </c>
      <c r="L45" s="211">
        <v>0</v>
      </c>
      <c r="M45" s="211">
        <v>3082380</v>
      </c>
      <c r="N45" s="583">
        <v>-955.95</v>
      </c>
      <c r="O45" s="583">
        <v>106.39</v>
      </c>
      <c r="P45" s="211">
        <f t="shared" si="30"/>
        <v>3264857</v>
      </c>
      <c r="Q45" s="39">
        <f t="shared" si="25"/>
        <v>3895254</v>
      </c>
      <c r="R45" s="535">
        <f t="shared" si="27"/>
        <v>3895254</v>
      </c>
      <c r="S45" s="211">
        <v>3895254</v>
      </c>
      <c r="T45" s="535">
        <f t="shared" si="26"/>
        <v>0</v>
      </c>
      <c r="V45" s="211">
        <v>0</v>
      </c>
      <c r="W45" s="211">
        <v>0</v>
      </c>
      <c r="X45" s="211">
        <v>0</v>
      </c>
      <c r="Y45" s="211">
        <v>0</v>
      </c>
      <c r="Z45" s="535">
        <f t="shared" si="12"/>
        <v>0</v>
      </c>
      <c r="AA45" s="211">
        <v>0</v>
      </c>
      <c r="AB45" s="535">
        <f t="shared" si="13"/>
        <v>0</v>
      </c>
      <c r="AD45" s="211">
        <v>0</v>
      </c>
      <c r="AE45" s="211">
        <v>0</v>
      </c>
      <c r="AF45" s="211">
        <v>0</v>
      </c>
      <c r="AG45" s="211">
        <v>0</v>
      </c>
      <c r="AH45" s="535">
        <f t="shared" si="14"/>
        <v>0</v>
      </c>
      <c r="AI45" s="211">
        <v>0</v>
      </c>
      <c r="AJ45" s="535">
        <f t="shared" si="15"/>
        <v>0</v>
      </c>
      <c r="AL45" s="211">
        <v>0</v>
      </c>
      <c r="AM45" s="211">
        <v>0</v>
      </c>
      <c r="AN45" s="211">
        <v>0</v>
      </c>
      <c r="AO45" s="211">
        <v>0</v>
      </c>
      <c r="AP45" s="535">
        <f t="shared" si="16"/>
        <v>0</v>
      </c>
      <c r="AQ45" s="211">
        <v>0</v>
      </c>
      <c r="AR45" s="145">
        <f t="shared" si="28"/>
        <v>0</v>
      </c>
      <c r="AT45" s="211">
        <v>0</v>
      </c>
      <c r="AU45" s="211">
        <v>0</v>
      </c>
      <c r="AV45" s="211">
        <v>0</v>
      </c>
      <c r="AW45" s="211">
        <v>0</v>
      </c>
      <c r="AX45" s="535">
        <f t="shared" si="29"/>
        <v>0</v>
      </c>
      <c r="AY45" s="211">
        <v>0</v>
      </c>
      <c r="AZ45" s="535">
        <f t="shared" si="1"/>
        <v>0</v>
      </c>
      <c r="BB45" s="571">
        <v>0</v>
      </c>
      <c r="BC45" s="571">
        <v>0</v>
      </c>
      <c r="BD45" s="198">
        <v>0</v>
      </c>
      <c r="BE45" s="535">
        <f t="shared" si="2"/>
        <v>0</v>
      </c>
      <c r="BF45" s="571">
        <v>0</v>
      </c>
      <c r="BG45" s="535">
        <f t="shared" si="3"/>
        <v>0</v>
      </c>
      <c r="BI45" s="571">
        <v>0</v>
      </c>
      <c r="BJ45" s="571">
        <v>0</v>
      </c>
      <c r="BK45" s="198">
        <v>0</v>
      </c>
      <c r="BL45" s="535">
        <f t="shared" si="4"/>
        <v>0</v>
      </c>
      <c r="BM45" s="571">
        <v>0</v>
      </c>
      <c r="BN45" s="535">
        <f t="shared" si="5"/>
        <v>0</v>
      </c>
      <c r="BP45" s="571">
        <v>0</v>
      </c>
      <c r="BQ45" s="198">
        <v>0</v>
      </c>
      <c r="BR45" s="198">
        <v>0</v>
      </c>
      <c r="BS45" s="535">
        <f t="shared" si="19"/>
        <v>0</v>
      </c>
      <c r="BT45" s="211">
        <f t="shared" si="20"/>
        <v>0</v>
      </c>
      <c r="BU45" s="572">
        <v>0</v>
      </c>
      <c r="BV45" s="535">
        <f t="shared" si="6"/>
        <v>0</v>
      </c>
      <c r="BX45" s="198">
        <v>0</v>
      </c>
      <c r="BY45" s="198">
        <v>0</v>
      </c>
      <c r="BZ45" s="198">
        <v>0</v>
      </c>
      <c r="CA45" s="535">
        <f t="shared" si="21"/>
        <v>0</v>
      </c>
      <c r="CB45" s="211">
        <f t="shared" si="22"/>
        <v>0</v>
      </c>
      <c r="CC45" s="572">
        <f>+'[3]14-15 $140M Workload Restore'!AP43</f>
        <v>0</v>
      </c>
      <c r="CD45" s="535">
        <f t="shared" si="7"/>
        <v>0</v>
      </c>
      <c r="CF45" s="211">
        <f t="shared" si="23"/>
        <v>0</v>
      </c>
      <c r="CG45" s="211">
        <f t="shared" si="8"/>
        <v>0</v>
      </c>
      <c r="CH45" s="211">
        <f t="shared" si="8"/>
        <v>0</v>
      </c>
      <c r="CI45" s="211">
        <f t="shared" si="24"/>
        <v>0</v>
      </c>
    </row>
    <row r="46" spans="1:87" ht="15.75" thickBot="1">
      <c r="A46" s="523" t="s">
        <v>147</v>
      </c>
      <c r="F46" s="211"/>
      <c r="G46" s="568"/>
      <c r="H46" s="211"/>
      <c r="I46" s="211"/>
      <c r="J46" s="569">
        <f t="shared" si="9"/>
        <v>0</v>
      </c>
      <c r="K46" s="39">
        <v>4003544</v>
      </c>
      <c r="L46" s="211">
        <v>0</v>
      </c>
      <c r="M46" s="574">
        <v>4003544</v>
      </c>
      <c r="N46" s="583">
        <v>0</v>
      </c>
      <c r="O46" s="583">
        <v>0</v>
      </c>
      <c r="P46" s="211">
        <v>0</v>
      </c>
      <c r="Q46" s="211">
        <f t="shared" si="25"/>
        <v>0</v>
      </c>
      <c r="R46" s="535">
        <f t="shared" si="27"/>
        <v>0</v>
      </c>
      <c r="S46" s="211">
        <v>0</v>
      </c>
      <c r="T46" s="535">
        <f t="shared" si="26"/>
        <v>0</v>
      </c>
      <c r="V46" s="211">
        <v>0</v>
      </c>
      <c r="W46" s="211">
        <v>0</v>
      </c>
      <c r="X46" s="211">
        <v>0</v>
      </c>
      <c r="Y46" s="211">
        <v>0</v>
      </c>
      <c r="Z46" s="535">
        <f t="shared" si="12"/>
        <v>0</v>
      </c>
      <c r="AA46" s="211">
        <v>0</v>
      </c>
      <c r="AB46" s="535">
        <f t="shared" si="13"/>
        <v>0</v>
      </c>
      <c r="AD46" s="211">
        <v>0</v>
      </c>
      <c r="AE46" s="211">
        <v>0</v>
      </c>
      <c r="AF46" s="211">
        <v>0</v>
      </c>
      <c r="AG46" s="211">
        <v>0</v>
      </c>
      <c r="AH46" s="535">
        <f t="shared" si="14"/>
        <v>0</v>
      </c>
      <c r="AI46" s="211">
        <v>0</v>
      </c>
      <c r="AJ46" s="535">
        <f t="shared" si="15"/>
        <v>0</v>
      </c>
      <c r="AL46" s="211">
        <v>0</v>
      </c>
      <c r="AM46" s="211">
        <v>0</v>
      </c>
      <c r="AN46" s="211">
        <v>0</v>
      </c>
      <c r="AO46" s="211">
        <v>0</v>
      </c>
      <c r="AP46" s="535">
        <f t="shared" si="16"/>
        <v>0</v>
      </c>
      <c r="AQ46" s="211">
        <v>0</v>
      </c>
      <c r="AR46" s="145">
        <f t="shared" si="28"/>
        <v>0</v>
      </c>
      <c r="AT46" s="211">
        <v>0</v>
      </c>
      <c r="AU46" s="211">
        <v>0</v>
      </c>
      <c r="AV46" s="211">
        <v>0</v>
      </c>
      <c r="AW46" s="211">
        <v>0</v>
      </c>
      <c r="AX46" s="535">
        <f t="shared" si="29"/>
        <v>0</v>
      </c>
      <c r="AY46" s="211">
        <v>0</v>
      </c>
      <c r="AZ46" s="535">
        <f t="shared" si="1"/>
        <v>0</v>
      </c>
      <c r="BB46" s="571">
        <v>0</v>
      </c>
      <c r="BC46" s="571">
        <v>0</v>
      </c>
      <c r="BD46" s="198">
        <v>0</v>
      </c>
      <c r="BE46" s="535">
        <f t="shared" si="2"/>
        <v>0</v>
      </c>
      <c r="BF46" s="571">
        <v>0</v>
      </c>
      <c r="BG46" s="535">
        <f t="shared" si="3"/>
        <v>0</v>
      </c>
      <c r="BI46" s="571">
        <v>0</v>
      </c>
      <c r="BJ46" s="571">
        <v>0</v>
      </c>
      <c r="BK46" s="198">
        <v>0</v>
      </c>
      <c r="BL46" s="535">
        <f t="shared" si="4"/>
        <v>0</v>
      </c>
      <c r="BM46" s="571">
        <v>0</v>
      </c>
      <c r="BN46" s="535">
        <f t="shared" si="5"/>
        <v>0</v>
      </c>
      <c r="BP46" s="571">
        <v>0</v>
      </c>
      <c r="BQ46" s="198">
        <v>0</v>
      </c>
      <c r="BR46" s="198">
        <v>0</v>
      </c>
      <c r="BS46" s="535">
        <f t="shared" si="19"/>
        <v>0</v>
      </c>
      <c r="BT46" s="211">
        <f t="shared" si="20"/>
        <v>0</v>
      </c>
      <c r="BU46" s="572">
        <v>0</v>
      </c>
      <c r="BV46" s="535">
        <f t="shared" si="6"/>
        <v>0</v>
      </c>
      <c r="BX46" s="198">
        <v>0</v>
      </c>
      <c r="BY46" s="198">
        <v>0</v>
      </c>
      <c r="BZ46" s="198">
        <v>0</v>
      </c>
      <c r="CA46" s="535">
        <f t="shared" si="21"/>
        <v>0</v>
      </c>
      <c r="CB46" s="211">
        <f t="shared" si="22"/>
        <v>0</v>
      </c>
      <c r="CC46" s="572">
        <f>+'[3]14-15 $140M Workload Restore'!AP44</f>
        <v>0</v>
      </c>
      <c r="CD46" s="535">
        <f t="shared" si="7"/>
        <v>0</v>
      </c>
      <c r="CF46" s="211">
        <f t="shared" si="23"/>
        <v>0</v>
      </c>
      <c r="CG46" s="211">
        <f t="shared" si="8"/>
        <v>0</v>
      </c>
      <c r="CH46" s="211">
        <f t="shared" si="8"/>
        <v>0</v>
      </c>
      <c r="CI46" s="211">
        <f t="shared" si="24"/>
        <v>0</v>
      </c>
    </row>
    <row r="47" spans="1:87" ht="15.75" thickBot="1">
      <c r="A47" s="523" t="s">
        <v>148</v>
      </c>
      <c r="F47" s="211"/>
      <c r="G47" s="568"/>
      <c r="H47" s="211"/>
      <c r="I47" s="211"/>
      <c r="J47" s="569">
        <f t="shared" si="9"/>
        <v>0</v>
      </c>
      <c r="K47" s="39">
        <v>340254</v>
      </c>
      <c r="L47" s="211">
        <v>0</v>
      </c>
      <c r="M47" s="574">
        <v>340254</v>
      </c>
      <c r="N47" s="583">
        <v>0</v>
      </c>
      <c r="O47" s="583">
        <v>0</v>
      </c>
      <c r="P47" s="211">
        <v>0</v>
      </c>
      <c r="Q47" s="211">
        <f t="shared" si="25"/>
        <v>0</v>
      </c>
      <c r="R47" s="535">
        <f t="shared" si="27"/>
        <v>0</v>
      </c>
      <c r="S47" s="211">
        <v>0</v>
      </c>
      <c r="T47" s="535">
        <f t="shared" si="26"/>
        <v>0</v>
      </c>
      <c r="V47" s="211">
        <v>0</v>
      </c>
      <c r="W47" s="211">
        <v>0</v>
      </c>
      <c r="X47" s="211">
        <v>0</v>
      </c>
      <c r="Y47" s="211">
        <v>0</v>
      </c>
      <c r="Z47" s="535">
        <f t="shared" si="12"/>
        <v>0</v>
      </c>
      <c r="AA47" s="211">
        <v>0</v>
      </c>
      <c r="AB47" s="535">
        <f t="shared" si="13"/>
        <v>0</v>
      </c>
      <c r="AD47" s="211">
        <v>0</v>
      </c>
      <c r="AE47" s="211">
        <v>0</v>
      </c>
      <c r="AF47" s="211">
        <v>0</v>
      </c>
      <c r="AG47" s="211">
        <v>0</v>
      </c>
      <c r="AH47" s="535">
        <f t="shared" si="14"/>
        <v>0</v>
      </c>
      <c r="AI47" s="211">
        <v>0</v>
      </c>
      <c r="AJ47" s="535">
        <f t="shared" si="15"/>
        <v>0</v>
      </c>
      <c r="AL47" s="211">
        <v>0</v>
      </c>
      <c r="AM47" s="211">
        <v>0</v>
      </c>
      <c r="AN47" s="211">
        <v>0</v>
      </c>
      <c r="AO47" s="211">
        <v>0</v>
      </c>
      <c r="AP47" s="535">
        <f t="shared" si="16"/>
        <v>0</v>
      </c>
      <c r="AQ47" s="211">
        <v>0</v>
      </c>
      <c r="AR47" s="145">
        <f t="shared" si="28"/>
        <v>0</v>
      </c>
      <c r="AT47" s="211">
        <v>0</v>
      </c>
      <c r="AU47" s="211">
        <v>0</v>
      </c>
      <c r="AV47" s="211">
        <v>0</v>
      </c>
      <c r="AW47" s="211">
        <v>0</v>
      </c>
      <c r="AX47" s="535">
        <f t="shared" si="29"/>
        <v>0</v>
      </c>
      <c r="AY47" s="211">
        <v>0</v>
      </c>
      <c r="AZ47" s="535">
        <f t="shared" si="1"/>
        <v>0</v>
      </c>
      <c r="BB47" s="571">
        <v>0</v>
      </c>
      <c r="BC47" s="571">
        <v>0</v>
      </c>
      <c r="BD47" s="198">
        <v>0</v>
      </c>
      <c r="BE47" s="535">
        <f t="shared" si="2"/>
        <v>0</v>
      </c>
      <c r="BF47" s="571">
        <v>0</v>
      </c>
      <c r="BG47" s="535">
        <f t="shared" si="3"/>
        <v>0</v>
      </c>
      <c r="BI47" s="571">
        <v>0</v>
      </c>
      <c r="BJ47" s="571">
        <v>0</v>
      </c>
      <c r="BK47" s="198">
        <v>1762100</v>
      </c>
      <c r="BL47" s="535">
        <f t="shared" si="4"/>
        <v>1762100</v>
      </c>
      <c r="BM47" s="571">
        <v>938701</v>
      </c>
      <c r="BN47" s="535">
        <f t="shared" si="5"/>
        <v>823399</v>
      </c>
      <c r="BP47" s="571">
        <v>0</v>
      </c>
      <c r="BQ47" s="198">
        <v>823399</v>
      </c>
      <c r="BR47" s="198">
        <v>0</v>
      </c>
      <c r="BS47" s="535">
        <f t="shared" si="19"/>
        <v>823399</v>
      </c>
      <c r="BT47" s="211">
        <f t="shared" si="20"/>
        <v>836326</v>
      </c>
      <c r="BU47" s="572">
        <v>0</v>
      </c>
      <c r="BV47" s="535">
        <f t="shared" si="6"/>
        <v>836326</v>
      </c>
      <c r="BX47" s="164">
        <f>ROUND(BQ47*(1.0157),0)</f>
        <v>836326</v>
      </c>
      <c r="BY47" s="198">
        <v>0</v>
      </c>
      <c r="BZ47" s="198">
        <v>924330</v>
      </c>
      <c r="CA47" s="535">
        <f t="shared" si="21"/>
        <v>1760656</v>
      </c>
      <c r="CB47" s="211">
        <f t="shared" si="22"/>
        <v>1775622</v>
      </c>
      <c r="CC47" s="572">
        <f>+'[3]14-15 $140M Workload Restore'!AP45</f>
        <v>1661405</v>
      </c>
      <c r="CD47" s="535">
        <f t="shared" si="7"/>
        <v>114217</v>
      </c>
      <c r="CF47" s="211">
        <f t="shared" si="23"/>
        <v>843435</v>
      </c>
      <c r="CG47" s="211">
        <f t="shared" si="8"/>
        <v>0</v>
      </c>
      <c r="CH47" s="211">
        <f t="shared" si="8"/>
        <v>932187</v>
      </c>
      <c r="CI47" s="211">
        <f t="shared" si="24"/>
        <v>1775622</v>
      </c>
    </row>
    <row r="48" spans="1:87" ht="15.75" thickBot="1">
      <c r="A48" s="523" t="s">
        <v>149</v>
      </c>
      <c r="F48" s="587">
        <v>922370</v>
      </c>
      <c r="G48" s="585"/>
      <c r="H48" s="211"/>
      <c r="I48" s="211"/>
      <c r="J48" s="569">
        <f t="shared" si="9"/>
        <v>0</v>
      </c>
      <c r="K48" s="211"/>
      <c r="L48" s="211">
        <f t="shared" si="32"/>
        <v>0</v>
      </c>
      <c r="M48" s="211"/>
      <c r="N48" s="583">
        <v>0</v>
      </c>
      <c r="O48" s="583">
        <v>0</v>
      </c>
      <c r="P48" s="211">
        <f t="shared" ref="P48:P80" si="33">ROUND(M48*1.0592,0)</f>
        <v>0</v>
      </c>
      <c r="Q48" s="211">
        <f t="shared" si="25"/>
        <v>0</v>
      </c>
      <c r="R48" s="535">
        <f t="shared" si="27"/>
        <v>0</v>
      </c>
      <c r="S48" s="211">
        <v>0</v>
      </c>
      <c r="T48" s="535">
        <f t="shared" si="26"/>
        <v>0</v>
      </c>
      <c r="V48" s="211">
        <v>0</v>
      </c>
      <c r="W48" s="211">
        <v>0</v>
      </c>
      <c r="X48" s="211">
        <v>0</v>
      </c>
      <c r="Y48" s="211">
        <v>0</v>
      </c>
      <c r="Z48" s="535">
        <f t="shared" si="12"/>
        <v>0</v>
      </c>
      <c r="AA48" s="211">
        <v>0</v>
      </c>
      <c r="AB48" s="535">
        <f t="shared" si="13"/>
        <v>0</v>
      </c>
      <c r="AD48" s="211">
        <v>0</v>
      </c>
      <c r="AE48" s="211">
        <v>0</v>
      </c>
      <c r="AF48" s="211">
        <v>0</v>
      </c>
      <c r="AG48" s="211">
        <v>0</v>
      </c>
      <c r="AH48" s="535">
        <f t="shared" si="14"/>
        <v>0</v>
      </c>
      <c r="AI48" s="211">
        <v>0</v>
      </c>
      <c r="AJ48" s="535">
        <f t="shared" si="15"/>
        <v>0</v>
      </c>
      <c r="AL48" s="211">
        <v>0</v>
      </c>
      <c r="AM48" s="211">
        <v>0</v>
      </c>
      <c r="AN48" s="211">
        <v>0</v>
      </c>
      <c r="AO48" s="211">
        <v>0</v>
      </c>
      <c r="AP48" s="535">
        <f t="shared" si="16"/>
        <v>0</v>
      </c>
      <c r="AQ48" s="211">
        <v>0</v>
      </c>
      <c r="AR48" s="145">
        <f t="shared" si="28"/>
        <v>0</v>
      </c>
      <c r="AT48" s="211">
        <v>0</v>
      </c>
      <c r="AU48" s="211">
        <v>0</v>
      </c>
      <c r="AV48" s="211">
        <v>0</v>
      </c>
      <c r="AW48" s="211">
        <v>0</v>
      </c>
      <c r="AX48" s="535">
        <f t="shared" si="29"/>
        <v>0</v>
      </c>
      <c r="AY48" s="211">
        <v>0</v>
      </c>
      <c r="AZ48" s="535">
        <f t="shared" si="1"/>
        <v>0</v>
      </c>
      <c r="BB48" s="571">
        <v>0</v>
      </c>
      <c r="BC48" s="571">
        <v>0</v>
      </c>
      <c r="BD48" s="198">
        <v>0</v>
      </c>
      <c r="BE48" s="535">
        <f t="shared" si="2"/>
        <v>0</v>
      </c>
      <c r="BF48" s="571">
        <v>0</v>
      </c>
      <c r="BG48" s="535">
        <f t="shared" si="3"/>
        <v>0</v>
      </c>
      <c r="BI48" s="571">
        <v>0</v>
      </c>
      <c r="BJ48" s="571">
        <v>0</v>
      </c>
      <c r="BK48" s="198">
        <v>0</v>
      </c>
      <c r="BL48" s="535">
        <f t="shared" si="4"/>
        <v>0</v>
      </c>
      <c r="BM48" s="571">
        <v>0</v>
      </c>
      <c r="BN48" s="535">
        <f t="shared" si="5"/>
        <v>0</v>
      </c>
      <c r="BP48" s="571">
        <v>0</v>
      </c>
      <c r="BQ48" s="198">
        <v>0</v>
      </c>
      <c r="BR48" s="198">
        <v>0</v>
      </c>
      <c r="BS48" s="535">
        <f t="shared" si="19"/>
        <v>0</v>
      </c>
      <c r="BT48" s="211">
        <f t="shared" si="20"/>
        <v>0</v>
      </c>
      <c r="BU48" s="572">
        <v>0</v>
      </c>
      <c r="BV48" s="535">
        <f t="shared" si="6"/>
        <v>0</v>
      </c>
      <c r="BX48" s="198">
        <v>0</v>
      </c>
      <c r="BY48" s="198">
        <v>0</v>
      </c>
      <c r="BZ48" s="198">
        <v>0</v>
      </c>
      <c r="CA48" s="535">
        <f t="shared" si="21"/>
        <v>0</v>
      </c>
      <c r="CB48" s="211">
        <f t="shared" si="22"/>
        <v>0</v>
      </c>
      <c r="CC48" s="572">
        <f>+'[3]14-15 $140M Workload Restore'!AP46</f>
        <v>0</v>
      </c>
      <c r="CD48" s="535">
        <f t="shared" si="7"/>
        <v>0</v>
      </c>
      <c r="CF48" s="211">
        <f t="shared" si="23"/>
        <v>0</v>
      </c>
      <c r="CG48" s="211">
        <f t="shared" si="8"/>
        <v>0</v>
      </c>
      <c r="CH48" s="211">
        <f t="shared" si="8"/>
        <v>0</v>
      </c>
      <c r="CI48" s="211">
        <f t="shared" si="24"/>
        <v>0</v>
      </c>
    </row>
    <row r="49" spans="1:87" ht="15.75" thickBot="1">
      <c r="A49" s="523" t="s">
        <v>150</v>
      </c>
      <c r="F49" s="211"/>
      <c r="G49" s="568"/>
      <c r="H49" s="211"/>
      <c r="I49" s="211"/>
      <c r="J49" s="569">
        <f t="shared" si="9"/>
        <v>0</v>
      </c>
      <c r="K49" s="211"/>
      <c r="L49" s="211">
        <f t="shared" si="32"/>
        <v>0</v>
      </c>
      <c r="M49" s="211"/>
      <c r="N49" s="583">
        <v>0</v>
      </c>
      <c r="O49" s="583">
        <v>0</v>
      </c>
      <c r="P49" s="211">
        <f t="shared" si="33"/>
        <v>0</v>
      </c>
      <c r="Q49" s="211">
        <f t="shared" si="25"/>
        <v>0</v>
      </c>
      <c r="R49" s="535">
        <f t="shared" si="27"/>
        <v>0</v>
      </c>
      <c r="S49" s="211">
        <v>0</v>
      </c>
      <c r="T49" s="535">
        <f t="shared" si="26"/>
        <v>0</v>
      </c>
      <c r="V49" s="211">
        <v>0</v>
      </c>
      <c r="W49" s="211">
        <v>0</v>
      </c>
      <c r="X49" s="211">
        <v>0</v>
      </c>
      <c r="Y49" s="211">
        <v>0</v>
      </c>
      <c r="Z49" s="535">
        <f t="shared" si="12"/>
        <v>0</v>
      </c>
      <c r="AA49" s="211">
        <v>0</v>
      </c>
      <c r="AB49" s="535">
        <f t="shared" si="13"/>
        <v>0</v>
      </c>
      <c r="AD49" s="211">
        <v>0</v>
      </c>
      <c r="AE49" s="211">
        <v>0</v>
      </c>
      <c r="AF49" s="211">
        <v>0</v>
      </c>
      <c r="AG49" s="211">
        <v>0</v>
      </c>
      <c r="AH49" s="535">
        <f t="shared" si="14"/>
        <v>0</v>
      </c>
      <c r="AI49" s="211">
        <v>0</v>
      </c>
      <c r="AJ49" s="535">
        <f t="shared" si="15"/>
        <v>0</v>
      </c>
      <c r="AL49" s="211">
        <v>0</v>
      </c>
      <c r="AM49" s="211">
        <v>0</v>
      </c>
      <c r="AN49" s="211">
        <v>0</v>
      </c>
      <c r="AO49" s="211">
        <v>0</v>
      </c>
      <c r="AP49" s="535">
        <f t="shared" si="16"/>
        <v>0</v>
      </c>
      <c r="AQ49" s="211">
        <v>0</v>
      </c>
      <c r="AR49" s="145">
        <f t="shared" si="28"/>
        <v>0</v>
      </c>
      <c r="AT49" s="211">
        <v>0</v>
      </c>
      <c r="AU49" s="211">
        <v>0</v>
      </c>
      <c r="AV49" s="211">
        <v>0</v>
      </c>
      <c r="AW49" s="211">
        <v>0</v>
      </c>
      <c r="AX49" s="535">
        <f t="shared" si="29"/>
        <v>0</v>
      </c>
      <c r="AY49" s="211">
        <v>0</v>
      </c>
      <c r="AZ49" s="535">
        <f t="shared" si="1"/>
        <v>0</v>
      </c>
      <c r="BB49" s="571">
        <v>0</v>
      </c>
      <c r="BC49" s="571">
        <v>0</v>
      </c>
      <c r="BD49" s="198">
        <v>0</v>
      </c>
      <c r="BE49" s="535">
        <f t="shared" si="2"/>
        <v>0</v>
      </c>
      <c r="BF49" s="571">
        <v>0</v>
      </c>
      <c r="BG49" s="535">
        <f t="shared" si="3"/>
        <v>0</v>
      </c>
      <c r="BI49" s="571">
        <v>0</v>
      </c>
      <c r="BJ49" s="571">
        <v>0</v>
      </c>
      <c r="BK49" s="198">
        <v>0</v>
      </c>
      <c r="BL49" s="535">
        <f t="shared" si="4"/>
        <v>0</v>
      </c>
      <c r="BM49" s="571">
        <v>0</v>
      </c>
      <c r="BN49" s="535">
        <f t="shared" si="5"/>
        <v>0</v>
      </c>
      <c r="BP49" s="571">
        <v>0</v>
      </c>
      <c r="BQ49" s="198">
        <v>0</v>
      </c>
      <c r="BR49" s="198">
        <v>0</v>
      </c>
      <c r="BS49" s="535">
        <f t="shared" si="19"/>
        <v>0</v>
      </c>
      <c r="BT49" s="211">
        <f t="shared" si="20"/>
        <v>0</v>
      </c>
      <c r="BU49" s="572">
        <v>0</v>
      </c>
      <c r="BV49" s="535">
        <f t="shared" si="6"/>
        <v>0</v>
      </c>
      <c r="BX49" s="198">
        <v>0</v>
      </c>
      <c r="BY49" s="198">
        <v>0</v>
      </c>
      <c r="BZ49" s="198">
        <v>0</v>
      </c>
      <c r="CA49" s="535">
        <f t="shared" si="21"/>
        <v>0</v>
      </c>
      <c r="CB49" s="211">
        <f t="shared" si="22"/>
        <v>0</v>
      </c>
      <c r="CC49" s="572">
        <f>+'[3]14-15 $140M Workload Restore'!AP47</f>
        <v>0</v>
      </c>
      <c r="CD49" s="535">
        <f t="shared" si="7"/>
        <v>0</v>
      </c>
      <c r="CF49" s="211">
        <f t="shared" si="23"/>
        <v>0</v>
      </c>
      <c r="CG49" s="211">
        <f t="shared" si="8"/>
        <v>0</v>
      </c>
      <c r="CH49" s="211">
        <f t="shared" si="8"/>
        <v>0</v>
      </c>
      <c r="CI49" s="211">
        <f t="shared" si="24"/>
        <v>0</v>
      </c>
    </row>
    <row r="50" spans="1:87" ht="15.75" thickBot="1">
      <c r="A50" s="523" t="s">
        <v>151</v>
      </c>
      <c r="F50" s="211"/>
      <c r="G50" s="584">
        <v>21335</v>
      </c>
      <c r="H50" s="211"/>
      <c r="I50" s="211"/>
      <c r="J50" s="569">
        <f t="shared" si="9"/>
        <v>0</v>
      </c>
      <c r="K50" s="211"/>
      <c r="L50" s="211">
        <f t="shared" si="32"/>
        <v>0</v>
      </c>
      <c r="M50" s="211"/>
      <c r="N50" s="583">
        <v>0</v>
      </c>
      <c r="O50" s="583">
        <v>0</v>
      </c>
      <c r="P50" s="211">
        <f t="shared" si="33"/>
        <v>0</v>
      </c>
      <c r="Q50" s="211">
        <f t="shared" si="25"/>
        <v>0</v>
      </c>
      <c r="R50" s="535">
        <f t="shared" si="27"/>
        <v>0</v>
      </c>
      <c r="S50" s="211">
        <v>0</v>
      </c>
      <c r="T50" s="535">
        <f t="shared" si="26"/>
        <v>0</v>
      </c>
      <c r="V50" s="211">
        <v>0</v>
      </c>
      <c r="W50" s="211">
        <v>0</v>
      </c>
      <c r="X50" s="211">
        <v>0</v>
      </c>
      <c r="Y50" s="211">
        <v>0</v>
      </c>
      <c r="Z50" s="535">
        <f t="shared" si="12"/>
        <v>0</v>
      </c>
      <c r="AA50" s="211">
        <v>0</v>
      </c>
      <c r="AB50" s="535">
        <f t="shared" si="13"/>
        <v>0</v>
      </c>
      <c r="AD50" s="211">
        <v>0</v>
      </c>
      <c r="AE50" s="211">
        <v>0</v>
      </c>
      <c r="AF50" s="211">
        <v>0</v>
      </c>
      <c r="AG50" s="211">
        <v>0</v>
      </c>
      <c r="AH50" s="535">
        <f t="shared" si="14"/>
        <v>0</v>
      </c>
      <c r="AI50" s="211">
        <v>0</v>
      </c>
      <c r="AJ50" s="535">
        <f t="shared" si="15"/>
        <v>0</v>
      </c>
      <c r="AL50" s="211">
        <v>0</v>
      </c>
      <c r="AM50" s="211">
        <v>0</v>
      </c>
      <c r="AN50" s="211">
        <v>0</v>
      </c>
      <c r="AO50" s="211">
        <v>0</v>
      </c>
      <c r="AP50" s="535">
        <f t="shared" si="16"/>
        <v>0</v>
      </c>
      <c r="AQ50" s="211">
        <v>0</v>
      </c>
      <c r="AR50" s="145">
        <f t="shared" si="28"/>
        <v>0</v>
      </c>
      <c r="AT50" s="211">
        <v>0</v>
      </c>
      <c r="AU50" s="211">
        <v>0</v>
      </c>
      <c r="AV50" s="211">
        <v>0</v>
      </c>
      <c r="AW50" s="211">
        <v>0</v>
      </c>
      <c r="AX50" s="535">
        <f t="shared" si="29"/>
        <v>0</v>
      </c>
      <c r="AY50" s="211">
        <v>0</v>
      </c>
      <c r="AZ50" s="535">
        <f t="shared" si="1"/>
        <v>0</v>
      </c>
      <c r="BB50" s="571">
        <v>0</v>
      </c>
      <c r="BC50" s="571">
        <v>0</v>
      </c>
      <c r="BD50" s="198">
        <v>0</v>
      </c>
      <c r="BE50" s="535">
        <f t="shared" si="2"/>
        <v>0</v>
      </c>
      <c r="BF50" s="571">
        <v>0</v>
      </c>
      <c r="BG50" s="535">
        <f t="shared" si="3"/>
        <v>0</v>
      </c>
      <c r="BI50" s="571">
        <v>0</v>
      </c>
      <c r="BJ50" s="571">
        <v>0</v>
      </c>
      <c r="BK50" s="198">
        <v>0</v>
      </c>
      <c r="BL50" s="535">
        <f t="shared" si="4"/>
        <v>0</v>
      </c>
      <c r="BM50" s="571">
        <v>0</v>
      </c>
      <c r="BN50" s="535">
        <f t="shared" si="5"/>
        <v>0</v>
      </c>
      <c r="BP50" s="571">
        <v>0</v>
      </c>
      <c r="BQ50" s="198">
        <v>0</v>
      </c>
      <c r="BR50" s="198">
        <v>0</v>
      </c>
      <c r="BS50" s="535">
        <f t="shared" si="19"/>
        <v>0</v>
      </c>
      <c r="BT50" s="211">
        <f t="shared" si="20"/>
        <v>0</v>
      </c>
      <c r="BU50" s="572">
        <v>0</v>
      </c>
      <c r="BV50" s="535">
        <f t="shared" si="6"/>
        <v>0</v>
      </c>
      <c r="BX50" s="198">
        <v>0</v>
      </c>
      <c r="BY50" s="198">
        <v>0</v>
      </c>
      <c r="BZ50" s="198">
        <v>0</v>
      </c>
      <c r="CA50" s="535">
        <f t="shared" si="21"/>
        <v>0</v>
      </c>
      <c r="CB50" s="211">
        <f t="shared" si="22"/>
        <v>0</v>
      </c>
      <c r="CC50" s="572">
        <f>+'[3]14-15 $140M Workload Restore'!AP48</f>
        <v>0</v>
      </c>
      <c r="CD50" s="535">
        <f t="shared" si="7"/>
        <v>0</v>
      </c>
      <c r="CF50" s="211">
        <f t="shared" si="23"/>
        <v>0</v>
      </c>
      <c r="CG50" s="211">
        <f t="shared" si="8"/>
        <v>0</v>
      </c>
      <c r="CH50" s="211">
        <f t="shared" si="8"/>
        <v>0</v>
      </c>
      <c r="CI50" s="211">
        <f t="shared" si="24"/>
        <v>0</v>
      </c>
    </row>
    <row r="51" spans="1:87" ht="15.75" thickBot="1">
      <c r="A51" s="523" t="s">
        <v>152</v>
      </c>
      <c r="F51" s="211"/>
      <c r="G51" s="568"/>
      <c r="H51" s="211"/>
      <c r="I51" s="211"/>
      <c r="J51" s="569">
        <f t="shared" si="9"/>
        <v>0</v>
      </c>
      <c r="K51" s="211"/>
      <c r="L51" s="211">
        <f t="shared" si="32"/>
        <v>0</v>
      </c>
      <c r="M51" s="211"/>
      <c r="N51" s="583">
        <v>0</v>
      </c>
      <c r="O51" s="583">
        <v>0</v>
      </c>
      <c r="P51" s="211">
        <f t="shared" si="33"/>
        <v>0</v>
      </c>
      <c r="Q51" s="211">
        <f t="shared" si="25"/>
        <v>0</v>
      </c>
      <c r="R51" s="535">
        <f t="shared" si="27"/>
        <v>0</v>
      </c>
      <c r="S51" s="211">
        <v>0</v>
      </c>
      <c r="T51" s="535">
        <f t="shared" si="26"/>
        <v>0</v>
      </c>
      <c r="V51" s="211">
        <v>0</v>
      </c>
      <c r="W51" s="211">
        <v>0</v>
      </c>
      <c r="X51" s="211">
        <v>0</v>
      </c>
      <c r="Y51" s="211">
        <v>0</v>
      </c>
      <c r="Z51" s="535">
        <f t="shared" si="12"/>
        <v>0</v>
      </c>
      <c r="AA51" s="211">
        <v>0</v>
      </c>
      <c r="AB51" s="535">
        <f t="shared" si="13"/>
        <v>0</v>
      </c>
      <c r="AD51" s="211">
        <v>0</v>
      </c>
      <c r="AE51" s="211">
        <v>0</v>
      </c>
      <c r="AF51" s="211">
        <v>0</v>
      </c>
      <c r="AG51" s="211">
        <v>0</v>
      </c>
      <c r="AH51" s="535">
        <f t="shared" si="14"/>
        <v>0</v>
      </c>
      <c r="AI51" s="211">
        <v>0</v>
      </c>
      <c r="AJ51" s="535">
        <f t="shared" si="15"/>
        <v>0</v>
      </c>
      <c r="AL51" s="211">
        <v>0</v>
      </c>
      <c r="AM51" s="211">
        <v>0</v>
      </c>
      <c r="AN51" s="211">
        <v>0</v>
      </c>
      <c r="AO51" s="211">
        <v>0</v>
      </c>
      <c r="AP51" s="535">
        <f t="shared" si="16"/>
        <v>0</v>
      </c>
      <c r="AQ51" s="211">
        <v>0</v>
      </c>
      <c r="AR51" s="145">
        <f t="shared" si="28"/>
        <v>0</v>
      </c>
      <c r="AT51" s="211">
        <v>0</v>
      </c>
      <c r="AU51" s="211">
        <v>0</v>
      </c>
      <c r="AV51" s="211">
        <v>0</v>
      </c>
      <c r="AW51" s="211">
        <v>0</v>
      </c>
      <c r="AX51" s="535">
        <f t="shared" si="29"/>
        <v>0</v>
      </c>
      <c r="AY51" s="211">
        <v>0</v>
      </c>
      <c r="AZ51" s="535">
        <f t="shared" si="1"/>
        <v>0</v>
      </c>
      <c r="BB51" s="571">
        <v>0</v>
      </c>
      <c r="BC51" s="571">
        <v>0</v>
      </c>
      <c r="BD51" s="198">
        <v>0</v>
      </c>
      <c r="BE51" s="535">
        <f t="shared" si="2"/>
        <v>0</v>
      </c>
      <c r="BF51" s="571">
        <v>0</v>
      </c>
      <c r="BG51" s="535">
        <f t="shared" si="3"/>
        <v>0</v>
      </c>
      <c r="BI51" s="571">
        <v>0</v>
      </c>
      <c r="BJ51" s="571">
        <v>0</v>
      </c>
      <c r="BK51" s="198">
        <v>1402692</v>
      </c>
      <c r="BL51" s="535">
        <f t="shared" si="4"/>
        <v>1402692</v>
      </c>
      <c r="BM51" s="571">
        <v>1402692</v>
      </c>
      <c r="BN51" s="535">
        <f>BL51-BM51</f>
        <v>0</v>
      </c>
      <c r="BP51" s="571">
        <v>0</v>
      </c>
      <c r="BQ51" s="571">
        <v>0</v>
      </c>
      <c r="BR51" s="198">
        <v>0</v>
      </c>
      <c r="BS51" s="535">
        <f t="shared" si="19"/>
        <v>0</v>
      </c>
      <c r="BT51" s="211">
        <f t="shared" si="20"/>
        <v>0</v>
      </c>
      <c r="BU51" s="572">
        <v>0</v>
      </c>
      <c r="BV51" s="535">
        <f t="shared" si="6"/>
        <v>0</v>
      </c>
      <c r="BX51" s="571">
        <v>0</v>
      </c>
      <c r="BY51" s="198">
        <v>0</v>
      </c>
      <c r="BZ51" s="198">
        <v>0</v>
      </c>
      <c r="CA51" s="535">
        <f t="shared" si="21"/>
        <v>0</v>
      </c>
      <c r="CB51" s="211">
        <f t="shared" si="22"/>
        <v>0</v>
      </c>
      <c r="CC51" s="572">
        <f>+'[3]14-15 $140M Workload Restore'!AP49</f>
        <v>0</v>
      </c>
      <c r="CD51" s="535">
        <f t="shared" si="7"/>
        <v>0</v>
      </c>
      <c r="CF51" s="211">
        <f t="shared" si="23"/>
        <v>0</v>
      </c>
      <c r="CG51" s="211">
        <f t="shared" si="8"/>
        <v>0</v>
      </c>
      <c r="CH51" s="211">
        <f t="shared" si="8"/>
        <v>0</v>
      </c>
      <c r="CI51" s="211">
        <f t="shared" si="24"/>
        <v>0</v>
      </c>
    </row>
    <row r="52" spans="1:87" ht="15.75" thickBot="1">
      <c r="A52" s="591" t="s">
        <v>153</v>
      </c>
      <c r="B52" s="591"/>
      <c r="F52" s="584">
        <v>207213</v>
      </c>
      <c r="G52" s="585"/>
      <c r="H52" s="211"/>
      <c r="I52" s="211">
        <v>41480</v>
      </c>
      <c r="J52" s="569">
        <f t="shared" si="9"/>
        <v>46898</v>
      </c>
      <c r="K52" s="211">
        <v>1776825</v>
      </c>
      <c r="L52" s="211">
        <f t="shared" si="32"/>
        <v>1776825</v>
      </c>
      <c r="M52" s="211">
        <v>250987</v>
      </c>
      <c r="N52" s="583">
        <v>-54.83</v>
      </c>
      <c r="O52" s="583">
        <v>-4.67</v>
      </c>
      <c r="P52" s="211">
        <f t="shared" si="33"/>
        <v>265845</v>
      </c>
      <c r="Q52" s="211">
        <f t="shared" si="25"/>
        <v>251706</v>
      </c>
      <c r="R52" s="535">
        <f t="shared" si="27"/>
        <v>2089568</v>
      </c>
      <c r="S52" s="211">
        <v>0</v>
      </c>
      <c r="T52" s="535">
        <f t="shared" si="26"/>
        <v>2089568</v>
      </c>
      <c r="V52" s="211">
        <f>ROUND(L52,0)</f>
        <v>1776825</v>
      </c>
      <c r="W52" s="211">
        <f>ROUND(P52*1.0453,0)</f>
        <v>277888</v>
      </c>
      <c r="X52" s="211">
        <v>1891044</v>
      </c>
      <c r="Y52" s="211">
        <f>ROUND(1891044*1.0453,0)</f>
        <v>1976708</v>
      </c>
      <c r="Z52" s="535">
        <f t="shared" si="12"/>
        <v>4031421</v>
      </c>
      <c r="AA52" s="211">
        <v>1194623</v>
      </c>
      <c r="AB52" s="535">
        <f t="shared" si="13"/>
        <v>2836798</v>
      </c>
      <c r="AD52" s="211">
        <f>W52</f>
        <v>277888</v>
      </c>
      <c r="AE52" s="211">
        <f>Y52</f>
        <v>1976708</v>
      </c>
      <c r="AF52" s="211">
        <v>0</v>
      </c>
      <c r="AG52" s="211">
        <v>0</v>
      </c>
      <c r="AH52" s="535">
        <f t="shared" si="14"/>
        <v>2254596</v>
      </c>
      <c r="AI52" s="211">
        <v>2255392</v>
      </c>
      <c r="AJ52" s="535">
        <f t="shared" si="15"/>
        <v>0</v>
      </c>
      <c r="AL52" s="211">
        <v>0</v>
      </c>
      <c r="AM52" s="211">
        <v>0</v>
      </c>
      <c r="AN52" s="211">
        <v>0</v>
      </c>
      <c r="AO52" s="211">
        <v>0</v>
      </c>
      <c r="AP52" s="535">
        <f t="shared" si="16"/>
        <v>0</v>
      </c>
      <c r="AQ52" s="211">
        <v>0</v>
      </c>
      <c r="AR52" s="145">
        <f t="shared" si="28"/>
        <v>0</v>
      </c>
      <c r="AT52" s="211">
        <v>0</v>
      </c>
      <c r="AU52" s="211">
        <v>0</v>
      </c>
      <c r="AV52" s="211">
        <v>0</v>
      </c>
      <c r="AW52" s="211">
        <v>0</v>
      </c>
      <c r="AX52" s="535">
        <f t="shared" si="29"/>
        <v>0</v>
      </c>
      <c r="AY52" s="211">
        <v>0</v>
      </c>
      <c r="AZ52" s="535">
        <f t="shared" si="1"/>
        <v>0</v>
      </c>
      <c r="BB52" s="571">
        <v>0</v>
      </c>
      <c r="BC52" s="571">
        <v>0</v>
      </c>
      <c r="BD52" s="198">
        <v>0</v>
      </c>
      <c r="BE52" s="535">
        <f t="shared" si="2"/>
        <v>0</v>
      </c>
      <c r="BF52" s="571">
        <v>0</v>
      </c>
      <c r="BG52" s="535">
        <f t="shared" si="3"/>
        <v>0</v>
      </c>
      <c r="BI52" s="571">
        <v>0</v>
      </c>
      <c r="BJ52" s="571">
        <v>0</v>
      </c>
      <c r="BK52" s="198">
        <v>1257572</v>
      </c>
      <c r="BL52" s="535">
        <f t="shared" si="4"/>
        <v>1257572</v>
      </c>
      <c r="BM52" s="571">
        <v>0</v>
      </c>
      <c r="BN52" s="535">
        <f t="shared" si="5"/>
        <v>1257572</v>
      </c>
      <c r="BP52" s="571">
        <v>0</v>
      </c>
      <c r="BQ52" s="198">
        <v>1257572</v>
      </c>
      <c r="BR52" s="198">
        <v>692660</v>
      </c>
      <c r="BS52" s="535">
        <f t="shared" si="19"/>
        <v>1950232</v>
      </c>
      <c r="BT52" s="211">
        <f t="shared" si="20"/>
        <v>1980851</v>
      </c>
      <c r="BU52" s="572">
        <v>0</v>
      </c>
      <c r="BV52" s="535">
        <f t="shared" si="6"/>
        <v>1980851</v>
      </c>
      <c r="BX52" s="164">
        <f>ROUND(BQ52*(1.0157),0)</f>
        <v>1277316</v>
      </c>
      <c r="BY52" s="164">
        <f>ROUND(BR52*(1.0157),0)</f>
        <v>703535</v>
      </c>
      <c r="BZ52" s="198">
        <v>2847716</v>
      </c>
      <c r="CA52" s="535">
        <f t="shared" si="21"/>
        <v>4828567</v>
      </c>
      <c r="CB52" s="211">
        <f t="shared" si="22"/>
        <v>4869610</v>
      </c>
      <c r="CC52" s="572">
        <f>+'[3]14-15 $140M Workload Restore'!AP50</f>
        <v>906732</v>
      </c>
      <c r="CD52" s="535">
        <f t="shared" si="7"/>
        <v>3962878</v>
      </c>
      <c r="CF52" s="211">
        <f t="shared" si="23"/>
        <v>1288173</v>
      </c>
      <c r="CG52" s="211">
        <f t="shared" si="8"/>
        <v>709515</v>
      </c>
      <c r="CH52" s="211">
        <f t="shared" si="8"/>
        <v>2871922</v>
      </c>
      <c r="CI52" s="211">
        <f t="shared" si="24"/>
        <v>4869610</v>
      </c>
    </row>
    <row r="53" spans="1:87" ht="15">
      <c r="A53" s="523" t="s">
        <v>154</v>
      </c>
      <c r="F53" s="211"/>
      <c r="G53" s="568"/>
      <c r="H53" s="211"/>
      <c r="I53" s="211"/>
      <c r="J53" s="569">
        <f t="shared" si="9"/>
        <v>0</v>
      </c>
      <c r="K53" s="211"/>
      <c r="L53" s="211">
        <f t="shared" si="32"/>
        <v>0</v>
      </c>
      <c r="M53" s="211">
        <v>1402670</v>
      </c>
      <c r="N53" s="583">
        <v>-421.78</v>
      </c>
      <c r="O53" s="583">
        <v>4.5999999999999996</v>
      </c>
      <c r="P53" s="211">
        <f t="shared" si="33"/>
        <v>1485708</v>
      </c>
      <c r="Q53" s="39">
        <f t="shared" si="25"/>
        <v>1829834</v>
      </c>
      <c r="R53" s="535">
        <f t="shared" si="27"/>
        <v>1829834</v>
      </c>
      <c r="S53" s="211">
        <v>1829834</v>
      </c>
      <c r="T53" s="535">
        <f t="shared" si="26"/>
        <v>0</v>
      </c>
      <c r="V53" s="211">
        <v>0</v>
      </c>
      <c r="W53" s="211">
        <v>0</v>
      </c>
      <c r="X53" s="211">
        <v>0</v>
      </c>
      <c r="Y53" s="211">
        <v>0</v>
      </c>
      <c r="Z53" s="535">
        <f t="shared" si="12"/>
        <v>0</v>
      </c>
      <c r="AA53" s="211">
        <v>0</v>
      </c>
      <c r="AB53" s="535">
        <f t="shared" si="13"/>
        <v>0</v>
      </c>
      <c r="AD53" s="211">
        <v>0</v>
      </c>
      <c r="AE53" s="211">
        <v>0</v>
      </c>
      <c r="AF53" s="211">
        <v>0</v>
      </c>
      <c r="AG53" s="211">
        <v>0</v>
      </c>
      <c r="AH53" s="535">
        <f t="shared" si="14"/>
        <v>0</v>
      </c>
      <c r="AI53" s="211">
        <v>0</v>
      </c>
      <c r="AJ53" s="535">
        <f t="shared" si="15"/>
        <v>0</v>
      </c>
      <c r="AL53" s="211">
        <v>0</v>
      </c>
      <c r="AM53" s="211">
        <v>0</v>
      </c>
      <c r="AN53" s="211">
        <v>0</v>
      </c>
      <c r="AO53" s="211">
        <v>0</v>
      </c>
      <c r="AP53" s="535">
        <f t="shared" si="16"/>
        <v>0</v>
      </c>
      <c r="AQ53" s="211">
        <v>0</v>
      </c>
      <c r="AR53" s="145">
        <f t="shared" si="28"/>
        <v>0</v>
      </c>
      <c r="AT53" s="211">
        <v>0</v>
      </c>
      <c r="AU53" s="211">
        <v>0</v>
      </c>
      <c r="AV53" s="211">
        <v>0</v>
      </c>
      <c r="AW53" s="211">
        <v>0</v>
      </c>
      <c r="AX53" s="535">
        <f t="shared" si="29"/>
        <v>0</v>
      </c>
      <c r="AY53" s="211">
        <v>0</v>
      </c>
      <c r="AZ53" s="535">
        <f t="shared" si="1"/>
        <v>0</v>
      </c>
      <c r="BB53" s="571">
        <v>0</v>
      </c>
      <c r="BC53" s="571">
        <v>0</v>
      </c>
      <c r="BD53" s="198">
        <v>0</v>
      </c>
      <c r="BE53" s="535">
        <f t="shared" si="2"/>
        <v>0</v>
      </c>
      <c r="BF53" s="571">
        <v>0</v>
      </c>
      <c r="BG53" s="535">
        <f t="shared" si="3"/>
        <v>0</v>
      </c>
      <c r="BI53" s="571">
        <v>0</v>
      </c>
      <c r="BJ53" s="571">
        <v>0</v>
      </c>
      <c r="BK53" s="198">
        <v>0</v>
      </c>
      <c r="BL53" s="535">
        <f t="shared" si="4"/>
        <v>0</v>
      </c>
      <c r="BM53" s="571">
        <v>0</v>
      </c>
      <c r="BN53" s="535">
        <f t="shared" si="5"/>
        <v>0</v>
      </c>
      <c r="BP53" s="571">
        <v>0</v>
      </c>
      <c r="BQ53" s="198">
        <v>0</v>
      </c>
      <c r="BR53" s="198">
        <v>0</v>
      </c>
      <c r="BS53" s="535">
        <f t="shared" si="19"/>
        <v>0</v>
      </c>
      <c r="BT53" s="211">
        <f t="shared" si="20"/>
        <v>0</v>
      </c>
      <c r="BU53" s="572">
        <v>0</v>
      </c>
      <c r="BV53" s="535">
        <f t="shared" si="6"/>
        <v>0</v>
      </c>
      <c r="BX53" s="198">
        <v>0</v>
      </c>
      <c r="BY53" s="198">
        <v>0</v>
      </c>
      <c r="BZ53" s="198">
        <v>0</v>
      </c>
      <c r="CA53" s="535">
        <f t="shared" si="21"/>
        <v>0</v>
      </c>
      <c r="CB53" s="211">
        <f t="shared" si="22"/>
        <v>0</v>
      </c>
      <c r="CC53" s="572">
        <f>+'[3]14-15 $140M Workload Restore'!AP51</f>
        <v>0</v>
      </c>
      <c r="CD53" s="535">
        <f t="shared" si="7"/>
        <v>0</v>
      </c>
      <c r="CF53" s="211">
        <f t="shared" si="23"/>
        <v>0</v>
      </c>
      <c r="CG53" s="211">
        <f t="shared" si="8"/>
        <v>0</v>
      </c>
      <c r="CH53" s="211">
        <f t="shared" si="8"/>
        <v>0</v>
      </c>
      <c r="CI53" s="211">
        <f t="shared" si="24"/>
        <v>0</v>
      </c>
    </row>
    <row r="54" spans="1:87" ht="15">
      <c r="A54" s="523" t="s">
        <v>155</v>
      </c>
      <c r="F54" s="211"/>
      <c r="G54" s="568"/>
      <c r="H54" s="211"/>
      <c r="I54" s="211"/>
      <c r="J54" s="569">
        <f t="shared" si="9"/>
        <v>0</v>
      </c>
      <c r="K54" s="211"/>
      <c r="L54" s="211">
        <f t="shared" si="32"/>
        <v>0</v>
      </c>
      <c r="M54" s="211"/>
      <c r="N54" s="583">
        <v>0</v>
      </c>
      <c r="O54" s="583">
        <v>0</v>
      </c>
      <c r="P54" s="211">
        <f t="shared" si="33"/>
        <v>0</v>
      </c>
      <c r="Q54" s="211">
        <f t="shared" si="25"/>
        <v>0</v>
      </c>
      <c r="R54" s="535">
        <f t="shared" si="27"/>
        <v>0</v>
      </c>
      <c r="S54" s="211">
        <v>0</v>
      </c>
      <c r="T54" s="535">
        <f t="shared" si="26"/>
        <v>0</v>
      </c>
      <c r="V54" s="211">
        <v>0</v>
      </c>
      <c r="W54" s="211">
        <v>0</v>
      </c>
      <c r="X54" s="211">
        <v>10291478</v>
      </c>
      <c r="Y54" s="211">
        <f>ROUND(10291478*1.0453,0)</f>
        <v>10757682</v>
      </c>
      <c r="Z54" s="535">
        <f t="shared" si="12"/>
        <v>10757682</v>
      </c>
      <c r="AA54" s="211">
        <v>10757682</v>
      </c>
      <c r="AB54" s="535">
        <f t="shared" si="13"/>
        <v>0</v>
      </c>
      <c r="AD54" s="211">
        <v>0</v>
      </c>
      <c r="AE54" s="211">
        <v>0</v>
      </c>
      <c r="AF54" s="211">
        <v>0</v>
      </c>
      <c r="AG54" s="211">
        <v>0</v>
      </c>
      <c r="AH54" s="535">
        <f t="shared" si="14"/>
        <v>0</v>
      </c>
      <c r="AI54" s="211">
        <v>0</v>
      </c>
      <c r="AJ54" s="535">
        <f t="shared" si="15"/>
        <v>0</v>
      </c>
      <c r="AL54" s="211">
        <v>0</v>
      </c>
      <c r="AM54" s="211">
        <v>0</v>
      </c>
      <c r="AN54" s="211">
        <v>0</v>
      </c>
      <c r="AO54" s="211">
        <v>0</v>
      </c>
      <c r="AP54" s="535">
        <f t="shared" si="16"/>
        <v>0</v>
      </c>
      <c r="AQ54" s="211">
        <v>0</v>
      </c>
      <c r="AR54" s="145">
        <f t="shared" si="28"/>
        <v>0</v>
      </c>
      <c r="AT54" s="211">
        <v>0</v>
      </c>
      <c r="AU54" s="211">
        <v>0</v>
      </c>
      <c r="AV54" s="211">
        <v>0</v>
      </c>
      <c r="AW54" s="211">
        <v>0</v>
      </c>
      <c r="AX54" s="535">
        <f t="shared" si="29"/>
        <v>0</v>
      </c>
      <c r="AY54" s="211">
        <v>0</v>
      </c>
      <c r="AZ54" s="535">
        <f t="shared" si="1"/>
        <v>0</v>
      </c>
      <c r="BB54" s="571">
        <v>0</v>
      </c>
      <c r="BC54" s="571">
        <v>0</v>
      </c>
      <c r="BD54" s="198">
        <v>0</v>
      </c>
      <c r="BE54" s="535">
        <f t="shared" si="2"/>
        <v>0</v>
      </c>
      <c r="BF54" s="571">
        <v>0</v>
      </c>
      <c r="BG54" s="535">
        <f t="shared" si="3"/>
        <v>0</v>
      </c>
      <c r="BI54" s="571">
        <v>0</v>
      </c>
      <c r="BJ54" s="571">
        <v>0</v>
      </c>
      <c r="BK54" s="198">
        <v>0</v>
      </c>
      <c r="BL54" s="535">
        <f t="shared" si="4"/>
        <v>0</v>
      </c>
      <c r="BM54" s="571">
        <v>0</v>
      </c>
      <c r="BN54" s="535">
        <f t="shared" si="5"/>
        <v>0</v>
      </c>
      <c r="BP54" s="571">
        <v>0</v>
      </c>
      <c r="BQ54" s="198">
        <v>0</v>
      </c>
      <c r="BR54" s="198">
        <v>0</v>
      </c>
      <c r="BS54" s="535">
        <f t="shared" si="19"/>
        <v>0</v>
      </c>
      <c r="BT54" s="211">
        <f t="shared" si="20"/>
        <v>0</v>
      </c>
      <c r="BU54" s="572">
        <v>0</v>
      </c>
      <c r="BV54" s="535">
        <f t="shared" si="6"/>
        <v>0</v>
      </c>
      <c r="BX54" s="198">
        <v>0</v>
      </c>
      <c r="BY54" s="198">
        <v>0</v>
      </c>
      <c r="BZ54" s="198">
        <v>0</v>
      </c>
      <c r="CA54" s="535">
        <f t="shared" si="21"/>
        <v>0</v>
      </c>
      <c r="CB54" s="211">
        <f t="shared" si="22"/>
        <v>0</v>
      </c>
      <c r="CC54" s="572">
        <f>+'[3]14-15 $140M Workload Restore'!AP52</f>
        <v>0</v>
      </c>
      <c r="CD54" s="535">
        <f t="shared" si="7"/>
        <v>0</v>
      </c>
      <c r="CF54" s="211">
        <f t="shared" si="23"/>
        <v>0</v>
      </c>
      <c r="CG54" s="211">
        <f t="shared" si="8"/>
        <v>0</v>
      </c>
      <c r="CH54" s="211">
        <f t="shared" si="8"/>
        <v>0</v>
      </c>
      <c r="CI54" s="211">
        <f t="shared" si="24"/>
        <v>0</v>
      </c>
    </row>
    <row r="55" spans="1:87" ht="15.75" thickBot="1">
      <c r="A55" s="523" t="s">
        <v>156</v>
      </c>
      <c r="F55" s="211"/>
      <c r="G55" s="568"/>
      <c r="H55" s="211"/>
      <c r="I55" s="211"/>
      <c r="J55" s="569">
        <f t="shared" si="9"/>
        <v>0</v>
      </c>
      <c r="K55" s="211"/>
      <c r="L55" s="211">
        <f t="shared" si="32"/>
        <v>0</v>
      </c>
      <c r="M55" s="211">
        <v>3195786</v>
      </c>
      <c r="N55" s="583">
        <v>-800.66</v>
      </c>
      <c r="O55" s="583">
        <v>-13.82</v>
      </c>
      <c r="P55" s="211">
        <f t="shared" si="33"/>
        <v>3384977</v>
      </c>
      <c r="Q55" s="39">
        <f t="shared" si="25"/>
        <v>3532774</v>
      </c>
      <c r="R55" s="535">
        <f t="shared" si="27"/>
        <v>3532774</v>
      </c>
      <c r="S55" s="211">
        <v>2107200</v>
      </c>
      <c r="T55" s="535">
        <f t="shared" si="26"/>
        <v>1425574</v>
      </c>
      <c r="V55" s="211">
        <v>0</v>
      </c>
      <c r="W55" s="211">
        <f>ROUND((R55-S55)*1.0453,0)</f>
        <v>1490153</v>
      </c>
      <c r="X55" s="211">
        <v>0</v>
      </c>
      <c r="Y55" s="211">
        <v>0</v>
      </c>
      <c r="Z55" s="535">
        <f t="shared" si="12"/>
        <v>1490153</v>
      </c>
      <c r="AA55" s="211">
        <v>1490153</v>
      </c>
      <c r="AB55" s="535">
        <f t="shared" si="13"/>
        <v>0</v>
      </c>
      <c r="AD55" s="211">
        <v>0</v>
      </c>
      <c r="AE55" s="211">
        <v>0</v>
      </c>
      <c r="AF55" s="211">
        <v>0</v>
      </c>
      <c r="AG55" s="211">
        <v>0</v>
      </c>
      <c r="AH55" s="535">
        <f t="shared" si="14"/>
        <v>0</v>
      </c>
      <c r="AI55" s="211">
        <v>0</v>
      </c>
      <c r="AJ55" s="535">
        <f t="shared" si="15"/>
        <v>0</v>
      </c>
      <c r="AL55" s="211">
        <v>0</v>
      </c>
      <c r="AM55" s="211">
        <v>0</v>
      </c>
      <c r="AN55" s="211">
        <v>0</v>
      </c>
      <c r="AO55" s="211">
        <v>0</v>
      </c>
      <c r="AP55" s="535">
        <f t="shared" si="16"/>
        <v>0</v>
      </c>
      <c r="AQ55" s="211">
        <v>0</v>
      </c>
      <c r="AR55" s="145">
        <f t="shared" si="28"/>
        <v>0</v>
      </c>
      <c r="AT55" s="211">
        <v>0</v>
      </c>
      <c r="AU55" s="211">
        <v>0</v>
      </c>
      <c r="AV55" s="211">
        <v>0</v>
      </c>
      <c r="AW55" s="211">
        <v>0</v>
      </c>
      <c r="AX55" s="535">
        <f t="shared" si="29"/>
        <v>0</v>
      </c>
      <c r="AY55" s="211">
        <v>0</v>
      </c>
      <c r="AZ55" s="535">
        <f t="shared" si="1"/>
        <v>0</v>
      </c>
      <c r="BB55" s="571">
        <v>0</v>
      </c>
      <c r="BC55" s="571">
        <v>0</v>
      </c>
      <c r="BD55" s="198">
        <v>0</v>
      </c>
      <c r="BE55" s="535">
        <f t="shared" si="2"/>
        <v>0</v>
      </c>
      <c r="BF55" s="571">
        <v>0</v>
      </c>
      <c r="BG55" s="535">
        <f t="shared" si="3"/>
        <v>0</v>
      </c>
      <c r="BI55" s="571">
        <v>0</v>
      </c>
      <c r="BJ55" s="571">
        <v>0</v>
      </c>
      <c r="BK55" s="198">
        <v>0</v>
      </c>
      <c r="BL55" s="535">
        <f t="shared" si="4"/>
        <v>0</v>
      </c>
      <c r="BM55" s="571">
        <v>0</v>
      </c>
      <c r="BN55" s="535">
        <f t="shared" si="5"/>
        <v>0</v>
      </c>
      <c r="BP55" s="571">
        <v>0</v>
      </c>
      <c r="BQ55" s="198">
        <v>0</v>
      </c>
      <c r="BR55" s="198">
        <v>0</v>
      </c>
      <c r="BS55" s="535">
        <f t="shared" si="19"/>
        <v>0</v>
      </c>
      <c r="BT55" s="211">
        <f t="shared" si="20"/>
        <v>0</v>
      </c>
      <c r="BU55" s="572">
        <v>0</v>
      </c>
      <c r="BV55" s="535">
        <f t="shared" si="6"/>
        <v>0</v>
      </c>
      <c r="BX55" s="198">
        <v>0</v>
      </c>
      <c r="BY55" s="198">
        <v>0</v>
      </c>
      <c r="BZ55" s="198">
        <v>0</v>
      </c>
      <c r="CA55" s="535">
        <f t="shared" si="21"/>
        <v>0</v>
      </c>
      <c r="CB55" s="211">
        <f t="shared" si="22"/>
        <v>0</v>
      </c>
      <c r="CC55" s="572">
        <f>+'[3]14-15 $140M Workload Restore'!AP53</f>
        <v>0</v>
      </c>
      <c r="CD55" s="535">
        <f t="shared" si="7"/>
        <v>0</v>
      </c>
      <c r="CF55" s="211">
        <f t="shared" si="23"/>
        <v>0</v>
      </c>
      <c r="CG55" s="211">
        <f t="shared" si="8"/>
        <v>0</v>
      </c>
      <c r="CH55" s="211">
        <f t="shared" si="8"/>
        <v>0</v>
      </c>
      <c r="CI55" s="211">
        <f t="shared" si="24"/>
        <v>0</v>
      </c>
    </row>
    <row r="56" spans="1:87" ht="15.75" thickBot="1">
      <c r="A56" s="523" t="s">
        <v>157</v>
      </c>
      <c r="B56" s="592">
        <v>0</v>
      </c>
      <c r="C56" s="584">
        <v>891010</v>
      </c>
      <c r="D56" s="593"/>
      <c r="E56" s="211">
        <v>598821</v>
      </c>
      <c r="F56" s="211">
        <v>708699</v>
      </c>
      <c r="G56" s="584">
        <v>1107913</v>
      </c>
      <c r="H56" s="211"/>
      <c r="I56" s="211"/>
      <c r="J56" s="569">
        <f t="shared" si="9"/>
        <v>0</v>
      </c>
      <c r="K56" s="211"/>
      <c r="L56" s="211">
        <f t="shared" si="32"/>
        <v>0</v>
      </c>
      <c r="M56" s="211"/>
      <c r="N56" s="583">
        <v>0</v>
      </c>
      <c r="O56" s="583">
        <v>0</v>
      </c>
      <c r="P56" s="211">
        <f t="shared" si="33"/>
        <v>0</v>
      </c>
      <c r="Q56" s="211">
        <f t="shared" si="25"/>
        <v>0</v>
      </c>
      <c r="R56" s="535">
        <f t="shared" si="27"/>
        <v>0</v>
      </c>
      <c r="S56" s="211">
        <v>0</v>
      </c>
      <c r="T56" s="535">
        <f t="shared" si="26"/>
        <v>0</v>
      </c>
      <c r="V56" s="211">
        <v>0</v>
      </c>
      <c r="W56" s="211">
        <v>0</v>
      </c>
      <c r="X56" s="211">
        <v>0</v>
      </c>
      <c r="Y56" s="211">
        <v>0</v>
      </c>
      <c r="Z56" s="535">
        <f t="shared" si="12"/>
        <v>0</v>
      </c>
      <c r="AA56" s="211">
        <v>0</v>
      </c>
      <c r="AB56" s="535">
        <f t="shared" si="13"/>
        <v>0</v>
      </c>
      <c r="AD56" s="211">
        <v>0</v>
      </c>
      <c r="AE56" s="211">
        <v>0</v>
      </c>
      <c r="AF56" s="211">
        <v>0</v>
      </c>
      <c r="AG56" s="211">
        <v>0</v>
      </c>
      <c r="AH56" s="535">
        <f t="shared" si="14"/>
        <v>0</v>
      </c>
      <c r="AI56" s="211">
        <v>0</v>
      </c>
      <c r="AJ56" s="535">
        <f t="shared" si="15"/>
        <v>0</v>
      </c>
      <c r="AL56" s="211">
        <v>0</v>
      </c>
      <c r="AM56" s="211">
        <v>0</v>
      </c>
      <c r="AN56" s="211">
        <v>0</v>
      </c>
      <c r="AO56" s="211">
        <v>0</v>
      </c>
      <c r="AP56" s="535">
        <f t="shared" si="16"/>
        <v>0</v>
      </c>
      <c r="AQ56" s="211">
        <v>0</v>
      </c>
      <c r="AR56" s="145">
        <f t="shared" si="28"/>
        <v>0</v>
      </c>
      <c r="AT56" s="211">
        <v>0</v>
      </c>
      <c r="AU56" s="211">
        <v>0</v>
      </c>
      <c r="AV56" s="211">
        <v>0</v>
      </c>
      <c r="AW56" s="211">
        <v>0</v>
      </c>
      <c r="AX56" s="535">
        <f t="shared" si="29"/>
        <v>0</v>
      </c>
      <c r="AY56" s="211">
        <v>0</v>
      </c>
      <c r="AZ56" s="535">
        <f t="shared" si="1"/>
        <v>0</v>
      </c>
      <c r="BB56" s="571">
        <v>0</v>
      </c>
      <c r="BC56" s="571">
        <v>0</v>
      </c>
      <c r="BD56" s="198">
        <v>0</v>
      </c>
      <c r="BE56" s="535">
        <f t="shared" si="2"/>
        <v>0</v>
      </c>
      <c r="BF56" s="571">
        <v>0</v>
      </c>
      <c r="BG56" s="535">
        <f t="shared" si="3"/>
        <v>0</v>
      </c>
      <c r="BI56" s="571">
        <v>0</v>
      </c>
      <c r="BJ56" s="571">
        <v>0</v>
      </c>
      <c r="BK56" s="198">
        <v>0</v>
      </c>
      <c r="BL56" s="535">
        <f t="shared" si="4"/>
        <v>0</v>
      </c>
      <c r="BM56" s="571">
        <v>0</v>
      </c>
      <c r="BN56" s="535">
        <f t="shared" si="5"/>
        <v>0</v>
      </c>
      <c r="BP56" s="571">
        <v>0</v>
      </c>
      <c r="BQ56" s="198">
        <v>0</v>
      </c>
      <c r="BR56" s="198">
        <v>0</v>
      </c>
      <c r="BS56" s="535">
        <f t="shared" si="19"/>
        <v>0</v>
      </c>
      <c r="BT56" s="211">
        <f t="shared" si="20"/>
        <v>0</v>
      </c>
      <c r="BU56" s="572">
        <v>0</v>
      </c>
      <c r="BV56" s="535">
        <f t="shared" si="6"/>
        <v>0</v>
      </c>
      <c r="BX56" s="198">
        <v>0</v>
      </c>
      <c r="BY56" s="198">
        <v>0</v>
      </c>
      <c r="BZ56" s="198">
        <v>0</v>
      </c>
      <c r="CA56" s="535">
        <f t="shared" si="21"/>
        <v>0</v>
      </c>
      <c r="CB56" s="211">
        <f t="shared" si="22"/>
        <v>0</v>
      </c>
      <c r="CC56" s="572">
        <f>+'[3]14-15 $140M Workload Restore'!AP54</f>
        <v>0</v>
      </c>
      <c r="CD56" s="535">
        <f t="shared" si="7"/>
        <v>0</v>
      </c>
      <c r="CF56" s="211">
        <f t="shared" si="23"/>
        <v>0</v>
      </c>
      <c r="CG56" s="211">
        <f t="shared" si="8"/>
        <v>0</v>
      </c>
      <c r="CH56" s="211">
        <f t="shared" si="8"/>
        <v>0</v>
      </c>
      <c r="CI56" s="211">
        <f t="shared" si="24"/>
        <v>0</v>
      </c>
    </row>
    <row r="57" spans="1:87" ht="15">
      <c r="A57" s="523" t="s">
        <v>158</v>
      </c>
      <c r="F57" s="211"/>
      <c r="G57" s="568"/>
      <c r="H57" s="211"/>
      <c r="I57" s="211"/>
      <c r="J57" s="569">
        <f t="shared" si="9"/>
        <v>0</v>
      </c>
      <c r="K57" s="211"/>
      <c r="L57" s="211">
        <f t="shared" si="32"/>
        <v>0</v>
      </c>
      <c r="M57" s="211">
        <v>10328817</v>
      </c>
      <c r="N57" s="583">
        <v>-2548.04</v>
      </c>
      <c r="O57" s="583">
        <v>-710.29</v>
      </c>
      <c r="P57" s="211">
        <f t="shared" si="33"/>
        <v>10940283</v>
      </c>
      <c r="Q57" s="39">
        <f t="shared" si="25"/>
        <v>12992512</v>
      </c>
      <c r="R57" s="535">
        <f t="shared" si="27"/>
        <v>12992512</v>
      </c>
      <c r="S57" s="211">
        <v>12992512</v>
      </c>
      <c r="T57" s="535">
        <f t="shared" si="26"/>
        <v>0</v>
      </c>
      <c r="V57" s="211">
        <v>0</v>
      </c>
      <c r="W57" s="211">
        <v>0</v>
      </c>
      <c r="X57" s="211">
        <v>0</v>
      </c>
      <c r="Y57" s="211">
        <v>0</v>
      </c>
      <c r="Z57" s="535">
        <f t="shared" si="12"/>
        <v>0</v>
      </c>
      <c r="AA57" s="211">
        <v>0</v>
      </c>
      <c r="AB57" s="535">
        <f t="shared" si="13"/>
        <v>0</v>
      </c>
      <c r="AD57" s="211">
        <v>0</v>
      </c>
      <c r="AE57" s="211">
        <v>0</v>
      </c>
      <c r="AF57" s="211">
        <v>0</v>
      </c>
      <c r="AG57" s="211">
        <v>0</v>
      </c>
      <c r="AH57" s="535">
        <f t="shared" si="14"/>
        <v>0</v>
      </c>
      <c r="AI57" s="211">
        <v>0</v>
      </c>
      <c r="AJ57" s="535">
        <f t="shared" si="15"/>
        <v>0</v>
      </c>
      <c r="AL57" s="211">
        <v>0</v>
      </c>
      <c r="AM57" s="211">
        <v>0</v>
      </c>
      <c r="AN57" s="211">
        <v>0</v>
      </c>
      <c r="AO57" s="211">
        <v>0</v>
      </c>
      <c r="AP57" s="535">
        <f t="shared" si="16"/>
        <v>0</v>
      </c>
      <c r="AQ57" s="211">
        <v>0</v>
      </c>
      <c r="AR57" s="145">
        <f t="shared" si="28"/>
        <v>0</v>
      </c>
      <c r="AT57" s="211">
        <v>0</v>
      </c>
      <c r="AU57" s="211">
        <v>0</v>
      </c>
      <c r="AV57" s="211">
        <v>6767532</v>
      </c>
      <c r="AW57" s="211">
        <f>AV57</f>
        <v>6767532</v>
      </c>
      <c r="AX57" s="535">
        <f t="shared" si="29"/>
        <v>6767532</v>
      </c>
      <c r="AY57" s="211">
        <v>6767532</v>
      </c>
      <c r="AZ57" s="535">
        <f t="shared" si="1"/>
        <v>0</v>
      </c>
      <c r="BB57" s="571">
        <v>0</v>
      </c>
      <c r="BC57" s="571">
        <v>0</v>
      </c>
      <c r="BD57" s="198">
        <v>0</v>
      </c>
      <c r="BE57" s="535">
        <f t="shared" si="2"/>
        <v>0</v>
      </c>
      <c r="BF57" s="571">
        <v>0</v>
      </c>
      <c r="BG57" s="535">
        <f t="shared" si="3"/>
        <v>0</v>
      </c>
      <c r="BI57" s="571">
        <v>0</v>
      </c>
      <c r="BJ57" s="571">
        <v>0</v>
      </c>
      <c r="BK57" s="198">
        <v>6668253</v>
      </c>
      <c r="BL57" s="535">
        <f t="shared" si="4"/>
        <v>6668253</v>
      </c>
      <c r="BM57" s="571">
        <v>612059</v>
      </c>
      <c r="BN57" s="535">
        <f t="shared" si="5"/>
        <v>6056194</v>
      </c>
      <c r="BP57" s="571">
        <v>0</v>
      </c>
      <c r="BQ57" s="198">
        <v>6056194</v>
      </c>
      <c r="BR57" s="198">
        <v>0</v>
      </c>
      <c r="BS57" s="535">
        <f t="shared" si="19"/>
        <v>6056194</v>
      </c>
      <c r="BT57" s="211">
        <f t="shared" si="20"/>
        <v>6151276</v>
      </c>
      <c r="BU57" s="572">
        <v>0</v>
      </c>
      <c r="BV57" s="535">
        <f t="shared" si="6"/>
        <v>6151276</v>
      </c>
      <c r="BX57" s="164">
        <f>ROUND(BQ57*(1.0157),0)</f>
        <v>6151276</v>
      </c>
      <c r="BY57" s="198">
        <v>0</v>
      </c>
      <c r="BZ57" s="164">
        <f>27752498-27752498</f>
        <v>0</v>
      </c>
      <c r="CA57" s="535">
        <f t="shared" si="21"/>
        <v>6151276</v>
      </c>
      <c r="CB57" s="211">
        <f t="shared" si="22"/>
        <v>6203562</v>
      </c>
      <c r="CC57" s="572">
        <f>+'[3]14-15 $140M Workload Restore'!AP55</f>
        <v>0</v>
      </c>
      <c r="CD57" s="535">
        <f t="shared" si="7"/>
        <v>6203562</v>
      </c>
      <c r="CF57" s="211">
        <f t="shared" si="23"/>
        <v>6203562</v>
      </c>
      <c r="CG57" s="211">
        <f t="shared" si="8"/>
        <v>0</v>
      </c>
      <c r="CH57" s="211">
        <f t="shared" si="8"/>
        <v>0</v>
      </c>
      <c r="CI57" s="211">
        <f t="shared" si="24"/>
        <v>6203562</v>
      </c>
    </row>
    <row r="58" spans="1:87" ht="15.75" thickBot="1">
      <c r="A58" s="523" t="s">
        <v>159</v>
      </c>
      <c r="F58" s="211"/>
      <c r="G58" s="568"/>
      <c r="H58" s="211"/>
      <c r="I58" s="211"/>
      <c r="J58" s="569">
        <f t="shared" si="9"/>
        <v>0</v>
      </c>
      <c r="K58" s="211"/>
      <c r="L58" s="211">
        <f t="shared" si="32"/>
        <v>0</v>
      </c>
      <c r="M58" s="211"/>
      <c r="N58" s="583">
        <v>0</v>
      </c>
      <c r="O58" s="583">
        <v>0</v>
      </c>
      <c r="P58" s="211">
        <f t="shared" si="33"/>
        <v>0</v>
      </c>
      <c r="Q58" s="211">
        <f t="shared" si="25"/>
        <v>0</v>
      </c>
      <c r="R58" s="535">
        <f t="shared" si="27"/>
        <v>0</v>
      </c>
      <c r="S58" s="211">
        <v>0</v>
      </c>
      <c r="T58" s="535">
        <f t="shared" si="26"/>
        <v>0</v>
      </c>
      <c r="V58" s="211">
        <v>0</v>
      </c>
      <c r="W58" s="211">
        <v>0</v>
      </c>
      <c r="X58" s="211">
        <v>0</v>
      </c>
      <c r="Y58" s="211">
        <v>0</v>
      </c>
      <c r="Z58" s="535">
        <f t="shared" si="12"/>
        <v>0</v>
      </c>
      <c r="AA58" s="211">
        <v>0</v>
      </c>
      <c r="AB58" s="535">
        <f t="shared" si="13"/>
        <v>0</v>
      </c>
      <c r="AD58" s="211">
        <v>0</v>
      </c>
      <c r="AE58" s="211">
        <v>0</v>
      </c>
      <c r="AF58" s="211">
        <v>0</v>
      </c>
      <c r="AG58" s="211">
        <v>0</v>
      </c>
      <c r="AH58" s="535">
        <f t="shared" si="14"/>
        <v>0</v>
      </c>
      <c r="AI58" s="211">
        <v>0</v>
      </c>
      <c r="AJ58" s="535">
        <f t="shared" si="15"/>
        <v>0</v>
      </c>
      <c r="AL58" s="211">
        <v>0</v>
      </c>
      <c r="AM58" s="211">
        <v>0</v>
      </c>
      <c r="AN58" s="211">
        <v>0</v>
      </c>
      <c r="AO58" s="211">
        <v>0</v>
      </c>
      <c r="AP58" s="535">
        <f t="shared" si="16"/>
        <v>0</v>
      </c>
      <c r="AQ58" s="211">
        <v>0</v>
      </c>
      <c r="AR58" s="145">
        <f t="shared" si="28"/>
        <v>0</v>
      </c>
      <c r="AT58" s="211">
        <v>0</v>
      </c>
      <c r="AU58" s="211">
        <v>0</v>
      </c>
      <c r="AV58" s="211">
        <v>0</v>
      </c>
      <c r="AW58" s="211">
        <v>0</v>
      </c>
      <c r="AX58" s="535">
        <f t="shared" si="29"/>
        <v>0</v>
      </c>
      <c r="AY58" s="211">
        <v>0</v>
      </c>
      <c r="AZ58" s="535">
        <f t="shared" si="1"/>
        <v>0</v>
      </c>
      <c r="BB58" s="571">
        <v>0</v>
      </c>
      <c r="BC58" s="571">
        <v>0</v>
      </c>
      <c r="BD58" s="198">
        <v>0</v>
      </c>
      <c r="BE58" s="535">
        <f t="shared" si="2"/>
        <v>0</v>
      </c>
      <c r="BF58" s="571">
        <v>0</v>
      </c>
      <c r="BG58" s="535">
        <f t="shared" si="3"/>
        <v>0</v>
      </c>
      <c r="BI58" s="571">
        <v>0</v>
      </c>
      <c r="BJ58" s="571">
        <v>0</v>
      </c>
      <c r="BK58" s="198">
        <v>0</v>
      </c>
      <c r="BL58" s="535">
        <f t="shared" si="4"/>
        <v>0</v>
      </c>
      <c r="BM58" s="571">
        <v>0</v>
      </c>
      <c r="BN58" s="535">
        <f t="shared" si="5"/>
        <v>0</v>
      </c>
      <c r="BP58" s="571">
        <v>0</v>
      </c>
      <c r="BQ58" s="198">
        <v>0</v>
      </c>
      <c r="BR58" s="198">
        <v>0</v>
      </c>
      <c r="BS58" s="535">
        <f t="shared" si="19"/>
        <v>0</v>
      </c>
      <c r="BT58" s="211">
        <f t="shared" si="20"/>
        <v>0</v>
      </c>
      <c r="BU58" s="572">
        <v>0</v>
      </c>
      <c r="BV58" s="535">
        <f t="shared" si="6"/>
        <v>0</v>
      </c>
      <c r="BX58" s="198">
        <v>0</v>
      </c>
      <c r="BY58" s="198">
        <v>0</v>
      </c>
      <c r="BZ58" s="198">
        <v>0</v>
      </c>
      <c r="CA58" s="535">
        <f t="shared" si="21"/>
        <v>0</v>
      </c>
      <c r="CB58" s="211">
        <f t="shared" si="22"/>
        <v>0</v>
      </c>
      <c r="CC58" s="572">
        <f>+'[3]14-15 $140M Workload Restore'!AP56</f>
        <v>0</v>
      </c>
      <c r="CD58" s="535">
        <f t="shared" si="7"/>
        <v>0</v>
      </c>
      <c r="CF58" s="211">
        <f t="shared" si="23"/>
        <v>0</v>
      </c>
      <c r="CG58" s="211">
        <f t="shared" si="8"/>
        <v>0</v>
      </c>
      <c r="CH58" s="211">
        <f t="shared" si="8"/>
        <v>0</v>
      </c>
      <c r="CI58" s="211">
        <f t="shared" si="24"/>
        <v>0</v>
      </c>
    </row>
    <row r="59" spans="1:87" ht="15.75" thickBot="1">
      <c r="A59" s="556" t="s">
        <v>160</v>
      </c>
      <c r="F59" s="211"/>
      <c r="G59" s="568"/>
      <c r="H59" s="211"/>
      <c r="I59" s="211"/>
      <c r="J59" s="569">
        <f t="shared" si="9"/>
        <v>0</v>
      </c>
      <c r="K59" s="39">
        <v>3853001</v>
      </c>
      <c r="L59" s="211">
        <v>0</v>
      </c>
      <c r="M59" s="574">
        <v>3853001</v>
      </c>
      <c r="N59" s="583">
        <v>0</v>
      </c>
      <c r="O59" s="583">
        <v>0</v>
      </c>
      <c r="P59" s="211">
        <v>0</v>
      </c>
      <c r="Q59" s="211">
        <f t="shared" si="25"/>
        <v>0</v>
      </c>
      <c r="R59" s="535">
        <f t="shared" si="27"/>
        <v>0</v>
      </c>
      <c r="S59" s="211">
        <v>0</v>
      </c>
      <c r="T59" s="535">
        <f t="shared" si="26"/>
        <v>0</v>
      </c>
      <c r="V59" s="211">
        <v>0</v>
      </c>
      <c r="W59" s="211">
        <v>0</v>
      </c>
      <c r="X59" s="211">
        <v>0</v>
      </c>
      <c r="Y59" s="211">
        <v>0</v>
      </c>
      <c r="Z59" s="535">
        <f t="shared" si="12"/>
        <v>0</v>
      </c>
      <c r="AA59" s="211">
        <v>0</v>
      </c>
      <c r="AB59" s="535">
        <f t="shared" si="13"/>
        <v>0</v>
      </c>
      <c r="AD59" s="211">
        <v>0</v>
      </c>
      <c r="AE59" s="211">
        <v>0</v>
      </c>
      <c r="AF59" s="211">
        <v>0</v>
      </c>
      <c r="AG59" s="211">
        <v>0</v>
      </c>
      <c r="AH59" s="535">
        <f t="shared" si="14"/>
        <v>0</v>
      </c>
      <c r="AI59" s="211">
        <v>0</v>
      </c>
      <c r="AJ59" s="535">
        <f t="shared" si="15"/>
        <v>0</v>
      </c>
      <c r="AL59" s="211">
        <v>0</v>
      </c>
      <c r="AM59" s="211">
        <v>0</v>
      </c>
      <c r="AN59" s="211">
        <v>0</v>
      </c>
      <c r="AO59" s="211">
        <v>0</v>
      </c>
      <c r="AP59" s="535">
        <f t="shared" si="16"/>
        <v>0</v>
      </c>
      <c r="AQ59" s="211">
        <v>0</v>
      </c>
      <c r="AR59" s="145">
        <f t="shared" si="28"/>
        <v>0</v>
      </c>
      <c r="AT59" s="211">
        <v>0</v>
      </c>
      <c r="AU59" s="211">
        <v>0</v>
      </c>
      <c r="AV59" s="211">
        <v>0</v>
      </c>
      <c r="AW59" s="211">
        <v>0</v>
      </c>
      <c r="AX59" s="535">
        <f t="shared" si="29"/>
        <v>0</v>
      </c>
      <c r="AY59" s="211">
        <v>0</v>
      </c>
      <c r="AZ59" s="535">
        <f t="shared" si="1"/>
        <v>0</v>
      </c>
      <c r="BB59" s="571">
        <v>0</v>
      </c>
      <c r="BC59" s="571">
        <v>0</v>
      </c>
      <c r="BD59" s="198">
        <v>0</v>
      </c>
      <c r="BE59" s="535">
        <f t="shared" si="2"/>
        <v>0</v>
      </c>
      <c r="BF59" s="571">
        <v>0</v>
      </c>
      <c r="BG59" s="535">
        <f t="shared" si="3"/>
        <v>0</v>
      </c>
      <c r="BI59" s="571">
        <v>0</v>
      </c>
      <c r="BJ59" s="571">
        <v>0</v>
      </c>
      <c r="BK59" s="198">
        <v>0</v>
      </c>
      <c r="BL59" s="535">
        <f t="shared" si="4"/>
        <v>0</v>
      </c>
      <c r="BM59" s="571">
        <v>0</v>
      </c>
      <c r="BN59" s="535">
        <f t="shared" si="5"/>
        <v>0</v>
      </c>
      <c r="BP59" s="571">
        <v>0</v>
      </c>
      <c r="BQ59" s="198">
        <v>0</v>
      </c>
      <c r="BR59" s="198">
        <v>1662569</v>
      </c>
      <c r="BS59" s="535">
        <f t="shared" si="19"/>
        <v>1662569</v>
      </c>
      <c r="BT59" s="211">
        <f t="shared" si="20"/>
        <v>1688671</v>
      </c>
      <c r="BU59" s="572">
        <v>0</v>
      </c>
      <c r="BV59" s="535">
        <f t="shared" si="6"/>
        <v>1688671</v>
      </c>
      <c r="BX59" s="198">
        <v>0</v>
      </c>
      <c r="BY59" s="164">
        <f>ROUND(BR59*(1.0157),0)</f>
        <v>1688671</v>
      </c>
      <c r="BZ59" s="198">
        <v>2263093</v>
      </c>
      <c r="CA59" s="535">
        <f t="shared" si="21"/>
        <v>3951764</v>
      </c>
      <c r="CB59" s="211">
        <f t="shared" si="22"/>
        <v>3985354</v>
      </c>
      <c r="CC59" s="572">
        <f>+'[3]14-15 $140M Workload Restore'!AP57</f>
        <v>0</v>
      </c>
      <c r="CD59" s="535">
        <f t="shared" si="7"/>
        <v>3985354</v>
      </c>
      <c r="CF59" s="211">
        <f t="shared" si="23"/>
        <v>0</v>
      </c>
      <c r="CG59" s="211">
        <f t="shared" si="8"/>
        <v>1703025</v>
      </c>
      <c r="CH59" s="211">
        <f t="shared" si="8"/>
        <v>2282329</v>
      </c>
      <c r="CI59" s="211">
        <f t="shared" si="24"/>
        <v>3985354</v>
      </c>
    </row>
    <row r="60" spans="1:87" ht="15.75" thickBot="1">
      <c r="A60" s="523" t="s">
        <v>161</v>
      </c>
      <c r="F60" s="211"/>
      <c r="G60" s="568"/>
      <c r="H60" s="211"/>
      <c r="I60" s="211"/>
      <c r="J60" s="569">
        <f t="shared" si="9"/>
        <v>0</v>
      </c>
      <c r="K60" s="211"/>
      <c r="L60" s="211">
        <f t="shared" si="32"/>
        <v>0</v>
      </c>
      <c r="M60" s="211">
        <v>1259316</v>
      </c>
      <c r="N60" s="583">
        <v>-343.66</v>
      </c>
      <c r="O60" s="583">
        <v>-74.849999999999994</v>
      </c>
      <c r="P60" s="211">
        <f t="shared" si="33"/>
        <v>1333868</v>
      </c>
      <c r="Q60" s="39">
        <f t="shared" si="25"/>
        <v>1697319</v>
      </c>
      <c r="R60" s="535">
        <f t="shared" si="27"/>
        <v>1697319</v>
      </c>
      <c r="S60" s="211">
        <v>1697319</v>
      </c>
      <c r="T60" s="535">
        <f t="shared" si="26"/>
        <v>0</v>
      </c>
      <c r="V60" s="211">
        <v>0</v>
      </c>
      <c r="W60" s="211">
        <v>0</v>
      </c>
      <c r="X60" s="211">
        <v>0</v>
      </c>
      <c r="Y60" s="211">
        <v>0</v>
      </c>
      <c r="Z60" s="535">
        <f t="shared" si="12"/>
        <v>0</v>
      </c>
      <c r="AA60" s="211">
        <v>0</v>
      </c>
      <c r="AB60" s="535">
        <f t="shared" si="13"/>
        <v>0</v>
      </c>
      <c r="AD60" s="211">
        <v>0</v>
      </c>
      <c r="AE60" s="211">
        <v>0</v>
      </c>
      <c r="AF60" s="211">
        <v>0</v>
      </c>
      <c r="AG60" s="211">
        <v>0</v>
      </c>
      <c r="AH60" s="535">
        <f t="shared" si="14"/>
        <v>0</v>
      </c>
      <c r="AI60" s="211">
        <v>0</v>
      </c>
      <c r="AJ60" s="535">
        <f t="shared" si="15"/>
        <v>0</v>
      </c>
      <c r="AL60" s="211">
        <v>0</v>
      </c>
      <c r="AM60" s="211">
        <v>0</v>
      </c>
      <c r="AN60" s="211">
        <v>0</v>
      </c>
      <c r="AO60" s="211">
        <v>0</v>
      </c>
      <c r="AP60" s="535">
        <f t="shared" si="16"/>
        <v>0</v>
      </c>
      <c r="AQ60" s="211">
        <v>0</v>
      </c>
      <c r="AR60" s="145">
        <f t="shared" si="28"/>
        <v>0</v>
      </c>
      <c r="AT60" s="211">
        <v>0</v>
      </c>
      <c r="AU60" s="211">
        <v>0</v>
      </c>
      <c r="AV60" s="211">
        <v>0</v>
      </c>
      <c r="AW60" s="211">
        <v>0</v>
      </c>
      <c r="AX60" s="535">
        <f t="shared" si="29"/>
        <v>0</v>
      </c>
      <c r="AY60" s="211">
        <v>0</v>
      </c>
      <c r="AZ60" s="535">
        <f t="shared" si="1"/>
        <v>0</v>
      </c>
      <c r="BB60" s="571">
        <v>0</v>
      </c>
      <c r="BC60" s="571">
        <v>0</v>
      </c>
      <c r="BD60" s="198">
        <v>0</v>
      </c>
      <c r="BE60" s="535">
        <f t="shared" si="2"/>
        <v>0</v>
      </c>
      <c r="BF60" s="571">
        <v>0</v>
      </c>
      <c r="BG60" s="535">
        <f t="shared" si="3"/>
        <v>0</v>
      </c>
      <c r="BI60" s="571">
        <v>0</v>
      </c>
      <c r="BJ60" s="571">
        <v>0</v>
      </c>
      <c r="BK60" s="198">
        <v>0</v>
      </c>
      <c r="BL60" s="535">
        <f t="shared" si="4"/>
        <v>0</v>
      </c>
      <c r="BM60" s="571">
        <v>0</v>
      </c>
      <c r="BN60" s="535">
        <f t="shared" si="5"/>
        <v>0</v>
      </c>
      <c r="BP60" s="571">
        <v>0</v>
      </c>
      <c r="BQ60" s="198">
        <v>0</v>
      </c>
      <c r="BR60" s="198">
        <v>3133649</v>
      </c>
      <c r="BS60" s="535">
        <f t="shared" si="19"/>
        <v>3133649</v>
      </c>
      <c r="BT60" s="211">
        <f t="shared" si="20"/>
        <v>3182847</v>
      </c>
      <c r="BU60" s="572">
        <v>1949188</v>
      </c>
      <c r="BV60" s="535">
        <f t="shared" si="6"/>
        <v>1233659</v>
      </c>
      <c r="BX60" s="198">
        <v>0</v>
      </c>
      <c r="BY60" s="586">
        <f>+BV60</f>
        <v>1233659</v>
      </c>
      <c r="BZ60" s="198">
        <v>0</v>
      </c>
      <c r="CA60" s="535">
        <f t="shared" si="21"/>
        <v>1233659</v>
      </c>
      <c r="CB60" s="211">
        <f t="shared" si="22"/>
        <v>1244145</v>
      </c>
      <c r="CC60" s="572">
        <f>+'[3]14-15 $140M Workload Restore'!AP58</f>
        <v>0</v>
      </c>
      <c r="CD60" s="535">
        <f t="shared" si="7"/>
        <v>1244145</v>
      </c>
      <c r="CF60" s="211">
        <f t="shared" si="23"/>
        <v>0</v>
      </c>
      <c r="CG60" s="211">
        <f t="shared" si="8"/>
        <v>1244145</v>
      </c>
      <c r="CH60" s="211">
        <f t="shared" si="8"/>
        <v>0</v>
      </c>
      <c r="CI60" s="211">
        <f t="shared" si="24"/>
        <v>1244145</v>
      </c>
    </row>
    <row r="61" spans="1:87" ht="15.75" thickBot="1">
      <c r="A61" s="556" t="s">
        <v>162</v>
      </c>
      <c r="F61" s="211"/>
      <c r="G61" s="594">
        <v>3157228</v>
      </c>
      <c r="H61" s="574">
        <v>3157228</v>
      </c>
      <c r="I61" s="593"/>
      <c r="J61" s="569">
        <f t="shared" si="9"/>
        <v>0</v>
      </c>
      <c r="K61" s="211"/>
      <c r="L61" s="211">
        <f t="shared" si="32"/>
        <v>0</v>
      </c>
      <c r="M61" s="211">
        <v>15544211</v>
      </c>
      <c r="N61" s="583">
        <v>-4580.26</v>
      </c>
      <c r="O61" s="583">
        <v>-9.8800000000000008</v>
      </c>
      <c r="P61" s="211">
        <f t="shared" si="33"/>
        <v>16464428</v>
      </c>
      <c r="Q61" s="39">
        <f t="shared" si="25"/>
        <v>20027940</v>
      </c>
      <c r="R61" s="535">
        <f t="shared" si="27"/>
        <v>20027940</v>
      </c>
      <c r="S61" s="211">
        <v>18550034</v>
      </c>
      <c r="T61" s="535">
        <f t="shared" si="26"/>
        <v>1477906</v>
      </c>
      <c r="V61" s="211">
        <v>0</v>
      </c>
      <c r="W61" s="211">
        <f>ROUND((T61)*1.0453,0)</f>
        <v>1544855</v>
      </c>
      <c r="X61" s="211">
        <v>0</v>
      </c>
      <c r="Y61" s="211">
        <v>0</v>
      </c>
      <c r="Z61" s="535">
        <f t="shared" si="12"/>
        <v>1544855</v>
      </c>
      <c r="AA61" s="211">
        <v>0</v>
      </c>
      <c r="AB61" s="535">
        <f t="shared" si="13"/>
        <v>1544855</v>
      </c>
      <c r="AD61" s="211">
        <f>W61</f>
        <v>1544855</v>
      </c>
      <c r="AE61" s="211">
        <v>0</v>
      </c>
      <c r="AF61" s="211">
        <v>13394109</v>
      </c>
      <c r="AG61" s="211">
        <v>13394109</v>
      </c>
      <c r="AH61" s="535">
        <f t="shared" si="14"/>
        <v>14938964</v>
      </c>
      <c r="AI61" s="211">
        <v>14938964</v>
      </c>
      <c r="AJ61" s="535">
        <f t="shared" si="15"/>
        <v>0</v>
      </c>
      <c r="AL61" s="39">
        <v>0</v>
      </c>
      <c r="AM61" s="39">
        <v>0</v>
      </c>
      <c r="AN61" s="39">
        <v>0</v>
      </c>
      <c r="AO61" s="39">
        <v>0</v>
      </c>
      <c r="AP61" s="590">
        <f t="shared" si="16"/>
        <v>0</v>
      </c>
      <c r="AQ61" s="39">
        <v>0</v>
      </c>
      <c r="AR61" s="145">
        <f t="shared" si="28"/>
        <v>0</v>
      </c>
      <c r="AT61" s="39">
        <v>0</v>
      </c>
      <c r="AU61" s="39">
        <v>0</v>
      </c>
      <c r="AV61" s="39">
        <v>0</v>
      </c>
      <c r="AW61" s="39">
        <v>0</v>
      </c>
      <c r="AX61" s="590">
        <f t="shared" si="29"/>
        <v>0</v>
      </c>
      <c r="AY61" s="39">
        <v>0</v>
      </c>
      <c r="AZ61" s="590">
        <f t="shared" si="1"/>
        <v>0</v>
      </c>
      <c r="BB61" s="571">
        <v>0</v>
      </c>
      <c r="BC61" s="571">
        <v>0</v>
      </c>
      <c r="BD61" s="198">
        <v>0</v>
      </c>
      <c r="BE61" s="590">
        <f t="shared" si="2"/>
        <v>0</v>
      </c>
      <c r="BF61" s="571">
        <v>0</v>
      </c>
      <c r="BG61" s="535">
        <f t="shared" si="3"/>
        <v>0</v>
      </c>
      <c r="BI61" s="590">
        <v>0</v>
      </c>
      <c r="BJ61" s="590">
        <v>0</v>
      </c>
      <c r="BK61" s="198">
        <v>2182320</v>
      </c>
      <c r="BL61" s="535">
        <f t="shared" si="4"/>
        <v>2182320</v>
      </c>
      <c r="BM61" s="571">
        <v>0</v>
      </c>
      <c r="BN61" s="535">
        <f t="shared" si="5"/>
        <v>2182320</v>
      </c>
      <c r="BP61" s="590">
        <v>0</v>
      </c>
      <c r="BQ61" s="198">
        <v>2182320</v>
      </c>
      <c r="BR61" s="198">
        <v>1031974</v>
      </c>
      <c r="BS61" s="535">
        <f t="shared" si="19"/>
        <v>3214294</v>
      </c>
      <c r="BT61" s="211">
        <f t="shared" si="20"/>
        <v>3264758</v>
      </c>
      <c r="BU61" s="572">
        <v>0</v>
      </c>
      <c r="BV61" s="535">
        <f t="shared" si="6"/>
        <v>3264758</v>
      </c>
      <c r="BX61" s="164">
        <f>ROUND(BQ61*(1.0157),0)</f>
        <v>2216582</v>
      </c>
      <c r="BY61" s="164">
        <f>ROUND(BR61*(1.0157),0)</f>
        <v>1048176</v>
      </c>
      <c r="BZ61" s="198">
        <v>3462110</v>
      </c>
      <c r="CA61" s="535">
        <f t="shared" si="21"/>
        <v>6726868</v>
      </c>
      <c r="CB61" s="211">
        <f t="shared" si="22"/>
        <v>6784046</v>
      </c>
      <c r="CC61" s="572">
        <f>+'[3]14-15 $140M Workload Restore'!AP59</f>
        <v>0</v>
      </c>
      <c r="CD61" s="535">
        <f t="shared" si="7"/>
        <v>6784046</v>
      </c>
      <c r="CF61" s="211">
        <f t="shared" si="23"/>
        <v>2235423</v>
      </c>
      <c r="CG61" s="211">
        <f t="shared" si="8"/>
        <v>1057085</v>
      </c>
      <c r="CH61" s="211">
        <f t="shared" si="8"/>
        <v>3491538</v>
      </c>
      <c r="CI61" s="211">
        <f t="shared" si="24"/>
        <v>6784046</v>
      </c>
    </row>
    <row r="62" spans="1:87" ht="15">
      <c r="A62" s="523" t="s">
        <v>163</v>
      </c>
      <c r="F62" s="211"/>
      <c r="G62" s="568"/>
      <c r="H62" s="211"/>
      <c r="I62" s="211"/>
      <c r="J62" s="569">
        <f t="shared" si="9"/>
        <v>0</v>
      </c>
      <c r="K62" s="211"/>
      <c r="L62" s="211">
        <f t="shared" si="32"/>
        <v>0</v>
      </c>
      <c r="M62" s="211"/>
      <c r="N62" s="583">
        <v>0</v>
      </c>
      <c r="O62" s="583">
        <v>0</v>
      </c>
      <c r="P62" s="211">
        <f t="shared" si="33"/>
        <v>0</v>
      </c>
      <c r="Q62" s="211">
        <f t="shared" si="25"/>
        <v>0</v>
      </c>
      <c r="R62" s="535">
        <f t="shared" si="27"/>
        <v>0</v>
      </c>
      <c r="S62" s="211">
        <v>0</v>
      </c>
      <c r="T62" s="535">
        <f t="shared" si="26"/>
        <v>0</v>
      </c>
      <c r="V62" s="211">
        <v>0</v>
      </c>
      <c r="W62" s="211">
        <v>0</v>
      </c>
      <c r="X62" s="211">
        <v>0</v>
      </c>
      <c r="Y62" s="211">
        <v>0</v>
      </c>
      <c r="Z62" s="535">
        <f t="shared" si="12"/>
        <v>0</v>
      </c>
      <c r="AA62" s="211">
        <v>0</v>
      </c>
      <c r="AB62" s="535">
        <f t="shared" si="13"/>
        <v>0</v>
      </c>
      <c r="AD62" s="211">
        <v>0</v>
      </c>
      <c r="AE62" s="211">
        <v>0</v>
      </c>
      <c r="AF62" s="211">
        <v>0</v>
      </c>
      <c r="AG62" s="211">
        <v>0</v>
      </c>
      <c r="AH62" s="535">
        <f t="shared" si="14"/>
        <v>0</v>
      </c>
      <c r="AI62" s="211">
        <v>0</v>
      </c>
      <c r="AJ62" s="535">
        <f t="shared" si="15"/>
        <v>0</v>
      </c>
      <c r="AL62" s="211">
        <v>0</v>
      </c>
      <c r="AM62" s="211">
        <v>0</v>
      </c>
      <c r="AN62" s="211">
        <v>0</v>
      </c>
      <c r="AO62" s="211">
        <v>0</v>
      </c>
      <c r="AP62" s="535">
        <f t="shared" si="16"/>
        <v>0</v>
      </c>
      <c r="AQ62" s="211">
        <v>0</v>
      </c>
      <c r="AR62" s="145">
        <f t="shared" si="28"/>
        <v>0</v>
      </c>
      <c r="AT62" s="211">
        <v>0</v>
      </c>
      <c r="AU62" s="211">
        <v>0</v>
      </c>
      <c r="AV62" s="211">
        <v>0</v>
      </c>
      <c r="AW62" s="211">
        <v>0</v>
      </c>
      <c r="AX62" s="535">
        <f t="shared" si="29"/>
        <v>0</v>
      </c>
      <c r="AY62" s="211">
        <v>0</v>
      </c>
      <c r="AZ62" s="535">
        <f t="shared" si="1"/>
        <v>0</v>
      </c>
      <c r="BB62" s="571">
        <v>0</v>
      </c>
      <c r="BC62" s="571">
        <v>0</v>
      </c>
      <c r="BD62" s="198">
        <v>0</v>
      </c>
      <c r="BE62" s="535">
        <f t="shared" si="2"/>
        <v>0</v>
      </c>
      <c r="BF62" s="571">
        <v>0</v>
      </c>
      <c r="BG62" s="535">
        <f t="shared" si="3"/>
        <v>0</v>
      </c>
      <c r="BI62" s="571">
        <v>0</v>
      </c>
      <c r="BJ62" s="571">
        <v>0</v>
      </c>
      <c r="BK62" s="198">
        <v>0</v>
      </c>
      <c r="BL62" s="535">
        <f t="shared" si="4"/>
        <v>0</v>
      </c>
      <c r="BM62" s="571">
        <v>0</v>
      </c>
      <c r="BN62" s="535">
        <f t="shared" si="5"/>
        <v>0</v>
      </c>
      <c r="BP62" s="571">
        <v>0</v>
      </c>
      <c r="BQ62" s="198">
        <v>0</v>
      </c>
      <c r="BR62" s="198">
        <v>0</v>
      </c>
      <c r="BS62" s="535">
        <f t="shared" si="19"/>
        <v>0</v>
      </c>
      <c r="BT62" s="211">
        <f t="shared" si="20"/>
        <v>0</v>
      </c>
      <c r="BU62" s="572">
        <v>0</v>
      </c>
      <c r="BV62" s="535">
        <f t="shared" si="6"/>
        <v>0</v>
      </c>
      <c r="BX62" s="198">
        <v>0</v>
      </c>
      <c r="BY62" s="198">
        <v>0</v>
      </c>
      <c r="BZ62" s="198">
        <v>3291079</v>
      </c>
      <c r="CA62" s="535">
        <f t="shared" si="21"/>
        <v>3291079</v>
      </c>
      <c r="CB62" s="211">
        <f t="shared" si="22"/>
        <v>3319053</v>
      </c>
      <c r="CC62" s="572">
        <f>+'[3]14-15 $140M Workload Restore'!AP60</f>
        <v>3319053</v>
      </c>
      <c r="CD62" s="535">
        <f t="shared" si="7"/>
        <v>0</v>
      </c>
      <c r="CF62" s="211">
        <f t="shared" si="23"/>
        <v>0</v>
      </c>
      <c r="CG62" s="211">
        <f t="shared" si="8"/>
        <v>0</v>
      </c>
      <c r="CH62" s="211">
        <f t="shared" si="8"/>
        <v>3319053</v>
      </c>
      <c r="CI62" s="211">
        <f t="shared" si="24"/>
        <v>3319053</v>
      </c>
    </row>
    <row r="63" spans="1:87" ht="15.75" thickBot="1">
      <c r="A63" s="523" t="s">
        <v>164</v>
      </c>
      <c r="F63" s="211"/>
      <c r="G63" s="568"/>
      <c r="H63" s="211"/>
      <c r="I63" s="211"/>
      <c r="J63" s="569">
        <f t="shared" si="9"/>
        <v>0</v>
      </c>
      <c r="K63" s="211"/>
      <c r="L63" s="211">
        <f t="shared" si="32"/>
        <v>0</v>
      </c>
      <c r="M63" s="211"/>
      <c r="N63" s="583">
        <v>0</v>
      </c>
      <c r="O63" s="583">
        <v>0</v>
      </c>
      <c r="P63" s="211">
        <f t="shared" si="33"/>
        <v>0</v>
      </c>
      <c r="Q63" s="211">
        <f t="shared" si="25"/>
        <v>0</v>
      </c>
      <c r="R63" s="535">
        <f t="shared" si="27"/>
        <v>0</v>
      </c>
      <c r="S63" s="211">
        <v>0</v>
      </c>
      <c r="T63" s="535">
        <f t="shared" si="26"/>
        <v>0</v>
      </c>
      <c r="V63" s="211">
        <v>0</v>
      </c>
      <c r="W63" s="211">
        <v>0</v>
      </c>
      <c r="X63" s="211">
        <v>0</v>
      </c>
      <c r="Y63" s="211">
        <v>0</v>
      </c>
      <c r="Z63" s="535">
        <f t="shared" si="12"/>
        <v>0</v>
      </c>
      <c r="AA63" s="211">
        <v>0</v>
      </c>
      <c r="AB63" s="535">
        <f t="shared" si="13"/>
        <v>0</v>
      </c>
      <c r="AD63" s="211">
        <v>0</v>
      </c>
      <c r="AE63" s="211">
        <v>0</v>
      </c>
      <c r="AF63" s="211">
        <v>0</v>
      </c>
      <c r="AG63" s="211">
        <v>0</v>
      </c>
      <c r="AH63" s="535">
        <f t="shared" si="14"/>
        <v>0</v>
      </c>
      <c r="AI63" s="211">
        <v>0</v>
      </c>
      <c r="AJ63" s="535">
        <f t="shared" si="15"/>
        <v>0</v>
      </c>
      <c r="AL63" s="211">
        <v>0</v>
      </c>
      <c r="AM63" s="211">
        <v>0</v>
      </c>
      <c r="AN63" s="211">
        <v>0</v>
      </c>
      <c r="AO63" s="211">
        <v>0</v>
      </c>
      <c r="AP63" s="535">
        <f t="shared" si="16"/>
        <v>0</v>
      </c>
      <c r="AQ63" s="211">
        <v>0</v>
      </c>
      <c r="AR63" s="145">
        <f t="shared" si="28"/>
        <v>0</v>
      </c>
      <c r="AT63" s="211">
        <v>0</v>
      </c>
      <c r="AU63" s="211">
        <v>0</v>
      </c>
      <c r="AV63" s="211">
        <v>0</v>
      </c>
      <c r="AW63" s="211">
        <v>0</v>
      </c>
      <c r="AX63" s="535">
        <f t="shared" si="29"/>
        <v>0</v>
      </c>
      <c r="AY63" s="211">
        <v>0</v>
      </c>
      <c r="AZ63" s="535">
        <f t="shared" si="1"/>
        <v>0</v>
      </c>
      <c r="BB63" s="571">
        <v>0</v>
      </c>
      <c r="BC63" s="571">
        <v>0</v>
      </c>
      <c r="BD63" s="198">
        <v>0</v>
      </c>
      <c r="BE63" s="535">
        <f t="shared" si="2"/>
        <v>0</v>
      </c>
      <c r="BF63" s="595">
        <v>4551628</v>
      </c>
      <c r="BG63" s="535">
        <v>0</v>
      </c>
      <c r="BI63" s="571">
        <v>0</v>
      </c>
      <c r="BJ63" s="571">
        <v>0</v>
      </c>
      <c r="BK63" s="198">
        <v>0</v>
      </c>
      <c r="BL63" s="535">
        <f t="shared" si="4"/>
        <v>0</v>
      </c>
      <c r="BM63" s="571">
        <v>0</v>
      </c>
      <c r="BN63" s="535">
        <f t="shared" si="5"/>
        <v>0</v>
      </c>
      <c r="BP63" s="571">
        <v>0</v>
      </c>
      <c r="BQ63" s="198">
        <v>0</v>
      </c>
      <c r="BR63" s="198">
        <v>0</v>
      </c>
      <c r="BS63" s="535">
        <f t="shared" si="19"/>
        <v>0</v>
      </c>
      <c r="BT63" s="211">
        <f t="shared" si="20"/>
        <v>0</v>
      </c>
      <c r="BU63" s="572">
        <v>0</v>
      </c>
      <c r="BV63" s="535">
        <f t="shared" si="6"/>
        <v>0</v>
      </c>
      <c r="BX63" s="198">
        <v>0</v>
      </c>
      <c r="BY63" s="198">
        <v>0</v>
      </c>
      <c r="BZ63" s="198">
        <v>0</v>
      </c>
      <c r="CA63" s="535">
        <f t="shared" si="21"/>
        <v>0</v>
      </c>
      <c r="CB63" s="211">
        <f t="shared" si="22"/>
        <v>0</v>
      </c>
      <c r="CC63" s="572">
        <f>+'[3]14-15 $140M Workload Restore'!AP61</f>
        <v>0</v>
      </c>
      <c r="CD63" s="535">
        <f t="shared" si="7"/>
        <v>0</v>
      </c>
      <c r="CF63" s="211">
        <f t="shared" si="23"/>
        <v>0</v>
      </c>
      <c r="CG63" s="211">
        <f t="shared" si="8"/>
        <v>0</v>
      </c>
      <c r="CH63" s="211">
        <f t="shared" si="8"/>
        <v>0</v>
      </c>
      <c r="CI63" s="211">
        <f t="shared" si="24"/>
        <v>0</v>
      </c>
    </row>
    <row r="64" spans="1:87" ht="15.75" thickBot="1">
      <c r="A64" s="523" t="s">
        <v>165</v>
      </c>
      <c r="F64" s="211"/>
      <c r="G64" s="568"/>
      <c r="H64" s="211"/>
      <c r="I64" s="39">
        <v>10247802</v>
      </c>
      <c r="J64" s="569">
        <v>0</v>
      </c>
      <c r="K64" s="574">
        <v>9514249</v>
      </c>
      <c r="L64" s="211">
        <v>0</v>
      </c>
      <c r="M64" s="574">
        <v>733553</v>
      </c>
      <c r="N64" s="583">
        <v>0</v>
      </c>
      <c r="O64" s="583">
        <v>0</v>
      </c>
      <c r="P64" s="211">
        <v>0</v>
      </c>
      <c r="Q64" s="211">
        <f t="shared" si="25"/>
        <v>0</v>
      </c>
      <c r="R64" s="535">
        <f t="shared" si="27"/>
        <v>0</v>
      </c>
      <c r="S64" s="211">
        <v>0</v>
      </c>
      <c r="T64" s="535">
        <f t="shared" si="26"/>
        <v>0</v>
      </c>
      <c r="V64" s="211">
        <v>0</v>
      </c>
      <c r="W64" s="211">
        <v>0</v>
      </c>
      <c r="X64" s="211">
        <v>0</v>
      </c>
      <c r="Y64" s="211">
        <v>0</v>
      </c>
      <c r="Z64" s="535">
        <f t="shared" si="12"/>
        <v>0</v>
      </c>
      <c r="AA64" s="211">
        <v>0</v>
      </c>
      <c r="AB64" s="535">
        <f t="shared" si="13"/>
        <v>0</v>
      </c>
      <c r="AD64" s="211">
        <v>0</v>
      </c>
      <c r="AE64" s="211">
        <v>0</v>
      </c>
      <c r="AF64" s="211">
        <v>14708968</v>
      </c>
      <c r="AG64" s="211">
        <v>14708968</v>
      </c>
      <c r="AH64" s="535">
        <f t="shared" si="14"/>
        <v>14708968</v>
      </c>
      <c r="AI64" s="211">
        <v>14708968</v>
      </c>
      <c r="AJ64" s="535">
        <f t="shared" si="15"/>
        <v>0</v>
      </c>
      <c r="AL64" s="211">
        <v>0</v>
      </c>
      <c r="AM64" s="211">
        <v>0</v>
      </c>
      <c r="AN64" s="211">
        <v>0</v>
      </c>
      <c r="AO64" s="211">
        <v>0</v>
      </c>
      <c r="AP64" s="535">
        <f t="shared" si="16"/>
        <v>0</v>
      </c>
      <c r="AQ64" s="211">
        <v>0</v>
      </c>
      <c r="AR64" s="145">
        <f t="shared" si="28"/>
        <v>0</v>
      </c>
      <c r="AT64" s="211">
        <v>0</v>
      </c>
      <c r="AU64" s="211">
        <v>0</v>
      </c>
      <c r="AV64" s="211">
        <v>0</v>
      </c>
      <c r="AW64" s="211">
        <v>0</v>
      </c>
      <c r="AX64" s="535">
        <f t="shared" si="29"/>
        <v>0</v>
      </c>
      <c r="AY64" s="211">
        <v>0</v>
      </c>
      <c r="AZ64" s="535">
        <f t="shared" si="1"/>
        <v>0</v>
      </c>
      <c r="BB64" s="571">
        <v>0</v>
      </c>
      <c r="BC64" s="571">
        <v>0</v>
      </c>
      <c r="BD64" s="198">
        <v>0</v>
      </c>
      <c r="BE64" s="535">
        <f t="shared" si="2"/>
        <v>0</v>
      </c>
      <c r="BF64" s="571">
        <v>0</v>
      </c>
      <c r="BG64" s="535">
        <f t="shared" si="3"/>
        <v>0</v>
      </c>
      <c r="BI64" s="571">
        <v>0</v>
      </c>
      <c r="BJ64" s="571">
        <v>0</v>
      </c>
      <c r="BK64" s="198">
        <v>0</v>
      </c>
      <c r="BL64" s="535">
        <f t="shared" si="4"/>
        <v>0</v>
      </c>
      <c r="BM64" s="571">
        <v>0</v>
      </c>
      <c r="BN64" s="535">
        <f t="shared" si="5"/>
        <v>0</v>
      </c>
      <c r="BP64" s="571">
        <v>0</v>
      </c>
      <c r="BQ64" s="198">
        <v>0</v>
      </c>
      <c r="BR64" s="198">
        <v>0</v>
      </c>
      <c r="BS64" s="535">
        <f t="shared" si="19"/>
        <v>0</v>
      </c>
      <c r="BT64" s="211">
        <f t="shared" si="20"/>
        <v>0</v>
      </c>
      <c r="BU64" s="572">
        <v>0</v>
      </c>
      <c r="BV64" s="535">
        <f t="shared" si="6"/>
        <v>0</v>
      </c>
      <c r="BX64" s="198">
        <v>0</v>
      </c>
      <c r="BY64" s="198">
        <v>0</v>
      </c>
      <c r="BZ64" s="198">
        <v>0</v>
      </c>
      <c r="CA64" s="535">
        <f t="shared" si="21"/>
        <v>0</v>
      </c>
      <c r="CB64" s="211">
        <f t="shared" si="22"/>
        <v>0</v>
      </c>
      <c r="CC64" s="572">
        <f>+'[3]14-15 $140M Workload Restore'!AP62</f>
        <v>0</v>
      </c>
      <c r="CD64" s="535">
        <f t="shared" si="7"/>
        <v>0</v>
      </c>
      <c r="CF64" s="211">
        <f t="shared" si="23"/>
        <v>0</v>
      </c>
      <c r="CG64" s="211">
        <f t="shared" si="8"/>
        <v>0</v>
      </c>
      <c r="CH64" s="211">
        <f t="shared" si="8"/>
        <v>0</v>
      </c>
      <c r="CI64" s="211">
        <f t="shared" si="24"/>
        <v>0</v>
      </c>
    </row>
    <row r="65" spans="1:87" ht="15.75" thickBot="1">
      <c r="A65" s="523" t="s">
        <v>166</v>
      </c>
      <c r="F65" s="39">
        <v>53738</v>
      </c>
      <c r="G65" s="596">
        <v>53738</v>
      </c>
      <c r="H65" s="211"/>
      <c r="I65" s="211"/>
      <c r="J65" s="569">
        <f t="shared" si="9"/>
        <v>0</v>
      </c>
      <c r="K65" s="211">
        <v>37288</v>
      </c>
      <c r="L65" s="211">
        <f t="shared" si="32"/>
        <v>37288</v>
      </c>
      <c r="M65" s="211">
        <v>3143263</v>
      </c>
      <c r="N65" s="583">
        <v>-701.39</v>
      </c>
      <c r="O65" s="583">
        <v>-336.51</v>
      </c>
      <c r="P65" s="211">
        <f t="shared" si="33"/>
        <v>3329344</v>
      </c>
      <c r="Q65" s="39">
        <f t="shared" si="25"/>
        <v>3946645</v>
      </c>
      <c r="R65" s="535">
        <f t="shared" si="27"/>
        <v>3983933</v>
      </c>
      <c r="S65" s="211">
        <v>3987811</v>
      </c>
      <c r="T65" s="535">
        <f t="shared" si="26"/>
        <v>0</v>
      </c>
      <c r="V65" s="211">
        <v>0</v>
      </c>
      <c r="W65" s="211">
        <v>0</v>
      </c>
      <c r="X65" s="211">
        <v>0</v>
      </c>
      <c r="Y65" s="211">
        <v>0</v>
      </c>
      <c r="Z65" s="535">
        <f t="shared" si="12"/>
        <v>0</v>
      </c>
      <c r="AA65" s="211">
        <v>0</v>
      </c>
      <c r="AB65" s="535">
        <f t="shared" si="13"/>
        <v>0</v>
      </c>
      <c r="AD65" s="211">
        <v>0</v>
      </c>
      <c r="AE65" s="211">
        <v>0</v>
      </c>
      <c r="AF65" s="211">
        <v>3162400</v>
      </c>
      <c r="AG65" s="211">
        <v>3162400</v>
      </c>
      <c r="AH65" s="535">
        <f t="shared" si="14"/>
        <v>3162400</v>
      </c>
      <c r="AI65" s="211">
        <v>3162400</v>
      </c>
      <c r="AJ65" s="535">
        <f t="shared" si="15"/>
        <v>0</v>
      </c>
      <c r="AL65" s="211">
        <v>0</v>
      </c>
      <c r="AM65" s="211">
        <v>0</v>
      </c>
      <c r="AN65" s="211">
        <v>0</v>
      </c>
      <c r="AO65" s="211">
        <v>0</v>
      </c>
      <c r="AP65" s="535">
        <f t="shared" si="16"/>
        <v>0</v>
      </c>
      <c r="AQ65" s="211">
        <v>0</v>
      </c>
      <c r="AR65" s="145">
        <f t="shared" si="28"/>
        <v>0</v>
      </c>
      <c r="AT65" s="211">
        <v>0</v>
      </c>
      <c r="AU65" s="211">
        <v>0</v>
      </c>
      <c r="AV65" s="211">
        <v>0</v>
      </c>
      <c r="AW65" s="211">
        <v>0</v>
      </c>
      <c r="AX65" s="535">
        <f t="shared" si="29"/>
        <v>0</v>
      </c>
      <c r="AY65" s="211">
        <v>0</v>
      </c>
      <c r="AZ65" s="535">
        <f t="shared" si="1"/>
        <v>0</v>
      </c>
      <c r="BB65" s="571">
        <v>0</v>
      </c>
      <c r="BC65" s="571">
        <v>0</v>
      </c>
      <c r="BD65" s="198">
        <v>0</v>
      </c>
      <c r="BE65" s="535">
        <f t="shared" si="2"/>
        <v>0</v>
      </c>
      <c r="BF65" s="571">
        <v>0</v>
      </c>
      <c r="BG65" s="535">
        <f t="shared" si="3"/>
        <v>0</v>
      </c>
      <c r="BI65" s="571">
        <v>0</v>
      </c>
      <c r="BJ65" s="571">
        <v>0</v>
      </c>
      <c r="BK65" s="198">
        <v>0</v>
      </c>
      <c r="BL65" s="535">
        <f t="shared" si="4"/>
        <v>0</v>
      </c>
      <c r="BM65" s="571">
        <v>0</v>
      </c>
      <c r="BN65" s="535">
        <f t="shared" si="5"/>
        <v>0</v>
      </c>
      <c r="BP65" s="571">
        <v>0</v>
      </c>
      <c r="BQ65" s="198">
        <v>0</v>
      </c>
      <c r="BR65" s="198">
        <v>0</v>
      </c>
      <c r="BS65" s="535">
        <f t="shared" si="19"/>
        <v>0</v>
      </c>
      <c r="BT65" s="211">
        <f t="shared" si="20"/>
        <v>0</v>
      </c>
      <c r="BU65" s="572">
        <v>0</v>
      </c>
      <c r="BV65" s="535">
        <f t="shared" si="6"/>
        <v>0</v>
      </c>
      <c r="BX65" s="198">
        <v>0</v>
      </c>
      <c r="BY65" s="198">
        <v>0</v>
      </c>
      <c r="BZ65" s="198">
        <v>0</v>
      </c>
      <c r="CA65" s="535">
        <f t="shared" si="21"/>
        <v>0</v>
      </c>
      <c r="CB65" s="211">
        <f t="shared" si="22"/>
        <v>0</v>
      </c>
      <c r="CC65" s="572">
        <f>+'[3]14-15 $140M Workload Restore'!AP63</f>
        <v>0</v>
      </c>
      <c r="CD65" s="535">
        <f t="shared" si="7"/>
        <v>0</v>
      </c>
      <c r="CF65" s="211">
        <f t="shared" si="23"/>
        <v>0</v>
      </c>
      <c r="CG65" s="211">
        <f t="shared" si="8"/>
        <v>0</v>
      </c>
      <c r="CH65" s="211">
        <f t="shared" si="8"/>
        <v>0</v>
      </c>
      <c r="CI65" s="211">
        <f t="shared" si="24"/>
        <v>0</v>
      </c>
    </row>
    <row r="66" spans="1:87" ht="15.75" thickBot="1">
      <c r="A66" s="523" t="s">
        <v>167</v>
      </c>
      <c r="F66" s="211"/>
      <c r="G66" s="568"/>
      <c r="H66" s="211"/>
      <c r="I66" s="39">
        <v>620801</v>
      </c>
      <c r="J66" s="569"/>
      <c r="K66" s="574">
        <v>507087</v>
      </c>
      <c r="L66" s="211">
        <v>0</v>
      </c>
      <c r="M66" s="574">
        <v>113714</v>
      </c>
      <c r="N66" s="583">
        <v>0</v>
      </c>
      <c r="O66" s="583">
        <v>0</v>
      </c>
      <c r="P66" s="211">
        <v>0</v>
      </c>
      <c r="Q66" s="211">
        <f t="shared" si="25"/>
        <v>0</v>
      </c>
      <c r="R66" s="535">
        <f t="shared" si="27"/>
        <v>0</v>
      </c>
      <c r="S66" s="211">
        <v>0</v>
      </c>
      <c r="T66" s="535">
        <f t="shared" si="26"/>
        <v>0</v>
      </c>
      <c r="V66" s="211">
        <v>0</v>
      </c>
      <c r="W66" s="211">
        <v>0</v>
      </c>
      <c r="X66" s="211">
        <v>2254734</v>
      </c>
      <c r="Y66" s="211">
        <f>ROUND(2254734*1.0453,0)</f>
        <v>2356873</v>
      </c>
      <c r="Z66" s="535">
        <f t="shared" si="12"/>
        <v>2356873</v>
      </c>
      <c r="AA66" s="211">
        <v>1391862</v>
      </c>
      <c r="AB66" s="535">
        <f t="shared" si="13"/>
        <v>965011</v>
      </c>
      <c r="AD66" s="211">
        <v>0</v>
      </c>
      <c r="AE66" s="211">
        <f>Z66-AA66</f>
        <v>965011</v>
      </c>
      <c r="AF66" s="211">
        <v>0</v>
      </c>
      <c r="AG66" s="211">
        <v>0</v>
      </c>
      <c r="AH66" s="535">
        <f t="shared" si="14"/>
        <v>965011</v>
      </c>
      <c r="AI66" s="211">
        <v>965011</v>
      </c>
      <c r="AJ66" s="535">
        <f t="shared" si="15"/>
        <v>0</v>
      </c>
      <c r="AL66" s="211">
        <v>0</v>
      </c>
      <c r="AM66" s="211">
        <v>0</v>
      </c>
      <c r="AN66" s="211">
        <v>0</v>
      </c>
      <c r="AO66" s="211">
        <v>0</v>
      </c>
      <c r="AP66" s="535">
        <f t="shared" si="16"/>
        <v>0</v>
      </c>
      <c r="AQ66" s="211">
        <v>0</v>
      </c>
      <c r="AR66" s="145">
        <f t="shared" si="28"/>
        <v>0</v>
      </c>
      <c r="AT66" s="211">
        <v>0</v>
      </c>
      <c r="AU66" s="211">
        <v>0</v>
      </c>
      <c r="AV66" s="211">
        <v>0</v>
      </c>
      <c r="AW66" s="211">
        <v>0</v>
      </c>
      <c r="AX66" s="535">
        <f t="shared" si="29"/>
        <v>0</v>
      </c>
      <c r="AY66" s="211">
        <v>0</v>
      </c>
      <c r="AZ66" s="535">
        <f t="shared" si="1"/>
        <v>0</v>
      </c>
      <c r="BB66" s="571">
        <v>0</v>
      </c>
      <c r="BC66" s="571">
        <v>0</v>
      </c>
      <c r="BD66" s="198">
        <v>0</v>
      </c>
      <c r="BE66" s="535">
        <f t="shared" si="2"/>
        <v>0</v>
      </c>
      <c r="BF66" s="571">
        <v>0</v>
      </c>
      <c r="BG66" s="535">
        <f t="shared" si="3"/>
        <v>0</v>
      </c>
      <c r="BI66" s="571">
        <v>0</v>
      </c>
      <c r="BJ66" s="571">
        <v>0</v>
      </c>
      <c r="BK66" s="198">
        <v>0</v>
      </c>
      <c r="BL66" s="535">
        <f t="shared" si="4"/>
        <v>0</v>
      </c>
      <c r="BM66" s="571">
        <v>0</v>
      </c>
      <c r="BN66" s="535">
        <f t="shared" si="5"/>
        <v>0</v>
      </c>
      <c r="BP66" s="571">
        <v>0</v>
      </c>
      <c r="BQ66" s="198">
        <v>0</v>
      </c>
      <c r="BR66" s="198">
        <v>0</v>
      </c>
      <c r="BS66" s="535">
        <f t="shared" si="19"/>
        <v>0</v>
      </c>
      <c r="BT66" s="211">
        <f t="shared" si="20"/>
        <v>0</v>
      </c>
      <c r="BU66" s="572">
        <v>0</v>
      </c>
      <c r="BV66" s="535">
        <f t="shared" si="6"/>
        <v>0</v>
      </c>
      <c r="BX66" s="198">
        <v>0</v>
      </c>
      <c r="BY66" s="198">
        <v>0</v>
      </c>
      <c r="BZ66" s="198">
        <v>3786008</v>
      </c>
      <c r="CA66" s="535">
        <f t="shared" si="21"/>
        <v>3786008</v>
      </c>
      <c r="CB66" s="211">
        <f t="shared" si="22"/>
        <v>3818189</v>
      </c>
      <c r="CC66" s="572">
        <f>+'[3]14-15 $140M Workload Restore'!AP64</f>
        <v>2292171</v>
      </c>
      <c r="CD66" s="535">
        <f t="shared" si="7"/>
        <v>1526018</v>
      </c>
      <c r="CF66" s="211">
        <f t="shared" si="23"/>
        <v>0</v>
      </c>
      <c r="CG66" s="211">
        <f t="shared" si="8"/>
        <v>0</v>
      </c>
      <c r="CH66" s="211">
        <f t="shared" si="8"/>
        <v>3818189</v>
      </c>
      <c r="CI66" s="211">
        <f t="shared" si="24"/>
        <v>3818189</v>
      </c>
    </row>
    <row r="67" spans="1:87" ht="15">
      <c r="A67" s="523" t="s">
        <v>168</v>
      </c>
      <c r="F67" s="211"/>
      <c r="G67" s="568"/>
      <c r="H67" s="211"/>
      <c r="I67" s="211"/>
      <c r="J67" s="569">
        <f t="shared" si="9"/>
        <v>0</v>
      </c>
      <c r="K67" s="211"/>
      <c r="L67" s="211">
        <f t="shared" si="32"/>
        <v>0</v>
      </c>
      <c r="M67" s="211"/>
      <c r="N67" s="583">
        <v>0</v>
      </c>
      <c r="O67" s="583">
        <v>0</v>
      </c>
      <c r="P67" s="211">
        <f t="shared" si="33"/>
        <v>0</v>
      </c>
      <c r="Q67" s="211">
        <f t="shared" si="25"/>
        <v>0</v>
      </c>
      <c r="R67" s="535">
        <f t="shared" si="27"/>
        <v>0</v>
      </c>
      <c r="S67" s="211">
        <v>0</v>
      </c>
      <c r="T67" s="535">
        <f t="shared" si="26"/>
        <v>0</v>
      </c>
      <c r="V67" s="211">
        <v>0</v>
      </c>
      <c r="W67" s="211">
        <v>0</v>
      </c>
      <c r="X67" s="211">
        <v>0</v>
      </c>
      <c r="Y67" s="211">
        <v>0</v>
      </c>
      <c r="Z67" s="535">
        <f t="shared" si="12"/>
        <v>0</v>
      </c>
      <c r="AA67" s="211">
        <v>0</v>
      </c>
      <c r="AB67" s="535">
        <f t="shared" si="13"/>
        <v>0</v>
      </c>
      <c r="AD67" s="211">
        <v>0</v>
      </c>
      <c r="AE67" s="211">
        <v>0</v>
      </c>
      <c r="AF67" s="211">
        <v>0</v>
      </c>
      <c r="AG67" s="211">
        <v>0</v>
      </c>
      <c r="AH67" s="535">
        <f t="shared" si="14"/>
        <v>0</v>
      </c>
      <c r="AI67" s="211">
        <v>0</v>
      </c>
      <c r="AJ67" s="535">
        <f t="shared" si="15"/>
        <v>0</v>
      </c>
      <c r="AL67" s="211">
        <v>0</v>
      </c>
      <c r="AM67" s="211">
        <v>0</v>
      </c>
      <c r="AN67" s="211">
        <v>0</v>
      </c>
      <c r="AO67" s="211">
        <v>0</v>
      </c>
      <c r="AP67" s="535">
        <f t="shared" si="16"/>
        <v>0</v>
      </c>
      <c r="AQ67" s="211">
        <v>0</v>
      </c>
      <c r="AR67" s="145">
        <f t="shared" si="28"/>
        <v>0</v>
      </c>
      <c r="AT67" s="211">
        <v>0</v>
      </c>
      <c r="AU67" s="211">
        <v>0</v>
      </c>
      <c r="AV67" s="211">
        <v>0</v>
      </c>
      <c r="AW67" s="211">
        <v>0</v>
      </c>
      <c r="AX67" s="535">
        <f t="shared" si="29"/>
        <v>0</v>
      </c>
      <c r="AY67" s="211">
        <v>0</v>
      </c>
      <c r="AZ67" s="535">
        <f t="shared" si="1"/>
        <v>0</v>
      </c>
      <c r="BB67" s="571">
        <v>0</v>
      </c>
      <c r="BC67" s="571">
        <v>0</v>
      </c>
      <c r="BD67" s="198">
        <v>0</v>
      </c>
      <c r="BE67" s="535">
        <f t="shared" si="2"/>
        <v>0</v>
      </c>
      <c r="BF67" s="571">
        <v>0</v>
      </c>
      <c r="BG67" s="535">
        <f t="shared" si="3"/>
        <v>0</v>
      </c>
      <c r="BI67" s="571">
        <v>0</v>
      </c>
      <c r="BJ67" s="571">
        <v>0</v>
      </c>
      <c r="BK67" s="198">
        <v>0</v>
      </c>
      <c r="BL67" s="535">
        <f t="shared" si="4"/>
        <v>0</v>
      </c>
      <c r="BM67" s="571">
        <v>0</v>
      </c>
      <c r="BN67" s="535">
        <f t="shared" si="5"/>
        <v>0</v>
      </c>
      <c r="BP67" s="571">
        <v>0</v>
      </c>
      <c r="BQ67" s="198">
        <v>0</v>
      </c>
      <c r="BR67" s="198">
        <v>0</v>
      </c>
      <c r="BS67" s="535">
        <f t="shared" si="19"/>
        <v>0</v>
      </c>
      <c r="BT67" s="211">
        <f t="shared" si="20"/>
        <v>0</v>
      </c>
      <c r="BU67" s="572">
        <v>0</v>
      </c>
      <c r="BV67" s="535">
        <f t="shared" si="6"/>
        <v>0</v>
      </c>
      <c r="BX67" s="198">
        <v>0</v>
      </c>
      <c r="BY67" s="198">
        <v>0</v>
      </c>
      <c r="BZ67" s="198">
        <v>5644315</v>
      </c>
      <c r="CA67" s="535">
        <f t="shared" si="21"/>
        <v>5644315</v>
      </c>
      <c r="CB67" s="211">
        <f t="shared" si="22"/>
        <v>5692292</v>
      </c>
      <c r="CC67" s="572">
        <f>+'[3]14-15 $140M Workload Restore'!AP65</f>
        <v>5692292</v>
      </c>
      <c r="CD67" s="535">
        <f t="shared" si="7"/>
        <v>0</v>
      </c>
      <c r="CF67" s="211">
        <f t="shared" si="23"/>
        <v>0</v>
      </c>
      <c r="CG67" s="211">
        <f t="shared" si="8"/>
        <v>0</v>
      </c>
      <c r="CH67" s="211">
        <f t="shared" si="8"/>
        <v>5692292</v>
      </c>
      <c r="CI67" s="211">
        <f t="shared" si="24"/>
        <v>5692292</v>
      </c>
    </row>
    <row r="68" spans="1:87" ht="15">
      <c r="A68" s="523" t="s">
        <v>692</v>
      </c>
      <c r="F68" s="211"/>
      <c r="G68" s="568"/>
      <c r="H68" s="211"/>
      <c r="I68" s="211"/>
      <c r="J68" s="569">
        <f t="shared" si="9"/>
        <v>0</v>
      </c>
      <c r="K68" s="211">
        <v>619373</v>
      </c>
      <c r="L68" s="211">
        <f t="shared" si="32"/>
        <v>619373</v>
      </c>
      <c r="M68" s="211">
        <v>292026</v>
      </c>
      <c r="N68" s="583">
        <v>-56.95</v>
      </c>
      <c r="O68" s="583">
        <v>12.53</v>
      </c>
      <c r="P68" s="211">
        <f t="shared" si="33"/>
        <v>309314</v>
      </c>
      <c r="Q68" s="211">
        <f t="shared" si="25"/>
        <v>215797</v>
      </c>
      <c r="R68" s="535">
        <f t="shared" si="27"/>
        <v>928687</v>
      </c>
      <c r="S68" s="211">
        <v>0</v>
      </c>
      <c r="T68" s="535">
        <f t="shared" si="26"/>
        <v>928687</v>
      </c>
      <c r="V68" s="211">
        <f>ROUND(L68,0)</f>
        <v>619373</v>
      </c>
      <c r="W68" s="211">
        <f>ROUND(P68*1.0453,0)</f>
        <v>323326</v>
      </c>
      <c r="X68" s="211">
        <v>214316</v>
      </c>
      <c r="Y68" s="211">
        <f>ROUND(214316*1.0453,0)</f>
        <v>224025</v>
      </c>
      <c r="Z68" s="535">
        <f t="shared" si="12"/>
        <v>1166724</v>
      </c>
      <c r="AA68" s="211">
        <v>396455</v>
      </c>
      <c r="AB68" s="535">
        <f t="shared" si="13"/>
        <v>770269</v>
      </c>
      <c r="AD68" s="211">
        <f>W68</f>
        <v>323326</v>
      </c>
      <c r="AE68" s="211">
        <f>Y68</f>
        <v>224025</v>
      </c>
      <c r="AF68" s="211">
        <v>0</v>
      </c>
      <c r="AG68" s="211">
        <v>0</v>
      </c>
      <c r="AH68" s="535">
        <f t="shared" si="14"/>
        <v>547351</v>
      </c>
      <c r="AI68" s="211">
        <v>547351</v>
      </c>
      <c r="AJ68" s="535">
        <f t="shared" si="15"/>
        <v>0</v>
      </c>
      <c r="AL68" s="211">
        <v>0</v>
      </c>
      <c r="AM68" s="211">
        <v>0</v>
      </c>
      <c r="AN68" s="211">
        <v>0</v>
      </c>
      <c r="AO68" s="211">
        <v>0</v>
      </c>
      <c r="AP68" s="535">
        <f t="shared" si="16"/>
        <v>0</v>
      </c>
      <c r="AQ68" s="211">
        <v>0</v>
      </c>
      <c r="AR68" s="145">
        <f t="shared" si="28"/>
        <v>0</v>
      </c>
      <c r="AT68" s="211">
        <v>0</v>
      </c>
      <c r="AU68" s="211">
        <v>0</v>
      </c>
      <c r="AV68" s="211">
        <v>0</v>
      </c>
      <c r="AW68" s="211">
        <v>0</v>
      </c>
      <c r="AX68" s="535">
        <f t="shared" si="29"/>
        <v>0</v>
      </c>
      <c r="AY68" s="211">
        <v>0</v>
      </c>
      <c r="AZ68" s="535">
        <f t="shared" si="1"/>
        <v>0</v>
      </c>
      <c r="BB68" s="571">
        <v>0</v>
      </c>
      <c r="BC68" s="571">
        <v>0</v>
      </c>
      <c r="BD68" s="198">
        <v>1240890</v>
      </c>
      <c r="BE68" s="535">
        <f t="shared" si="2"/>
        <v>1240890</v>
      </c>
      <c r="BF68" s="571">
        <v>0</v>
      </c>
      <c r="BG68" s="535">
        <f t="shared" si="3"/>
        <v>1240890</v>
      </c>
      <c r="BI68" s="571">
        <v>0</v>
      </c>
      <c r="BJ68" s="571">
        <v>1240890</v>
      </c>
      <c r="BK68" s="198">
        <v>473457</v>
      </c>
      <c r="BL68" s="535">
        <f t="shared" si="4"/>
        <v>1714347</v>
      </c>
      <c r="BM68" s="571">
        <v>921643</v>
      </c>
      <c r="BN68" s="535">
        <f t="shared" si="5"/>
        <v>792704</v>
      </c>
      <c r="BP68" s="571">
        <v>319247</v>
      </c>
      <c r="BQ68" s="198">
        <v>473457</v>
      </c>
      <c r="BR68" s="198">
        <v>0</v>
      </c>
      <c r="BS68" s="535">
        <f t="shared" si="19"/>
        <v>792704</v>
      </c>
      <c r="BT68" s="211">
        <f t="shared" si="20"/>
        <v>805149</v>
      </c>
      <c r="BU68" s="572">
        <v>0</v>
      </c>
      <c r="BV68" s="535">
        <f t="shared" si="6"/>
        <v>805149</v>
      </c>
      <c r="BX68" s="164">
        <f>ROUND(BQ68*(1.0157),0)</f>
        <v>480890</v>
      </c>
      <c r="BY68" s="198">
        <v>0</v>
      </c>
      <c r="BZ68" s="198">
        <v>627078</v>
      </c>
      <c r="CA68" s="535">
        <f t="shared" si="21"/>
        <v>1107968</v>
      </c>
      <c r="CB68" s="211">
        <f t="shared" si="22"/>
        <v>1117386</v>
      </c>
      <c r="CC68" s="572">
        <f>+'[3]14-15 $140M Workload Restore'!AP66</f>
        <v>317950</v>
      </c>
      <c r="CD68" s="535">
        <f t="shared" si="7"/>
        <v>799436</v>
      </c>
      <c r="CF68" s="211">
        <f t="shared" si="23"/>
        <v>484978</v>
      </c>
      <c r="CG68" s="211">
        <f t="shared" si="8"/>
        <v>0</v>
      </c>
      <c r="CH68" s="211">
        <f t="shared" si="8"/>
        <v>632408</v>
      </c>
      <c r="CI68" s="211">
        <f t="shared" si="24"/>
        <v>1117386</v>
      </c>
    </row>
    <row r="69" spans="1:87" ht="15">
      <c r="A69" s="523" t="s">
        <v>170</v>
      </c>
      <c r="F69" s="211"/>
      <c r="G69" s="568"/>
      <c r="H69" s="211"/>
      <c r="I69" s="211"/>
      <c r="J69" s="569">
        <f t="shared" si="9"/>
        <v>0</v>
      </c>
      <c r="K69" s="211"/>
      <c r="L69" s="211">
        <f t="shared" si="32"/>
        <v>0</v>
      </c>
      <c r="M69" s="211"/>
      <c r="N69" s="583">
        <v>0</v>
      </c>
      <c r="O69" s="583">
        <v>0</v>
      </c>
      <c r="P69" s="211">
        <f t="shared" si="33"/>
        <v>0</v>
      </c>
      <c r="Q69" s="211">
        <f t="shared" si="25"/>
        <v>0</v>
      </c>
      <c r="R69" s="535">
        <f t="shared" si="27"/>
        <v>0</v>
      </c>
      <c r="S69" s="211">
        <v>0</v>
      </c>
      <c r="T69" s="535">
        <f t="shared" si="26"/>
        <v>0</v>
      </c>
      <c r="V69" s="211">
        <v>0</v>
      </c>
      <c r="W69" s="211">
        <v>0</v>
      </c>
      <c r="X69" s="211">
        <v>1621755</v>
      </c>
      <c r="Y69" s="211">
        <f>ROUND(1621755*1.0453,0)</f>
        <v>1695221</v>
      </c>
      <c r="Z69" s="535">
        <f t="shared" si="12"/>
        <v>1695221</v>
      </c>
      <c r="AA69" s="211">
        <v>1368121</v>
      </c>
      <c r="AB69" s="535">
        <f t="shared" si="13"/>
        <v>327100</v>
      </c>
      <c r="AD69" s="211">
        <v>0</v>
      </c>
      <c r="AE69" s="211">
        <f>Z69-AA69</f>
        <v>327100</v>
      </c>
      <c r="AF69" s="211">
        <v>0</v>
      </c>
      <c r="AG69" s="211">
        <v>0</v>
      </c>
      <c r="AH69" s="535">
        <f t="shared" si="14"/>
        <v>327100</v>
      </c>
      <c r="AI69" s="211">
        <v>327100</v>
      </c>
      <c r="AJ69" s="535">
        <f t="shared" si="15"/>
        <v>0</v>
      </c>
      <c r="AL69" s="211">
        <v>0</v>
      </c>
      <c r="AM69" s="211">
        <v>0</v>
      </c>
      <c r="AN69" s="211">
        <v>0</v>
      </c>
      <c r="AO69" s="211">
        <v>0</v>
      </c>
      <c r="AP69" s="535">
        <f t="shared" si="16"/>
        <v>0</v>
      </c>
      <c r="AQ69" s="211">
        <v>0</v>
      </c>
      <c r="AR69" s="145">
        <f t="shared" si="28"/>
        <v>0</v>
      </c>
      <c r="AT69" s="211">
        <v>0</v>
      </c>
      <c r="AU69" s="211">
        <v>0</v>
      </c>
      <c r="AV69" s="211">
        <v>0</v>
      </c>
      <c r="AW69" s="211">
        <v>0</v>
      </c>
      <c r="AX69" s="535">
        <f t="shared" si="29"/>
        <v>0</v>
      </c>
      <c r="AY69" s="211">
        <v>0</v>
      </c>
      <c r="AZ69" s="535">
        <f t="shared" si="1"/>
        <v>0</v>
      </c>
      <c r="BB69" s="571">
        <v>0</v>
      </c>
      <c r="BC69" s="571">
        <v>0</v>
      </c>
      <c r="BD69" s="198">
        <v>0</v>
      </c>
      <c r="BE69" s="535">
        <f t="shared" si="2"/>
        <v>0</v>
      </c>
      <c r="BF69" s="571">
        <v>0</v>
      </c>
      <c r="BG69" s="535">
        <f t="shared" si="3"/>
        <v>0</v>
      </c>
      <c r="BI69" s="571">
        <v>0</v>
      </c>
      <c r="BJ69" s="571">
        <v>0</v>
      </c>
      <c r="BK69" s="198">
        <v>0</v>
      </c>
      <c r="BL69" s="535">
        <f t="shared" si="4"/>
        <v>0</v>
      </c>
      <c r="BM69" s="571">
        <v>0</v>
      </c>
      <c r="BN69" s="535">
        <f t="shared" si="5"/>
        <v>0</v>
      </c>
      <c r="BP69" s="571">
        <v>0</v>
      </c>
      <c r="BQ69" s="198">
        <v>0</v>
      </c>
      <c r="BR69" s="198">
        <v>7007900</v>
      </c>
      <c r="BS69" s="535">
        <f t="shared" si="19"/>
        <v>7007900</v>
      </c>
      <c r="BT69" s="211">
        <f t="shared" si="20"/>
        <v>7117924</v>
      </c>
      <c r="BU69" s="572">
        <v>5624551</v>
      </c>
      <c r="BV69" s="535">
        <f t="shared" si="6"/>
        <v>1493373</v>
      </c>
      <c r="BX69" s="198">
        <v>0</v>
      </c>
      <c r="BY69" s="586">
        <f>+BV69</f>
        <v>1493373</v>
      </c>
      <c r="BZ69" s="198">
        <v>0</v>
      </c>
      <c r="CA69" s="535">
        <f t="shared" si="21"/>
        <v>1493373</v>
      </c>
      <c r="CB69" s="211">
        <f t="shared" si="22"/>
        <v>1506067</v>
      </c>
      <c r="CC69" s="572">
        <f>+'[3]14-15 $140M Workload Restore'!AP67</f>
        <v>0</v>
      </c>
      <c r="CD69" s="535">
        <f t="shared" si="7"/>
        <v>1506067</v>
      </c>
      <c r="CF69" s="211">
        <f t="shared" si="23"/>
        <v>0</v>
      </c>
      <c r="CG69" s="211">
        <f t="shared" si="8"/>
        <v>1506067</v>
      </c>
      <c r="CH69" s="211">
        <f t="shared" si="8"/>
        <v>0</v>
      </c>
      <c r="CI69" s="211">
        <f t="shared" si="24"/>
        <v>1506067</v>
      </c>
    </row>
    <row r="70" spans="1:87" ht="15.75" thickBot="1">
      <c r="A70" s="523" t="s">
        <v>171</v>
      </c>
      <c r="F70" s="211"/>
      <c r="G70" s="568"/>
      <c r="H70" s="211"/>
      <c r="I70" s="211"/>
      <c r="J70" s="569">
        <f t="shared" si="9"/>
        <v>0</v>
      </c>
      <c r="K70" s="211">
        <v>686099</v>
      </c>
      <c r="L70" s="211">
        <f t="shared" si="32"/>
        <v>686099</v>
      </c>
      <c r="M70" s="211">
        <v>728311</v>
      </c>
      <c r="N70" s="583">
        <v>-315.63</v>
      </c>
      <c r="O70" s="583">
        <v>227.17</v>
      </c>
      <c r="P70" s="211">
        <f t="shared" si="33"/>
        <v>771427</v>
      </c>
      <c r="Q70" s="39">
        <f t="shared" si="25"/>
        <v>781808</v>
      </c>
      <c r="R70" s="535">
        <f t="shared" si="27"/>
        <v>1467907</v>
      </c>
      <c r="S70" s="211">
        <v>503666</v>
      </c>
      <c r="T70" s="535">
        <f t="shared" si="26"/>
        <v>964241</v>
      </c>
      <c r="V70" s="211">
        <f>ROUND((L70-S70),0)</f>
        <v>182433</v>
      </c>
      <c r="W70" s="211">
        <f>ROUND(Q70*1.0453,0)</f>
        <v>817224</v>
      </c>
      <c r="X70" s="211">
        <v>0</v>
      </c>
      <c r="Y70" s="211">
        <v>0</v>
      </c>
      <c r="Z70" s="535">
        <f t="shared" si="12"/>
        <v>999657</v>
      </c>
      <c r="AA70" s="211">
        <v>1082511</v>
      </c>
      <c r="AB70" s="535">
        <f t="shared" si="13"/>
        <v>0</v>
      </c>
      <c r="AD70" s="211">
        <v>0</v>
      </c>
      <c r="AE70" s="211">
        <v>0</v>
      </c>
      <c r="AF70" s="211">
        <v>0</v>
      </c>
      <c r="AG70" s="211">
        <v>0</v>
      </c>
      <c r="AH70" s="535">
        <f t="shared" si="14"/>
        <v>0</v>
      </c>
      <c r="AI70" s="211">
        <v>0</v>
      </c>
      <c r="AJ70" s="535">
        <f t="shared" si="15"/>
        <v>0</v>
      </c>
      <c r="AL70" s="211">
        <v>0</v>
      </c>
      <c r="AM70" s="211">
        <v>0</v>
      </c>
      <c r="AN70" s="211">
        <v>0</v>
      </c>
      <c r="AO70" s="211">
        <v>0</v>
      </c>
      <c r="AP70" s="535">
        <f t="shared" si="16"/>
        <v>0</v>
      </c>
      <c r="AQ70" s="211">
        <v>0</v>
      </c>
      <c r="AR70" s="145">
        <f t="shared" si="28"/>
        <v>0</v>
      </c>
      <c r="AT70" s="211">
        <v>0</v>
      </c>
      <c r="AU70" s="211">
        <v>0</v>
      </c>
      <c r="AV70" s="211">
        <v>0</v>
      </c>
      <c r="AW70" s="211">
        <v>0</v>
      </c>
      <c r="AX70" s="535">
        <f t="shared" si="29"/>
        <v>0</v>
      </c>
      <c r="AY70" s="211">
        <v>0</v>
      </c>
      <c r="AZ70" s="535">
        <f t="shared" si="1"/>
        <v>0</v>
      </c>
      <c r="BB70" s="571">
        <v>0</v>
      </c>
      <c r="BC70" s="571">
        <v>0</v>
      </c>
      <c r="BD70" s="198">
        <v>0</v>
      </c>
      <c r="BE70" s="535">
        <f t="shared" si="2"/>
        <v>0</v>
      </c>
      <c r="BF70" s="571">
        <v>0</v>
      </c>
      <c r="BG70" s="535">
        <f t="shared" si="3"/>
        <v>0</v>
      </c>
      <c r="BI70" s="571">
        <v>0</v>
      </c>
      <c r="BJ70" s="571">
        <v>0</v>
      </c>
      <c r="BK70" s="198">
        <v>0</v>
      </c>
      <c r="BL70" s="535">
        <f t="shared" si="4"/>
        <v>0</v>
      </c>
      <c r="BM70" s="571">
        <v>0</v>
      </c>
      <c r="BN70" s="535">
        <f t="shared" si="5"/>
        <v>0</v>
      </c>
      <c r="BP70" s="571">
        <v>0</v>
      </c>
      <c r="BQ70" s="198">
        <v>0</v>
      </c>
      <c r="BR70" s="198">
        <v>4216310</v>
      </c>
      <c r="BS70" s="535">
        <f t="shared" si="19"/>
        <v>4216310</v>
      </c>
      <c r="BT70" s="211">
        <f t="shared" si="20"/>
        <v>4282506</v>
      </c>
      <c r="BU70" s="572">
        <v>4282506</v>
      </c>
      <c r="BV70" s="535">
        <f t="shared" si="6"/>
        <v>0</v>
      </c>
      <c r="BX70" s="198">
        <v>0</v>
      </c>
      <c r="BY70" s="164">
        <v>0</v>
      </c>
      <c r="BZ70" s="198">
        <v>0</v>
      </c>
      <c r="CA70" s="535">
        <f t="shared" si="21"/>
        <v>0</v>
      </c>
      <c r="CB70" s="211">
        <f t="shared" si="22"/>
        <v>0</v>
      </c>
      <c r="CC70" s="572">
        <f>+'[3]14-15 $140M Workload Restore'!AP68</f>
        <v>0</v>
      </c>
      <c r="CD70" s="535">
        <f t="shared" si="7"/>
        <v>0</v>
      </c>
      <c r="CF70" s="211">
        <f t="shared" si="23"/>
        <v>0</v>
      </c>
      <c r="CG70" s="211">
        <f t="shared" si="8"/>
        <v>0</v>
      </c>
      <c r="CH70" s="211">
        <f t="shared" si="8"/>
        <v>0</v>
      </c>
      <c r="CI70" s="211">
        <f t="shared" si="24"/>
        <v>0</v>
      </c>
    </row>
    <row r="71" spans="1:87" ht="15.75" thickBot="1">
      <c r="A71" s="556" t="s">
        <v>172</v>
      </c>
      <c r="F71" s="39">
        <v>650346</v>
      </c>
      <c r="G71" s="574">
        <v>650346</v>
      </c>
      <c r="H71" s="211"/>
      <c r="I71" s="211"/>
      <c r="J71" s="569">
        <f t="shared" si="9"/>
        <v>0</v>
      </c>
      <c r="K71" s="211">
        <v>3406175</v>
      </c>
      <c r="L71" s="211">
        <f t="shared" si="32"/>
        <v>3406175</v>
      </c>
      <c r="M71" s="211">
        <v>2211994</v>
      </c>
      <c r="N71" s="583">
        <v>-579.5</v>
      </c>
      <c r="O71" s="583">
        <v>12.45</v>
      </c>
      <c r="P71" s="211">
        <f t="shared" si="33"/>
        <v>2342944</v>
      </c>
      <c r="Q71" s="39">
        <f t="shared" si="25"/>
        <v>2497983</v>
      </c>
      <c r="R71" s="535">
        <f t="shared" si="27"/>
        <v>5904158</v>
      </c>
      <c r="S71" s="211">
        <v>7015012</v>
      </c>
      <c r="T71" s="535">
        <f t="shared" si="26"/>
        <v>0</v>
      </c>
      <c r="V71" s="211">
        <v>0</v>
      </c>
      <c r="W71" s="211">
        <v>0</v>
      </c>
      <c r="X71" s="211">
        <v>0</v>
      </c>
      <c r="Y71" s="211">
        <v>0</v>
      </c>
      <c r="Z71" s="535">
        <f t="shared" si="12"/>
        <v>0</v>
      </c>
      <c r="AA71" s="211">
        <v>0</v>
      </c>
      <c r="AB71" s="535">
        <f t="shared" si="13"/>
        <v>0</v>
      </c>
      <c r="AD71" s="211">
        <v>0</v>
      </c>
      <c r="AE71" s="211">
        <v>0</v>
      </c>
      <c r="AF71" s="211">
        <v>0</v>
      </c>
      <c r="AG71" s="211">
        <v>0</v>
      </c>
      <c r="AH71" s="535">
        <f t="shared" si="14"/>
        <v>0</v>
      </c>
      <c r="AI71" s="211">
        <v>0</v>
      </c>
      <c r="AJ71" s="535">
        <f t="shared" si="15"/>
        <v>0</v>
      </c>
      <c r="AL71" s="39">
        <v>0</v>
      </c>
      <c r="AM71" s="39">
        <v>0</v>
      </c>
      <c r="AN71" s="39">
        <v>0</v>
      </c>
      <c r="AO71" s="39">
        <v>0</v>
      </c>
      <c r="AP71" s="590">
        <f t="shared" si="16"/>
        <v>0</v>
      </c>
      <c r="AQ71" s="39">
        <v>0</v>
      </c>
      <c r="AR71" s="145">
        <f t="shared" si="28"/>
        <v>0</v>
      </c>
      <c r="AT71" s="39">
        <v>0</v>
      </c>
      <c r="AU71" s="39">
        <v>0</v>
      </c>
      <c r="AV71" s="39">
        <v>0</v>
      </c>
      <c r="AW71" s="39">
        <v>0</v>
      </c>
      <c r="AX71" s="590">
        <f t="shared" si="29"/>
        <v>0</v>
      </c>
      <c r="AY71" s="39">
        <v>0</v>
      </c>
      <c r="AZ71" s="590">
        <f t="shared" si="1"/>
        <v>0</v>
      </c>
      <c r="BB71" s="571">
        <v>0</v>
      </c>
      <c r="BC71" s="571">
        <v>0</v>
      </c>
      <c r="BD71" s="198">
        <v>0</v>
      </c>
      <c r="BE71" s="590">
        <f t="shared" si="2"/>
        <v>0</v>
      </c>
      <c r="BF71" s="571">
        <v>0</v>
      </c>
      <c r="BG71" s="535">
        <f t="shared" si="3"/>
        <v>0</v>
      </c>
      <c r="BI71" s="590">
        <v>0</v>
      </c>
      <c r="BJ71" s="590">
        <v>0</v>
      </c>
      <c r="BK71" s="198">
        <v>2274866</v>
      </c>
      <c r="BL71" s="535">
        <f t="shared" si="4"/>
        <v>2274866</v>
      </c>
      <c r="BM71" s="571">
        <v>0</v>
      </c>
      <c r="BN71" s="535">
        <f t="shared" si="5"/>
        <v>2274866</v>
      </c>
      <c r="BP71" s="590">
        <v>0</v>
      </c>
      <c r="BQ71" s="198">
        <v>2274866</v>
      </c>
      <c r="BR71" s="198">
        <v>1748744</v>
      </c>
      <c r="BS71" s="535">
        <f t="shared" si="19"/>
        <v>4023610</v>
      </c>
      <c r="BT71" s="211">
        <f t="shared" si="20"/>
        <v>4086781</v>
      </c>
      <c r="BU71" s="572">
        <v>0</v>
      </c>
      <c r="BV71" s="535">
        <f t="shared" si="6"/>
        <v>4086781</v>
      </c>
      <c r="BX71" s="164">
        <f>ROUND(BQ71*(1.0157),0)</f>
        <v>2310581</v>
      </c>
      <c r="BY71" s="164">
        <f>ROUND(BR71*(1.0157),0)</f>
        <v>1776199</v>
      </c>
      <c r="BZ71" s="198">
        <v>12086343</v>
      </c>
      <c r="CA71" s="535">
        <f t="shared" si="21"/>
        <v>16173123</v>
      </c>
      <c r="CB71" s="211">
        <f t="shared" si="22"/>
        <v>16310595</v>
      </c>
      <c r="CC71" s="572">
        <f>+'[3]14-15 $140M Workload Restore'!AP69</f>
        <v>14421919</v>
      </c>
      <c r="CD71" s="535">
        <f t="shared" si="7"/>
        <v>1888676</v>
      </c>
      <c r="CF71" s="211">
        <f t="shared" si="23"/>
        <v>2330221</v>
      </c>
      <c r="CG71" s="211">
        <f t="shared" si="8"/>
        <v>1791297</v>
      </c>
      <c r="CH71" s="211">
        <f t="shared" si="8"/>
        <v>12189077</v>
      </c>
      <c r="CI71" s="211">
        <f t="shared" si="24"/>
        <v>16310595</v>
      </c>
    </row>
    <row r="72" spans="1:87" ht="15.75" thickBot="1">
      <c r="A72" s="523" t="s">
        <v>173</v>
      </c>
      <c r="F72" s="211"/>
      <c r="G72" s="568"/>
      <c r="H72" s="211"/>
      <c r="I72" s="211"/>
      <c r="J72" s="569">
        <f t="shared" si="9"/>
        <v>0</v>
      </c>
      <c r="K72" s="39">
        <v>1295037</v>
      </c>
      <c r="L72" s="211">
        <f t="shared" si="32"/>
        <v>1295037</v>
      </c>
      <c r="M72" s="574">
        <v>1106672</v>
      </c>
      <c r="N72" s="583">
        <v>0</v>
      </c>
      <c r="O72" s="583">
        <v>0</v>
      </c>
      <c r="P72" s="211">
        <v>0</v>
      </c>
      <c r="Q72" s="211">
        <f t="shared" si="25"/>
        <v>0</v>
      </c>
      <c r="R72" s="535">
        <f t="shared" si="27"/>
        <v>1295037</v>
      </c>
      <c r="S72" s="211">
        <v>1601048</v>
      </c>
      <c r="T72" s="535">
        <f t="shared" si="26"/>
        <v>0</v>
      </c>
      <c r="V72" s="211">
        <v>0</v>
      </c>
      <c r="W72" s="211">
        <v>0</v>
      </c>
      <c r="X72" s="211">
        <v>0</v>
      </c>
      <c r="Y72" s="211">
        <v>0</v>
      </c>
      <c r="Z72" s="535">
        <f t="shared" si="12"/>
        <v>0</v>
      </c>
      <c r="AA72" s="211">
        <v>159941</v>
      </c>
      <c r="AB72" s="535">
        <f t="shared" si="13"/>
        <v>0</v>
      </c>
      <c r="AD72" s="211">
        <v>0</v>
      </c>
      <c r="AE72" s="211">
        <v>0</v>
      </c>
      <c r="AF72" s="211">
        <v>0</v>
      </c>
      <c r="AG72" s="211">
        <v>0</v>
      </c>
      <c r="AH72" s="535">
        <f t="shared" si="14"/>
        <v>0</v>
      </c>
      <c r="AI72" s="211">
        <v>0</v>
      </c>
      <c r="AJ72" s="535">
        <f t="shared" si="15"/>
        <v>0</v>
      </c>
      <c r="AL72" s="211">
        <v>0</v>
      </c>
      <c r="AM72" s="211">
        <v>0</v>
      </c>
      <c r="AN72" s="211">
        <v>0</v>
      </c>
      <c r="AO72" s="211">
        <v>0</v>
      </c>
      <c r="AP72" s="535">
        <f t="shared" si="16"/>
        <v>0</v>
      </c>
      <c r="AQ72" s="211">
        <v>0</v>
      </c>
      <c r="AR72" s="145">
        <f t="shared" si="28"/>
        <v>0</v>
      </c>
      <c r="AT72" s="211">
        <v>0</v>
      </c>
      <c r="AU72" s="211">
        <v>0</v>
      </c>
      <c r="AV72" s="211">
        <v>0</v>
      </c>
      <c r="AW72" s="211">
        <v>0</v>
      </c>
      <c r="AX72" s="535">
        <f t="shared" si="29"/>
        <v>0</v>
      </c>
      <c r="AY72" s="211">
        <v>0</v>
      </c>
      <c r="AZ72" s="535">
        <f t="shared" si="1"/>
        <v>0</v>
      </c>
      <c r="BB72" s="571">
        <v>0</v>
      </c>
      <c r="BC72" s="571">
        <v>0</v>
      </c>
      <c r="BD72" s="198">
        <v>0</v>
      </c>
      <c r="BE72" s="535">
        <f t="shared" si="2"/>
        <v>0</v>
      </c>
      <c r="BF72" s="571">
        <v>0</v>
      </c>
      <c r="BG72" s="535">
        <f t="shared" si="3"/>
        <v>0</v>
      </c>
      <c r="BI72" s="571">
        <v>0</v>
      </c>
      <c r="BJ72" s="571">
        <v>0</v>
      </c>
      <c r="BK72" s="198">
        <v>0</v>
      </c>
      <c r="BL72" s="535">
        <f t="shared" si="4"/>
        <v>0</v>
      </c>
      <c r="BM72" s="571">
        <v>0</v>
      </c>
      <c r="BN72" s="535">
        <f t="shared" si="5"/>
        <v>0</v>
      </c>
      <c r="BP72" s="571">
        <v>0</v>
      </c>
      <c r="BQ72" s="198">
        <v>0</v>
      </c>
      <c r="BR72" s="198">
        <v>0</v>
      </c>
      <c r="BS72" s="535">
        <f t="shared" si="19"/>
        <v>0</v>
      </c>
      <c r="BT72" s="211">
        <f t="shared" si="20"/>
        <v>0</v>
      </c>
      <c r="BU72" s="572">
        <v>0</v>
      </c>
      <c r="BV72" s="535">
        <f t="shared" si="6"/>
        <v>0</v>
      </c>
      <c r="BX72" s="198">
        <v>0</v>
      </c>
      <c r="BY72" s="198">
        <v>0</v>
      </c>
      <c r="BZ72" s="198">
        <v>0</v>
      </c>
      <c r="CA72" s="535">
        <f t="shared" si="21"/>
        <v>0</v>
      </c>
      <c r="CB72" s="211">
        <f t="shared" si="22"/>
        <v>0</v>
      </c>
      <c r="CC72" s="572">
        <f>+'[3]14-15 $140M Workload Restore'!AP70</f>
        <v>0</v>
      </c>
      <c r="CD72" s="535">
        <f t="shared" si="7"/>
        <v>0</v>
      </c>
      <c r="CF72" s="211">
        <f t="shared" si="23"/>
        <v>0</v>
      </c>
      <c r="CG72" s="211">
        <f t="shared" si="8"/>
        <v>0</v>
      </c>
      <c r="CH72" s="211">
        <f t="shared" si="8"/>
        <v>0</v>
      </c>
      <c r="CI72" s="211">
        <f t="shared" si="24"/>
        <v>0</v>
      </c>
    </row>
    <row r="73" spans="1:87" ht="15">
      <c r="A73" s="523" t="s">
        <v>174</v>
      </c>
      <c r="F73" s="211"/>
      <c r="G73" s="568"/>
      <c r="H73" s="211"/>
      <c r="I73" s="211"/>
      <c r="J73" s="569">
        <f t="shared" si="9"/>
        <v>0</v>
      </c>
      <c r="K73" s="211"/>
      <c r="L73" s="211">
        <f t="shared" si="32"/>
        <v>0</v>
      </c>
      <c r="M73" s="211"/>
      <c r="N73" s="583">
        <v>0</v>
      </c>
      <c r="O73" s="583">
        <v>0</v>
      </c>
      <c r="P73" s="211">
        <f t="shared" si="33"/>
        <v>0</v>
      </c>
      <c r="Q73" s="211">
        <f t="shared" si="25"/>
        <v>0</v>
      </c>
      <c r="R73" s="535">
        <f t="shared" si="27"/>
        <v>0</v>
      </c>
      <c r="S73" s="211">
        <v>0</v>
      </c>
      <c r="T73" s="535">
        <f t="shared" si="26"/>
        <v>0</v>
      </c>
      <c r="V73" s="211">
        <v>0</v>
      </c>
      <c r="W73" s="211">
        <v>0</v>
      </c>
      <c r="X73" s="211">
        <v>408001</v>
      </c>
      <c r="Y73" s="211">
        <f>ROUND(408001*1.0453,0)</f>
        <v>426483</v>
      </c>
      <c r="Z73" s="535">
        <f t="shared" si="12"/>
        <v>426483</v>
      </c>
      <c r="AA73" s="211">
        <v>426483</v>
      </c>
      <c r="AB73" s="535">
        <f t="shared" si="13"/>
        <v>0</v>
      </c>
      <c r="AD73" s="211">
        <v>0</v>
      </c>
      <c r="AE73" s="211">
        <v>0</v>
      </c>
      <c r="AF73" s="211">
        <v>0</v>
      </c>
      <c r="AG73" s="211">
        <v>0</v>
      </c>
      <c r="AH73" s="535">
        <f t="shared" si="14"/>
        <v>0</v>
      </c>
      <c r="AI73" s="211">
        <v>0</v>
      </c>
      <c r="AJ73" s="535">
        <f t="shared" si="15"/>
        <v>0</v>
      </c>
      <c r="AL73" s="211">
        <v>0</v>
      </c>
      <c r="AM73" s="211">
        <v>0</v>
      </c>
      <c r="AN73" s="211">
        <v>0</v>
      </c>
      <c r="AO73" s="211">
        <v>0</v>
      </c>
      <c r="AP73" s="535">
        <f t="shared" si="16"/>
        <v>0</v>
      </c>
      <c r="AQ73" s="211">
        <v>0</v>
      </c>
      <c r="AR73" s="145">
        <f t="shared" si="28"/>
        <v>0</v>
      </c>
      <c r="AT73" s="211">
        <v>0</v>
      </c>
      <c r="AU73" s="211">
        <v>0</v>
      </c>
      <c r="AV73" s="211">
        <v>0</v>
      </c>
      <c r="AW73" s="211">
        <v>0</v>
      </c>
      <c r="AX73" s="535">
        <f t="shared" si="29"/>
        <v>0</v>
      </c>
      <c r="AY73" s="211">
        <v>0</v>
      </c>
      <c r="AZ73" s="535">
        <f t="shared" ref="AZ73:AZ80" si="34">AX73-AY73</f>
        <v>0</v>
      </c>
      <c r="BB73" s="571">
        <v>0</v>
      </c>
      <c r="BC73" s="571">
        <v>0</v>
      </c>
      <c r="BD73" s="198">
        <v>0</v>
      </c>
      <c r="BE73" s="535">
        <f t="shared" ref="BE73:BE80" si="35">SUM(BB73:BD73)</f>
        <v>0</v>
      </c>
      <c r="BF73" s="571">
        <v>0</v>
      </c>
      <c r="BG73" s="535">
        <f t="shared" ref="BG73:BG80" si="36">BE73-BF73</f>
        <v>0</v>
      </c>
      <c r="BI73" s="571">
        <v>0</v>
      </c>
      <c r="BJ73" s="571">
        <v>0</v>
      </c>
      <c r="BK73" s="198">
        <v>0</v>
      </c>
      <c r="BL73" s="535">
        <f t="shared" ref="BL73:BL78" si="37">SUM(BI73:BK73)</f>
        <v>0</v>
      </c>
      <c r="BM73" s="571">
        <v>0</v>
      </c>
      <c r="BN73" s="535">
        <f t="shared" ref="BN73:BN80" si="38">BL73-BM73</f>
        <v>0</v>
      </c>
      <c r="BP73" s="571">
        <v>0</v>
      </c>
      <c r="BQ73" s="198">
        <v>0</v>
      </c>
      <c r="BR73" s="198">
        <v>0</v>
      </c>
      <c r="BS73" s="535">
        <f t="shared" si="19"/>
        <v>0</v>
      </c>
      <c r="BT73" s="211">
        <f t="shared" si="20"/>
        <v>0</v>
      </c>
      <c r="BU73" s="572">
        <v>0</v>
      </c>
      <c r="BV73" s="535">
        <f t="shared" ref="BV73:BV80" si="39">BT73-BU73</f>
        <v>0</v>
      </c>
      <c r="BX73" s="198">
        <v>0</v>
      </c>
      <c r="BY73" s="198">
        <v>0</v>
      </c>
      <c r="BZ73" s="198">
        <v>0</v>
      </c>
      <c r="CA73" s="535">
        <f t="shared" si="21"/>
        <v>0</v>
      </c>
      <c r="CB73" s="211">
        <f t="shared" si="22"/>
        <v>0</v>
      </c>
      <c r="CC73" s="572">
        <f>+'[3]14-15 $140M Workload Restore'!AP71</f>
        <v>0</v>
      </c>
      <c r="CD73" s="535">
        <f t="shared" ref="CD73:CD80" si="40">CB73-CC73</f>
        <v>0</v>
      </c>
      <c r="CF73" s="211">
        <f t="shared" si="23"/>
        <v>0</v>
      </c>
      <c r="CG73" s="211">
        <f t="shared" si="23"/>
        <v>0</v>
      </c>
      <c r="CH73" s="211">
        <f t="shared" si="23"/>
        <v>0</v>
      </c>
      <c r="CI73" s="211">
        <f t="shared" si="24"/>
        <v>0</v>
      </c>
    </row>
    <row r="74" spans="1:87" ht="15">
      <c r="A74" s="523" t="s">
        <v>175</v>
      </c>
      <c r="F74" s="211"/>
      <c r="G74" s="568"/>
      <c r="H74" s="211"/>
      <c r="I74" s="211"/>
      <c r="J74" s="569">
        <f t="shared" ref="J74:J79" si="41">ROUND(I74*1.0241*1.0423*1.0592,0)</f>
        <v>0</v>
      </c>
      <c r="K74" s="211">
        <v>1401724</v>
      </c>
      <c r="L74" s="211">
        <f t="shared" si="32"/>
        <v>1401724</v>
      </c>
      <c r="M74" s="211">
        <v>4425823</v>
      </c>
      <c r="N74" s="583">
        <v>-1284.8800000000001</v>
      </c>
      <c r="O74" s="583">
        <v>9.3000000000000007</v>
      </c>
      <c r="P74" s="211">
        <f t="shared" si="33"/>
        <v>4687832</v>
      </c>
      <c r="Q74" s="39">
        <f t="shared" si="25"/>
        <v>5586649</v>
      </c>
      <c r="R74" s="535">
        <f t="shared" si="27"/>
        <v>6988373</v>
      </c>
      <c r="S74" s="211">
        <v>2390260</v>
      </c>
      <c r="T74" s="535">
        <f t="shared" si="26"/>
        <v>4598113</v>
      </c>
      <c r="V74" s="211">
        <v>0</v>
      </c>
      <c r="W74" s="211">
        <f>ROUND((R74-S74)*1.0453,0)</f>
        <v>4806408</v>
      </c>
      <c r="X74" s="211">
        <v>0</v>
      </c>
      <c r="Y74" s="211">
        <v>0</v>
      </c>
      <c r="Z74" s="535">
        <f t="shared" ref="Z74:Z80" si="42">SUM(V74:Y74)-X74</f>
        <v>4806408</v>
      </c>
      <c r="AA74" s="211">
        <v>4958797</v>
      </c>
      <c r="AB74" s="535">
        <f t="shared" ref="AB74:AB80" si="43">IF(Z74-AA74&gt;=0,Z74-AA74,0)</f>
        <v>0</v>
      </c>
      <c r="AD74" s="211">
        <v>0</v>
      </c>
      <c r="AE74" s="211">
        <v>0</v>
      </c>
      <c r="AF74" s="211">
        <v>0</v>
      </c>
      <c r="AG74" s="211">
        <v>0</v>
      </c>
      <c r="AH74" s="535">
        <f t="shared" ref="AH74:AH80" si="44">SUM(AD74:AG74)-AF74</f>
        <v>0</v>
      </c>
      <c r="AI74" s="211">
        <v>0</v>
      </c>
      <c r="AJ74" s="535">
        <f t="shared" ref="AJ74:AJ80" si="45">IF(AH74-AI74&gt;=0,AH74-AI74,0)</f>
        <v>0</v>
      </c>
      <c r="AL74" s="211">
        <v>0</v>
      </c>
      <c r="AM74" s="211">
        <v>0</v>
      </c>
      <c r="AN74" s="211">
        <v>0</v>
      </c>
      <c r="AO74" s="211">
        <v>0</v>
      </c>
      <c r="AP74" s="535">
        <f t="shared" ref="AP74:AP80" si="46">SUM(AL74:AO74)-AN74</f>
        <v>0</v>
      </c>
      <c r="AQ74" s="211">
        <v>0</v>
      </c>
      <c r="AR74" s="145">
        <f t="shared" si="28"/>
        <v>0</v>
      </c>
      <c r="AT74" s="211">
        <v>0</v>
      </c>
      <c r="AU74" s="211">
        <v>0</v>
      </c>
      <c r="AV74" s="211">
        <v>0</v>
      </c>
      <c r="AW74" s="211">
        <v>0</v>
      </c>
      <c r="AX74" s="535">
        <f t="shared" si="29"/>
        <v>0</v>
      </c>
      <c r="AY74" s="211">
        <v>0</v>
      </c>
      <c r="AZ74" s="535">
        <f t="shared" si="34"/>
        <v>0</v>
      </c>
      <c r="BB74" s="571">
        <v>0</v>
      </c>
      <c r="BC74" s="571">
        <v>0</v>
      </c>
      <c r="BD74" s="198">
        <v>0</v>
      </c>
      <c r="BE74" s="535">
        <f t="shared" si="35"/>
        <v>0</v>
      </c>
      <c r="BF74" s="571">
        <v>0</v>
      </c>
      <c r="BG74" s="535">
        <f t="shared" si="36"/>
        <v>0</v>
      </c>
      <c r="BI74" s="571">
        <v>0</v>
      </c>
      <c r="BJ74" s="571">
        <v>0</v>
      </c>
      <c r="BK74" s="198">
        <v>0</v>
      </c>
      <c r="BL74" s="535">
        <f t="shared" si="37"/>
        <v>0</v>
      </c>
      <c r="BM74" s="571">
        <v>0</v>
      </c>
      <c r="BN74" s="535">
        <f t="shared" si="38"/>
        <v>0</v>
      </c>
      <c r="BP74" s="571">
        <v>0</v>
      </c>
      <c r="BQ74" s="198">
        <v>0</v>
      </c>
      <c r="BR74" s="198">
        <v>0</v>
      </c>
      <c r="BS74" s="535">
        <f t="shared" ref="BS74:BS80" si="47">SUM(BP74:BR74)</f>
        <v>0</v>
      </c>
      <c r="BT74" s="211">
        <f t="shared" ref="BT74:BT80" si="48">ROUND(+BS74*1.0157,0)</f>
        <v>0</v>
      </c>
      <c r="BU74" s="572">
        <v>0</v>
      </c>
      <c r="BV74" s="535">
        <f t="shared" si="39"/>
        <v>0</v>
      </c>
      <c r="BX74" s="198">
        <v>0</v>
      </c>
      <c r="BY74" s="198">
        <v>0</v>
      </c>
      <c r="BZ74" s="198">
        <v>0</v>
      </c>
      <c r="CA74" s="535">
        <f t="shared" ref="CA74:CA80" si="49">SUM(BX74:BZ74)</f>
        <v>0</v>
      </c>
      <c r="CB74" s="211">
        <f t="shared" ref="CB74:CB80" si="50">ROUND(+CA74*1.0085,0)</f>
        <v>0</v>
      </c>
      <c r="CC74" s="572">
        <f>+'[3]14-15 $140M Workload Restore'!AP72</f>
        <v>0</v>
      </c>
      <c r="CD74" s="535">
        <f t="shared" si="40"/>
        <v>0</v>
      </c>
      <c r="CF74" s="211">
        <f t="shared" ref="CF74:CH80" si="51">ROUND(+BX74*(1.0085),0)</f>
        <v>0</v>
      </c>
      <c r="CG74" s="211">
        <f t="shared" si="51"/>
        <v>0</v>
      </c>
      <c r="CH74" s="211">
        <f t="shared" si="51"/>
        <v>0</v>
      </c>
      <c r="CI74" s="211">
        <f t="shared" ref="CI74:CI80" si="52">SUM(CF74:CH74)</f>
        <v>0</v>
      </c>
    </row>
    <row r="75" spans="1:87" ht="15">
      <c r="A75" s="523" t="s">
        <v>176</v>
      </c>
      <c r="F75" s="211"/>
      <c r="G75" s="568"/>
      <c r="H75" s="211"/>
      <c r="I75" s="211"/>
      <c r="J75" s="569">
        <f t="shared" si="41"/>
        <v>0</v>
      </c>
      <c r="K75" s="211"/>
      <c r="L75" s="211">
        <f t="shared" si="32"/>
        <v>0</v>
      </c>
      <c r="M75" s="211">
        <v>619669</v>
      </c>
      <c r="N75" s="583">
        <v>-174.06</v>
      </c>
      <c r="O75" s="583">
        <v>-85.11</v>
      </c>
      <c r="P75" s="211">
        <f t="shared" si="33"/>
        <v>656353</v>
      </c>
      <c r="Q75" s="39">
        <f t="shared" ref="Q75:Q80" si="53">ROUND(-N75*$R$1-O75*$R$2,0)</f>
        <v>983619</v>
      </c>
      <c r="R75" s="535">
        <f t="shared" si="27"/>
        <v>983619</v>
      </c>
      <c r="S75" s="211">
        <v>0</v>
      </c>
      <c r="T75" s="535">
        <f t="shared" ref="T75:T80" si="54">IF(R75-S75&gt;=0,R75-S75,0)</f>
        <v>983619</v>
      </c>
      <c r="V75" s="211">
        <v>0</v>
      </c>
      <c r="W75" s="211">
        <f>ROUND(Q75*1.0453,0)</f>
        <v>1028177</v>
      </c>
      <c r="X75" s="211">
        <v>905221</v>
      </c>
      <c r="Y75" s="211">
        <f>ROUND(905221*1.0453,0)</f>
        <v>946228</v>
      </c>
      <c r="Z75" s="535">
        <f t="shared" si="42"/>
        <v>1974405</v>
      </c>
      <c r="AA75" s="211">
        <v>1758935</v>
      </c>
      <c r="AB75" s="535">
        <f t="shared" si="43"/>
        <v>215470</v>
      </c>
      <c r="AD75" s="211">
        <v>0</v>
      </c>
      <c r="AE75" s="211">
        <f>AB75</f>
        <v>215470</v>
      </c>
      <c r="AF75" s="211">
        <v>0</v>
      </c>
      <c r="AG75" s="211">
        <v>0</v>
      </c>
      <c r="AH75" s="535">
        <f t="shared" si="44"/>
        <v>215470</v>
      </c>
      <c r="AI75" s="211">
        <v>215470</v>
      </c>
      <c r="AJ75" s="535">
        <f t="shared" si="45"/>
        <v>0</v>
      </c>
      <c r="AL75" s="211">
        <v>0</v>
      </c>
      <c r="AM75" s="211">
        <v>0</v>
      </c>
      <c r="AN75" s="211">
        <v>0</v>
      </c>
      <c r="AO75" s="211">
        <v>0</v>
      </c>
      <c r="AP75" s="535">
        <f t="shared" si="46"/>
        <v>0</v>
      </c>
      <c r="AQ75" s="211">
        <v>0</v>
      </c>
      <c r="AR75" s="145">
        <f t="shared" si="28"/>
        <v>0</v>
      </c>
      <c r="AT75" s="211">
        <v>0</v>
      </c>
      <c r="AU75" s="211">
        <v>0</v>
      </c>
      <c r="AV75" s="211">
        <v>0</v>
      </c>
      <c r="AW75" s="211">
        <v>0</v>
      </c>
      <c r="AX75" s="535">
        <f t="shared" si="29"/>
        <v>0</v>
      </c>
      <c r="AY75" s="211">
        <v>0</v>
      </c>
      <c r="AZ75" s="535">
        <f t="shared" si="34"/>
        <v>0</v>
      </c>
      <c r="BB75" s="571">
        <v>0</v>
      </c>
      <c r="BC75" s="571">
        <v>0</v>
      </c>
      <c r="BD75" s="198">
        <v>0</v>
      </c>
      <c r="BE75" s="535">
        <f t="shared" si="35"/>
        <v>0</v>
      </c>
      <c r="BF75" s="571">
        <v>0</v>
      </c>
      <c r="BG75" s="535">
        <f t="shared" si="36"/>
        <v>0</v>
      </c>
      <c r="BI75" s="571">
        <v>0</v>
      </c>
      <c r="BJ75" s="571">
        <v>0</v>
      </c>
      <c r="BK75" s="198">
        <v>0</v>
      </c>
      <c r="BL75" s="535">
        <f t="shared" si="37"/>
        <v>0</v>
      </c>
      <c r="BM75" s="571">
        <v>0</v>
      </c>
      <c r="BN75" s="535">
        <f t="shared" si="38"/>
        <v>0</v>
      </c>
      <c r="BP75" s="571">
        <v>0</v>
      </c>
      <c r="BQ75" s="198">
        <v>0</v>
      </c>
      <c r="BR75" s="198">
        <v>0</v>
      </c>
      <c r="BS75" s="535">
        <f t="shared" si="47"/>
        <v>0</v>
      </c>
      <c r="BT75" s="211">
        <f t="shared" si="48"/>
        <v>0</v>
      </c>
      <c r="BU75" s="572">
        <v>0</v>
      </c>
      <c r="BV75" s="535">
        <f t="shared" si="39"/>
        <v>0</v>
      </c>
      <c r="BX75" s="198">
        <v>0</v>
      </c>
      <c r="BY75" s="198">
        <v>0</v>
      </c>
      <c r="BZ75" s="198">
        <v>0</v>
      </c>
      <c r="CA75" s="535">
        <f t="shared" si="49"/>
        <v>0</v>
      </c>
      <c r="CB75" s="211">
        <f t="shared" si="50"/>
        <v>0</v>
      </c>
      <c r="CC75" s="572">
        <f>+'[3]14-15 $140M Workload Restore'!AP73</f>
        <v>0</v>
      </c>
      <c r="CD75" s="535">
        <f t="shared" si="40"/>
        <v>0</v>
      </c>
      <c r="CF75" s="211">
        <f t="shared" si="51"/>
        <v>0</v>
      </c>
      <c r="CG75" s="211">
        <f t="shared" si="51"/>
        <v>0</v>
      </c>
      <c r="CH75" s="211">
        <f t="shared" si="51"/>
        <v>0</v>
      </c>
      <c r="CI75" s="211">
        <f t="shared" si="52"/>
        <v>0</v>
      </c>
    </row>
    <row r="76" spans="1:87" ht="15">
      <c r="A76" s="523" t="s">
        <v>177</v>
      </c>
      <c r="F76" s="211"/>
      <c r="G76" s="568"/>
      <c r="H76" s="211"/>
      <c r="I76" s="211"/>
      <c r="J76" s="569">
        <f t="shared" si="41"/>
        <v>0</v>
      </c>
      <c r="K76" s="211"/>
      <c r="L76" s="211">
        <f t="shared" si="32"/>
        <v>0</v>
      </c>
      <c r="M76" s="211"/>
      <c r="N76" s="583">
        <v>0</v>
      </c>
      <c r="O76" s="583">
        <v>0</v>
      </c>
      <c r="P76" s="211">
        <f t="shared" si="33"/>
        <v>0</v>
      </c>
      <c r="Q76" s="211">
        <f t="shared" si="53"/>
        <v>0</v>
      </c>
      <c r="R76" s="535">
        <f>IF(P76&gt;Q76,J76+L76+P76,J76+L76+Q76)</f>
        <v>0</v>
      </c>
      <c r="S76" s="211">
        <v>0</v>
      </c>
      <c r="T76" s="535">
        <f t="shared" si="54"/>
        <v>0</v>
      </c>
      <c r="V76" s="211">
        <v>0</v>
      </c>
      <c r="W76" s="211">
        <v>0</v>
      </c>
      <c r="X76" s="211">
        <v>0</v>
      </c>
      <c r="Y76" s="211">
        <v>0</v>
      </c>
      <c r="Z76" s="535">
        <f t="shared" si="42"/>
        <v>0</v>
      </c>
      <c r="AA76" s="211">
        <v>0</v>
      </c>
      <c r="AB76" s="535">
        <f t="shared" si="43"/>
        <v>0</v>
      </c>
      <c r="AD76" s="211">
        <v>0</v>
      </c>
      <c r="AE76" s="211">
        <v>0</v>
      </c>
      <c r="AF76" s="211">
        <v>0</v>
      </c>
      <c r="AG76" s="211">
        <v>0</v>
      </c>
      <c r="AH76" s="535">
        <f t="shared" si="44"/>
        <v>0</v>
      </c>
      <c r="AI76" s="211">
        <v>0</v>
      </c>
      <c r="AJ76" s="535">
        <f t="shared" si="45"/>
        <v>0</v>
      </c>
      <c r="AL76" s="211">
        <v>0</v>
      </c>
      <c r="AM76" s="211">
        <v>0</v>
      </c>
      <c r="AN76" s="211">
        <v>0</v>
      </c>
      <c r="AO76" s="211">
        <v>0</v>
      </c>
      <c r="AP76" s="535">
        <f t="shared" si="46"/>
        <v>0</v>
      </c>
      <c r="AQ76" s="211">
        <v>0</v>
      </c>
      <c r="AR76" s="145">
        <f t="shared" si="28"/>
        <v>0</v>
      </c>
      <c r="AT76" s="211">
        <v>0</v>
      </c>
      <c r="AU76" s="211">
        <v>0</v>
      </c>
      <c r="AV76" s="211">
        <v>0</v>
      </c>
      <c r="AW76" s="211">
        <v>0</v>
      </c>
      <c r="AX76" s="535">
        <f t="shared" si="29"/>
        <v>0</v>
      </c>
      <c r="AY76" s="211">
        <v>0</v>
      </c>
      <c r="AZ76" s="535">
        <f t="shared" si="34"/>
        <v>0</v>
      </c>
      <c r="BB76" s="571">
        <v>0</v>
      </c>
      <c r="BC76" s="571">
        <v>0</v>
      </c>
      <c r="BD76" s="198">
        <v>0</v>
      </c>
      <c r="BE76" s="535">
        <f t="shared" si="35"/>
        <v>0</v>
      </c>
      <c r="BF76" s="571">
        <v>0</v>
      </c>
      <c r="BG76" s="535">
        <f t="shared" si="36"/>
        <v>0</v>
      </c>
      <c r="BI76" s="571">
        <v>0</v>
      </c>
      <c r="BJ76" s="571">
        <v>0</v>
      </c>
      <c r="BK76" s="198">
        <v>0</v>
      </c>
      <c r="BL76" s="535">
        <f t="shared" si="37"/>
        <v>0</v>
      </c>
      <c r="BM76" s="571">
        <v>0</v>
      </c>
      <c r="BN76" s="535">
        <f t="shared" si="38"/>
        <v>0</v>
      </c>
      <c r="BP76" s="571">
        <v>0</v>
      </c>
      <c r="BQ76" s="198">
        <v>0</v>
      </c>
      <c r="BR76" s="198">
        <v>0</v>
      </c>
      <c r="BS76" s="535">
        <f t="shared" si="47"/>
        <v>0</v>
      </c>
      <c r="BT76" s="211">
        <f t="shared" si="48"/>
        <v>0</v>
      </c>
      <c r="BU76" s="572">
        <v>0</v>
      </c>
      <c r="BV76" s="535">
        <f t="shared" si="39"/>
        <v>0</v>
      </c>
      <c r="BX76" s="198">
        <v>0</v>
      </c>
      <c r="BY76" s="198">
        <v>0</v>
      </c>
      <c r="BZ76" s="198">
        <v>0</v>
      </c>
      <c r="CA76" s="535">
        <f t="shared" si="49"/>
        <v>0</v>
      </c>
      <c r="CB76" s="211">
        <f t="shared" si="50"/>
        <v>0</v>
      </c>
      <c r="CC76" s="572">
        <f>+'[3]14-15 $140M Workload Restore'!AP74</f>
        <v>0</v>
      </c>
      <c r="CD76" s="535">
        <f t="shared" si="40"/>
        <v>0</v>
      </c>
      <c r="CF76" s="211">
        <f t="shared" si="51"/>
        <v>0</v>
      </c>
      <c r="CG76" s="211">
        <f t="shared" si="51"/>
        <v>0</v>
      </c>
      <c r="CH76" s="211">
        <f t="shared" si="51"/>
        <v>0</v>
      </c>
      <c r="CI76" s="211">
        <f t="shared" si="52"/>
        <v>0</v>
      </c>
    </row>
    <row r="77" spans="1:87" ht="15">
      <c r="A77" s="523" t="s">
        <v>178</v>
      </c>
      <c r="F77" s="211"/>
      <c r="G77" s="568"/>
      <c r="H77" s="211"/>
      <c r="I77" s="211"/>
      <c r="J77" s="569">
        <f t="shared" si="41"/>
        <v>0</v>
      </c>
      <c r="K77" s="211"/>
      <c r="L77" s="211">
        <f t="shared" si="32"/>
        <v>0</v>
      </c>
      <c r="M77" s="211"/>
      <c r="N77" s="583">
        <v>0</v>
      </c>
      <c r="O77" s="583">
        <v>0</v>
      </c>
      <c r="P77" s="211">
        <f t="shared" si="33"/>
        <v>0</v>
      </c>
      <c r="Q77" s="211">
        <f t="shared" si="53"/>
        <v>0</v>
      </c>
      <c r="R77" s="535">
        <f>IF(P77&gt;Q77,J77+L77+P77,J77+L77+Q77)</f>
        <v>0</v>
      </c>
      <c r="S77" s="211">
        <v>0</v>
      </c>
      <c r="T77" s="535">
        <f t="shared" si="54"/>
        <v>0</v>
      </c>
      <c r="V77" s="211">
        <v>0</v>
      </c>
      <c r="W77" s="211">
        <v>0</v>
      </c>
      <c r="X77" s="211">
        <v>82901</v>
      </c>
      <c r="Y77" s="211">
        <f>ROUND(82901*1.0453,0)</f>
        <v>86656</v>
      </c>
      <c r="Z77" s="535">
        <f t="shared" si="42"/>
        <v>86656</v>
      </c>
      <c r="AA77" s="211">
        <v>86656</v>
      </c>
      <c r="AB77" s="535">
        <f t="shared" si="43"/>
        <v>0</v>
      </c>
      <c r="AD77" s="211">
        <v>0</v>
      </c>
      <c r="AE77" s="211">
        <v>0</v>
      </c>
      <c r="AF77" s="211">
        <v>0</v>
      </c>
      <c r="AG77" s="211">
        <v>0</v>
      </c>
      <c r="AH77" s="535">
        <f t="shared" si="44"/>
        <v>0</v>
      </c>
      <c r="AI77" s="211">
        <v>0</v>
      </c>
      <c r="AJ77" s="535">
        <f t="shared" si="45"/>
        <v>0</v>
      </c>
      <c r="AL77" s="211">
        <v>0</v>
      </c>
      <c r="AM77" s="211">
        <v>0</v>
      </c>
      <c r="AN77" s="211">
        <v>0</v>
      </c>
      <c r="AO77" s="211">
        <v>0</v>
      </c>
      <c r="AP77" s="535">
        <f t="shared" si="46"/>
        <v>0</v>
      </c>
      <c r="AQ77" s="211">
        <v>0</v>
      </c>
      <c r="AR77" s="145">
        <f t="shared" si="28"/>
        <v>0</v>
      </c>
      <c r="AT77" s="211">
        <v>0</v>
      </c>
      <c r="AU77" s="211">
        <v>0</v>
      </c>
      <c r="AV77" s="211">
        <v>0</v>
      </c>
      <c r="AW77" s="211">
        <v>0</v>
      </c>
      <c r="AX77" s="535">
        <f t="shared" si="29"/>
        <v>0</v>
      </c>
      <c r="AY77" s="211">
        <v>0</v>
      </c>
      <c r="AZ77" s="535">
        <f t="shared" si="34"/>
        <v>0</v>
      </c>
      <c r="BB77" s="571">
        <v>0</v>
      </c>
      <c r="BC77" s="571">
        <v>0</v>
      </c>
      <c r="BD77" s="198">
        <v>0</v>
      </c>
      <c r="BE77" s="535">
        <f t="shared" si="35"/>
        <v>0</v>
      </c>
      <c r="BF77" s="571">
        <v>0</v>
      </c>
      <c r="BG77" s="535">
        <f t="shared" si="36"/>
        <v>0</v>
      </c>
      <c r="BI77" s="571">
        <v>0</v>
      </c>
      <c r="BJ77" s="571">
        <v>0</v>
      </c>
      <c r="BK77" s="198">
        <v>35585</v>
      </c>
      <c r="BL77" s="535">
        <f t="shared" si="37"/>
        <v>35585</v>
      </c>
      <c r="BM77" s="571">
        <v>35585</v>
      </c>
      <c r="BN77" s="535">
        <f t="shared" si="38"/>
        <v>0</v>
      </c>
      <c r="BP77" s="571">
        <v>0</v>
      </c>
      <c r="BQ77" s="198">
        <v>0</v>
      </c>
      <c r="BR77" s="198">
        <v>0</v>
      </c>
      <c r="BS77" s="535">
        <f t="shared" si="47"/>
        <v>0</v>
      </c>
      <c r="BT77" s="211">
        <f t="shared" si="48"/>
        <v>0</v>
      </c>
      <c r="BU77" s="572">
        <v>0</v>
      </c>
      <c r="BV77" s="535">
        <f t="shared" si="39"/>
        <v>0</v>
      </c>
      <c r="BX77" s="198">
        <v>0</v>
      </c>
      <c r="BY77" s="198">
        <v>0</v>
      </c>
      <c r="BZ77" s="198">
        <v>0</v>
      </c>
      <c r="CA77" s="535">
        <f t="shared" si="49"/>
        <v>0</v>
      </c>
      <c r="CB77" s="211">
        <f t="shared" si="50"/>
        <v>0</v>
      </c>
      <c r="CC77" s="572">
        <f>+'[3]14-15 $140M Workload Restore'!AP75</f>
        <v>0</v>
      </c>
      <c r="CD77" s="535">
        <f t="shared" si="40"/>
        <v>0</v>
      </c>
      <c r="CF77" s="211">
        <f t="shared" si="51"/>
        <v>0</v>
      </c>
      <c r="CG77" s="211">
        <f t="shared" si="51"/>
        <v>0</v>
      </c>
      <c r="CH77" s="211">
        <f t="shared" si="51"/>
        <v>0</v>
      </c>
      <c r="CI77" s="211">
        <f t="shared" si="52"/>
        <v>0</v>
      </c>
    </row>
    <row r="78" spans="1:87" ht="15">
      <c r="A78" s="556" t="s">
        <v>179</v>
      </c>
      <c r="F78" s="211"/>
      <c r="G78" s="568"/>
      <c r="H78" s="211"/>
      <c r="I78" s="211"/>
      <c r="J78" s="569">
        <f t="shared" si="41"/>
        <v>0</v>
      </c>
      <c r="K78" s="211"/>
      <c r="L78" s="211">
        <f t="shared" si="32"/>
        <v>0</v>
      </c>
      <c r="M78" s="211">
        <v>3390235</v>
      </c>
      <c r="N78" s="583">
        <v>-914.3</v>
      </c>
      <c r="O78" s="583">
        <v>79.59</v>
      </c>
      <c r="P78" s="211">
        <f t="shared" si="33"/>
        <v>3590937</v>
      </c>
      <c r="Q78" s="39">
        <f t="shared" si="53"/>
        <v>3783745</v>
      </c>
      <c r="R78" s="535">
        <f>IF(P78&gt;Q78,J78+L78+P78,J78+L78+Q78)</f>
        <v>3783745</v>
      </c>
      <c r="S78" s="211">
        <v>0</v>
      </c>
      <c r="T78" s="535">
        <f t="shared" si="54"/>
        <v>3783745</v>
      </c>
      <c r="V78" s="211">
        <v>0</v>
      </c>
      <c r="W78" s="211">
        <f>ROUND(Q78*1.0453,0)</f>
        <v>3955149</v>
      </c>
      <c r="X78" s="211">
        <v>4195086</v>
      </c>
      <c r="Y78" s="211">
        <f>ROUND(4195086*1.0453,0)</f>
        <v>4385123</v>
      </c>
      <c r="Z78" s="535">
        <f t="shared" si="42"/>
        <v>8340272</v>
      </c>
      <c r="AA78" s="211">
        <v>0</v>
      </c>
      <c r="AB78" s="535">
        <f t="shared" si="43"/>
        <v>8340272</v>
      </c>
      <c r="AD78" s="211">
        <f>W78</f>
        <v>3955149</v>
      </c>
      <c r="AE78" s="211">
        <f>Y78</f>
        <v>4385123</v>
      </c>
      <c r="AF78" s="211">
        <v>190021</v>
      </c>
      <c r="AG78" s="211">
        <v>190021</v>
      </c>
      <c r="AH78" s="535">
        <f t="shared" si="44"/>
        <v>8530293</v>
      </c>
      <c r="AI78" s="211">
        <v>7628774</v>
      </c>
      <c r="AJ78" s="535">
        <f t="shared" si="45"/>
        <v>901519</v>
      </c>
      <c r="AL78" s="211">
        <f>AD78+AE78-AI78</f>
        <v>711498</v>
      </c>
      <c r="AM78" s="211">
        <f>AG78</f>
        <v>190021</v>
      </c>
      <c r="AN78" s="211">
        <v>0</v>
      </c>
      <c r="AO78" s="211">
        <v>0</v>
      </c>
      <c r="AP78" s="535">
        <f t="shared" si="46"/>
        <v>901519</v>
      </c>
      <c r="AQ78" s="211">
        <v>901519</v>
      </c>
      <c r="AR78" s="145">
        <f t="shared" si="28"/>
        <v>0</v>
      </c>
      <c r="AT78" s="211">
        <v>0</v>
      </c>
      <c r="AU78" s="211">
        <v>0</v>
      </c>
      <c r="AV78" s="211">
        <v>0</v>
      </c>
      <c r="AW78" s="211">
        <v>0</v>
      </c>
      <c r="AX78" s="535">
        <f t="shared" si="29"/>
        <v>0</v>
      </c>
      <c r="AY78" s="211">
        <v>0</v>
      </c>
      <c r="AZ78" s="535">
        <f t="shared" si="34"/>
        <v>0</v>
      </c>
      <c r="BB78" s="571">
        <v>0</v>
      </c>
      <c r="BC78" s="571">
        <v>0</v>
      </c>
      <c r="BD78" s="198">
        <v>0</v>
      </c>
      <c r="BE78" s="535">
        <f t="shared" si="35"/>
        <v>0</v>
      </c>
      <c r="BF78" s="571">
        <v>0</v>
      </c>
      <c r="BG78" s="535">
        <f t="shared" si="36"/>
        <v>0</v>
      </c>
      <c r="BI78" s="571">
        <v>0</v>
      </c>
      <c r="BJ78" s="571">
        <v>0</v>
      </c>
      <c r="BK78" s="198">
        <v>0</v>
      </c>
      <c r="BL78" s="535">
        <f t="shared" si="37"/>
        <v>0</v>
      </c>
      <c r="BM78" s="571">
        <v>0</v>
      </c>
      <c r="BN78" s="535">
        <f t="shared" si="38"/>
        <v>0</v>
      </c>
      <c r="BP78" s="571">
        <v>0</v>
      </c>
      <c r="BQ78" s="198">
        <v>0</v>
      </c>
      <c r="BR78" s="198">
        <v>2350681</v>
      </c>
      <c r="BS78" s="535">
        <f t="shared" si="47"/>
        <v>2350681</v>
      </c>
      <c r="BT78" s="211">
        <f t="shared" si="48"/>
        <v>2387587</v>
      </c>
      <c r="BU78" s="572">
        <v>0</v>
      </c>
      <c r="BV78" s="535">
        <f t="shared" si="39"/>
        <v>2387587</v>
      </c>
      <c r="BX78" s="198">
        <v>0</v>
      </c>
      <c r="BY78" s="164">
        <f>ROUND(BR78*(1.0157),0)</f>
        <v>2387587</v>
      </c>
      <c r="BZ78" s="198">
        <v>5973118</v>
      </c>
      <c r="CA78" s="535">
        <f t="shared" si="49"/>
        <v>8360705</v>
      </c>
      <c r="CB78" s="211">
        <f t="shared" si="50"/>
        <v>8431771</v>
      </c>
      <c r="CC78" s="572">
        <f>+'[3]14-15 $140M Workload Restore'!AP76</f>
        <v>21769</v>
      </c>
      <c r="CD78" s="535">
        <f t="shared" si="40"/>
        <v>8410002</v>
      </c>
      <c r="CF78" s="211">
        <f t="shared" si="51"/>
        <v>0</v>
      </c>
      <c r="CG78" s="211">
        <f t="shared" si="51"/>
        <v>2407881</v>
      </c>
      <c r="CH78" s="211">
        <f t="shared" si="51"/>
        <v>6023890</v>
      </c>
      <c r="CI78" s="211">
        <f t="shared" si="52"/>
        <v>8431771</v>
      </c>
    </row>
    <row r="79" spans="1:87" ht="15.75" thickBot="1">
      <c r="A79" s="523" t="s">
        <v>180</v>
      </c>
      <c r="F79" s="211"/>
      <c r="G79" s="568"/>
      <c r="H79" s="211"/>
      <c r="I79" s="211"/>
      <c r="J79" s="569">
        <f t="shared" si="41"/>
        <v>0</v>
      </c>
      <c r="K79" s="211"/>
      <c r="L79" s="211">
        <f t="shared" si="32"/>
        <v>0</v>
      </c>
      <c r="M79" s="211">
        <v>2385339</v>
      </c>
      <c r="N79" s="583">
        <v>-614.51</v>
      </c>
      <c r="O79" s="583">
        <v>-66.27</v>
      </c>
      <c r="P79" s="211">
        <f t="shared" si="33"/>
        <v>2526551</v>
      </c>
      <c r="Q79" s="39">
        <f t="shared" si="53"/>
        <v>2857590</v>
      </c>
      <c r="R79" s="535">
        <f>IF(P79&gt;Q79,J79+L79+P79,J79+L79+Q79)</f>
        <v>2857590</v>
      </c>
      <c r="S79" s="211">
        <v>385264</v>
      </c>
      <c r="T79" s="535">
        <f t="shared" si="54"/>
        <v>2472326</v>
      </c>
      <c r="V79" s="211">
        <v>0</v>
      </c>
      <c r="W79" s="211">
        <f>ROUND((R79-S79)*1.0453,0)</f>
        <v>2584322</v>
      </c>
      <c r="X79" s="211">
        <v>0</v>
      </c>
      <c r="Y79" s="211">
        <v>0</v>
      </c>
      <c r="Z79" s="535">
        <f t="shared" si="42"/>
        <v>2584322</v>
      </c>
      <c r="AA79" s="211">
        <v>2584322</v>
      </c>
      <c r="AB79" s="535">
        <f t="shared" si="43"/>
        <v>0</v>
      </c>
      <c r="AD79" s="211">
        <v>0</v>
      </c>
      <c r="AE79" s="211">
        <v>0</v>
      </c>
      <c r="AF79" s="211">
        <v>0</v>
      </c>
      <c r="AG79" s="211">
        <v>0</v>
      </c>
      <c r="AH79" s="535">
        <f t="shared" si="44"/>
        <v>0</v>
      </c>
      <c r="AI79" s="211">
        <v>0</v>
      </c>
      <c r="AJ79" s="535">
        <f t="shared" si="45"/>
        <v>0</v>
      </c>
      <c r="AL79" s="211">
        <v>0</v>
      </c>
      <c r="AM79" s="211">
        <v>0</v>
      </c>
      <c r="AN79" s="211">
        <v>0</v>
      </c>
      <c r="AO79" s="211">
        <v>0</v>
      </c>
      <c r="AP79" s="535">
        <f t="shared" si="46"/>
        <v>0</v>
      </c>
      <c r="AQ79" s="211">
        <v>0</v>
      </c>
      <c r="AR79" s="145">
        <f t="shared" si="28"/>
        <v>0</v>
      </c>
      <c r="AT79" s="211">
        <v>0</v>
      </c>
      <c r="AU79" s="211">
        <v>0</v>
      </c>
      <c r="AV79" s="211">
        <v>0</v>
      </c>
      <c r="AW79" s="211">
        <v>0</v>
      </c>
      <c r="AX79" s="535">
        <f t="shared" si="29"/>
        <v>0</v>
      </c>
      <c r="AY79" s="211">
        <v>0</v>
      </c>
      <c r="AZ79" s="535">
        <f t="shared" si="34"/>
        <v>0</v>
      </c>
      <c r="BB79" s="571">
        <v>0</v>
      </c>
      <c r="BC79" s="571">
        <v>0</v>
      </c>
      <c r="BD79" s="198">
        <v>0</v>
      </c>
      <c r="BE79" s="535">
        <f t="shared" si="35"/>
        <v>0</v>
      </c>
      <c r="BF79" s="571">
        <v>0</v>
      </c>
      <c r="BG79" s="535">
        <f t="shared" si="36"/>
        <v>0</v>
      </c>
      <c r="BI79" s="571">
        <v>0</v>
      </c>
      <c r="BJ79" s="571">
        <v>0</v>
      </c>
      <c r="BK79" s="198">
        <v>0</v>
      </c>
      <c r="BL79" s="535">
        <f>SUM(BI79:BK79)</f>
        <v>0</v>
      </c>
      <c r="BM79" s="571">
        <v>0</v>
      </c>
      <c r="BN79" s="535">
        <f t="shared" si="38"/>
        <v>0</v>
      </c>
      <c r="BP79" s="571">
        <v>0</v>
      </c>
      <c r="BQ79" s="198">
        <v>0</v>
      </c>
      <c r="BR79" s="198">
        <v>0</v>
      </c>
      <c r="BS79" s="535">
        <f t="shared" si="47"/>
        <v>0</v>
      </c>
      <c r="BT79" s="211">
        <f t="shared" si="48"/>
        <v>0</v>
      </c>
      <c r="BU79" s="572">
        <v>0</v>
      </c>
      <c r="BV79" s="535">
        <f t="shared" si="39"/>
        <v>0</v>
      </c>
      <c r="BX79" s="198">
        <v>0</v>
      </c>
      <c r="BY79" s="198">
        <v>0</v>
      </c>
      <c r="BZ79" s="198">
        <v>0</v>
      </c>
      <c r="CA79" s="535">
        <f t="shared" si="49"/>
        <v>0</v>
      </c>
      <c r="CB79" s="211">
        <f t="shared" si="50"/>
        <v>0</v>
      </c>
      <c r="CC79" s="572">
        <f>+'[3]14-15 $140M Workload Restore'!AP77</f>
        <v>0</v>
      </c>
      <c r="CD79" s="535">
        <f t="shared" si="40"/>
        <v>0</v>
      </c>
      <c r="CF79" s="211">
        <f t="shared" si="51"/>
        <v>0</v>
      </c>
      <c r="CG79" s="211">
        <f t="shared" si="51"/>
        <v>0</v>
      </c>
      <c r="CH79" s="211">
        <f t="shared" si="51"/>
        <v>0</v>
      </c>
      <c r="CI79" s="211">
        <f t="shared" si="52"/>
        <v>0</v>
      </c>
    </row>
    <row r="80" spans="1:87" ht="15.75" thickBot="1">
      <c r="A80" s="523" t="s">
        <v>181</v>
      </c>
      <c r="E80" s="536"/>
      <c r="F80" s="584">
        <v>50616</v>
      </c>
      <c r="G80" s="597"/>
      <c r="H80" s="598"/>
      <c r="I80" s="599">
        <v>1509001</v>
      </c>
      <c r="J80" s="600">
        <f>ROUND((I80-K80)*1.0241*1.0423*1.0592,0)</f>
        <v>61007</v>
      </c>
      <c r="K80" s="574">
        <v>1455042</v>
      </c>
      <c r="L80" s="211">
        <v>0</v>
      </c>
      <c r="M80" s="598">
        <v>2653224</v>
      </c>
      <c r="N80" s="601">
        <v>-719.74</v>
      </c>
      <c r="O80" s="601">
        <v>-37.22</v>
      </c>
      <c r="P80" s="598">
        <f t="shared" si="33"/>
        <v>2810295</v>
      </c>
      <c r="Q80" s="39">
        <f t="shared" si="53"/>
        <v>3240844</v>
      </c>
      <c r="R80" s="535">
        <f>IF(P80&gt;Q80,J80+L80+P80,J80+L80+Q80)</f>
        <v>3301851</v>
      </c>
      <c r="S80" s="598">
        <v>3465922</v>
      </c>
      <c r="T80" s="602">
        <f t="shared" si="54"/>
        <v>0</v>
      </c>
      <c r="V80" s="598">
        <v>0</v>
      </c>
      <c r="W80" s="598">
        <v>0</v>
      </c>
      <c r="X80" s="598">
        <v>0</v>
      </c>
      <c r="Y80" s="598">
        <v>0</v>
      </c>
      <c r="Z80" s="602">
        <f t="shared" si="42"/>
        <v>0</v>
      </c>
      <c r="AA80" s="598">
        <v>0</v>
      </c>
      <c r="AB80" s="602">
        <f t="shared" si="43"/>
        <v>0</v>
      </c>
      <c r="AD80" s="598">
        <v>0</v>
      </c>
      <c r="AE80" s="598">
        <v>0</v>
      </c>
      <c r="AF80" s="598">
        <v>0</v>
      </c>
      <c r="AG80" s="598">
        <v>0</v>
      </c>
      <c r="AH80" s="602">
        <f t="shared" si="44"/>
        <v>0</v>
      </c>
      <c r="AI80" s="598">
        <v>0</v>
      </c>
      <c r="AJ80" s="602">
        <f t="shared" si="45"/>
        <v>0</v>
      </c>
      <c r="AL80" s="598">
        <v>0</v>
      </c>
      <c r="AM80" s="598">
        <v>0</v>
      </c>
      <c r="AN80" s="598">
        <v>0</v>
      </c>
      <c r="AO80" s="598">
        <v>0</v>
      </c>
      <c r="AP80" s="602">
        <f t="shared" si="46"/>
        <v>0</v>
      </c>
      <c r="AQ80" s="598">
        <v>0</v>
      </c>
      <c r="AR80" s="145">
        <f t="shared" si="28"/>
        <v>0</v>
      </c>
      <c r="AT80" s="598">
        <v>0</v>
      </c>
      <c r="AU80" s="598">
        <v>0</v>
      </c>
      <c r="AV80" s="598">
        <v>0</v>
      </c>
      <c r="AW80" s="598">
        <v>0</v>
      </c>
      <c r="AX80" s="602">
        <f t="shared" si="29"/>
        <v>0</v>
      </c>
      <c r="AY80" s="598">
        <v>0</v>
      </c>
      <c r="AZ80" s="602">
        <f t="shared" si="34"/>
        <v>0</v>
      </c>
      <c r="BB80" s="571">
        <v>0</v>
      </c>
      <c r="BC80" s="571">
        <v>0</v>
      </c>
      <c r="BD80" s="603">
        <v>0</v>
      </c>
      <c r="BE80" s="602">
        <f t="shared" si="35"/>
        <v>0</v>
      </c>
      <c r="BF80" s="604">
        <v>0</v>
      </c>
      <c r="BG80" s="602">
        <f t="shared" si="36"/>
        <v>0</v>
      </c>
      <c r="BI80" s="604">
        <v>0</v>
      </c>
      <c r="BJ80" s="604">
        <v>0</v>
      </c>
      <c r="BK80" s="603">
        <v>0</v>
      </c>
      <c r="BL80" s="602">
        <f>SUM(BI80:BK80)</f>
        <v>0</v>
      </c>
      <c r="BM80" s="604">
        <v>0</v>
      </c>
      <c r="BN80" s="602">
        <f t="shared" si="38"/>
        <v>0</v>
      </c>
      <c r="BP80" s="604">
        <v>0</v>
      </c>
      <c r="BQ80" s="603">
        <v>0</v>
      </c>
      <c r="BR80" s="603">
        <v>0</v>
      </c>
      <c r="BS80" s="602">
        <f t="shared" si="47"/>
        <v>0</v>
      </c>
      <c r="BT80" s="602">
        <f t="shared" si="48"/>
        <v>0</v>
      </c>
      <c r="BU80" s="572">
        <v>0</v>
      </c>
      <c r="BV80" s="602">
        <f t="shared" si="39"/>
        <v>0</v>
      </c>
      <c r="BX80" s="603">
        <v>0</v>
      </c>
      <c r="BY80" s="603">
        <v>0</v>
      </c>
      <c r="BZ80" s="603">
        <v>3889836</v>
      </c>
      <c r="CA80" s="602">
        <f t="shared" si="49"/>
        <v>3889836</v>
      </c>
      <c r="CB80" s="602">
        <f t="shared" si="50"/>
        <v>3922900</v>
      </c>
      <c r="CC80" s="572">
        <f>+'[3]14-15 $140M Workload Restore'!AP78</f>
        <v>3922900</v>
      </c>
      <c r="CD80" s="602">
        <f t="shared" si="40"/>
        <v>0</v>
      </c>
      <c r="CF80" s="211">
        <f t="shared" si="51"/>
        <v>0</v>
      </c>
      <c r="CG80" s="211">
        <f t="shared" si="51"/>
        <v>0</v>
      </c>
      <c r="CH80" s="211">
        <f t="shared" si="51"/>
        <v>3922900</v>
      </c>
      <c r="CI80" s="211">
        <f t="shared" si="52"/>
        <v>3922900</v>
      </c>
    </row>
    <row r="81" spans="1:87">
      <c r="N81" s="541"/>
      <c r="O81" s="541"/>
      <c r="AP81" s="535">
        <f>SUM(AP9:AP80)</f>
        <v>19052473</v>
      </c>
    </row>
    <row r="82" spans="1:87">
      <c r="A82" s="532" t="s">
        <v>182</v>
      </c>
      <c r="B82" s="532"/>
      <c r="E82" s="535">
        <f>SUM(E9:E81)</f>
        <v>598821</v>
      </c>
      <c r="F82" s="535">
        <f>SUM(F9:F81)</f>
        <v>4749072</v>
      </c>
      <c r="G82" s="535">
        <f>SUM(G9:G81)</f>
        <v>6650284</v>
      </c>
      <c r="H82" s="535">
        <f>SUM(H81:H81)</f>
        <v>0</v>
      </c>
      <c r="I82" s="535">
        <f>SUM(I9:I81)</f>
        <v>20711713</v>
      </c>
      <c r="J82" s="535">
        <f>SUM(J9:J81)</f>
        <v>2789777</v>
      </c>
      <c r="K82" s="535">
        <f>SUM(K9:K81)</f>
        <v>60513507</v>
      </c>
      <c r="L82" s="535">
        <f>SUM(L9:L81)</f>
        <v>17362310</v>
      </c>
      <c r="M82" s="535" t="s">
        <v>40</v>
      </c>
      <c r="N82" s="541">
        <f>SUM(N9:N80)</f>
        <v>-39368.620000000003</v>
      </c>
      <c r="O82" s="541">
        <f>SUM(O9:O80)</f>
        <v>-693.49</v>
      </c>
      <c r="P82" s="535">
        <f>SUM(P9:P81)</f>
        <v>151089190</v>
      </c>
      <c r="Q82" s="535"/>
      <c r="R82" s="535">
        <f>SUM(R9:R81)</f>
        <v>193862393</v>
      </c>
      <c r="S82" s="535">
        <f>SUM(S9:S81)</f>
        <v>148230047</v>
      </c>
      <c r="T82" s="535">
        <f>SUM(T9:T81)</f>
        <v>47398334</v>
      </c>
      <c r="V82" s="535">
        <f>SUM(V9:V81)</f>
        <v>7607671</v>
      </c>
      <c r="W82" s="535">
        <f>SUM(W9:W81)</f>
        <v>39487266</v>
      </c>
      <c r="X82" s="535">
        <f>SUM(X9:X81)+13333661-6989938</f>
        <v>67013844</v>
      </c>
      <c r="Y82" s="535">
        <f>SUM(Y9:Y81)</f>
        <v>63418478</v>
      </c>
      <c r="Z82" s="535">
        <f>SUM(Z9:Z81)</f>
        <v>110513415</v>
      </c>
      <c r="AA82" s="535">
        <f>SUM(AA9:AA81)</f>
        <v>69495908</v>
      </c>
      <c r="AB82" s="535">
        <f>SUM(AB9:AB81)</f>
        <v>42430441</v>
      </c>
      <c r="AD82" s="535">
        <f t="shared" ref="AD82:AJ82" si="55">SUM(AD9:AD81)</f>
        <v>19111956</v>
      </c>
      <c r="AE82" s="535">
        <f t="shared" si="55"/>
        <v>18798882</v>
      </c>
      <c r="AF82" s="535">
        <f t="shared" si="55"/>
        <v>34510609</v>
      </c>
      <c r="AG82" s="535">
        <f t="shared" si="55"/>
        <v>34510609</v>
      </c>
      <c r="AH82" s="535">
        <f t="shared" si="55"/>
        <v>72421447</v>
      </c>
      <c r="AI82" s="535">
        <f t="shared" si="55"/>
        <v>64354038</v>
      </c>
      <c r="AJ82" s="535">
        <f t="shared" si="55"/>
        <v>8610139</v>
      </c>
      <c r="AL82" s="535">
        <f>SUM(AL9:AL81)</f>
        <v>4206059</v>
      </c>
      <c r="AM82" s="535">
        <f>SUM(AM9:AM81)</f>
        <v>4796475</v>
      </c>
      <c r="AN82" s="535">
        <f>SUM(AN9:AN81)</f>
        <v>10049939</v>
      </c>
      <c r="AO82" s="535">
        <f>SUM(AO9:AO81)</f>
        <v>10049939</v>
      </c>
      <c r="AP82" s="535">
        <f>SUM(AL82:AO82)</f>
        <v>29102412</v>
      </c>
      <c r="AQ82" s="535">
        <f>SUM(AQ9:AQ80)</f>
        <v>15480344</v>
      </c>
      <c r="AR82" s="535">
        <f>SUM(AR9:AR80)</f>
        <v>2979632</v>
      </c>
      <c r="AT82" s="535">
        <f>SUM(AT9:AT80)</f>
        <v>2979632</v>
      </c>
      <c r="AU82" s="535">
        <f t="shared" ref="AU82:AZ82" si="56">SUM(AU9:AU80)</f>
        <v>0</v>
      </c>
      <c r="AV82" s="535">
        <f t="shared" si="56"/>
        <v>7115127</v>
      </c>
      <c r="AW82" s="535">
        <f t="shared" si="56"/>
        <v>7115127</v>
      </c>
      <c r="AX82" s="535">
        <f t="shared" si="56"/>
        <v>10094759</v>
      </c>
      <c r="AY82" s="535">
        <f t="shared" si="56"/>
        <v>11977553</v>
      </c>
      <c r="AZ82" s="535">
        <f t="shared" si="56"/>
        <v>0</v>
      </c>
      <c r="BA82" s="535"/>
      <c r="BB82" s="211">
        <f t="shared" ref="BB82:BG82" si="57">SUM(BB9:BB80)</f>
        <v>0</v>
      </c>
      <c r="BC82" s="211">
        <f t="shared" si="57"/>
        <v>0</v>
      </c>
      <c r="BD82" s="211">
        <f t="shared" si="57"/>
        <v>8810325</v>
      </c>
      <c r="BE82" s="211">
        <f t="shared" si="57"/>
        <v>8810325</v>
      </c>
      <c r="BF82" s="211">
        <f t="shared" si="57"/>
        <v>9538278</v>
      </c>
      <c r="BG82" s="211">
        <f t="shared" si="57"/>
        <v>3823675</v>
      </c>
      <c r="BH82" s="535"/>
      <c r="BI82" s="211">
        <f t="shared" ref="BI82:BN82" si="58">SUM(BI9:BI80)</f>
        <v>0</v>
      </c>
      <c r="BJ82" s="211">
        <f t="shared" si="58"/>
        <v>3823675</v>
      </c>
      <c r="BK82" s="211">
        <f t="shared" si="58"/>
        <v>22887039</v>
      </c>
      <c r="BL82" s="592">
        <f t="shared" si="58"/>
        <v>26710714</v>
      </c>
      <c r="BM82" s="211">
        <f t="shared" si="58"/>
        <v>6821108</v>
      </c>
      <c r="BN82" s="211">
        <f t="shared" si="58"/>
        <v>19889606</v>
      </c>
      <c r="BP82" s="211">
        <f t="shared" ref="BP82:BV82" si="59">SUM(BP9:BP80)</f>
        <v>1819115</v>
      </c>
      <c r="BQ82" s="211">
        <f t="shared" si="59"/>
        <v>19036946</v>
      </c>
      <c r="BR82" s="211">
        <f t="shared" si="59"/>
        <v>53972699</v>
      </c>
      <c r="BS82" s="592">
        <f t="shared" si="59"/>
        <v>74828760</v>
      </c>
      <c r="BT82" s="592">
        <f t="shared" si="59"/>
        <v>76003568</v>
      </c>
      <c r="BU82" s="211">
        <f t="shared" si="59"/>
        <v>34306442</v>
      </c>
      <c r="BV82" s="211">
        <f t="shared" si="59"/>
        <v>41566846</v>
      </c>
      <c r="BX82" s="211">
        <f t="shared" ref="BX82:CH82" si="60">SUM(BX9:BX80)</f>
        <v>16301238</v>
      </c>
      <c r="BY82" s="211">
        <f t="shared" si="60"/>
        <v>22566585</v>
      </c>
      <c r="BZ82" s="211">
        <f t="shared" si="60"/>
        <v>57074771</v>
      </c>
      <c r="CA82" s="592">
        <f t="shared" si="60"/>
        <v>95942594</v>
      </c>
      <c r="CB82" s="592">
        <f t="shared" si="60"/>
        <v>96758107</v>
      </c>
      <c r="CC82" s="211">
        <f t="shared" si="60"/>
        <v>39759671</v>
      </c>
      <c r="CD82" s="211">
        <f t="shared" si="60"/>
        <v>56998436</v>
      </c>
      <c r="CF82" s="211">
        <f t="shared" si="60"/>
        <v>16439800</v>
      </c>
      <c r="CG82" s="211">
        <f t="shared" si="60"/>
        <v>22758401</v>
      </c>
      <c r="CH82" s="211">
        <f t="shared" si="60"/>
        <v>57559907</v>
      </c>
      <c r="CI82" s="592">
        <f>SUM(CI9:CI80)</f>
        <v>96758108</v>
      </c>
    </row>
    <row r="83" spans="1:87">
      <c r="BX83" s="535"/>
    </row>
    <row r="84" spans="1:87">
      <c r="K84" s="535">
        <v>43641409</v>
      </c>
      <c r="M84" s="535">
        <v>142644626</v>
      </c>
      <c r="N84" s="535"/>
      <c r="O84" s="535"/>
      <c r="T84" s="535"/>
      <c r="W84" s="535">
        <f>V82+W82</f>
        <v>47094937</v>
      </c>
      <c r="X84" s="605" t="s">
        <v>691</v>
      </c>
      <c r="AP84" s="535"/>
      <c r="BE84" s="535">
        <f>BE82-BE37-BE40-BE59-BE61-BE71-BE78</f>
        <v>7477184</v>
      </c>
      <c r="BL84" s="535">
        <f>BL82-BL37-BL40-BL59-BL61-BL71-BL78</f>
        <v>19355471</v>
      </c>
      <c r="BM84" s="535">
        <f>BM82-BM37-BM40-BM59-BM61-BM71-BM78</f>
        <v>5738191</v>
      </c>
      <c r="BN84" s="535">
        <f>BN82-BN37-BN40-BN59-BN61-BN71-BN78</f>
        <v>13617280</v>
      </c>
      <c r="BR84" s="535">
        <f>BR82-BR37-BR40-BR59-BR61-BR71-BR78</f>
        <v>45655688</v>
      </c>
      <c r="BS84" s="535">
        <f>BS82-BS37-BS40-BS59-BS61-BS71-BS78</f>
        <v>60239423</v>
      </c>
      <c r="BT84" s="535">
        <f>BT82-BT37-BT40-BT59-BT61-BT71-BT78</f>
        <v>61185179</v>
      </c>
      <c r="BU84" s="535">
        <f>BU82-BU37-BU40-BU59-BU61-BU71-BU78</f>
        <v>34306442</v>
      </c>
      <c r="BV84" s="535">
        <f>BV82-BV37-BV40-BV59-BV61-BV71-BV78</f>
        <v>26748457</v>
      </c>
      <c r="BX84" s="535"/>
      <c r="BZ84" s="535">
        <f>BZ82-BZ37-BZ40-BZ59-BZ61-BZ71-BZ78</f>
        <v>31831853</v>
      </c>
      <c r="CA84" s="535">
        <f>CA82-CA37-CA40-CA59-CA61-CA71-CA78</f>
        <v>56135440</v>
      </c>
      <c r="CB84" s="535">
        <f>CB82-CB37-CB40-CB59-CB61-CB71-CB78</f>
        <v>56612592</v>
      </c>
      <c r="CC84" s="535">
        <f>CC82-CC37-CC40-CC59-CC61-CC71-CC78</f>
        <v>25315983</v>
      </c>
      <c r="CD84" s="535">
        <f>CD82-CD37-CD40-CD59-CD61-CD71-CD78</f>
        <v>31296609</v>
      </c>
      <c r="CI84" s="535"/>
    </row>
    <row r="85" spans="1:87">
      <c r="K85" s="535"/>
      <c r="BE85" s="535"/>
      <c r="BF85" s="543" t="s">
        <v>693</v>
      </c>
      <c r="BG85" s="543"/>
      <c r="BH85" s="543"/>
      <c r="BL85" s="535"/>
      <c r="BS85" s="535"/>
      <c r="CA85" s="535"/>
    </row>
    <row r="86" spans="1:87">
      <c r="M86" s="535"/>
      <c r="N86" s="535"/>
      <c r="O86" s="535"/>
      <c r="T86" s="535">
        <f>T82-T19</f>
        <v>39228177</v>
      </c>
      <c r="W86" s="535">
        <f>W84-W19</f>
        <v>38554672</v>
      </c>
      <c r="BF86" s="543" t="s">
        <v>694</v>
      </c>
      <c r="BG86" s="543"/>
      <c r="BH86" s="543"/>
      <c r="BL86" s="535"/>
      <c r="BN86" s="535"/>
      <c r="BR86" s="535">
        <f>SUM(BR9:BR23)</f>
        <v>18491973</v>
      </c>
      <c r="BS86" s="535">
        <f>SUM(BS9:BS23)</f>
        <v>19458428</v>
      </c>
      <c r="BT86" s="535">
        <f>SUM(BT9:BT23)</f>
        <v>19763925</v>
      </c>
      <c r="BV86" s="535"/>
      <c r="BZ86" s="535">
        <f>SUM(BZ9:BZ23)</f>
        <v>3970049</v>
      </c>
      <c r="CA86" s="535">
        <f>SUM(CA9:CA23)</f>
        <v>3970049</v>
      </c>
      <c r="CB86" s="535">
        <f>SUM(CB9:CB23)</f>
        <v>4003794</v>
      </c>
      <c r="CD86" s="535"/>
      <c r="CI86" s="535"/>
    </row>
    <row r="87" spans="1:87" hidden="1">
      <c r="BF87" s="543" t="s">
        <v>695</v>
      </c>
      <c r="BG87" s="543"/>
      <c r="BH87" s="543"/>
    </row>
    <row r="88" spans="1:87" hidden="1">
      <c r="BF88" s="543" t="s">
        <v>696</v>
      </c>
      <c r="BG88" s="543"/>
      <c r="BH88" s="543"/>
    </row>
    <row r="89" spans="1:87" hidden="1">
      <c r="BF89" s="543" t="s">
        <v>697</v>
      </c>
      <c r="BG89" s="543"/>
      <c r="BH89" s="543"/>
    </row>
    <row r="90" spans="1:87" hidden="1">
      <c r="BF90" s="543" t="s">
        <v>698</v>
      </c>
      <c r="BG90" s="543"/>
      <c r="BH90" s="543"/>
    </row>
    <row r="91" spans="1:87" hidden="1">
      <c r="BF91" s="543" t="s">
        <v>699</v>
      </c>
      <c r="BG91" s="543"/>
      <c r="BH91" s="543"/>
    </row>
    <row r="92" spans="1:87" hidden="1"/>
    <row r="93" spans="1:87" hidden="1"/>
    <row r="94" spans="1:87" hidden="1"/>
    <row r="95" spans="1:87" hidden="1"/>
    <row r="96" spans="1:87" hidden="1"/>
    <row r="97" spans="1:81" s="545" customFormat="1" ht="114.75">
      <c r="A97" s="606" t="s">
        <v>205</v>
      </c>
      <c r="BM97" s="545" t="s">
        <v>700</v>
      </c>
      <c r="BR97" s="545" t="s">
        <v>700</v>
      </c>
      <c r="BU97" s="545" t="s">
        <v>701</v>
      </c>
      <c r="BZ97" s="545" t="s">
        <v>701</v>
      </c>
      <c r="CC97" s="545" t="s">
        <v>700</v>
      </c>
    </row>
    <row r="98" spans="1:81" s="545" customFormat="1" ht="102">
      <c r="A98" s="606" t="s">
        <v>211</v>
      </c>
      <c r="BM98" s="545" t="s">
        <v>702</v>
      </c>
      <c r="BR98" s="545" t="s">
        <v>702</v>
      </c>
      <c r="BU98" s="545" t="s">
        <v>703</v>
      </c>
      <c r="BZ98" s="545" t="s">
        <v>703</v>
      </c>
      <c r="CC98" s="545" t="s">
        <v>702</v>
      </c>
    </row>
    <row r="99" spans="1:81" s="545" customFormat="1" ht="25.5">
      <c r="A99" s="607" t="s">
        <v>218</v>
      </c>
      <c r="BM99" s="545" t="s">
        <v>704</v>
      </c>
      <c r="BR99" s="545" t="s">
        <v>219</v>
      </c>
      <c r="BU99" s="545" t="s">
        <v>219</v>
      </c>
      <c r="BZ99" s="545" t="s">
        <v>219</v>
      </c>
      <c r="CC99" s="545" t="s">
        <v>704</v>
      </c>
    </row>
    <row r="100" spans="1:81" s="545" customFormat="1">
      <c r="A100" s="606" t="s">
        <v>224</v>
      </c>
      <c r="BM100" s="545" t="s">
        <v>705</v>
      </c>
      <c r="BR100" s="545" t="s">
        <v>706</v>
      </c>
      <c r="BU100" s="545" t="s">
        <v>707</v>
      </c>
      <c r="BZ100" s="545" t="s">
        <v>706</v>
      </c>
      <c r="CC100" s="545" t="s">
        <v>705</v>
      </c>
    </row>
    <row r="101" spans="1:81" s="609" customFormat="1">
      <c r="A101" s="608" t="s">
        <v>231</v>
      </c>
      <c r="BF101" s="609">
        <v>41781</v>
      </c>
      <c r="BK101" s="609">
        <v>41432</v>
      </c>
      <c r="BL101" s="609">
        <v>41432</v>
      </c>
      <c r="BM101" s="609">
        <v>41787</v>
      </c>
      <c r="BP101" s="609">
        <v>41787</v>
      </c>
      <c r="BQ101" s="609">
        <v>41787</v>
      </c>
      <c r="BR101" s="609">
        <v>41787</v>
      </c>
      <c r="BS101" s="609">
        <v>41432</v>
      </c>
      <c r="BU101" s="609">
        <v>42038</v>
      </c>
      <c r="BX101" s="609">
        <v>41836</v>
      </c>
      <c r="BY101" s="609">
        <v>41836</v>
      </c>
      <c r="BZ101" s="609">
        <v>42038</v>
      </c>
      <c r="CA101" s="609">
        <v>41432</v>
      </c>
      <c r="CC101" s="609">
        <v>41787</v>
      </c>
    </row>
    <row r="102" spans="1:81" s="610" customFormat="1">
      <c r="A102" s="608" t="s">
        <v>232</v>
      </c>
      <c r="CA102" s="610">
        <v>42039</v>
      </c>
      <c r="CB102" s="610">
        <v>42039</v>
      </c>
    </row>
    <row r="103" spans="1:81" s="545" customFormat="1" ht="140.25">
      <c r="A103" s="607" t="s">
        <v>708</v>
      </c>
      <c r="BF103" s="545" t="s">
        <v>709</v>
      </c>
      <c r="BK103" s="611" t="s">
        <v>710</v>
      </c>
      <c r="BL103" s="611" t="s">
        <v>711</v>
      </c>
      <c r="BP103" s="611" t="s">
        <v>712</v>
      </c>
      <c r="BQ103" s="611" t="s">
        <v>710</v>
      </c>
      <c r="BR103" s="611" t="s">
        <v>713</v>
      </c>
      <c r="BS103" s="611" t="s">
        <v>711</v>
      </c>
      <c r="BX103" s="611" t="s">
        <v>714</v>
      </c>
      <c r="BY103" s="611" t="s">
        <v>715</v>
      </c>
      <c r="BZ103" s="611" t="s">
        <v>716</v>
      </c>
      <c r="CA103" s="611" t="s">
        <v>711</v>
      </c>
    </row>
    <row r="104" spans="1:81" s="545" customFormat="1" ht="89.25">
      <c r="A104" s="607" t="s">
        <v>717</v>
      </c>
      <c r="BL104" s="611" t="s">
        <v>718</v>
      </c>
      <c r="BS104" s="611" t="s">
        <v>719</v>
      </c>
      <c r="CA104" s="611" t="s">
        <v>719</v>
      </c>
    </row>
    <row r="105" spans="1:81" s="545" customFormat="1">
      <c r="A105" s="607" t="s">
        <v>717</v>
      </c>
    </row>
  </sheetData>
  <mergeCells count="1">
    <mergeCell ref="CF7:CH7"/>
  </mergeCells>
  <printOptions headings="1"/>
  <pageMargins left="0.45" right="0.45" top="0.5" bottom="0.5" header="0.25" footer="0.25"/>
  <pageSetup scale="57" fitToWidth="4" orientation="landscape" r:id="rId1"/>
  <headerFooter>
    <oddHeader>&amp;L&amp;F&amp;C&amp;A&amp;R&amp;T</oddHeader>
    <oddFooter>&amp;L&amp;BState of California Confidential&amp;B&amp;C&amp;D&amp;RPage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Weighted Model</vt:lpstr>
      <vt:lpstr>Demographics</vt:lpstr>
      <vt:lpstr>Long Beach</vt:lpstr>
      <vt:lpstr>2013-14</vt:lpstr>
      <vt:lpstr>2013-14 FTES</vt:lpstr>
      <vt:lpstr>2014-15</vt:lpstr>
      <vt:lpstr>2014-15 ExC</vt:lpstr>
      <vt:lpstr>2014-15 Rest</vt:lpstr>
      <vt:lpstr>ALL_VARIABLES_TOTALS</vt:lpstr>
      <vt:lpstr>'2013-14'!Print_Area</vt:lpstr>
      <vt:lpstr>'Weighted Model'!Print_Area</vt:lpstr>
      <vt:lpstr>'2013-14'!Print_Titles</vt:lpstr>
      <vt:lpstr>'2014-15 ExC'!Print_Titles</vt:lpstr>
      <vt:lpstr>Demographics!Print_Titles</vt:lpstr>
    </vt:vector>
  </TitlesOfParts>
  <Company>Chancellor's Office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Mario</dc:creator>
  <cp:lastModifiedBy>Ann-Marie</cp:lastModifiedBy>
  <cp:lastPrinted>2015-05-17T04:52:05Z</cp:lastPrinted>
  <dcterms:created xsi:type="dcterms:W3CDTF">2015-03-22T03:27:09Z</dcterms:created>
  <dcterms:modified xsi:type="dcterms:W3CDTF">2015-05-17T04:54:17Z</dcterms:modified>
</cp:coreProperties>
</file>